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1.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C:\Users\Work\Dropbox\"/>
    </mc:Choice>
  </mc:AlternateContent>
  <xr:revisionPtr revIDLastSave="0" documentId="13_ncr:1_{684A4DA8-752F-400C-9236-950C8810C38E}" xr6:coauthVersionLast="47" xr6:coauthVersionMax="47" xr10:uidLastSave="{00000000-0000-0000-0000-000000000000}"/>
  <bookViews>
    <workbookView xWindow="-30828" yWindow="-10548" windowWidth="30936" windowHeight="16896" tabRatio="714" activeTab="1" xr2:uid="{00000000-000D-0000-FFFF-FFFF00000000}"/>
  </bookViews>
  <sheets>
    <sheet name="DATA" sheetId="5" r:id="rId1"/>
    <sheet name="DASHBOARD" sheetId="13" r:id="rId2"/>
    <sheet name="PIVOTS &amp; CALCULATIONS" sheetId="16" r:id="rId3"/>
    <sheet name="DATES &amp; GRADES" sheetId="18" r:id="rId4"/>
  </sheets>
  <definedNames>
    <definedName name="_xlchart.v5.0" hidden="1">'PIVOTS &amp; CALCULATIONS'!$L$28</definedName>
    <definedName name="_xlchart.v5.1" hidden="1">'PIVOTS &amp; CALCULATIONS'!$L$29:$L$35</definedName>
    <definedName name="_xlchart.v5.2" hidden="1">'PIVOTS &amp; CALCULATIONS'!$M$28</definedName>
    <definedName name="_xlchart.v5.3" hidden="1">'PIVOTS &amp; CALCULATIONS'!$M$29:$M$35</definedName>
    <definedName name="_xlcn.WorksheetConnection_Sportclimbingdataanddashboard.xlsxGRADES1" hidden="1">GRADES[]</definedName>
    <definedName name="_xlcn.WorksheetConnection_Sportclimbingdataanddashboard.xlsxMONTHS1" hidden="1">MONTHS[]</definedName>
    <definedName name="_xlcn.WorksheetConnection_Sportclimbingdataanddashboard.xlsxSportClimbing1" hidden="1">SportClimbing[]</definedName>
    <definedName name="_xlcn.WorksheetConnection_Sportclimbingdataanddashboard.xlsxYears1" hidden="1">YEARS[]</definedName>
    <definedName name="Slicer_Belayer1">#N/A</definedName>
    <definedName name="Slicer_Crag">#N/A</definedName>
    <definedName name="Slicer_Grade">#N/A</definedName>
    <definedName name="Slicer_Height__m">#N/A</definedName>
    <definedName name="Slicer_Height_range__m">#N/A</definedName>
    <definedName name="Slicer_MONTHS_2">#N/A</definedName>
    <definedName name="Slicer_Total_number_of_tries">#N/A</definedName>
    <definedName name="Slicer_YEARS">#N/A</definedName>
  </definedNames>
  <calcPr calcId="191028"/>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 cacheId="15" r:id="rId20"/>
  </pivotCaches>
  <extLst>
    <ext xmlns:x14="http://schemas.microsoft.com/office/spreadsheetml/2009/9/main" uri="{876F7934-8845-4945-9796-88D515C7AA90}">
      <x14:pivotCaches>
        <pivotCache cacheId="16" r:id="rId21"/>
      </x14:pivotCaches>
    </ext>
    <ext xmlns:x14="http://schemas.microsoft.com/office/spreadsheetml/2009/9/main" uri="{BBE1A952-AA13-448e-AADC-164F8A28A991}">
      <x14:slicerCaches>
        <x14:slicerCache r:id="rId22"/>
        <x14:slicerCache r:id="rId23"/>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Years" name="Years" connection="WorksheetConnection_Sport climbing data and dashboard.xlsx!Years"/>
          <x15:modelTable id="SportClimbing" name="SportClimbing" connection="WorksheetConnection_Sport climbing data and dashboard.xlsx!SportClimbing"/>
          <x15:modelTable id="MONTHS" name="MONTHS" connection="WorksheetConnection_Sport climbing data and dashboard.xlsx!MONTHS"/>
          <x15:modelTable id="GRADES" name="GRADES" connection="WorksheetConnection_Sport climbing data and dashboard.xlsx!GRADES"/>
        </x15:modelTables>
        <x15:modelRelationships>
          <x15:modelRelationship fromTable="SportClimbing" fromColumn="Year" toTable="Years" toColumn="YEARS"/>
          <x15:modelRelationship fromTable="SportClimbing" fromColumn="Month" toTable="MONTHS" toColumn="MONTHS 2"/>
          <x15:modelRelationship fromTable="SportClimbing" fromColumn="Grade" toTable="GRADES" toColumn="GRADES"/>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10" i="5" l="1"/>
  <c r="P210" i="5"/>
  <c r="O210" i="5"/>
  <c r="L210" i="5"/>
  <c r="B210" i="5"/>
  <c r="Q209" i="5"/>
  <c r="P209" i="5"/>
  <c r="O209" i="5"/>
  <c r="L209" i="5"/>
  <c r="B209" i="5"/>
  <c r="Q208" i="5"/>
  <c r="P208" i="5"/>
  <c r="O208" i="5"/>
  <c r="L208" i="5"/>
  <c r="B208" i="5"/>
  <c r="Q207" i="5"/>
  <c r="P207" i="5"/>
  <c r="O207" i="5"/>
  <c r="L207" i="5"/>
  <c r="B207" i="5"/>
  <c r="Q206" i="5"/>
  <c r="P206" i="5"/>
  <c r="O206" i="5"/>
  <c r="L206" i="5"/>
  <c r="B206" i="5"/>
  <c r="B205" i="5"/>
  <c r="L205" i="5"/>
  <c r="O205" i="5"/>
  <c r="P205" i="5"/>
  <c r="Q205" i="5"/>
  <c r="B204" i="5"/>
  <c r="L204" i="5"/>
  <c r="O204" i="5"/>
  <c r="P204" i="5"/>
  <c r="Q204" i="5"/>
  <c r="B203" i="5"/>
  <c r="L203" i="5"/>
  <c r="O203" i="5"/>
  <c r="P203" i="5"/>
  <c r="Q203" i="5"/>
  <c r="E24" i="16"/>
  <c r="C10" i="16" a="1"/>
  <c r="C10" i="16" s="1"/>
  <c r="Q202" i="5"/>
  <c r="P202" i="5"/>
  <c r="O202" i="5"/>
  <c r="L202" i="5"/>
  <c r="B202" i="5"/>
  <c r="Q201" i="5"/>
  <c r="P201" i="5"/>
  <c r="O201" i="5"/>
  <c r="L201" i="5"/>
  <c r="B201" i="5"/>
  <c r="Q200" i="5"/>
  <c r="P200" i="5"/>
  <c r="O200" i="5"/>
  <c r="L200" i="5"/>
  <c r="A200" i="5"/>
  <c r="B200" i="5" s="1"/>
  <c r="Q199" i="5"/>
  <c r="P199" i="5"/>
  <c r="O199" i="5"/>
  <c r="L199" i="5"/>
  <c r="A199" i="5"/>
  <c r="B199" i="5" s="1"/>
  <c r="Q198" i="5"/>
  <c r="P198" i="5"/>
  <c r="O198" i="5"/>
  <c r="L198" i="5"/>
  <c r="A198" i="5"/>
  <c r="B198" i="5" s="1"/>
  <c r="Q197" i="5"/>
  <c r="P197" i="5"/>
  <c r="O197" i="5"/>
  <c r="L197" i="5"/>
  <c r="A197" i="5"/>
  <c r="B197" i="5" s="1"/>
  <c r="A196" i="5"/>
  <c r="B196" i="5" s="1"/>
  <c r="L196" i="5"/>
  <c r="O196" i="5"/>
  <c r="P196" i="5"/>
  <c r="Q196" i="5"/>
  <c r="A195" i="5"/>
  <c r="B195" i="5" s="1"/>
  <c r="L195" i="5"/>
  <c r="O195" i="5"/>
  <c r="P195" i="5"/>
  <c r="Q195" i="5"/>
  <c r="A194" i="5"/>
  <c r="B194" i="5" s="1"/>
  <c r="L194" i="5"/>
  <c r="O194" i="5"/>
  <c r="P194" i="5"/>
  <c r="Q194" i="5"/>
  <c r="O118" i="5"/>
  <c r="Q193" i="5"/>
  <c r="P193" i="5"/>
  <c r="O193" i="5"/>
  <c r="L193" i="5"/>
  <c r="B193" i="5"/>
  <c r="B192" i="5"/>
  <c r="L192" i="5"/>
  <c r="O192" i="5"/>
  <c r="P192" i="5"/>
  <c r="Q192" i="5"/>
  <c r="B191" i="5"/>
  <c r="L191" i="5"/>
  <c r="O191" i="5"/>
  <c r="P191" i="5"/>
  <c r="Q191" i="5"/>
  <c r="B190" i="5"/>
  <c r="L190" i="5"/>
  <c r="O190" i="5"/>
  <c r="P190" i="5"/>
  <c r="Q190" i="5"/>
  <c r="O187" i="5"/>
  <c r="Q189" i="5"/>
  <c r="P189" i="5"/>
  <c r="O189" i="5"/>
  <c r="L189" i="5"/>
  <c r="B189" i="5"/>
  <c r="Q188" i="5"/>
  <c r="P188" i="5"/>
  <c r="O188" i="5"/>
  <c r="L188" i="5"/>
  <c r="B188" i="5"/>
  <c r="Q187" i="5"/>
  <c r="P187" i="5"/>
  <c r="L187" i="5"/>
  <c r="B187" i="5"/>
  <c r="Q186" i="5"/>
  <c r="P186" i="5"/>
  <c r="O186" i="5"/>
  <c r="L186" i="5"/>
  <c r="B186" i="5"/>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B165" i="5"/>
  <c r="B166" i="5"/>
  <c r="B167" i="5"/>
  <c r="B169" i="5"/>
  <c r="B170" i="5"/>
  <c r="B171" i="5"/>
  <c r="B172" i="5"/>
  <c r="B173" i="5"/>
  <c r="B174" i="5"/>
  <c r="B175" i="5"/>
  <c r="B176" i="5"/>
  <c r="B177" i="5"/>
  <c r="B178" i="5"/>
  <c r="B179" i="5"/>
  <c r="B180" i="5"/>
  <c r="B181" i="5"/>
  <c r="B182" i="5"/>
  <c r="B183" i="5"/>
  <c r="B184" i="5"/>
  <c r="B185" i="5"/>
  <c r="O185" i="5"/>
  <c r="P185" i="5"/>
  <c r="Q185" i="5"/>
  <c r="Q181" i="5"/>
  <c r="P181" i="5"/>
  <c r="O181" i="5"/>
  <c r="O182" i="5"/>
  <c r="P182" i="5"/>
  <c r="Q182" i="5"/>
  <c r="O183" i="5"/>
  <c r="P183" i="5"/>
  <c r="Q183" i="5"/>
  <c r="Q184" i="5"/>
  <c r="P184" i="5"/>
  <c r="O184" i="5"/>
  <c r="Q180" i="5"/>
  <c r="P180" i="5"/>
  <c r="O180" i="5"/>
  <c r="Q179" i="5"/>
  <c r="P179" i="5"/>
  <c r="O179" i="5"/>
  <c r="Q178" i="5"/>
  <c r="P178" i="5"/>
  <c r="O178" i="5"/>
  <c r="Q177" i="5"/>
  <c r="P177" i="5"/>
  <c r="O177" i="5"/>
  <c r="O176" i="5"/>
  <c r="P176" i="5"/>
  <c r="Q176" i="5"/>
  <c r="Q175" i="5"/>
  <c r="P175" i="5"/>
  <c r="O175" i="5"/>
  <c r="Q174" i="5"/>
  <c r="P174" i="5"/>
  <c r="O174" i="5"/>
  <c r="Q173" i="5"/>
  <c r="P173" i="5"/>
  <c r="Q172" i="5"/>
  <c r="Q171" i="5"/>
  <c r="P171" i="5"/>
  <c r="O171" i="5"/>
  <c r="O170" i="5"/>
  <c r="P170" i="5"/>
  <c r="Q170" i="5"/>
  <c r="O169" i="5"/>
  <c r="P169" i="5"/>
  <c r="Q169" i="5"/>
  <c r="A168" i="5"/>
  <c r="B168" i="5" s="1"/>
  <c r="O168" i="5"/>
  <c r="P168" i="5"/>
  <c r="Q168"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O167" i="5"/>
  <c r="O166" i="5"/>
  <c r="P167" i="5"/>
  <c r="P166" i="5"/>
  <c r="O165" i="5"/>
  <c r="P165" i="5"/>
  <c r="A2" i="5"/>
  <c r="B2" i="5" s="1"/>
  <c r="A3" i="5"/>
  <c r="B3" i="5" s="1"/>
  <c r="A4" i="5"/>
  <c r="B4" i="5" s="1"/>
  <c r="A5" i="5"/>
  <c r="B5" i="5" s="1"/>
  <c r="A6" i="5"/>
  <c r="B6" i="5" s="1"/>
  <c r="A7" i="5"/>
  <c r="B7" i="5" s="1"/>
  <c r="A8" i="5"/>
  <c r="B8" i="5" s="1"/>
  <c r="A9" i="5"/>
  <c r="B9" i="5" s="1"/>
  <c r="A10" i="5"/>
  <c r="B10" i="5" s="1"/>
  <c r="A11" i="5"/>
  <c r="B11" i="5" s="1"/>
  <c r="A12" i="5"/>
  <c r="B12" i="5" s="1"/>
  <c r="A13" i="5"/>
  <c r="B13" i="5" s="1"/>
  <c r="A14" i="5"/>
  <c r="B14" i="5" s="1"/>
  <c r="A15" i="5"/>
  <c r="B15" i="5" s="1"/>
  <c r="A16" i="5"/>
  <c r="B16" i="5" s="1"/>
  <c r="A17" i="5"/>
  <c r="B17" i="5" s="1"/>
  <c r="A18" i="5"/>
  <c r="B18" i="5" s="1"/>
  <c r="A19" i="5"/>
  <c r="B19" i="5" s="1"/>
  <c r="A20" i="5"/>
  <c r="B20" i="5" s="1"/>
  <c r="A21" i="5"/>
  <c r="B21" i="5" s="1"/>
  <c r="A22" i="5"/>
  <c r="B22" i="5" s="1"/>
  <c r="A23" i="5"/>
  <c r="B23" i="5" s="1"/>
  <c r="A24" i="5"/>
  <c r="B24" i="5" s="1"/>
  <c r="A25" i="5"/>
  <c r="B25" i="5" s="1"/>
  <c r="A26" i="5"/>
  <c r="B26" i="5" s="1"/>
  <c r="A27" i="5"/>
  <c r="B27" i="5" s="1"/>
  <c r="A28" i="5"/>
  <c r="B28" i="5" s="1"/>
  <c r="A29" i="5"/>
  <c r="B29" i="5" s="1"/>
  <c r="A30" i="5"/>
  <c r="B30" i="5" s="1"/>
  <c r="A31" i="5"/>
  <c r="B31" i="5" s="1"/>
  <c r="A32" i="5"/>
  <c r="B32" i="5" s="1"/>
  <c r="A33" i="5"/>
  <c r="B33" i="5" s="1"/>
  <c r="A34" i="5"/>
  <c r="B34" i="5" s="1"/>
  <c r="A35" i="5"/>
  <c r="B35" i="5" s="1"/>
  <c r="A36" i="5"/>
  <c r="B36" i="5" s="1"/>
  <c r="A37" i="5"/>
  <c r="B37" i="5" s="1"/>
  <c r="A38" i="5"/>
  <c r="B38" i="5" s="1"/>
  <c r="A39" i="5"/>
  <c r="B39" i="5" s="1"/>
  <c r="A40" i="5"/>
  <c r="B40" i="5" s="1"/>
  <c r="A41" i="5"/>
  <c r="B41" i="5" s="1"/>
  <c r="A42" i="5"/>
  <c r="B42" i="5" s="1"/>
  <c r="A43" i="5"/>
  <c r="B43" i="5" s="1"/>
  <c r="A44" i="5"/>
  <c r="B44" i="5" s="1"/>
  <c r="A45" i="5"/>
  <c r="B45" i="5" s="1"/>
  <c r="A46" i="5"/>
  <c r="B46" i="5" s="1"/>
  <c r="A47" i="5"/>
  <c r="B47" i="5" s="1"/>
  <c r="A48" i="5"/>
  <c r="B48" i="5" s="1"/>
  <c r="A49" i="5"/>
  <c r="B49" i="5" s="1"/>
  <c r="A50" i="5"/>
  <c r="B50" i="5" s="1"/>
  <c r="A51" i="5"/>
  <c r="B51" i="5" s="1"/>
  <c r="A52" i="5"/>
  <c r="B52" i="5" s="1"/>
  <c r="A53" i="5"/>
  <c r="B53" i="5" s="1"/>
  <c r="A54" i="5"/>
  <c r="B54" i="5" s="1"/>
  <c r="A55" i="5"/>
  <c r="B55" i="5" s="1"/>
  <c r="A56" i="5"/>
  <c r="B56" i="5" s="1"/>
  <c r="A57" i="5"/>
  <c r="B57" i="5" s="1"/>
  <c r="A58" i="5"/>
  <c r="B58" i="5" s="1"/>
  <c r="A59" i="5"/>
  <c r="B59" i="5" s="1"/>
  <c r="A60" i="5"/>
  <c r="B60" i="5" s="1"/>
  <c r="A61" i="5"/>
  <c r="B61" i="5" s="1"/>
  <c r="A62" i="5"/>
  <c r="B62" i="5" s="1"/>
  <c r="A63" i="5"/>
  <c r="B63" i="5" s="1"/>
  <c r="A64" i="5"/>
  <c r="B64" i="5" s="1"/>
  <c r="A65" i="5"/>
  <c r="B65" i="5" s="1"/>
  <c r="A66" i="5"/>
  <c r="B66" i="5" s="1"/>
  <c r="A67" i="5"/>
  <c r="B67" i="5" s="1"/>
  <c r="A68" i="5"/>
  <c r="B68" i="5" s="1"/>
  <c r="A69" i="5"/>
  <c r="B69" i="5" s="1"/>
  <c r="A70" i="5"/>
  <c r="B70" i="5" s="1"/>
  <c r="A71" i="5"/>
  <c r="B71" i="5" s="1"/>
  <c r="A72" i="5"/>
  <c r="B72" i="5" s="1"/>
  <c r="A73" i="5"/>
  <c r="B73" i="5" s="1"/>
  <c r="A74" i="5"/>
  <c r="B74" i="5" s="1"/>
  <c r="A75" i="5"/>
  <c r="B75" i="5" s="1"/>
  <c r="A76" i="5"/>
  <c r="B76" i="5" s="1"/>
  <c r="A77" i="5"/>
  <c r="B77" i="5" s="1"/>
  <c r="A78" i="5"/>
  <c r="B78" i="5" s="1"/>
  <c r="A79" i="5"/>
  <c r="B79" i="5" s="1"/>
  <c r="A80" i="5"/>
  <c r="B80" i="5" s="1"/>
  <c r="A81" i="5"/>
  <c r="B81" i="5" s="1"/>
  <c r="A82" i="5"/>
  <c r="B82" i="5" s="1"/>
  <c r="A83" i="5"/>
  <c r="B83" i="5" s="1"/>
  <c r="A84" i="5"/>
  <c r="B84" i="5" s="1"/>
  <c r="A85" i="5"/>
  <c r="B85" i="5" s="1"/>
  <c r="A86" i="5"/>
  <c r="B86" i="5" s="1"/>
  <c r="A87" i="5"/>
  <c r="B87" i="5" s="1"/>
  <c r="A88" i="5"/>
  <c r="B88" i="5" s="1"/>
  <c r="A89" i="5"/>
  <c r="B89" i="5" s="1"/>
  <c r="A90" i="5"/>
  <c r="B90" i="5" s="1"/>
  <c r="A91" i="5"/>
  <c r="B91" i="5" s="1"/>
  <c r="A92" i="5"/>
  <c r="B92" i="5" s="1"/>
  <c r="A93" i="5"/>
  <c r="B93" i="5" s="1"/>
  <c r="A94" i="5"/>
  <c r="B94" i="5" s="1"/>
  <c r="A95" i="5"/>
  <c r="B95" i="5" s="1"/>
  <c r="A96" i="5"/>
  <c r="B96" i="5" s="1"/>
  <c r="A97" i="5"/>
  <c r="B97" i="5" s="1"/>
  <c r="A98" i="5"/>
  <c r="B98" i="5" s="1"/>
  <c r="A99" i="5"/>
  <c r="B99" i="5" s="1"/>
  <c r="A100" i="5"/>
  <c r="B100" i="5" s="1"/>
  <c r="A101" i="5"/>
  <c r="B101" i="5" s="1"/>
  <c r="A102" i="5"/>
  <c r="B102" i="5" s="1"/>
  <c r="A103" i="5"/>
  <c r="B103" i="5" s="1"/>
  <c r="A104" i="5"/>
  <c r="B104" i="5" s="1"/>
  <c r="A105" i="5"/>
  <c r="B105" i="5" s="1"/>
  <c r="A106" i="5"/>
  <c r="B106" i="5" s="1"/>
  <c r="A107" i="5"/>
  <c r="B107" i="5" s="1"/>
  <c r="A108" i="5"/>
  <c r="B108" i="5" s="1"/>
  <c r="A109" i="5"/>
  <c r="B109" i="5" s="1"/>
  <c r="A110" i="5"/>
  <c r="B110" i="5" s="1"/>
  <c r="A111" i="5"/>
  <c r="B111" i="5" s="1"/>
  <c r="A112" i="5"/>
  <c r="B112" i="5" s="1"/>
  <c r="A113" i="5"/>
  <c r="B113" i="5" s="1"/>
  <c r="A114" i="5"/>
  <c r="B114" i="5" s="1"/>
  <c r="A115" i="5"/>
  <c r="B115" i="5" s="1"/>
  <c r="A116" i="5"/>
  <c r="B116" i="5" s="1"/>
  <c r="A117" i="5"/>
  <c r="B117" i="5" s="1"/>
  <c r="A118" i="5"/>
  <c r="B118" i="5" s="1"/>
  <c r="A119" i="5"/>
  <c r="B119" i="5" s="1"/>
  <c r="A120" i="5"/>
  <c r="B120" i="5" s="1"/>
  <c r="A121" i="5"/>
  <c r="B121" i="5" s="1"/>
  <c r="A122" i="5"/>
  <c r="B122" i="5" s="1"/>
  <c r="A123" i="5"/>
  <c r="B123" i="5" s="1"/>
  <c r="A124" i="5"/>
  <c r="B124" i="5" s="1"/>
  <c r="A125" i="5"/>
  <c r="B125" i="5" s="1"/>
  <c r="A126" i="5"/>
  <c r="B126" i="5" s="1"/>
  <c r="A127" i="5"/>
  <c r="B127" i="5" s="1"/>
  <c r="A128" i="5"/>
  <c r="B128" i="5" s="1"/>
  <c r="A129" i="5"/>
  <c r="B129" i="5" s="1"/>
  <c r="A130" i="5"/>
  <c r="B130" i="5" s="1"/>
  <c r="A131" i="5"/>
  <c r="B131" i="5" s="1"/>
  <c r="A132" i="5"/>
  <c r="B132" i="5" s="1"/>
  <c r="A133" i="5"/>
  <c r="B133" i="5" s="1"/>
  <c r="A134" i="5"/>
  <c r="B134" i="5" s="1"/>
  <c r="A135" i="5"/>
  <c r="B135" i="5" s="1"/>
  <c r="A136" i="5"/>
  <c r="B136" i="5" s="1"/>
  <c r="A137" i="5"/>
  <c r="B137" i="5" s="1"/>
  <c r="A138" i="5"/>
  <c r="B138" i="5" s="1"/>
  <c r="A139" i="5"/>
  <c r="B139" i="5" s="1"/>
  <c r="A140" i="5"/>
  <c r="B140" i="5" s="1"/>
  <c r="A141" i="5"/>
  <c r="B141" i="5" s="1"/>
  <c r="A142" i="5"/>
  <c r="B142" i="5" s="1"/>
  <c r="A143" i="5"/>
  <c r="B143" i="5" s="1"/>
  <c r="A144" i="5"/>
  <c r="B144" i="5" s="1"/>
  <c r="A145" i="5"/>
  <c r="B145" i="5" s="1"/>
  <c r="A146" i="5"/>
  <c r="B146" i="5" s="1"/>
  <c r="A147" i="5"/>
  <c r="B147" i="5" s="1"/>
  <c r="A148" i="5"/>
  <c r="B148" i="5" s="1"/>
  <c r="A149" i="5"/>
  <c r="B149" i="5" s="1"/>
  <c r="A150" i="5"/>
  <c r="B150" i="5" s="1"/>
  <c r="A151" i="5"/>
  <c r="B151" i="5" s="1"/>
  <c r="A152" i="5"/>
  <c r="B152" i="5" s="1"/>
  <c r="A153" i="5"/>
  <c r="B153" i="5" s="1"/>
  <c r="A154" i="5"/>
  <c r="B154" i="5" s="1"/>
  <c r="A155" i="5"/>
  <c r="B155" i="5" s="1"/>
  <c r="A156" i="5"/>
  <c r="B156" i="5" s="1"/>
  <c r="A157" i="5"/>
  <c r="B157" i="5" s="1"/>
  <c r="A158" i="5"/>
  <c r="B158" i="5" s="1"/>
  <c r="A159" i="5"/>
  <c r="B159" i="5" s="1"/>
  <c r="A160" i="5"/>
  <c r="B160" i="5" s="1"/>
  <c r="A161" i="5"/>
  <c r="B161" i="5" s="1"/>
  <c r="A162" i="5"/>
  <c r="B162" i="5" s="1"/>
  <c r="A163" i="5"/>
  <c r="B163" i="5" s="1"/>
  <c r="A164" i="5"/>
  <c r="B164" i="5" s="1"/>
  <c r="M5" i="16"/>
  <c r="M6" i="16"/>
  <c r="M7" i="16"/>
  <c r="M8" i="16"/>
  <c r="M9" i="16"/>
  <c r="M10" i="16"/>
  <c r="M11" i="16"/>
  <c r="M12" i="16"/>
  <c r="M13" i="16"/>
  <c r="M14" i="16"/>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L6" i="16"/>
  <c r="L7" i="16"/>
  <c r="L8" i="16"/>
  <c r="L9" i="16"/>
  <c r="L10" i="16"/>
  <c r="L11" i="16"/>
  <c r="L12" i="16"/>
  <c r="L13" i="16"/>
  <c r="L14" i="16"/>
  <c r="L5" i="16"/>
  <c r="M31" i="16"/>
  <c r="AG39" i="16"/>
  <c r="C16" i="16"/>
  <c r="C19" i="16"/>
  <c r="B72" i="16"/>
  <c r="C11" i="16"/>
  <c r="AF39" i="16"/>
  <c r="C71" i="16"/>
  <c r="M16" i="16"/>
  <c r="AB39" i="16"/>
  <c r="AH39" i="16"/>
  <c r="AD39" i="16"/>
  <c r="C17" i="16"/>
  <c r="M30" i="16"/>
  <c r="C72" i="16"/>
  <c r="C74" i="16"/>
  <c r="C21" i="16"/>
  <c r="C73" i="16"/>
  <c r="B71" i="16"/>
  <c r="M36" i="16"/>
  <c r="B69" i="16"/>
  <c r="AC39" i="16"/>
  <c r="B70" i="16"/>
  <c r="C69" i="16"/>
  <c r="C70" i="16"/>
  <c r="AE39" i="16"/>
  <c r="B73" i="16"/>
  <c r="C15" i="16"/>
  <c r="C20" i="16"/>
  <c r="M34" i="16"/>
  <c r="M33" i="16"/>
  <c r="M35" i="16"/>
  <c r="C18" i="16"/>
  <c r="M32" i="16"/>
  <c r="B74" i="16"/>
  <c r="M15" i="16" l="1"/>
  <c r="B15" i="16"/>
  <c r="B16" i="16"/>
  <c r="B17" i="16"/>
  <c r="B18" i="16"/>
  <c r="B19" i="16"/>
  <c r="B20" i="16"/>
  <c r="AB4" i="16"/>
  <c r="AB3" i="16"/>
  <c r="AB27" i="16"/>
  <c r="AB2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Frédéric Malharin</author>
  </authors>
  <commentList>
    <comment ref="O1" authorId="0" shapeId="0" xr:uid="{EDF05FA9-2004-42EF-9473-876A07276875}">
      <text>
        <r>
          <rPr>
            <b/>
            <sz val="11"/>
            <color indexed="81"/>
            <rFont val="Tahoma"/>
            <family val="2"/>
          </rPr>
          <t>Frédéric Malharin:</t>
        </r>
        <r>
          <rPr>
            <sz val="11"/>
            <color indexed="81"/>
            <rFont val="Tahoma"/>
            <family val="2"/>
          </rPr>
          <t xml:space="preserve">
These tables are here to help the data model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Sport climbing data and dashboard.xlsx!GRADES" type="102" refreshedVersion="8" minRefreshableVersion="5">
    <extLst>
      <ext xmlns:x15="http://schemas.microsoft.com/office/spreadsheetml/2010/11/main" uri="{DE250136-89BD-433C-8126-D09CA5730AF9}">
        <x15:connection id="GRADES">
          <x15:rangePr sourceName="_xlcn.WorksheetConnection_Sportclimbingdataanddashboard.xlsxGRADES1"/>
        </x15:connection>
      </ext>
    </extLst>
  </connection>
  <connection id="3" xr16:uid="{00000000-0015-0000-FFFF-FFFF02000000}" name="WorksheetConnection_Sport climbing data and dashboard.xlsx!MONTHS" type="102" refreshedVersion="8" minRefreshableVersion="5">
    <extLst>
      <ext xmlns:x15="http://schemas.microsoft.com/office/spreadsheetml/2010/11/main" uri="{DE250136-89BD-433C-8126-D09CA5730AF9}">
        <x15:connection id="MONTHS">
          <x15:rangePr sourceName="_xlcn.WorksheetConnection_Sportclimbingdataanddashboard.xlsxMONTHS1"/>
        </x15:connection>
      </ext>
    </extLst>
  </connection>
  <connection id="4" xr16:uid="{00000000-0015-0000-FFFF-FFFF03000000}" name="WorksheetConnection_Sport climbing data and dashboard.xlsx!SportClimbing" type="102" refreshedVersion="8" minRefreshableVersion="5">
    <extLst>
      <ext xmlns:x15="http://schemas.microsoft.com/office/spreadsheetml/2010/11/main" uri="{DE250136-89BD-433C-8126-D09CA5730AF9}">
        <x15:connection id="SportClimbing" autoDelete="1">
          <x15:rangePr sourceName="_xlcn.WorksheetConnection_Sportclimbingdataanddashboard.xlsxSportClimbing1"/>
        </x15:connection>
      </ext>
    </extLst>
  </connection>
  <connection id="5" xr16:uid="{00000000-0015-0000-FFFF-FFFF04000000}" name="WorksheetConnection_Sport climbing data and dashboard.xlsx!Years" type="102" refreshedVersion="8" minRefreshableVersion="5">
    <extLst>
      <ext xmlns:x15="http://schemas.microsoft.com/office/spreadsheetml/2010/11/main" uri="{DE250136-89BD-433C-8126-D09CA5730AF9}">
        <x15:connection id="Years">
          <x15:rangePr sourceName="_xlcn.WorksheetConnection_Sportclimbingdataanddashboard.xlsxYears1"/>
        </x15:connection>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SportClimbing].[Date_filter].&amp;[True]}"/>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<sst xmlns="http://schemas.openxmlformats.org/spreadsheetml/2006/main" count="1923" uniqueCount="528">
  <si>
    <t>Gauche</t>
  </si>
  <si>
    <t>Roc d'Anglars</t>
  </si>
  <si>
    <t>Mégaboule</t>
  </si>
  <si>
    <t>7a</t>
  </si>
  <si>
    <t>Révélations</t>
  </si>
  <si>
    <t>Clin d'oeil à la Lune</t>
  </si>
  <si>
    <t>Thomas Bur</t>
  </si>
  <si>
    <t>Sex Machine</t>
  </si>
  <si>
    <t>Gorges de la Cesse</t>
  </si>
  <si>
    <t>Cassiopée</t>
  </si>
  <si>
    <t>Guhlm</t>
  </si>
  <si>
    <t>flash</t>
  </si>
  <si>
    <t>Carol</t>
  </si>
  <si>
    <t>Teddy</t>
  </si>
  <si>
    <t>Lola</t>
  </si>
  <si>
    <t>Rodellar</t>
  </si>
  <si>
    <t>Pared de la Virgen</t>
  </si>
  <si>
    <t>Shyamal</t>
  </si>
  <si>
    <t>Roc de la Lluna</t>
  </si>
  <si>
    <t>Sud</t>
  </si>
  <si>
    <t>De socials un 10</t>
  </si>
  <si>
    <t>7a+</t>
  </si>
  <si>
    <t>Gelida</t>
  </si>
  <si>
    <t>Centre</t>
  </si>
  <si>
    <t>David Valls</t>
  </si>
  <si>
    <t>Garraf</t>
  </si>
  <si>
    <t>Mala Dona</t>
  </si>
  <si>
    <t>Pasaba por aquí</t>
  </si>
  <si>
    <t>KA NO</t>
  </si>
  <si>
    <t>7b</t>
  </si>
  <si>
    <t>Amor suprem</t>
  </si>
  <si>
    <t>Neska polita</t>
  </si>
  <si>
    <t>7b+</t>
  </si>
  <si>
    <t>nº28</t>
  </si>
  <si>
    <t>Andres Villarroel</t>
  </si>
  <si>
    <t>nº26</t>
  </si>
  <si>
    <t>Xapes Negres</t>
  </si>
  <si>
    <t>Marc Ros</t>
  </si>
  <si>
    <t>Dave</t>
  </si>
  <si>
    <t>Dos peluts i un destí</t>
  </si>
  <si>
    <t>Merda de la serra</t>
  </si>
  <si>
    <t>Simply Extrem</t>
  </si>
  <si>
    <t>Las Garretes del Garraf</t>
  </si>
  <si>
    <t>Siurana</t>
  </si>
  <si>
    <t>L'aparador</t>
  </si>
  <si>
    <t>Brigadistak</t>
  </si>
  <si>
    <t>Lo dejé to blanco</t>
  </si>
  <si>
    <t>Calma Tensa</t>
  </si>
  <si>
    <t>Imperatriz Esmeralda</t>
  </si>
  <si>
    <t>Font Soleia</t>
  </si>
  <si>
    <t>Paret Gran</t>
  </si>
  <si>
    <t>Súbete a mi piel</t>
  </si>
  <si>
    <t>Daniel Perez</t>
  </si>
  <si>
    <t>Henry</t>
  </si>
  <si>
    <t>Garroma</t>
  </si>
  <si>
    <t>El Callejón</t>
  </si>
  <si>
    <t>Good feeling</t>
  </si>
  <si>
    <t>Cova de l'Arcada</t>
  </si>
  <si>
    <t>Juan y Fran se nos van</t>
  </si>
  <si>
    <t>Las ventanas</t>
  </si>
  <si>
    <t>Viagraman</t>
  </si>
  <si>
    <t>El Pati</t>
  </si>
  <si>
    <t>Sugopy</t>
  </si>
  <si>
    <t>Esperó Primavera</t>
  </si>
  <si>
    <t>Se m'apaga la baldufa</t>
  </si>
  <si>
    <t>Performance</t>
  </si>
  <si>
    <t>El Gruyere</t>
  </si>
  <si>
    <t>Requiem</t>
  </si>
  <si>
    <t>Margalef</t>
  </si>
  <si>
    <t>7c</t>
  </si>
  <si>
    <t>Montserrat norte</t>
  </si>
  <si>
    <t>Montserrat sur</t>
  </si>
  <si>
    <t>Collegats</t>
  </si>
  <si>
    <t>Fleck</t>
  </si>
  <si>
    <t>La Pedrera</t>
  </si>
  <si>
    <t>Crit de Panic</t>
  </si>
  <si>
    <t>Sadernes</t>
  </si>
  <si>
    <t>Mallorca</t>
  </si>
  <si>
    <t>Cala Sa Nau</t>
  </si>
  <si>
    <t>Cala Mitjana</t>
  </si>
  <si>
    <t>Balsa Boys</t>
  </si>
  <si>
    <t>Rich Bitch</t>
  </si>
  <si>
    <t>Attack of the Spindly Killer Fish</t>
  </si>
  <si>
    <t>water solo</t>
  </si>
  <si>
    <t>Brego</t>
  </si>
  <si>
    <t>Cetaci</t>
  </si>
  <si>
    <t>Cova dels Bombers</t>
  </si>
  <si>
    <t>Hervé</t>
  </si>
  <si>
    <t>Josuai Lama</t>
  </si>
  <si>
    <t>Tieme</t>
  </si>
  <si>
    <t>Beso de Cobra</t>
  </si>
  <si>
    <t>Siuranella Este</t>
  </si>
  <si>
    <t>Cova del Bisbe</t>
  </si>
  <si>
    <t>L'Herbolari</t>
  </si>
  <si>
    <t>El Cargol</t>
  </si>
  <si>
    <t>Jeketepeke</t>
  </si>
  <si>
    <t>Cojón prieto</t>
  </si>
  <si>
    <t>La panxa del bou</t>
  </si>
  <si>
    <t>Rauxa</t>
  </si>
  <si>
    <t>Huir para vivir</t>
  </si>
  <si>
    <t>Grau dels matxos</t>
  </si>
  <si>
    <t>Cingles</t>
  </si>
  <si>
    <t>Piano Piano</t>
  </si>
  <si>
    <t>No ho sé</t>
  </si>
  <si>
    <t>Angel</t>
  </si>
  <si>
    <t>Arbolí</t>
  </si>
  <si>
    <t>Can Gans Dionis</t>
  </si>
  <si>
    <t>Prendre la tête</t>
  </si>
  <si>
    <t>No m'enganyis mes</t>
  </si>
  <si>
    <t>Little Ted</t>
  </si>
  <si>
    <t>El Dard</t>
  </si>
  <si>
    <t>Pelu</t>
  </si>
  <si>
    <t>Mystiflower</t>
  </si>
  <si>
    <t>Mr Krek</t>
  </si>
  <si>
    <t>El Falcó</t>
  </si>
  <si>
    <t>El Salt de la Reina Mora</t>
  </si>
  <si>
    <t>Anys Bionics</t>
  </si>
  <si>
    <t>Can Simiro</t>
  </si>
  <si>
    <t>Manara Clic</t>
  </si>
  <si>
    <t>Fotut Futur</t>
  </si>
  <si>
    <t>Lena</t>
  </si>
  <si>
    <t>Megatrix</t>
  </si>
  <si>
    <t>Karla Mexicana</t>
  </si>
  <si>
    <t>Can Paulet</t>
  </si>
  <si>
    <t>Esquerra</t>
  </si>
  <si>
    <t>Qui s'ha mort</t>
  </si>
  <si>
    <t>Chulilla</t>
  </si>
  <si>
    <t>Sex shop</t>
  </si>
  <si>
    <t>Chorreras</t>
  </si>
  <si>
    <t>Oasis</t>
  </si>
  <si>
    <t>onsight</t>
  </si>
  <si>
    <t>Yoel</t>
  </si>
  <si>
    <t>Guy</t>
  </si>
  <si>
    <t>Gustavo</t>
  </si>
  <si>
    <t>Dale duro negro</t>
  </si>
  <si>
    <t>Los caminantes</t>
  </si>
  <si>
    <t>Day</t>
  </si>
  <si>
    <t>Month</t>
  </si>
  <si>
    <t>Year</t>
  </si>
  <si>
    <t>Route name</t>
  </si>
  <si>
    <t>Grade</t>
  </si>
  <si>
    <t>Crag</t>
  </si>
  <si>
    <t>Sector</t>
  </si>
  <si>
    <t>Height (m)</t>
  </si>
  <si>
    <t>Belayer</t>
  </si>
  <si>
    <t>Total number of tries</t>
  </si>
  <si>
    <t>Patrick</t>
  </si>
  <si>
    <t>Byron</t>
  </si>
  <si>
    <t>Juan</t>
  </si>
  <si>
    <t>Will</t>
  </si>
  <si>
    <t>Martyn</t>
  </si>
  <si>
    <t>Jan</t>
  </si>
  <si>
    <t>Feb</t>
  </si>
  <si>
    <t>March</t>
  </si>
  <si>
    <t>April</t>
  </si>
  <si>
    <t>May</t>
  </si>
  <si>
    <t>June</t>
  </si>
  <si>
    <t>July</t>
  </si>
  <si>
    <t>Aug</t>
  </si>
  <si>
    <t>Sep</t>
  </si>
  <si>
    <t>Nov</t>
  </si>
  <si>
    <t>Dec</t>
  </si>
  <si>
    <t>Oct</t>
  </si>
  <si>
    <t>7c+</t>
  </si>
  <si>
    <t>Kathy</t>
  </si>
  <si>
    <t>Curriculo vaginal</t>
  </si>
  <si>
    <t>Masters</t>
  </si>
  <si>
    <t>Zikrutiña mientras puedas</t>
  </si>
  <si>
    <t>Fantasía</t>
  </si>
  <si>
    <t>Ulises</t>
  </si>
  <si>
    <t>Ay Mamita</t>
  </si>
  <si>
    <t>Kat</t>
  </si>
  <si>
    <t>Bindelef</t>
  </si>
  <si>
    <t>La Mainadera</t>
  </si>
  <si>
    <t>Baby sitter</t>
  </si>
  <si>
    <t>Cabernet</t>
  </si>
  <si>
    <t>La forum de les postures</t>
  </si>
  <si>
    <t>Mar de fons</t>
  </si>
  <si>
    <t>La mía</t>
  </si>
  <si>
    <t>El Charlatán</t>
  </si>
  <si>
    <t>Culample 4</t>
  </si>
  <si>
    <t>Calendra</t>
  </si>
  <si>
    <t>Ladilla</t>
  </si>
  <si>
    <t>Castell s'Espasa dret</t>
  </si>
  <si>
    <t>El prohibitivo</t>
  </si>
  <si>
    <t>Esgraons al cel</t>
  </si>
  <si>
    <t>Montserrat Sur</t>
  </si>
  <si>
    <t>La Piula</t>
  </si>
  <si>
    <t>Menganos</t>
  </si>
  <si>
    <t>Bisexual</t>
  </si>
  <si>
    <t>Corral nou</t>
  </si>
  <si>
    <t>Bocadillo de calamares en el km 0</t>
  </si>
  <si>
    <t>Salmoneti a contra corrent</t>
  </si>
  <si>
    <t>Herbolari</t>
  </si>
  <si>
    <t>L'Olla</t>
  </si>
  <si>
    <t>Cargol treu banya</t>
  </si>
  <si>
    <t>Fisuterapia</t>
  </si>
  <si>
    <t>Lo més negre</t>
  </si>
  <si>
    <t>Salmo veintitrés</t>
  </si>
  <si>
    <t>Café del mar</t>
  </si>
  <si>
    <t>El Casot</t>
  </si>
  <si>
    <t>Can Codolar</t>
  </si>
  <si>
    <t>Cova de l'os</t>
  </si>
  <si>
    <t>Antonin</t>
  </si>
  <si>
    <t>Jihad</t>
  </si>
  <si>
    <t>La Siberiana</t>
  </si>
  <si>
    <t>Siuranella Centre</t>
  </si>
  <si>
    <t>Tikis Mikis</t>
  </si>
  <si>
    <t>Inti</t>
  </si>
  <si>
    <t>El ultimo poeta</t>
  </si>
  <si>
    <t>Cop de roc</t>
  </si>
  <si>
    <t>Laila</t>
  </si>
  <si>
    <t>Avui si que no m'enganyes</t>
  </si>
  <si>
    <t>page 4</t>
  </si>
  <si>
    <t>page 5</t>
  </si>
  <si>
    <t>No name num 93</t>
  </si>
  <si>
    <t>El Trapella num 90</t>
  </si>
  <si>
    <t>El Drac</t>
  </si>
  <si>
    <t>Gabo</t>
  </si>
  <si>
    <t>Pota de bou</t>
  </si>
  <si>
    <t>page 6</t>
  </si>
  <si>
    <t>ACDC</t>
  </si>
  <si>
    <t>Ca l'Onassis</t>
  </si>
  <si>
    <t>Ni me n'entero</t>
  </si>
  <si>
    <t>Ca la Isabel</t>
  </si>
  <si>
    <t>Bamboleiro</t>
  </si>
  <si>
    <t>Grau dels Masets Baix</t>
  </si>
  <si>
    <t>No hi ha pa per tant xoriço</t>
  </si>
  <si>
    <t>Can Melafots</t>
  </si>
  <si>
    <t>Ca l'Orro</t>
  </si>
  <si>
    <t>Lydia</t>
  </si>
  <si>
    <t>Bernardo</t>
  </si>
  <si>
    <t>Grand Total</t>
  </si>
  <si>
    <t>Row Labels</t>
  </si>
  <si>
    <t>Remulo y romo</t>
  </si>
  <si>
    <t>La Morena de Montsant</t>
  </si>
  <si>
    <t>Pako pintxo</t>
  </si>
  <si>
    <t>Clone Club</t>
  </si>
  <si>
    <t>Grau dels Masets Esquerra</t>
  </si>
  <si>
    <t>La Transformació</t>
  </si>
  <si>
    <t>Alpha</t>
  </si>
  <si>
    <t>Mainada de plafó</t>
  </si>
  <si>
    <t>page 2</t>
  </si>
  <si>
    <t>page 3</t>
  </si>
  <si>
    <t>?</t>
  </si>
  <si>
    <t>No pasarán</t>
  </si>
  <si>
    <t>Semen up</t>
  </si>
  <si>
    <t>Daniel Taupin</t>
  </si>
  <si>
    <t>Tsunami</t>
  </si>
  <si>
    <t>El Nas</t>
  </si>
  <si>
    <t>El Sunyer</t>
  </si>
  <si>
    <t>Bous i Esquellets</t>
  </si>
  <si>
    <t>Sean</t>
  </si>
  <si>
    <t>Las orelles del llop</t>
  </si>
  <si>
    <t>Emboirats</t>
  </si>
  <si>
    <t>Tiramilles</t>
  </si>
  <si>
    <t>Cala Varques - Metrosexual</t>
  </si>
  <si>
    <t>Sac de Gemecs</t>
  </si>
  <si>
    <t>Desvariant</t>
  </si>
  <si>
    <t>Ventolera Cosmica</t>
  </si>
  <si>
    <t>Country</t>
  </si>
  <si>
    <t>France</t>
  </si>
  <si>
    <t>Spain</t>
  </si>
  <si>
    <t>Donald</t>
  </si>
  <si>
    <t>Muro de lamentaciones</t>
  </si>
  <si>
    <t>Penyes Aragonesas (Castellón)</t>
  </si>
  <si>
    <t>LSD</t>
  </si>
  <si>
    <t>Dumbo love</t>
  </si>
  <si>
    <t>Blue agave</t>
  </si>
  <si>
    <t>El Magnate del tomate</t>
  </si>
  <si>
    <t>Tierra de Nadie</t>
  </si>
  <si>
    <t>La ciudad perdida de Muchapicha</t>
  </si>
  <si>
    <t>SPUF</t>
  </si>
  <si>
    <t>Portugal</t>
  </si>
  <si>
    <t>Fenda de Arrabida</t>
  </si>
  <si>
    <t>Carallon</t>
  </si>
  <si>
    <t>Vittorio</t>
  </si>
  <si>
    <t>Revelhao</t>
  </si>
  <si>
    <t>Atlantida</t>
  </si>
  <si>
    <t>Gaivotas</t>
  </si>
  <si>
    <t>Alexandre Marques</t>
  </si>
  <si>
    <t>Cavallers</t>
  </si>
  <si>
    <t>Kaos</t>
  </si>
  <si>
    <t>L'Obaga del Falcó</t>
  </si>
  <si>
    <t>L'Obaga</t>
  </si>
  <si>
    <t>Arseniac</t>
  </si>
  <si>
    <t>Le Fayet</t>
  </si>
  <si>
    <t>Thermes</t>
  </si>
  <si>
    <t>Kati Golovina</t>
  </si>
  <si>
    <t>Le Coupeau</t>
  </si>
  <si>
    <t>Chris Knight</t>
  </si>
  <si>
    <t>La Haine</t>
  </si>
  <si>
    <t>Left</t>
  </si>
  <si>
    <t>Right</t>
  </si>
  <si>
    <t>Doigts de fée pour un cœur de lion</t>
  </si>
  <si>
    <t>L'âge de cristal</t>
  </si>
  <si>
    <t>Combat des chefs</t>
  </si>
  <si>
    <t>Plan Plan</t>
  </si>
  <si>
    <t>Austria</t>
  </si>
  <si>
    <t>Maracuja</t>
  </si>
  <si>
    <t>Zillertal - Ewige Jagdgründe</t>
  </si>
  <si>
    <t>Wam</t>
  </si>
  <si>
    <t>Wig</t>
  </si>
  <si>
    <t xml:space="preserve">Schuh des Manitou </t>
  </si>
  <si>
    <t>Juman</t>
  </si>
  <si>
    <t>It's Easy</t>
  </si>
  <si>
    <t>Martinswand</t>
  </si>
  <si>
    <t>Dschungelbuch Hauptteil</t>
  </si>
  <si>
    <t>Kotitscha</t>
  </si>
  <si>
    <t>Blitzaktion</t>
  </si>
  <si>
    <t>Engelswand</t>
  </si>
  <si>
    <t>Ötztal</t>
  </si>
  <si>
    <t>Blockparty</t>
  </si>
  <si>
    <t>Italy</t>
  </si>
  <si>
    <t>Jugant amb foc</t>
  </si>
  <si>
    <t>Can Toni Gros</t>
  </si>
  <si>
    <t>L'esquitx</t>
  </si>
  <si>
    <t>Kun</t>
  </si>
  <si>
    <t>Mort de gana</t>
  </si>
  <si>
    <t>Enganyapardals</t>
  </si>
  <si>
    <t>Négociée</t>
  </si>
  <si>
    <t>Fumanchu</t>
  </si>
  <si>
    <t>Permagel</t>
  </si>
  <si>
    <t>Marxuquera</t>
  </si>
  <si>
    <t>Natasha</t>
  </si>
  <si>
    <t>Klaus Charfreitag</t>
  </si>
  <si>
    <t>Mikel</t>
  </si>
  <si>
    <t>Y un cacau más</t>
  </si>
  <si>
    <t>Cherales Grande</t>
  </si>
  <si>
    <t>Hijos de Caín</t>
  </si>
  <si>
    <t>Potente</t>
  </si>
  <si>
    <t xml:space="preserve">Wunderbare Welt der Schwerkraft </t>
  </si>
  <si>
    <t>Tibor</t>
  </si>
  <si>
    <t>Wunderbare Welt</t>
  </si>
  <si>
    <t>Berglsteinersee</t>
  </si>
  <si>
    <t>Secret Garden</t>
  </si>
  <si>
    <t>Bold Man</t>
  </si>
  <si>
    <t>Knappenwand</t>
  </si>
  <si>
    <t>Asier</t>
  </si>
  <si>
    <t>Was nicht passt wird passend gemacht</t>
  </si>
  <si>
    <t>Verschneidung links</t>
  </si>
  <si>
    <t>Gebi Crack</t>
  </si>
  <si>
    <t>Astholz</t>
  </si>
  <si>
    <t>Hundepension</t>
  </si>
  <si>
    <t>Dödl up</t>
  </si>
  <si>
    <t>Unterinn</t>
  </si>
  <si>
    <t>10</t>
  </si>
  <si>
    <t>14</t>
  </si>
  <si>
    <t>2</t>
  </si>
  <si>
    <t>3</t>
  </si>
  <si>
    <t>4</t>
  </si>
  <si>
    <t>5</t>
  </si>
  <si>
    <t>6</t>
  </si>
  <si>
    <t>7</t>
  </si>
  <si>
    <t>8</t>
  </si>
  <si>
    <t>YEARS</t>
  </si>
  <si>
    <t>August</t>
  </si>
  <si>
    <t>November</t>
  </si>
  <si>
    <t>December</t>
  </si>
  <si>
    <t>January</t>
  </si>
  <si>
    <t>February</t>
  </si>
  <si>
    <t>September</t>
  </si>
  <si>
    <t>October</t>
  </si>
  <si>
    <t>MONTHS 1</t>
  </si>
  <si>
    <t>MONTHS 2</t>
  </si>
  <si>
    <t>Jul</t>
  </si>
  <si>
    <t>Jun</t>
  </si>
  <si>
    <t>Mar</t>
  </si>
  <si>
    <t>Apr</t>
  </si>
  <si>
    <t>MONTHS 3</t>
  </si>
  <si>
    <t>Chris Awe</t>
  </si>
  <si>
    <t>Ötz</t>
  </si>
  <si>
    <t>Starkenbach</t>
  </si>
  <si>
    <t>Herbstwind</t>
  </si>
  <si>
    <t>Betka</t>
  </si>
  <si>
    <t>Hokus Pokus</t>
  </si>
  <si>
    <t>Tiramisu</t>
  </si>
  <si>
    <t>Türkischer Kaffee</t>
  </si>
  <si>
    <t>Height range (m)</t>
  </si>
  <si>
    <t>Perros</t>
  </si>
  <si>
    <t>Zillertal - Astholz</t>
  </si>
  <si>
    <t>35+</t>
  </si>
  <si>
    <t>12</t>
  </si>
  <si>
    <t>Vecchia Roma</t>
  </si>
  <si>
    <t>Mister Inzing</t>
  </si>
  <si>
    <t>Der keusche Josef aus dem Zillertal</t>
  </si>
  <si>
    <t>Viva die Fichte</t>
  </si>
  <si>
    <t>Die Null im Kondom</t>
  </si>
  <si>
    <t>L'os</t>
  </si>
  <si>
    <t>Glasierte Leiste</t>
  </si>
  <si>
    <t>Germany</t>
  </si>
  <si>
    <t>Bichlersee</t>
  </si>
  <si>
    <t>Nadine</t>
  </si>
  <si>
    <t>Count per grade</t>
  </si>
  <si>
    <t>Count per height</t>
  </si>
  <si>
    <t>Count per belayer</t>
  </si>
  <si>
    <t>Count per year</t>
  </si>
  <si>
    <t>Count per month</t>
  </si>
  <si>
    <t>Count per crag</t>
  </si>
  <si>
    <t>Count per number of attempts</t>
  </si>
  <si>
    <t>Count per country</t>
  </si>
  <si>
    <t>Other crags</t>
  </si>
  <si>
    <t>Dummy value</t>
  </si>
  <si>
    <t>onsight/flash/redpoint</t>
  </si>
  <si>
    <t>redpoint</t>
  </si>
  <si>
    <t>GRADES</t>
  </si>
  <si>
    <t>GRADES &amp; ATTEMPTS</t>
  </si>
  <si>
    <t>Tries num. only excl. outliers</t>
  </si>
  <si>
    <t>CORRELATION HEIGHT / NUMBER OF TRIES</t>
  </si>
  <si>
    <t>Pearson coeff</t>
  </si>
  <si>
    <t>R squared</t>
  </si>
  <si>
    <t>0-10</t>
  </si>
  <si>
    <t>11-15</t>
  </si>
  <si>
    <t>16-20</t>
  </si>
  <si>
    <t>21-25</t>
  </si>
  <si>
    <t>26-30</t>
  </si>
  <si>
    <t>31-35</t>
  </si>
  <si>
    <t>COUNTRIES &amp; PLACES</t>
  </si>
  <si>
    <t>HABITS &amp; PREFERENCES</t>
  </si>
  <si>
    <t>Column Labels</t>
  </si>
  <si>
    <t>Count per Belayer</t>
  </si>
  <si>
    <t>Date</t>
  </si>
  <si>
    <t>Date_filter</t>
  </si>
  <si>
    <t>True</t>
  </si>
  <si>
    <t>% of flash, OS, RP</t>
  </si>
  <si>
    <t>Avg Tries num. only excl. outliers</t>
  </si>
  <si>
    <t>% of flash and OS per grade</t>
  </si>
  <si>
    <t>TIME FEATURES</t>
  </si>
  <si>
    <t>Cols</t>
  </si>
  <si>
    <t>Rows</t>
  </si>
  <si>
    <t>Avg num. tries per grade &amp; height</t>
  </si>
  <si>
    <t>Total</t>
  </si>
  <si>
    <t>Little Lenny</t>
  </si>
  <si>
    <t>Silz</t>
  </si>
  <si>
    <t>Guanacho</t>
  </si>
  <si>
    <t>Christian</t>
  </si>
  <si>
    <t>Sisyphos</t>
  </si>
  <si>
    <t>Grissini Kombo</t>
  </si>
  <si>
    <t>Score</t>
  </si>
  <si>
    <t>8a</t>
  </si>
  <si>
    <t>SCORE</t>
  </si>
  <si>
    <t>Sum of Score</t>
  </si>
  <si>
    <t>GRADE</t>
  </si>
  <si>
    <t>Mei ... was bringts ma?</t>
  </si>
  <si>
    <t>Score per year</t>
  </si>
  <si>
    <t>Miss Easy</t>
  </si>
  <si>
    <t>24</t>
  </si>
  <si>
    <t>Crosta Panic</t>
  </si>
  <si>
    <t>Corta y dura</t>
  </si>
  <si>
    <t>Colze de nena</t>
  </si>
  <si>
    <t>Masriudoms</t>
  </si>
  <si>
    <t>Francesco</t>
  </si>
  <si>
    <t>1</t>
  </si>
  <si>
    <t>Humor de gos</t>
  </si>
  <si>
    <t>Cova d’en Marian</t>
  </si>
  <si>
    <t>La vileta</t>
  </si>
  <si>
    <t>? (left of forn de pa)</t>
  </si>
  <si>
    <t>Lua</t>
  </si>
  <si>
    <t>Menjapendulo</t>
  </si>
  <si>
    <t>Arboli</t>
  </si>
  <si>
    <t>Falcololo</t>
  </si>
  <si>
    <t>Bellini</t>
  </si>
  <si>
    <t>Yun</t>
  </si>
  <si>
    <t>Espadelles extension</t>
  </si>
  <si>
    <t>Guybrush</t>
  </si>
  <si>
    <t>Siuranella Sud</t>
  </si>
  <si>
    <t>Abre los ojos</t>
  </si>
  <si>
    <t>La secallona</t>
  </si>
  <si>
    <t>Arco</t>
  </si>
  <si>
    <t>Chrissi</t>
  </si>
  <si>
    <t>Giardino di Nato</t>
  </si>
  <si>
    <t>Cintura di Orione</t>
  </si>
  <si>
    <t>Bassilandia - Petra margins</t>
  </si>
  <si>
    <t>Lo slancio</t>
  </si>
  <si>
    <t>Sgeve d’autore</t>
  </si>
  <si>
    <t>Hundertwasser</t>
  </si>
  <si>
    <t>CORRELATION DIFFICULTY / NUMBER OF TRIES</t>
  </si>
  <si>
    <t>Bogen</t>
  </si>
  <si>
    <t>Down Under</t>
  </si>
  <si>
    <t>Zillertal -Monkey Island</t>
  </si>
  <si>
    <t>La Vita e Bella</t>
  </si>
  <si>
    <t>Stubentiger</t>
  </si>
  <si>
    <t>Schuppen Flipp</t>
  </si>
  <si>
    <t>Blue Ice</t>
  </si>
  <si>
    <t>Oktan</t>
  </si>
  <si>
    <t>Nirvana</t>
  </si>
  <si>
    <t>Achleiten</t>
  </si>
  <si>
    <t>Hauptsektor links</t>
  </si>
  <si>
    <t>Zeck</t>
  </si>
  <si>
    <t>Glücksgriff</t>
  </si>
  <si>
    <t>Fotznknecht</t>
  </si>
  <si>
    <t>40</t>
  </si>
  <si>
    <t>Luca</t>
  </si>
  <si>
    <t>Ailefroide</t>
  </si>
  <si>
    <t>Gorges du Tarn</t>
  </si>
  <si>
    <t>La gorge</t>
  </si>
  <si>
    <t>El fuego de la muerte</t>
  </si>
  <si>
    <t>Maitre lardon</t>
  </si>
  <si>
    <t>Shadocks</t>
  </si>
  <si>
    <t>Coconut shake</t>
  </si>
  <si>
    <t>Master of puppets</t>
  </si>
  <si>
    <t>Etxauri</t>
  </si>
  <si>
    <t>De que fas aqui?</t>
  </si>
  <si>
    <t>Farniente</t>
  </si>
  <si>
    <t>Kiriako norte</t>
  </si>
  <si>
    <t>Butxiko</t>
  </si>
  <si>
    <t>Gradas de Ciriza central</t>
  </si>
  <si>
    <t>Reve de singe</t>
  </si>
  <si>
    <t>Dent de la Rancune</t>
  </si>
  <si>
    <t>Nord</t>
  </si>
  <si>
    <t>Think Pink</t>
  </si>
  <si>
    <t>Goldstück</t>
  </si>
  <si>
    <t>Jonathan rechts</t>
  </si>
  <si>
    <t>Rammelstein</t>
  </si>
  <si>
    <t>Sautens</t>
  </si>
  <si>
    <t>8a+</t>
  </si>
  <si>
    <t>Cavedine</t>
  </si>
  <si>
    <t>Magnilie di cioccolato</t>
  </si>
  <si>
    <t>Falegnameria</t>
  </si>
  <si>
    <t>Orgasmatic L1</t>
  </si>
  <si>
    <t>Diaframma</t>
  </si>
  <si>
    <t>Claudia</t>
  </si>
  <si>
    <t>Vocheso</t>
  </si>
  <si>
    <t>Adalpreto</t>
  </si>
  <si>
    <t>Castel Madruzzo</t>
  </si>
  <si>
    <t>Papillon extension</t>
  </si>
  <si>
    <t>Madame Roquette</t>
  </si>
  <si>
    <t>Petra Marginis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</si>
</sst>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 &quot;*&quot;"/>
    <numFmt numFmtId="165" formatCode="0.0%"/>
    <numFmt numFmtId="166" formatCode="0.00000"/>
    <numFmt numFmtId="167" formatCode="0.0000"/>
    <numFmt numFmtId="168" formatCode="[$-409]d/mmm/yyyy;@"/>
    <numFmt numFmtId="169" formatCode="0.0"/>
  </numFmts>
  <fonts count="10" x14ac:knownFonts="1">
    <font>
      <sz val="10"/>
      <name val="Arial"/>
      <family val="2"/>
    </font>
    <font>
      <sz val="10"/>
      <color theme="1"/>
      <name val="Arial"/>
      <family val="2"/>
    </font>
    <font>
      <sz val="8"/>
      <name val="Arial"/>
      <family val="2"/>
    </font>
    <font>
      <b/>
      <sz val="10"/>
      <color theme="1"/>
      <name val="Arial"/>
      <family val="2"/>
    </font>
    <font>
      <b/>
      <sz val="10"/>
      <name val="Arial"/>
      <family val="2"/>
    </font>
    <font>
      <b/>
      <sz val="10"/>
      <color theme="0"/>
      <name val="Arial"/>
      <family val="2"/>
    </font>
    <font>
      <b/>
      <sz val="12"/>
      <color theme="0"/>
      <name val="Arial"/>
      <family val="2"/>
    </font>
    <font>
      <sz val="12"/>
      <name val="Arial"/>
      <family val="2"/>
    </font>
    <font>
      <b/>
      <sz val="11"/>
      <color indexed="81"/>
      <name val="Tahoma"/>
      <family val="2"/>
    </font>
    <font>
      <sz val="11"/>
      <color indexed="81"/>
      <name val="Tahoma"/>
      <family val="2"/>
    </font>
  </fonts>
  <fills count="11">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rgb="FF0070C0"/>
        <bgColor indexed="64"/>
      </patternFill>
    </fill>
    <fill>
      <patternFill patternType="solid">
        <fgColor theme="9" tint="-0.249977111117893"/>
        <bgColor indexed="64"/>
      </patternFill>
    </fill>
    <fill>
      <patternFill patternType="solid">
        <fgColor rgb="FF7030A0"/>
        <bgColor indexed="64"/>
      </patternFill>
    </fill>
    <fill>
      <patternFill patternType="solid">
        <fgColor rgb="FFC00000"/>
        <bgColor indexed="64"/>
      </patternFill>
    </fill>
    <fill>
      <patternFill patternType="solid">
        <fgColor rgb="FF0066FF"/>
        <bgColor indexed="64"/>
      </patternFill>
    </fill>
    <fill>
      <patternFill patternType="solid">
        <fgColor theme="7" tint="0.79998168889431442"/>
        <bgColor theme="4" tint="0.79998168889431442"/>
      </patternFill>
    </fill>
    <fill>
      <patternFill patternType="solid">
        <fgColor rgb="FFFFC000"/>
        <bgColor indexed="64"/>
      </patternFill>
    </fill>
  </fills>
  <borders count="1">
    <border>
      <left/>
      <right/>
      <top/>
      <bottom/>
      <diagonal/>
    </border>
  </borders>
  <cellStyleXfs count="1">
    <xf numFmtId="0" fontId="0" fillId="0" borderId="0"/>
  </cellStyleXfs>
  <cellXfs count="33">
    <xf numFmtId="0" fontId="0" fillId="0" borderId="0" xfId="0"/>
    <xf numFmtId="0" fontId="0" fillId="0" borderId="0" xfId="0" pivotButton="1"/>
    <xf numFmtId="0" fontId="0" fillId="0" borderId="0" xfId="0" applyAlignment="1">
      <alignment horizontal="left"/>
    </xf>
    <xf numFmtId="0" fontId="0" fillId="2" borderId="0" xfId="0" applyFill="1"/>
    <xf numFmtId="164" fontId="0" fillId="0" borderId="0" xfId="0" applyNumberFormat="1" applyAlignment="1">
      <alignment horizontal="left"/>
    </xf>
    <xf numFmtId="0" fontId="3" fillId="3" borderId="0" xfId="0" applyFont="1" applyFill="1"/>
    <xf numFmtId="0" fontId="0" fillId="3" borderId="0" xfId="0" applyFill="1" applyAlignment="1">
      <alignment horizontal="left"/>
    </xf>
    <xf numFmtId="0" fontId="0" fillId="3" borderId="0" xfId="0" applyFill="1"/>
    <xf numFmtId="0" fontId="4" fillId="3" borderId="0" xfId="0" applyFont="1" applyFill="1"/>
    <xf numFmtId="2" fontId="0" fillId="0" borderId="0" xfId="0" applyNumberFormat="1"/>
    <xf numFmtId="165" fontId="0" fillId="0" borderId="0" xfId="0" applyNumberFormat="1"/>
    <xf numFmtId="0" fontId="7" fillId="0" borderId="0" xfId="0" applyFont="1"/>
    <xf numFmtId="166" fontId="0" fillId="0" borderId="0" xfId="0" applyNumberFormat="1"/>
    <xf numFmtId="167" fontId="0" fillId="0" borderId="0" xfId="0" applyNumberFormat="1"/>
    <xf numFmtId="0" fontId="0" fillId="4" borderId="0" xfId="0" applyFill="1"/>
    <xf numFmtId="9" fontId="0" fillId="0" borderId="0" xfId="0" applyNumberFormat="1"/>
    <xf numFmtId="0" fontId="3" fillId="9" borderId="0" xfId="0" applyFont="1" applyFill="1"/>
    <xf numFmtId="9" fontId="0" fillId="3" borderId="0" xfId="0" applyNumberFormat="1" applyFill="1"/>
    <xf numFmtId="14" fontId="0" fillId="0" borderId="0" xfId="0" applyNumberFormat="1"/>
    <xf numFmtId="169" fontId="0" fillId="0" borderId="0" xfId="0" applyNumberFormat="1"/>
    <xf numFmtId="1" fontId="0" fillId="3" borderId="0" xfId="0" applyNumberFormat="1" applyFill="1"/>
    <xf numFmtId="168" fontId="0" fillId="0" borderId="0" xfId="0" applyNumberFormat="1"/>
    <xf numFmtId="168" fontId="1" fillId="0" borderId="0" xfId="0" applyNumberFormat="1" applyFont="1"/>
    <xf numFmtId="0" fontId="1" fillId="0" borderId="0" xfId="0" applyFont="1"/>
    <xf numFmtId="0" fontId="5" fillId="0" borderId="0" xfId="0" applyFont="1"/>
    <xf numFmtId="0" fontId="0" fillId="0" borderId="0" xfId="0" applyAlignment="1">
      <alignment wrapText="1"/>
    </xf>
    <xf numFmtId="0" fontId="0" fillId="0" borderId="0" xfId="0" applyAlignment="1">
      <alignment horizontal="left" indent="1"/>
    </xf>
    <xf numFmtId="0" fontId="6" fillId="8" borderId="0" xfId="0" applyFont="1" applyFill="1" applyAlignment="1">
      <alignment horizontal="center"/>
    </xf>
    <xf numFmtId="0" fontId="6" fillId="5" borderId="0" xfId="0" applyFont="1" applyFill="1" applyAlignment="1">
      <alignment horizontal="center"/>
    </xf>
    <xf numFmtId="0" fontId="6" fillId="6" borderId="0" xfId="0" applyFont="1" applyFill="1" applyAlignment="1">
      <alignment horizontal="center"/>
    </xf>
    <xf numFmtId="0" fontId="6" fillId="4" borderId="0" xfId="0" applyFont="1" applyFill="1" applyAlignment="1">
      <alignment horizontal="center"/>
    </xf>
    <xf numFmtId="0" fontId="6" fillId="7" borderId="0" xfId="0" applyFont="1" applyFill="1" applyAlignment="1">
      <alignment horizontal="center"/>
    </xf>
    <xf numFmtId="0" fontId="6" fillId="10" borderId="0" xfId="0" applyFont="1" applyFill="1" applyAlignment="1">
      <alignment horizontal="center"/>
    </xf>
  </cellXfs>
  <cellStyles count="1">
    <cellStyle name="Normal" xfId="0" builtinId="0"/>
  </cellStyles>
  <dxfs count="31">
    <dxf>
      <numFmt numFmtId="13" formatCode="0%"/>
    </dxf>
    <dxf>
      <numFmt numFmtId="2" formatCode="0.00"/>
    </dxf>
    <dxf>
      <numFmt numFmtId="169" formatCode="0.0"/>
    </dxf>
    <dxf>
      <numFmt numFmtId="165" formatCode="0.0%"/>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168" formatCode="[$-409]d/mmm/yyyy;@"/>
      <fill>
        <patternFill patternType="none">
          <fgColor indexed="64"/>
          <bgColor indexed="65"/>
        </patternFill>
      </fill>
    </dxf>
    <dxf>
      <numFmt numFmtId="168" formatCode="[$-409]d/mmm/yyyy;@"/>
      <fill>
        <patternFill patternType="none">
          <fgColor indexed="64"/>
          <bgColor auto="1"/>
        </patternFill>
      </fill>
    </dxf>
    <dxf>
      <fill>
        <patternFill patternType="none">
          <fgColor indexed="64"/>
          <bgColor auto="1"/>
        </patternFill>
      </fill>
    </dxf>
    <dxf>
      <fill>
        <patternFill patternType="none">
          <fgColor indexed="64"/>
          <bgColor auto="1"/>
        </patternFill>
      </fill>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i val="0"/>
      </font>
    </dxf>
    <dxf>
      <border diagonalUp="0" diagonalDown="0">
        <left style="thin">
          <color rgb="FFDCDC00"/>
        </left>
        <right style="thin">
          <color rgb="FFDCDC00"/>
        </right>
        <top style="thin">
          <color rgb="FFDCDC00"/>
        </top>
        <bottom style="thin">
          <color rgb="FFDCDC00"/>
        </bottom>
        <vertical/>
        <horizontal/>
      </border>
    </dxf>
    <dxf>
      <font>
        <b/>
        <i val="0"/>
      </font>
    </dxf>
    <dxf>
      <border diagonalUp="0" diagonalDown="0">
        <left style="thin">
          <color rgb="FF00B0F0"/>
        </left>
        <right style="thin">
          <color rgb="FF00B0F0"/>
        </right>
        <top style="thin">
          <color rgb="FF00B0F0"/>
        </top>
        <bottom style="thin">
          <color rgb="FF00B0F0"/>
        </bottom>
        <vertical/>
        <horizontal/>
      </border>
    </dxf>
    <dxf>
      <font>
        <b/>
        <color theme="1"/>
      </font>
      <fill>
        <patternFill>
          <bgColor rgb="FF7030A0"/>
        </patternFill>
      </fill>
      <border>
        <bottom style="thin">
          <color theme="8"/>
        </bottom>
        <vertical/>
        <horizontal/>
      </border>
    </dxf>
    <dxf>
      <font>
        <color theme="1"/>
      </font>
      <fill>
        <patternFill patternType="none">
          <fgColor indexed="64"/>
          <bgColor auto="1"/>
        </patternFill>
      </fill>
      <border diagonalUp="0" diagonalDown="0">
        <left style="thin">
          <color rgb="FF7030A0"/>
        </left>
        <right style="thin">
          <color rgb="FF7030A0"/>
        </right>
        <top style="thin">
          <color rgb="FF7030A0"/>
        </top>
        <bottom style="thin">
          <color rgb="FF7030A0"/>
        </bottom>
        <vertical/>
        <horizontal/>
      </border>
    </dxf>
  </dxfs>
  <tableStyles count="4" defaultTableStyle="TableStyleMedium2" defaultPivotStyle="PivotStyleLight16">
    <tableStyle name="Belayer" pivot="0" table="0" count="10" xr9:uid="{3B852CD3-873F-4B46-B9AF-0EAC3BA7239A}">
      <tableStyleElement type="wholeTable" dxfId="30"/>
      <tableStyleElement type="headerRow" dxfId="29"/>
    </tableStyle>
    <tableStyle name="Grade" pivot="0" table="0" count="6" xr9:uid="{ED94F21A-451D-464A-A285-04162855CE44}">
      <tableStyleElement type="wholeTable" dxfId="28"/>
      <tableStyleElement type="headerRow" dxfId="27"/>
    </tableStyle>
    <tableStyle name="Month" pivot="0" table="0" count="7" xr9:uid="{F096F372-2D61-41E2-A87F-AB7019E4C738}">
      <tableStyleElement type="wholeTable" dxfId="26"/>
      <tableStyleElement type="headerRow" dxfId="25"/>
    </tableStyle>
    <tableStyle name="SlicerStyleDark2 2" pivot="0" table="0" count="10" xr9:uid="{E4FA39DE-804B-4527-94CC-BAFD02E974DF}">
      <tableStyleElement type="wholeTable" dxfId="24"/>
      <tableStyleElement type="headerRow" dxfId="23"/>
    </tableStyle>
  </tableStyles>
  <colors>
    <mruColors>
      <color rgb="FFFFFFFF"/>
      <color rgb="FFA453C9"/>
      <color rgb="FF97DCFF"/>
      <color rgb="FF66CCFF"/>
      <color rgb="FFDCDC00"/>
      <color rgb="FFF8E162"/>
      <color rgb="FFFCF7E0"/>
      <color rgb="FFF8E15C"/>
      <color rgb="FF0066FF"/>
      <color rgb="FFFFC8C8"/>
    </mruColors>
  </colors>
  <extLst>
    <ext xmlns:x14="http://schemas.microsoft.com/office/spreadsheetml/2009/9/main" uri="{46F421CA-312F-682f-3DD2-61675219B42D}">
      <x14:dxfs count="25">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rgb="FFC00000"/>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gradientFill degree="90">
              <stop position="0">
                <color rgb="FFF8E162"/>
              </stop>
              <stop position="1">
                <color rgb="FFFCF7E0"/>
              </stop>
            </gradientFill>
          </fill>
        </dxf>
        <dxf>
          <fill>
            <gradientFill degree="90">
              <stop position="0">
                <color rgb="FFF8E162"/>
              </stop>
              <stop position="1">
                <color rgb="FFFCF7E0"/>
              </stop>
            </gradientFill>
          </fill>
        </dxf>
        <dxf>
          <fill>
            <gradientFill degree="90">
              <stop position="0">
                <color rgb="FFF8E162"/>
              </stop>
              <stop position="1">
                <color rgb="FFFCF7E0"/>
              </stop>
            </gradientFill>
          </fill>
        </dxf>
        <dxf>
          <font>
            <color theme="0"/>
          </font>
          <fill>
            <patternFill>
              <bgColor rgb="FFDCDC00"/>
            </patternFill>
          </fill>
        </dxf>
        <dxf>
          <fill>
            <patternFill>
              <bgColor theme="0" tint="-0.24994659260841701"/>
            </patternFill>
          </fill>
        </dxf>
        <dxf>
          <fill>
            <gradientFill degree="90">
              <stop position="0">
                <color rgb="FFF8E162"/>
              </stop>
              <stop position="1">
                <color rgb="FFFCF7E0"/>
              </stop>
            </gradientFill>
          </fill>
        </dxf>
        <dxf>
          <fill>
            <gradientFill degree="90">
              <stop position="0">
                <color rgb="FFF8E162"/>
              </stop>
              <stop position="1">
                <color rgb="FFFCF7E0"/>
              </stop>
            </gradientFill>
          </fill>
        </dxf>
        <dxf>
          <fill>
            <gradientFill degree="90">
              <stop position="0">
                <color rgb="FFF8E162"/>
              </stop>
              <stop position="1">
                <color rgb="FFFCF7E0"/>
              </stop>
            </gradientFill>
          </fill>
        </dxf>
        <dxf>
          <font>
            <color theme="0"/>
          </font>
          <fill>
            <patternFill>
              <bgColor rgb="FF00B0F0"/>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rgb="FF7030A0"/>
              <bgColor rgb="FF7030A0"/>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Belayer">
          <x14:slicerStyleElements>
            <x14:slicerStyleElement type="unselectedItemWithData" dxfId="24"/>
            <x14:slicerStyleElement type="unselectedItemWithNoData" dxfId="23"/>
            <x14:slicerStyleElement type="selectedItemWithData" dxfId="22"/>
            <x14:slicerStyleElement type="selectedItemWithNoData" dxfId="21"/>
            <x14:slicerStyleElement type="hoveredUnselectedItemWithData" dxfId="20"/>
            <x14:slicerStyleElement type="hoveredSelectedItemWithData" dxfId="19"/>
            <x14:slicerStyleElement type="hoveredUnselectedItemWithNoData" dxfId="18"/>
            <x14:slicerStyleElement type="hoveredSelectedItemWithNoData" dxfId="17"/>
          </x14:slicerStyleElements>
        </x14:slicerStyle>
        <x14:slicerStyle name="Grade">
          <x14:slicerStyleElements>
            <x14:slicerStyleElement type="selectedItemWithData" dxfId="16"/>
            <x14:slicerStyleElement type="hoveredUnselectedItemWithData" dxfId="15"/>
            <x14:slicerStyleElement type="hoveredSelectedItemWithData" dxfId="14"/>
            <x14:slicerStyleElement type="hoveredSelectedItemWithNoData" dxfId="13"/>
          </x14:slicerStyleElements>
        </x14:slicerStyle>
        <x14:slicerStyle name="Month">
          <x14:slicerStyleElements>
            <x14:slicerStyleElement type="unselectedItemWithData" dxfId="12"/>
            <x14:slicerStyleElement type="selectedItemWithData" dxfId="11"/>
            <x14:slicerStyleElement type="hoveredUnselectedItemWithData" dxfId="10"/>
            <x14:slicerStyleElement type="hoveredSelectedItemWithData" dxfId="9"/>
            <x14:slicerStyleElement type="hoveredSelectedItemWithNoData" dxfId="8"/>
          </x14:slicerStyleElements>
        </x14:slicerStyle>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microsoft.com/office/2007/relationships/slicerCache" Target="slicerCaches/slicerCache5.xml"/><Relationship Id="rId39" Type="http://schemas.openxmlformats.org/officeDocument/2006/relationships/customXml" Target="../customXml/item3.xml"/><Relationship Id="rId21" Type="http://schemas.openxmlformats.org/officeDocument/2006/relationships/pivotCacheDefinition" Target="pivotCache/pivotCacheDefinition17.xml"/><Relationship Id="rId34" Type="http://schemas.openxmlformats.org/officeDocument/2006/relationships/sheetMetadata" Target="metadata.xml"/><Relationship Id="rId42" Type="http://schemas.openxmlformats.org/officeDocument/2006/relationships/customXml" Target="../customXml/item6.xml"/><Relationship Id="rId47" Type="http://schemas.openxmlformats.org/officeDocument/2006/relationships/customXml" Target="../customXml/item11.xml"/><Relationship Id="rId50" Type="http://schemas.openxmlformats.org/officeDocument/2006/relationships/customXml" Target="../customXml/item14.xml"/><Relationship Id="rId55" Type="http://schemas.openxmlformats.org/officeDocument/2006/relationships/customXml" Target="../customXml/item19.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microsoft.com/office/2007/relationships/slicerCache" Target="slicerCaches/slicerCache8.xml"/><Relationship Id="rId11" Type="http://schemas.openxmlformats.org/officeDocument/2006/relationships/pivotCacheDefinition" Target="pivotCache/pivotCacheDefinition7.xml"/><Relationship Id="rId24" Type="http://schemas.microsoft.com/office/2007/relationships/slicerCache" Target="slicerCaches/slicerCache3.xml"/><Relationship Id="rId32" Type="http://schemas.openxmlformats.org/officeDocument/2006/relationships/styles" Target="style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 Type="http://schemas.openxmlformats.org/officeDocument/2006/relationships/pivotCacheDefinition" Target="pivotCache/pivotCacheDefinition1.xml"/><Relationship Id="rId19" Type="http://schemas.openxmlformats.org/officeDocument/2006/relationships/pivotCacheDefinition" Target="pivotCache/pivotCacheDefinition1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1.xml"/><Relationship Id="rId27" Type="http://schemas.microsoft.com/office/2007/relationships/slicerCache" Target="slicerCaches/slicerCache6.xml"/><Relationship Id="rId30" Type="http://schemas.openxmlformats.org/officeDocument/2006/relationships/theme" Target="theme/theme1.xml"/><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8" Type="http://schemas.openxmlformats.org/officeDocument/2006/relationships/pivotCacheDefinition" Target="pivotCache/pivotCacheDefinition4.xml"/><Relationship Id="rId51" Type="http://schemas.openxmlformats.org/officeDocument/2006/relationships/customXml" Target="../customXml/item15.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07/relationships/slicerCache" Target="slicerCaches/slicerCache4.xml"/><Relationship Id="rId33" Type="http://schemas.openxmlformats.org/officeDocument/2006/relationships/sharedStrings" Target="sharedStrings.xml"/><Relationship Id="rId38" Type="http://schemas.openxmlformats.org/officeDocument/2006/relationships/customXml" Target="../customXml/item2.xml"/><Relationship Id="rId46" Type="http://schemas.openxmlformats.org/officeDocument/2006/relationships/customXml" Target="../customXml/item10.xml"/><Relationship Id="rId20" Type="http://schemas.openxmlformats.org/officeDocument/2006/relationships/pivotCacheDefinition" Target="pivotCache/pivotCacheDefinition16.xml"/><Relationship Id="rId41" Type="http://schemas.openxmlformats.org/officeDocument/2006/relationships/customXml" Target="../customXml/item5.xml"/><Relationship Id="rId54"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microsoft.com/office/2007/relationships/slicerCache" Target="slicerCaches/slicerCache2.xml"/><Relationship Id="rId28" Type="http://schemas.microsoft.com/office/2007/relationships/slicerCache" Target="slicerCaches/slicerCache7.xml"/><Relationship Id="rId36" Type="http://schemas.openxmlformats.org/officeDocument/2006/relationships/calcChain" Target="calcChain.xml"/><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pivotCacheDefinition" Target="pivotCache/pivotCacheDefinition6.xml"/><Relationship Id="rId31" Type="http://schemas.openxmlformats.org/officeDocument/2006/relationships/connections" Target="connections.xml"/><Relationship Id="rId44" Type="http://schemas.openxmlformats.org/officeDocument/2006/relationships/customXml" Target="../customXml/item8.xml"/><Relationship Id="rId52"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0" i="0" u="none" strike="noStrike" kern="1200" spc="0" baseline="0">
                <a:solidFill>
                  <a:sysClr val="windowText" lastClr="000000">
                    <a:lumMod val="65000"/>
                    <a:lumOff val="35000"/>
                  </a:sysClr>
                </a:solidFill>
              </a:rPr>
              <a:t>% OF FLASH &amp; ONSIGHT</a:t>
            </a:r>
          </a:p>
        </c:rich>
      </c:tx>
      <c:layout>
        <c:manualLayout>
          <c:xMode val="edge"/>
          <c:yMode val="edge"/>
          <c:x val="0.20467592592592593"/>
          <c:y val="2.3148148148148147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4456036745406818E-2"/>
          <c:y val="0.17171296296296296"/>
          <c:w val="0.88498840769903764"/>
          <c:h val="0.7353546952464276"/>
        </c:manualLayout>
      </c:layout>
      <c:areaChart>
        <c:grouping val="stacked"/>
        <c:varyColors val="0"/>
        <c:ser>
          <c:idx val="0"/>
          <c:order val="0"/>
          <c:tx>
            <c:strRef>
              <c:f>'PIVOTS &amp; CALCULATIONS'!$B$68</c:f>
              <c:strCache>
                <c:ptCount val="1"/>
                <c:pt idx="0">
                  <c:v>flash</c:v>
                </c:pt>
              </c:strCache>
            </c:strRef>
          </c:tx>
          <c:spPr>
            <a:solidFill>
              <a:srgbClr val="00B0F0"/>
            </a:solidFill>
            <a:ln>
              <a:noFill/>
            </a:ln>
            <a:effectLst/>
          </c:spPr>
          <c:dLbls>
            <c:dLbl>
              <c:idx val="0"/>
              <c:layout>
                <c:manualLayout>
                  <c:x val="2.7777777777777776E-2"/>
                  <c:y val="-4.62962962962979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CF7-444B-8582-85C6385445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CALCULATIONS'!$A$69:$A$74</c:f>
              <c:strCache>
                <c:ptCount val="6"/>
                <c:pt idx="0">
                  <c:v>7a</c:v>
                </c:pt>
                <c:pt idx="1">
                  <c:v>7a+</c:v>
                </c:pt>
                <c:pt idx="2">
                  <c:v>7b</c:v>
                </c:pt>
                <c:pt idx="3">
                  <c:v>7b+</c:v>
                </c:pt>
                <c:pt idx="4">
                  <c:v>7c</c:v>
                </c:pt>
                <c:pt idx="5">
                  <c:v>7c+</c:v>
                </c:pt>
              </c:strCache>
            </c:strRef>
          </c:cat>
          <c:val>
            <c:numRef>
              <c:f>'PIVOTS &amp; CALCULATIONS'!$B$69:$B$74</c:f>
              <c:numCache>
                <c:formatCode>0%</c:formatCode>
                <c:ptCount val="6"/>
                <c:pt idx="0">
                  <c:v>0.10619469026548672</c:v>
                </c:pt>
                <c:pt idx="1">
                  <c:v>9.2592592592592587E-2</c:v>
                </c:pt>
                <c:pt idx="2">
                  <c:v>4.1666666666666664E-2</c:v>
                </c:pt>
                <c:pt idx="3">
                  <c:v>0</c:v>
                </c:pt>
                <c:pt idx="4">
                  <c:v>0</c:v>
                </c:pt>
                <c:pt idx="5">
                  <c:v>0</c:v>
                </c:pt>
              </c:numCache>
            </c:numRef>
          </c:val>
          <c:extLst>
            <c:ext xmlns:c16="http://schemas.microsoft.com/office/drawing/2014/chart" uri="{C3380CC4-5D6E-409C-BE32-E72D297353CC}">
              <c16:uniqueId val="{00000001-2CF7-444B-8582-85C6385445BB}"/>
            </c:ext>
          </c:extLst>
        </c:ser>
        <c:ser>
          <c:idx val="1"/>
          <c:order val="1"/>
          <c:tx>
            <c:strRef>
              <c:f>'PIVOTS &amp; CALCULATIONS'!$C$68</c:f>
              <c:strCache>
                <c:ptCount val="1"/>
                <c:pt idx="0">
                  <c:v>onsight</c:v>
                </c:pt>
              </c:strCache>
            </c:strRef>
          </c:tx>
          <c:spPr>
            <a:solidFill>
              <a:srgbClr val="97DCFF"/>
            </a:solidFill>
            <a:ln>
              <a:noFill/>
            </a:ln>
            <a:effectLst/>
          </c:spPr>
          <c:dLbls>
            <c:dLbl>
              <c:idx val="0"/>
              <c:layout>
                <c:manualLayout>
                  <c:x val="3.3333333333333319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CF7-444B-8582-85C6385445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CALCULATIONS'!$A$69:$A$74</c:f>
              <c:strCache>
                <c:ptCount val="6"/>
                <c:pt idx="0">
                  <c:v>7a</c:v>
                </c:pt>
                <c:pt idx="1">
                  <c:v>7a+</c:v>
                </c:pt>
                <c:pt idx="2">
                  <c:v>7b</c:v>
                </c:pt>
                <c:pt idx="3">
                  <c:v>7b+</c:v>
                </c:pt>
                <c:pt idx="4">
                  <c:v>7c</c:v>
                </c:pt>
                <c:pt idx="5">
                  <c:v>7c+</c:v>
                </c:pt>
              </c:strCache>
            </c:strRef>
          </c:cat>
          <c:val>
            <c:numRef>
              <c:f>'PIVOTS &amp; CALCULATIONS'!$C$69:$C$74</c:f>
              <c:numCache>
                <c:formatCode>0%</c:formatCode>
                <c:ptCount val="6"/>
                <c:pt idx="0">
                  <c:v>0.36283185840707965</c:v>
                </c:pt>
                <c:pt idx="1">
                  <c:v>0.25925925925925924</c:v>
                </c:pt>
                <c:pt idx="2">
                  <c:v>8.3333333333333329E-2</c:v>
                </c:pt>
                <c:pt idx="3">
                  <c:v>9.0909090909090912E-2</c:v>
                </c:pt>
                <c:pt idx="4">
                  <c:v>0</c:v>
                </c:pt>
                <c:pt idx="5">
                  <c:v>0</c:v>
                </c:pt>
              </c:numCache>
            </c:numRef>
          </c:val>
          <c:extLst>
            <c:ext xmlns:c16="http://schemas.microsoft.com/office/drawing/2014/chart" uri="{C3380CC4-5D6E-409C-BE32-E72D297353CC}">
              <c16:uniqueId val="{00000003-2CF7-444B-8582-85C6385445BB}"/>
            </c:ext>
          </c:extLst>
        </c:ser>
        <c:dLbls>
          <c:showLegendKey val="0"/>
          <c:showVal val="1"/>
          <c:showCatName val="0"/>
          <c:showSerName val="0"/>
          <c:showPercent val="0"/>
          <c:showBubbleSize val="0"/>
        </c:dLbls>
        <c:axId val="1542257343"/>
        <c:axId val="1542274623"/>
      </c:areaChart>
      <c:catAx>
        <c:axId val="154225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274623"/>
        <c:crosses val="autoZero"/>
        <c:auto val="1"/>
        <c:lblAlgn val="ctr"/>
        <c:lblOffset val="100"/>
        <c:noMultiLvlLbl val="0"/>
      </c:catAx>
      <c:valAx>
        <c:axId val="1542274623"/>
        <c:scaling>
          <c:orientation val="minMax"/>
          <c:max val="0.5"/>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257343"/>
        <c:crosses val="autoZero"/>
        <c:crossBetween val="midCat"/>
        <c:majorUnit val="0.1"/>
      </c:valAx>
      <c:spPr>
        <a:noFill/>
        <a:ln>
          <a:noFill/>
        </a:ln>
        <a:effectLst/>
      </c:spPr>
    </c:plotArea>
    <c:legend>
      <c:legendPos val="b"/>
      <c:layout>
        <c:manualLayout>
          <c:xMode val="edge"/>
          <c:yMode val="edge"/>
          <c:x val="0.37653849518810156"/>
          <c:y val="0.19502260134149893"/>
          <c:w val="0.35657370953630796"/>
          <c:h val="0.130209244677748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 September 2025.xlsx]PIVOTS &amp; CALCULATIONS!% of flash, onsight, redpoint</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 OF FLASH, OS, RP</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6C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CALCULATIONS'!$B$43</c:f>
              <c:strCache>
                <c:ptCount val="1"/>
                <c:pt idx="0">
                  <c:v>Total</c:v>
                </c:pt>
              </c:strCache>
            </c:strRef>
          </c:tx>
          <c:spPr>
            <a:solidFill>
              <a:srgbClr val="66CC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CALCULATIONS'!$A$44:$A$47</c:f>
              <c:strCache>
                <c:ptCount val="3"/>
                <c:pt idx="0">
                  <c:v>flash</c:v>
                </c:pt>
                <c:pt idx="1">
                  <c:v>onsight</c:v>
                </c:pt>
                <c:pt idx="2">
                  <c:v>redpoint</c:v>
                </c:pt>
              </c:strCache>
            </c:strRef>
          </c:cat>
          <c:val>
            <c:numRef>
              <c:f>'PIVOTS &amp; CALCULATIONS'!$B$44:$B$47</c:f>
              <c:numCache>
                <c:formatCode>0.0%</c:formatCode>
                <c:ptCount val="3"/>
                <c:pt idx="0">
                  <c:v>8.6124401913875603E-2</c:v>
                </c:pt>
                <c:pt idx="1">
                  <c:v>0.27751196172248804</c:v>
                </c:pt>
                <c:pt idx="2">
                  <c:v>0.63636363636363635</c:v>
                </c:pt>
              </c:numCache>
            </c:numRef>
          </c:val>
          <c:extLst>
            <c:ext xmlns:c16="http://schemas.microsoft.com/office/drawing/2014/chart" uri="{C3380CC4-5D6E-409C-BE32-E72D297353CC}">
              <c16:uniqueId val="{00000000-4709-4DE3-BA60-A916B1C4CF40}"/>
            </c:ext>
          </c:extLst>
        </c:ser>
        <c:dLbls>
          <c:showLegendKey val="0"/>
          <c:showVal val="0"/>
          <c:showCatName val="0"/>
          <c:showSerName val="0"/>
          <c:showPercent val="0"/>
          <c:showBubbleSize val="0"/>
        </c:dLbls>
        <c:gapWidth val="75"/>
        <c:overlap val="-50"/>
        <c:axId val="614700943"/>
        <c:axId val="614719663"/>
      </c:barChart>
      <c:catAx>
        <c:axId val="61470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719663"/>
        <c:crosses val="autoZero"/>
        <c:auto val="1"/>
        <c:lblAlgn val="ctr"/>
        <c:lblOffset val="100"/>
        <c:noMultiLvlLbl val="0"/>
      </c:catAx>
      <c:valAx>
        <c:axId val="61471966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700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 September 2025.xlsx]PIVOTS &amp; CALCULATIONS!Average of Tries num. only excl. outliers</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AVG TRIES PER</a:t>
            </a:r>
            <a:r>
              <a:rPr lang="en-US" sz="1600" baseline="0"/>
              <a:t> ASCENT</a:t>
            </a:r>
            <a:endParaRPr lang="en-US" sz="1600"/>
          </a:p>
        </c:rich>
      </c:tx>
      <c:layout>
        <c:manualLayout>
          <c:xMode val="edge"/>
          <c:yMode val="edge"/>
          <c:x val="0.17712525517643626"/>
          <c:y val="0"/>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CALCULATIONS'!$B$50</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CALCULATIONS'!$A$51:$A$57</c:f>
              <c:strCache>
                <c:ptCount val="6"/>
                <c:pt idx="0">
                  <c:v>7a</c:v>
                </c:pt>
                <c:pt idx="1">
                  <c:v>7a+</c:v>
                </c:pt>
                <c:pt idx="2">
                  <c:v>7b</c:v>
                </c:pt>
                <c:pt idx="3">
                  <c:v>7b+</c:v>
                </c:pt>
                <c:pt idx="4">
                  <c:v>7c</c:v>
                </c:pt>
                <c:pt idx="5">
                  <c:v>7c+</c:v>
                </c:pt>
              </c:strCache>
            </c:strRef>
          </c:cat>
          <c:val>
            <c:numRef>
              <c:f>'PIVOTS &amp; CALCULATIONS'!$B$51:$B$57</c:f>
              <c:numCache>
                <c:formatCode>0.00</c:formatCode>
                <c:ptCount val="6"/>
                <c:pt idx="0">
                  <c:v>1.8938053097345133</c:v>
                </c:pt>
                <c:pt idx="1">
                  <c:v>2.1481481481481484</c:v>
                </c:pt>
                <c:pt idx="2">
                  <c:v>3.125</c:v>
                </c:pt>
                <c:pt idx="3">
                  <c:v>5.6363636363636367</c:v>
                </c:pt>
                <c:pt idx="4">
                  <c:v>9.8000000000000007</c:v>
                </c:pt>
                <c:pt idx="5">
                  <c:v>27</c:v>
                </c:pt>
              </c:numCache>
            </c:numRef>
          </c:val>
          <c:extLst>
            <c:ext xmlns:c16="http://schemas.microsoft.com/office/drawing/2014/chart" uri="{C3380CC4-5D6E-409C-BE32-E72D297353CC}">
              <c16:uniqueId val="{00000003-9202-45AC-A3FC-AD960FC026A6}"/>
            </c:ext>
          </c:extLst>
        </c:ser>
        <c:dLbls>
          <c:dLblPos val="outEnd"/>
          <c:showLegendKey val="0"/>
          <c:showVal val="1"/>
          <c:showCatName val="0"/>
          <c:showSerName val="0"/>
          <c:showPercent val="0"/>
          <c:showBubbleSize val="0"/>
        </c:dLbls>
        <c:gapWidth val="75"/>
        <c:overlap val="-50"/>
        <c:axId val="1360983695"/>
        <c:axId val="1360959695"/>
      </c:barChart>
      <c:catAx>
        <c:axId val="136098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959695"/>
        <c:crosses val="autoZero"/>
        <c:auto val="1"/>
        <c:lblAlgn val="ctr"/>
        <c:lblOffset val="100"/>
        <c:noMultiLvlLbl val="0"/>
      </c:catAx>
      <c:valAx>
        <c:axId val="1360959695"/>
        <c:scaling>
          <c:orientation val="minMax"/>
        </c:scaling>
        <c:delete val="1"/>
        <c:axPos val="l"/>
        <c:numFmt formatCode="0.00" sourceLinked="1"/>
        <c:majorTickMark val="none"/>
        <c:minorTickMark val="none"/>
        <c:tickLblPos val="nextTo"/>
        <c:crossAx val="1360983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GRADES PYRAMID</a:t>
            </a:r>
          </a:p>
        </c:rich>
      </c:tx>
      <c:layout>
        <c:manualLayout>
          <c:xMode val="edge"/>
          <c:yMode val="edge"/>
          <c:x val="0.35439814814814813"/>
          <c:y val="7.326007326007326E-3"/>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351851851851852"/>
          <c:y val="0.18300925925925926"/>
          <c:w val="0.85648148148148151"/>
          <c:h val="0.76606481481481481"/>
        </c:manualLayout>
      </c:layout>
      <c:barChart>
        <c:barDir val="bar"/>
        <c:grouping val="stacked"/>
        <c:varyColors val="0"/>
        <c:ser>
          <c:idx val="0"/>
          <c:order val="0"/>
          <c:spPr>
            <a:noFill/>
            <a:ln>
              <a:noFill/>
            </a:ln>
            <a:effectLst/>
          </c:spPr>
          <c:invertIfNegative val="0"/>
          <c:cat>
            <c:strRef>
              <c:f>'PIVOTS &amp; CALCULATIONS'!$A$15:$A$20</c:f>
              <c:strCache>
                <c:ptCount val="6"/>
                <c:pt idx="0">
                  <c:v>7a</c:v>
                </c:pt>
                <c:pt idx="1">
                  <c:v>7a+</c:v>
                </c:pt>
                <c:pt idx="2">
                  <c:v>7b</c:v>
                </c:pt>
                <c:pt idx="3">
                  <c:v>7b+</c:v>
                </c:pt>
                <c:pt idx="4">
                  <c:v>7c</c:v>
                </c:pt>
                <c:pt idx="5">
                  <c:v>7c+</c:v>
                </c:pt>
              </c:strCache>
            </c:strRef>
          </c:cat>
          <c:val>
            <c:numRef>
              <c:f>'PIVOTS &amp; CALCULATIONS'!$B$15:$B$20</c:f>
              <c:numCache>
                <c:formatCode>General</c:formatCode>
                <c:ptCount val="6"/>
                <c:pt idx="0">
                  <c:v>0</c:v>
                </c:pt>
                <c:pt idx="1">
                  <c:v>29.5</c:v>
                </c:pt>
                <c:pt idx="2">
                  <c:v>44.5</c:v>
                </c:pt>
                <c:pt idx="3">
                  <c:v>51</c:v>
                </c:pt>
                <c:pt idx="4">
                  <c:v>54</c:v>
                </c:pt>
                <c:pt idx="5">
                  <c:v>55.5</c:v>
                </c:pt>
              </c:numCache>
            </c:numRef>
          </c:val>
          <c:extLst>
            <c:ext xmlns:c16="http://schemas.microsoft.com/office/drawing/2014/chart" uri="{C3380CC4-5D6E-409C-BE32-E72D297353CC}">
              <c16:uniqueId val="{00000000-BFFF-4DB4-AE29-79FA336ADEEE}"/>
            </c:ext>
          </c:extLst>
        </c:ser>
        <c:ser>
          <c:idx val="1"/>
          <c:order val="1"/>
          <c:spPr>
            <a:solidFill>
              <a:srgbClr val="00B0F0"/>
            </a:solidFill>
            <a:ln>
              <a:noFill/>
            </a:ln>
            <a:effectLst/>
          </c:spPr>
          <c:invertIfNegative val="0"/>
          <c:dLbls>
            <c:dLbl>
              <c:idx val="0"/>
              <c:layout>
                <c:manualLayout>
                  <c:x val="0.39351851851851855"/>
                  <c:y val="-3.08641975308643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FF-4DB4-AE29-79FA336ADEEE}"/>
                </c:ext>
              </c:extLst>
            </c:dLbl>
            <c:dLbl>
              <c:idx val="1"/>
              <c:layout>
                <c:manualLayout>
                  <c:x val="0.28240740740740738"/>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F61-4EBE-9CB6-9CAFB8506D71}"/>
                </c:ext>
              </c:extLst>
            </c:dLbl>
            <c:dLbl>
              <c:idx val="2"/>
              <c:layout>
                <c:manualLayout>
                  <c:x val="0.22222222222222221"/>
                  <c:y val="-3.08641975308641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61-4EBE-9CB6-9CAFB8506D71}"/>
                </c:ext>
              </c:extLst>
            </c:dLbl>
            <c:dLbl>
              <c:idx val="3"/>
              <c:layout>
                <c:manualLayout>
                  <c:x val="0.17592592592592585"/>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61-4EBE-9CB6-9CAFB8506D71}"/>
                </c:ext>
              </c:extLst>
            </c:dLbl>
            <c:dLbl>
              <c:idx val="4"/>
              <c:layout>
                <c:manualLayout>
                  <c:x val="0.1388888888888889"/>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61-4EBE-9CB6-9CAFB8506D71}"/>
                </c:ext>
              </c:extLst>
            </c:dLbl>
            <c:dLbl>
              <c:idx val="5"/>
              <c:layout>
                <c:manualLayout>
                  <c:x val="8.7962962962962965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F61-4EBE-9CB6-9CAFB8506D7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'PIVOTS &amp; CALCULATIONS'!$A$15:$A$20</c:f>
              <c:strCache>
                <c:ptCount val="6"/>
                <c:pt idx="0">
                  <c:v>7a</c:v>
                </c:pt>
                <c:pt idx="1">
                  <c:v>7a+</c:v>
                </c:pt>
                <c:pt idx="2">
                  <c:v>7b</c:v>
                </c:pt>
                <c:pt idx="3">
                  <c:v>7b+</c:v>
                </c:pt>
                <c:pt idx="4">
                  <c:v>7c</c:v>
                </c:pt>
                <c:pt idx="5">
                  <c:v>7c+</c:v>
                </c:pt>
              </c:strCache>
            </c:strRef>
          </c:cat>
          <c:val>
            <c:numRef>
              <c:f>'PIVOTS &amp; CALCULATIONS'!$C$15:$C$20</c:f>
              <c:numCache>
                <c:formatCode>General</c:formatCode>
                <c:ptCount val="6"/>
                <c:pt idx="0">
                  <c:v>113</c:v>
                </c:pt>
                <c:pt idx="1">
                  <c:v>54</c:v>
                </c:pt>
                <c:pt idx="2">
                  <c:v>24</c:v>
                </c:pt>
                <c:pt idx="3">
                  <c:v>11</c:v>
                </c:pt>
                <c:pt idx="4">
                  <c:v>5</c:v>
                </c:pt>
                <c:pt idx="5">
                  <c:v>2</c:v>
                </c:pt>
              </c:numCache>
            </c:numRef>
          </c:val>
          <c:extLst>
            <c:ext xmlns:c16="http://schemas.microsoft.com/office/drawing/2014/chart" uri="{C3380CC4-5D6E-409C-BE32-E72D297353CC}">
              <c16:uniqueId val="{00000002-BFFF-4DB4-AE29-79FA336ADEEE}"/>
            </c:ext>
          </c:extLst>
        </c:ser>
        <c:dLbls>
          <c:showLegendKey val="0"/>
          <c:showVal val="0"/>
          <c:showCatName val="0"/>
          <c:showSerName val="0"/>
          <c:showPercent val="0"/>
          <c:showBubbleSize val="0"/>
        </c:dLbls>
        <c:gapWidth val="10"/>
        <c:overlap val="100"/>
        <c:axId val="1174629312"/>
        <c:axId val="1174631232"/>
      </c:barChart>
      <c:catAx>
        <c:axId val="11746293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631232"/>
        <c:crosses val="autoZero"/>
        <c:auto val="1"/>
        <c:lblAlgn val="ctr"/>
        <c:lblOffset val="100"/>
        <c:noMultiLvlLbl val="0"/>
      </c:catAx>
      <c:valAx>
        <c:axId val="1174631232"/>
        <c:scaling>
          <c:orientation val="minMax"/>
        </c:scaling>
        <c:delete val="1"/>
        <c:axPos val="b"/>
        <c:numFmt formatCode="General" sourceLinked="1"/>
        <c:majorTickMark val="out"/>
        <c:minorTickMark val="none"/>
        <c:tickLblPos val="nextTo"/>
        <c:crossAx val="117462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[Sport climbing data and dashboard - September 2025.xlsx]PIVOTS &amp; CALCULATIONS!Count per grade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5">
              <a:tint val="50000"/>
            </a:schemeClr>
          </a:solidFill>
          <a:ln w="19050">
            <a:solidFill>
              <a:schemeClr val="lt1"/>
            </a:solidFill>
          </a:ln>
          <a:effectLst/>
        </c:spPr>
        <c:dLbl>
          <c:idx val="0"/>
          <c:layout>
            <c:manualLayout>
              <c:x val="0.13930348258706468"/>
              <c:y val="0.138888888888888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5">
              <a:tint val="70000"/>
            </a:schemeClr>
          </a:solidFill>
          <a:ln w="19050">
            <a:solidFill>
              <a:schemeClr val="lt1"/>
            </a:solidFill>
          </a:ln>
          <a:effectLst/>
        </c:spPr>
        <c:dLbl>
          <c:idx val="0"/>
          <c:layout>
            <c:manualLayout>
              <c:x val="-0.16417910447761194"/>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5">
              <a:tint val="90000"/>
            </a:schemeClr>
          </a:solidFill>
          <a:ln w="19050">
            <a:solidFill>
              <a:schemeClr val="lt1"/>
            </a:solidFill>
          </a:ln>
          <a:effectLst/>
        </c:spPr>
        <c:dLbl>
          <c:idx val="0"/>
          <c:layout>
            <c:manualLayout>
              <c:x val="-0.18407960199004975"/>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5">
              <a:shade val="90000"/>
            </a:schemeClr>
          </a:solidFill>
          <a:ln w="19050">
            <a:solidFill>
              <a:schemeClr val="lt1"/>
            </a:solidFill>
          </a:ln>
          <a:effectLst/>
        </c:spPr>
        <c:dLbl>
          <c:idx val="0"/>
          <c:layout>
            <c:manualLayout>
              <c:x val="-0.20895522388059701"/>
              <c:y val="-0.12962962962962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5">
              <a:shade val="70000"/>
            </a:schemeClr>
          </a:solidFill>
          <a:ln w="19050">
            <a:solidFill>
              <a:schemeClr val="lt1"/>
            </a:solidFill>
          </a:ln>
          <a:effectLst/>
        </c:spPr>
        <c:dLbl>
          <c:idx val="0"/>
          <c:layout>
            <c:manualLayout>
              <c:x val="-5.4726368159204022E-2"/>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5">
              <a:shade val="50000"/>
            </a:schemeClr>
          </a:solidFill>
          <a:ln w="19050">
            <a:solidFill>
              <a:schemeClr val="lt1"/>
            </a:solidFill>
          </a:ln>
          <a:effectLst/>
        </c:spPr>
        <c:dLbl>
          <c:idx val="0"/>
          <c:layout>
            <c:manualLayout>
              <c:x val="0.17910447761194029"/>
              <c:y val="-0.125000000000000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'PIVOTS &amp; CALCULATIONS'!$B$4</c:f>
              <c:strCache>
                <c:ptCount val="1"/>
                <c:pt idx="0">
                  <c:v>Total</c:v>
                </c:pt>
              </c:strCache>
            </c:strRef>
          </c:tx>
          <c:dPt>
            <c:idx val="0"/>
            <c:bubble3D val="0"/>
            <c:spPr>
              <a:solidFill>
                <a:schemeClr val="accent5">
                  <a:tint val="50000"/>
                </a:schemeClr>
              </a:solidFill>
              <a:ln w="19050">
                <a:solidFill>
                  <a:schemeClr val="lt1"/>
                </a:solidFill>
              </a:ln>
              <a:effectLst/>
            </c:spPr>
            <c:extLst>
              <c:ext xmlns:c16="http://schemas.microsoft.com/office/drawing/2014/chart" uri="{C3380CC4-5D6E-409C-BE32-E72D297353CC}">
                <c16:uniqueId val="{00000001-6B33-4F45-873A-00AF5FF30C91}"/>
              </c:ext>
            </c:extLst>
          </c:dPt>
          <c:dPt>
            <c:idx val="1"/>
            <c:bubble3D val="0"/>
            <c:spPr>
              <a:solidFill>
                <a:schemeClr val="accent5">
                  <a:tint val="70000"/>
                </a:schemeClr>
              </a:solidFill>
              <a:ln w="19050">
                <a:solidFill>
                  <a:schemeClr val="lt1"/>
                </a:solidFill>
              </a:ln>
              <a:effectLst/>
            </c:spPr>
            <c:extLst>
              <c:ext xmlns:c16="http://schemas.microsoft.com/office/drawing/2014/chart" uri="{C3380CC4-5D6E-409C-BE32-E72D297353CC}">
                <c16:uniqueId val="{00000003-6B33-4F45-873A-00AF5FF30C91}"/>
              </c:ext>
            </c:extLst>
          </c:dPt>
          <c:dPt>
            <c:idx val="2"/>
            <c:bubble3D val="0"/>
            <c:spPr>
              <a:solidFill>
                <a:schemeClr val="accent5">
                  <a:tint val="90000"/>
                </a:schemeClr>
              </a:solidFill>
              <a:ln w="19050">
                <a:solidFill>
                  <a:schemeClr val="lt1"/>
                </a:solidFill>
              </a:ln>
              <a:effectLst/>
            </c:spPr>
            <c:extLst>
              <c:ext xmlns:c16="http://schemas.microsoft.com/office/drawing/2014/chart" uri="{C3380CC4-5D6E-409C-BE32-E72D297353CC}">
                <c16:uniqueId val="{00000005-6B33-4F45-873A-00AF5FF30C91}"/>
              </c:ext>
            </c:extLst>
          </c:dPt>
          <c:dPt>
            <c:idx val="3"/>
            <c:bubble3D val="0"/>
            <c:spPr>
              <a:solidFill>
                <a:schemeClr val="accent5">
                  <a:shade val="90000"/>
                </a:schemeClr>
              </a:solidFill>
              <a:ln w="19050">
                <a:solidFill>
                  <a:schemeClr val="lt1"/>
                </a:solidFill>
              </a:ln>
              <a:effectLst/>
            </c:spPr>
            <c:extLst>
              <c:ext xmlns:c16="http://schemas.microsoft.com/office/drawing/2014/chart" uri="{C3380CC4-5D6E-409C-BE32-E72D297353CC}">
                <c16:uniqueId val="{00000007-6B33-4F45-873A-00AF5FF30C91}"/>
              </c:ext>
            </c:extLst>
          </c:dPt>
          <c:dPt>
            <c:idx val="4"/>
            <c:bubble3D val="0"/>
            <c:spPr>
              <a:solidFill>
                <a:schemeClr val="accent5">
                  <a:shade val="70000"/>
                </a:schemeClr>
              </a:solidFill>
              <a:ln w="19050">
                <a:solidFill>
                  <a:schemeClr val="lt1"/>
                </a:solidFill>
              </a:ln>
              <a:effectLst/>
            </c:spPr>
            <c:extLst>
              <c:ext xmlns:c16="http://schemas.microsoft.com/office/drawing/2014/chart" uri="{C3380CC4-5D6E-409C-BE32-E72D297353CC}">
                <c16:uniqueId val="{00000009-6B33-4F45-873A-00AF5FF30C91}"/>
              </c:ext>
            </c:extLst>
          </c:dPt>
          <c:dPt>
            <c:idx val="5"/>
            <c:bubble3D val="0"/>
            <c:spPr>
              <a:solidFill>
                <a:schemeClr val="accent5">
                  <a:shade val="50000"/>
                </a:schemeClr>
              </a:solidFill>
              <a:ln w="19050">
                <a:solidFill>
                  <a:schemeClr val="lt1"/>
                </a:solidFill>
              </a:ln>
              <a:effectLst/>
            </c:spPr>
            <c:extLst>
              <c:ext xmlns:c16="http://schemas.microsoft.com/office/drawing/2014/chart" uri="{C3380CC4-5D6E-409C-BE32-E72D297353CC}">
                <c16:uniqueId val="{0000000B-6B33-4F45-873A-00AF5FF30C91}"/>
              </c:ext>
            </c:extLst>
          </c:dPt>
          <c:dLbls>
            <c:dLbl>
              <c:idx val="0"/>
              <c:layout>
                <c:manualLayout>
                  <c:x val="0.13930348258706468"/>
                  <c:y val="0.1388888888888888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33-4F45-873A-00AF5FF30C91}"/>
                </c:ext>
              </c:extLst>
            </c:dLbl>
            <c:dLbl>
              <c:idx val="1"/>
              <c:layout>
                <c:manualLayout>
                  <c:x val="-0.16417910447761194"/>
                  <c:y val="0.129629629629629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B33-4F45-873A-00AF5FF30C91}"/>
                </c:ext>
              </c:extLst>
            </c:dLbl>
            <c:dLbl>
              <c:idx val="2"/>
              <c:layout>
                <c:manualLayout>
                  <c:x val="-0.18407960199004975"/>
                  <c:y val="-8.333333333333332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B33-4F45-873A-00AF5FF30C91}"/>
                </c:ext>
              </c:extLst>
            </c:dLbl>
            <c:dLbl>
              <c:idx val="3"/>
              <c:layout>
                <c:manualLayout>
                  <c:x val="-0.20895522388059701"/>
                  <c:y val="-0.1296296296296296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B33-4F45-873A-00AF5FF30C91}"/>
                </c:ext>
              </c:extLst>
            </c:dLbl>
            <c:dLbl>
              <c:idx val="4"/>
              <c:layout>
                <c:manualLayout>
                  <c:x val="-5.4726368159204022E-2"/>
                  <c:y val="-0.1527777777777777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B33-4F45-873A-00AF5FF30C91}"/>
                </c:ext>
              </c:extLst>
            </c:dLbl>
            <c:dLbl>
              <c:idx val="5"/>
              <c:layout>
                <c:manualLayout>
                  <c:x val="0.17910447761194029"/>
                  <c:y val="-0.1250000000000000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B33-4F45-873A-00AF5FF30C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 &amp; CALCULATIONS'!$A$5:$A$11</c:f>
              <c:strCache>
                <c:ptCount val="6"/>
                <c:pt idx="0">
                  <c:v>7a</c:v>
                </c:pt>
                <c:pt idx="1">
                  <c:v>7a+</c:v>
                </c:pt>
                <c:pt idx="2">
                  <c:v>7b</c:v>
                </c:pt>
                <c:pt idx="3">
                  <c:v>7b+</c:v>
                </c:pt>
                <c:pt idx="4">
                  <c:v>7c</c:v>
                </c:pt>
                <c:pt idx="5">
                  <c:v>7c+</c:v>
                </c:pt>
              </c:strCache>
            </c:strRef>
          </c:cat>
          <c:val>
            <c:numRef>
              <c:f>'PIVOTS &amp; CALCULATIONS'!$B$5:$B$11</c:f>
              <c:numCache>
                <c:formatCode>General</c:formatCode>
                <c:ptCount val="6"/>
                <c:pt idx="0">
                  <c:v>113</c:v>
                </c:pt>
                <c:pt idx="1">
                  <c:v>54</c:v>
                </c:pt>
                <c:pt idx="2">
                  <c:v>24</c:v>
                </c:pt>
                <c:pt idx="3">
                  <c:v>11</c:v>
                </c:pt>
                <c:pt idx="4">
                  <c:v>5</c:v>
                </c:pt>
                <c:pt idx="5">
                  <c:v>2</c:v>
                </c:pt>
              </c:numCache>
            </c:numRef>
          </c:val>
          <c:extLst>
            <c:ext xmlns:c16="http://schemas.microsoft.com/office/drawing/2014/chart" uri="{C3380CC4-5D6E-409C-BE32-E72D297353CC}">
              <c16:uniqueId val="{0000000C-6B33-4F45-873A-00AF5FF30C91}"/>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0"/>
      <c:rotY val="1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'PIVOTS &amp; CALCULATIONS'!$A$15</c:f>
              <c:strCache>
                <c:ptCount val="1"/>
                <c:pt idx="0">
                  <c:v>7a</c:v>
                </c:pt>
              </c:strCache>
            </c:strRef>
          </c:tx>
          <c:spPr>
            <a:solidFill>
              <a:schemeClr val="accent1"/>
            </a:solidFill>
            <a:ln w="12700">
              <a:solidFill>
                <a:schemeClr val="tx1">
                  <a:lumMod val="75000"/>
                  <a:lumOff val="25000"/>
                </a:schemeClr>
              </a:solidFill>
            </a:ln>
            <a:effectLst/>
            <a:sp3d contourW="12700">
              <a:contourClr>
                <a:schemeClr val="tx1">
                  <a:lumMod val="75000"/>
                  <a:lumOff val="2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CALCULATIONS'!$C$15</c:f>
              <c:numCache>
                <c:formatCode>General</c:formatCode>
                <c:ptCount val="1"/>
                <c:pt idx="0">
                  <c:v>113</c:v>
                </c:pt>
              </c:numCache>
            </c:numRef>
          </c:val>
          <c:shape val="pyramidToMax"/>
          <c:extLst>
            <c:ext xmlns:c16="http://schemas.microsoft.com/office/drawing/2014/chart" uri="{C3380CC4-5D6E-409C-BE32-E72D297353CC}">
              <c16:uniqueId val="{00000000-63E8-4BFF-9399-3213331B5A09}"/>
            </c:ext>
          </c:extLst>
        </c:ser>
        <c:ser>
          <c:idx val="1"/>
          <c:order val="1"/>
          <c:tx>
            <c:strRef>
              <c:f>'PIVOTS &amp; CALCULATIONS'!$A$16</c:f>
              <c:strCache>
                <c:ptCount val="1"/>
                <c:pt idx="0">
                  <c:v>7a+</c:v>
                </c:pt>
              </c:strCache>
            </c:strRef>
          </c:tx>
          <c:spPr>
            <a:solidFill>
              <a:schemeClr val="accent2"/>
            </a:solidFill>
            <a:ln w="12700">
              <a:solidFill>
                <a:schemeClr val="tx1">
                  <a:lumMod val="75000"/>
                  <a:lumOff val="25000"/>
                </a:schemeClr>
              </a:solidFill>
            </a:ln>
            <a:effectLst/>
            <a:sp3d contourW="12700">
              <a:contourClr>
                <a:schemeClr val="tx1">
                  <a:lumMod val="75000"/>
                  <a:lumOff val="25000"/>
                </a:schemeClr>
              </a:contourClr>
            </a:sp3d>
          </c:spPr>
          <c:invertIfNegative val="0"/>
          <c:dLbls>
            <c:dLbl>
              <c:idx val="0"/>
              <c:layout>
                <c:manualLayout>
                  <c:x val="2.2662889518413599E-2"/>
                  <c:y val="5.4562874535232508E-17"/>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63E8-4BFF-9399-3213331B5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CALCULATIONS'!$C$16</c:f>
              <c:numCache>
                <c:formatCode>General</c:formatCode>
                <c:ptCount val="1"/>
                <c:pt idx="0">
                  <c:v>54</c:v>
                </c:pt>
              </c:numCache>
            </c:numRef>
          </c:val>
          <c:shape val="pyramidToMax"/>
          <c:extLst>
            <c:ext xmlns:c16="http://schemas.microsoft.com/office/drawing/2014/chart" uri="{C3380CC4-5D6E-409C-BE32-E72D297353CC}">
              <c16:uniqueId val="{00000002-63E8-4BFF-9399-3213331B5A09}"/>
            </c:ext>
          </c:extLst>
        </c:ser>
        <c:ser>
          <c:idx val="2"/>
          <c:order val="2"/>
          <c:tx>
            <c:strRef>
              <c:f>'PIVOTS &amp; CALCULATIONS'!$A$17</c:f>
              <c:strCache>
                <c:ptCount val="1"/>
                <c:pt idx="0">
                  <c:v>7b</c:v>
                </c:pt>
              </c:strCache>
            </c:strRef>
          </c:tx>
          <c:spPr>
            <a:solidFill>
              <a:schemeClr val="accent3"/>
            </a:solidFill>
            <a:ln w="12700">
              <a:solidFill>
                <a:schemeClr val="tx1">
                  <a:lumMod val="75000"/>
                  <a:lumOff val="25000"/>
                </a:schemeClr>
              </a:solidFill>
            </a:ln>
            <a:effectLst/>
            <a:sp3d contourW="12700">
              <a:contourClr>
                <a:schemeClr val="tx1">
                  <a:lumMod val="75000"/>
                  <a:lumOff val="25000"/>
                </a:schemeClr>
              </a:contourClr>
            </a:sp3d>
          </c:spPr>
          <c:invertIfNegative val="0"/>
          <c:dLbls>
            <c:dLbl>
              <c:idx val="0"/>
              <c:layout>
                <c:manualLayout>
                  <c:x val="0.20337301587301587"/>
                  <c:y val="-5.0925925925925923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A-63E8-4BFF-9399-3213331B5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CALCULATIONS'!$C$17</c:f>
              <c:numCache>
                <c:formatCode>General</c:formatCode>
                <c:ptCount val="1"/>
                <c:pt idx="0">
                  <c:v>24</c:v>
                </c:pt>
              </c:numCache>
            </c:numRef>
          </c:val>
          <c:shape val="pyramidToMax"/>
          <c:extLst>
            <c:ext xmlns:c16="http://schemas.microsoft.com/office/drawing/2014/chart" uri="{C3380CC4-5D6E-409C-BE32-E72D297353CC}">
              <c16:uniqueId val="{00000003-63E8-4BFF-9399-3213331B5A09}"/>
            </c:ext>
          </c:extLst>
        </c:ser>
        <c:ser>
          <c:idx val="3"/>
          <c:order val="3"/>
          <c:tx>
            <c:strRef>
              <c:f>'PIVOTS &amp; CALCULATIONS'!$A$18</c:f>
              <c:strCache>
                <c:ptCount val="1"/>
                <c:pt idx="0">
                  <c:v>7b+</c:v>
                </c:pt>
              </c:strCache>
            </c:strRef>
          </c:tx>
          <c:spPr>
            <a:solidFill>
              <a:schemeClr val="accent4"/>
            </a:solidFill>
            <a:ln w="12700">
              <a:solidFill>
                <a:schemeClr val="tx1">
                  <a:lumMod val="75000"/>
                  <a:lumOff val="25000"/>
                </a:schemeClr>
              </a:solidFill>
            </a:ln>
            <a:effectLst/>
            <a:sp3d contourW="12700">
              <a:contourClr>
                <a:schemeClr val="tx1">
                  <a:lumMod val="75000"/>
                  <a:lumOff val="25000"/>
                </a:schemeClr>
              </a:contourClr>
            </a:sp3d>
          </c:spPr>
          <c:invertIfNegative val="0"/>
          <c:dLbls>
            <c:dLbl>
              <c:idx val="0"/>
              <c:layout>
                <c:manualLayout>
                  <c:x val="-0.15"/>
                  <c:y val="-3.7037037037037035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63E8-4BFF-9399-3213331B5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CALCULATIONS'!$C$18</c:f>
              <c:numCache>
                <c:formatCode>General</c:formatCode>
                <c:ptCount val="1"/>
                <c:pt idx="0">
                  <c:v>11</c:v>
                </c:pt>
              </c:numCache>
            </c:numRef>
          </c:val>
          <c:shape val="pyramidToMax"/>
          <c:extLst>
            <c:ext xmlns:c16="http://schemas.microsoft.com/office/drawing/2014/chart" uri="{C3380CC4-5D6E-409C-BE32-E72D297353CC}">
              <c16:uniqueId val="{00000005-63E8-4BFF-9399-3213331B5A09}"/>
            </c:ext>
          </c:extLst>
        </c:ser>
        <c:ser>
          <c:idx val="4"/>
          <c:order val="4"/>
          <c:tx>
            <c:strRef>
              <c:f>'PIVOTS &amp; CALCULATIONS'!$A$19</c:f>
              <c:strCache>
                <c:ptCount val="1"/>
                <c:pt idx="0">
                  <c:v>7c</c:v>
                </c:pt>
              </c:strCache>
            </c:strRef>
          </c:tx>
          <c:spPr>
            <a:solidFill>
              <a:schemeClr val="accent5"/>
            </a:solidFill>
            <a:ln w="12700">
              <a:solidFill>
                <a:schemeClr val="tx1">
                  <a:lumMod val="75000"/>
                  <a:lumOff val="25000"/>
                </a:schemeClr>
              </a:solidFill>
            </a:ln>
            <a:effectLst/>
            <a:sp3d contourW="12700">
              <a:contourClr>
                <a:schemeClr val="tx1">
                  <a:lumMod val="75000"/>
                  <a:lumOff val="25000"/>
                </a:schemeClr>
              </a:contourClr>
            </a:sp3d>
          </c:spPr>
          <c:invertIfNegative val="0"/>
          <c:dLbls>
            <c:dLbl>
              <c:idx val="0"/>
              <c:layout>
                <c:manualLayout>
                  <c:x val="0.19722222222222233"/>
                  <c:y val="-9.7222222222222265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63E8-4BFF-9399-3213331B5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CALCULATIONS'!$C$19</c:f>
              <c:numCache>
                <c:formatCode>General</c:formatCode>
                <c:ptCount val="1"/>
                <c:pt idx="0">
                  <c:v>5</c:v>
                </c:pt>
              </c:numCache>
            </c:numRef>
          </c:val>
          <c:shape val="pyramidToMax"/>
          <c:extLst>
            <c:ext xmlns:c16="http://schemas.microsoft.com/office/drawing/2014/chart" uri="{C3380CC4-5D6E-409C-BE32-E72D297353CC}">
              <c16:uniqueId val="{00000007-63E8-4BFF-9399-3213331B5A09}"/>
            </c:ext>
          </c:extLst>
        </c:ser>
        <c:ser>
          <c:idx val="5"/>
          <c:order val="5"/>
          <c:tx>
            <c:strRef>
              <c:f>'PIVOTS &amp; CALCULATIONS'!$A$20</c:f>
              <c:strCache>
                <c:ptCount val="1"/>
                <c:pt idx="0">
                  <c:v>7c+</c:v>
                </c:pt>
              </c:strCache>
            </c:strRef>
          </c:tx>
          <c:spPr>
            <a:solidFill>
              <a:schemeClr val="accent6"/>
            </a:solidFill>
            <a:ln>
              <a:noFill/>
            </a:ln>
            <a:effectLst/>
            <a:sp3d/>
          </c:spPr>
          <c:invertIfNegative val="0"/>
          <c:dLbls>
            <c:dLbl>
              <c:idx val="0"/>
              <c:layout>
                <c:manualLayout>
                  <c:x val="-0.1247797283129977"/>
                  <c:y val="-0.13359794094439936"/>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8-63E8-4BFF-9399-3213331B5A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 &amp; CALCULATIONS'!$C$20</c:f>
              <c:numCache>
                <c:formatCode>General</c:formatCode>
                <c:ptCount val="1"/>
                <c:pt idx="0">
                  <c:v>2</c:v>
                </c:pt>
              </c:numCache>
            </c:numRef>
          </c:val>
          <c:shape val="pyramidToMax"/>
          <c:extLst>
            <c:ext xmlns:c16="http://schemas.microsoft.com/office/drawing/2014/chart" uri="{C3380CC4-5D6E-409C-BE32-E72D297353CC}">
              <c16:uniqueId val="{00000009-63E8-4BFF-9399-3213331B5A09}"/>
            </c:ext>
          </c:extLst>
        </c:ser>
        <c:dLbls>
          <c:showLegendKey val="0"/>
          <c:showVal val="1"/>
          <c:showCatName val="0"/>
          <c:showSerName val="0"/>
          <c:showPercent val="0"/>
          <c:showBubbleSize val="0"/>
        </c:dLbls>
        <c:gapWidth val="60"/>
        <c:gapDepth val="50"/>
        <c:shape val="pyramidToMax"/>
        <c:axId val="1174609152"/>
        <c:axId val="1174633152"/>
        <c:axId val="0"/>
      </c:bar3DChart>
      <c:catAx>
        <c:axId val="1174609152"/>
        <c:scaling>
          <c:orientation val="minMax"/>
        </c:scaling>
        <c:delete val="1"/>
        <c:axPos val="b"/>
        <c:numFmt formatCode="General" sourceLinked="1"/>
        <c:majorTickMark val="none"/>
        <c:minorTickMark val="none"/>
        <c:tickLblPos val="nextTo"/>
        <c:crossAx val="1174633152"/>
        <c:crosses val="autoZero"/>
        <c:auto val="1"/>
        <c:lblAlgn val="ctr"/>
        <c:lblOffset val="100"/>
        <c:noMultiLvlLbl val="0"/>
      </c:catAx>
      <c:valAx>
        <c:axId val="1174633152"/>
        <c:scaling>
          <c:orientation val="minMax"/>
        </c:scaling>
        <c:delete val="1"/>
        <c:axPos val="l"/>
        <c:numFmt formatCode="General" sourceLinked="1"/>
        <c:majorTickMark val="none"/>
        <c:minorTickMark val="none"/>
        <c:tickLblPos val="nextTo"/>
        <c:crossAx val="117460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[Sport climbing data and dashboard - September 2025.xlsx]PIVOTS &amp; CALCULATIONS!Count per number of attempts</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NUMBER OF TRIES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925925925925923E-2"/>
          <c:y val="0.13004629629629633"/>
          <c:w val="0.89814814814814814"/>
          <c:h val="0.68822506561679786"/>
        </c:manualLayout>
      </c:layout>
      <c:barChart>
        <c:barDir val="col"/>
        <c:grouping val="clustered"/>
        <c:varyColors val="0"/>
        <c:ser>
          <c:idx val="0"/>
          <c:order val="0"/>
          <c:tx>
            <c:strRef>
              <c:f>'PIVOTS &amp; CALCULATIONS'!$B$24</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CALCULATIONS'!$A$25:$A$40</c:f>
              <c:strCache>
                <c:ptCount val="15"/>
                <c:pt idx="0">
                  <c:v>2</c:v>
                </c:pt>
                <c:pt idx="1">
                  <c:v>onsight</c:v>
                </c:pt>
                <c:pt idx="2">
                  <c:v>3</c:v>
                </c:pt>
                <c:pt idx="3">
                  <c:v>flash</c:v>
                </c:pt>
                <c:pt idx="4">
                  <c:v>5</c:v>
                </c:pt>
                <c:pt idx="5">
                  <c:v>4</c:v>
                </c:pt>
                <c:pt idx="6">
                  <c:v>6</c:v>
                </c:pt>
                <c:pt idx="7">
                  <c:v>8</c:v>
                </c:pt>
                <c:pt idx="8">
                  <c:v>7</c:v>
                </c:pt>
                <c:pt idx="9">
                  <c:v>10</c:v>
                </c:pt>
                <c:pt idx="10">
                  <c:v>14</c:v>
                </c:pt>
                <c:pt idx="11">
                  <c:v>24</c:v>
                </c:pt>
                <c:pt idx="12">
                  <c:v>40</c:v>
                </c:pt>
                <c:pt idx="13">
                  <c:v>1</c:v>
                </c:pt>
                <c:pt idx="14">
                  <c:v>12</c:v>
                </c:pt>
              </c:strCache>
            </c:strRef>
          </c:cat>
          <c:val>
            <c:numRef>
              <c:f>'PIVOTS &amp; CALCULATIONS'!$B$25:$B$40</c:f>
              <c:numCache>
                <c:formatCode>General</c:formatCode>
                <c:ptCount val="15"/>
                <c:pt idx="0">
                  <c:v>77</c:v>
                </c:pt>
                <c:pt idx="1">
                  <c:v>58</c:v>
                </c:pt>
                <c:pt idx="2">
                  <c:v>20</c:v>
                </c:pt>
                <c:pt idx="3">
                  <c:v>17</c:v>
                </c:pt>
                <c:pt idx="4">
                  <c:v>9</c:v>
                </c:pt>
                <c:pt idx="5">
                  <c:v>9</c:v>
                </c:pt>
                <c:pt idx="6">
                  <c:v>5</c:v>
                </c:pt>
                <c:pt idx="7">
                  <c:v>3</c:v>
                </c:pt>
                <c:pt idx="8">
                  <c:v>3</c:v>
                </c:pt>
                <c:pt idx="9">
                  <c:v>2</c:v>
                </c:pt>
                <c:pt idx="10">
                  <c:v>2</c:v>
                </c:pt>
                <c:pt idx="11">
                  <c:v>1</c:v>
                </c:pt>
                <c:pt idx="12">
                  <c:v>1</c:v>
                </c:pt>
                <c:pt idx="13">
                  <c:v>1</c:v>
                </c:pt>
                <c:pt idx="14">
                  <c:v>1</c:v>
                </c:pt>
              </c:numCache>
            </c:numRef>
          </c:val>
          <c:extLst>
            <c:ext xmlns:c16="http://schemas.microsoft.com/office/drawing/2014/chart" uri="{C3380CC4-5D6E-409C-BE32-E72D297353CC}">
              <c16:uniqueId val="{00000000-D314-47EC-838E-5351AE404291}"/>
            </c:ext>
          </c:extLst>
        </c:ser>
        <c:dLbls>
          <c:showLegendKey val="0"/>
          <c:showVal val="0"/>
          <c:showCatName val="0"/>
          <c:showSerName val="0"/>
          <c:showPercent val="0"/>
          <c:showBubbleSize val="0"/>
        </c:dLbls>
        <c:gapWidth val="75"/>
        <c:axId val="1225433552"/>
        <c:axId val="1220341056"/>
      </c:barChart>
      <c:catAx>
        <c:axId val="122543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341056"/>
        <c:crosses val="autoZero"/>
        <c:auto val="1"/>
        <c:lblAlgn val="ctr"/>
        <c:lblOffset val="100"/>
        <c:noMultiLvlLbl val="0"/>
      </c:catAx>
      <c:valAx>
        <c:axId val="1220341056"/>
        <c:scaling>
          <c:orientation val="minMax"/>
        </c:scaling>
        <c:delete val="1"/>
        <c:axPos val="l"/>
        <c:numFmt formatCode="General" sourceLinked="1"/>
        <c:majorTickMark val="none"/>
        <c:minorTickMark val="none"/>
        <c:tickLblPos val="nextTo"/>
        <c:crossAx val="122543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 September 2025.xlsx]PIVOTS &amp; CALCULATIONS!Count per month</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FAVORITE MONTHS FOR SENDING</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CD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CALCULATIONS'!$G$27</c:f>
              <c:strCache>
                <c:ptCount val="1"/>
                <c:pt idx="0">
                  <c:v>Total</c:v>
                </c:pt>
              </c:strCache>
            </c:strRef>
          </c:tx>
          <c:spPr>
            <a:solidFill>
              <a:srgbClr val="DCD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CALCULATIONS'!$F$28:$F$40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 &amp; CALCULATIONS'!$G$28:$G$40</c:f>
              <c:numCache>
                <c:formatCode>General</c:formatCode>
                <c:ptCount val="12"/>
                <c:pt idx="0">
                  <c:v>5</c:v>
                </c:pt>
                <c:pt idx="1">
                  <c:v>25</c:v>
                </c:pt>
                <c:pt idx="2">
                  <c:v>25</c:v>
                </c:pt>
                <c:pt idx="3">
                  <c:v>32</c:v>
                </c:pt>
                <c:pt idx="4">
                  <c:v>19</c:v>
                </c:pt>
                <c:pt idx="5">
                  <c:v>16</c:v>
                </c:pt>
                <c:pt idx="6">
                  <c:v>13</c:v>
                </c:pt>
                <c:pt idx="7">
                  <c:v>7</c:v>
                </c:pt>
                <c:pt idx="8">
                  <c:v>19</c:v>
                </c:pt>
                <c:pt idx="9">
                  <c:v>23</c:v>
                </c:pt>
                <c:pt idx="10">
                  <c:v>16</c:v>
                </c:pt>
                <c:pt idx="11">
                  <c:v>9</c:v>
                </c:pt>
              </c:numCache>
            </c:numRef>
          </c:val>
          <c:extLst>
            <c:ext xmlns:c16="http://schemas.microsoft.com/office/drawing/2014/chart" uri="{C3380CC4-5D6E-409C-BE32-E72D297353CC}">
              <c16:uniqueId val="{00000000-4D9C-4600-A757-0B302E3EF320}"/>
            </c:ext>
          </c:extLst>
        </c:ser>
        <c:dLbls>
          <c:showLegendKey val="0"/>
          <c:showVal val="0"/>
          <c:showCatName val="0"/>
          <c:showSerName val="0"/>
          <c:showPercent val="0"/>
          <c:showBubbleSize val="0"/>
        </c:dLbls>
        <c:gapWidth val="75"/>
        <c:axId val="226069424"/>
        <c:axId val="773902656"/>
      </c:barChart>
      <c:catAx>
        <c:axId val="22606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902656"/>
        <c:crosses val="autoZero"/>
        <c:auto val="1"/>
        <c:lblAlgn val="ctr"/>
        <c:lblOffset val="100"/>
        <c:noMultiLvlLbl val="0"/>
      </c:catAx>
      <c:valAx>
        <c:axId val="773902656"/>
        <c:scaling>
          <c:orientation val="minMax"/>
        </c:scaling>
        <c:delete val="1"/>
        <c:axPos val="l"/>
        <c:numFmt formatCode="General" sourceLinked="1"/>
        <c:majorTickMark val="none"/>
        <c:minorTickMark val="none"/>
        <c:tickLblPos val="nextTo"/>
        <c:crossAx val="22606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[Sport climbing data and dashboard - September 2025.xlsx]PIVOTS &amp; CALCULATIONS!Count per year</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ASCENTS OVER THE YEARS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CALCULATIONS'!$G$4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CALCULATIONS'!$F$5:$F$25</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'PIVOTS &amp; CALCULATIONS'!$G$5:$G$25</c:f>
              <c:numCache>
                <c:formatCode>General</c:formatCode>
                <c:ptCount val="20"/>
                <c:pt idx="0">
                  <c:v>1</c:v>
                </c:pt>
                <c:pt idx="1">
                  <c:v>1</c:v>
                </c:pt>
                <c:pt idx="2">
                  <c:v>2</c:v>
                </c:pt>
                <c:pt idx="3">
                  <c:v>0</c:v>
                </c:pt>
                <c:pt idx="4">
                  <c:v>0</c:v>
                </c:pt>
                <c:pt idx="5">
                  <c:v>1</c:v>
                </c:pt>
                <c:pt idx="6">
                  <c:v>3</c:v>
                </c:pt>
                <c:pt idx="7">
                  <c:v>16</c:v>
                </c:pt>
                <c:pt idx="8">
                  <c:v>0</c:v>
                </c:pt>
                <c:pt idx="9">
                  <c:v>0</c:v>
                </c:pt>
                <c:pt idx="10">
                  <c:v>2</c:v>
                </c:pt>
                <c:pt idx="11">
                  <c:v>31</c:v>
                </c:pt>
                <c:pt idx="12">
                  <c:v>25</c:v>
                </c:pt>
                <c:pt idx="13">
                  <c:v>7</c:v>
                </c:pt>
                <c:pt idx="14">
                  <c:v>10</c:v>
                </c:pt>
                <c:pt idx="15">
                  <c:v>17</c:v>
                </c:pt>
                <c:pt idx="16">
                  <c:v>19</c:v>
                </c:pt>
                <c:pt idx="17">
                  <c:v>22</c:v>
                </c:pt>
                <c:pt idx="18">
                  <c:v>11</c:v>
                </c:pt>
                <c:pt idx="19">
                  <c:v>41</c:v>
                </c:pt>
              </c:numCache>
            </c:numRef>
          </c:val>
          <c:extLst>
            <c:ext xmlns:c16="http://schemas.microsoft.com/office/drawing/2014/chart" uri="{C3380CC4-5D6E-409C-BE32-E72D297353CC}">
              <c16:uniqueId val="{00000000-6E00-4D5B-BDDD-F5F25119C631}"/>
            </c:ext>
          </c:extLst>
        </c:ser>
        <c:dLbls>
          <c:showLegendKey val="0"/>
          <c:showVal val="0"/>
          <c:showCatName val="0"/>
          <c:showSerName val="0"/>
          <c:showPercent val="0"/>
          <c:showBubbleSize val="0"/>
        </c:dLbls>
        <c:gapWidth val="75"/>
        <c:axId val="226068464"/>
        <c:axId val="941554400"/>
      </c:barChart>
      <c:catAx>
        <c:axId val="22606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554400"/>
        <c:crosses val="autoZero"/>
        <c:auto val="1"/>
        <c:lblAlgn val="ctr"/>
        <c:lblOffset val="100"/>
        <c:noMultiLvlLbl val="0"/>
      </c:catAx>
      <c:valAx>
        <c:axId val="941554400"/>
        <c:scaling>
          <c:orientation val="minMax"/>
        </c:scaling>
        <c:delete val="1"/>
        <c:axPos val="l"/>
        <c:numFmt formatCode="General" sourceLinked="1"/>
        <c:majorTickMark val="none"/>
        <c:minorTickMark val="none"/>
        <c:tickLblPos val="nextTo"/>
        <c:crossAx val="226068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 September 2025.xlsx]PIVOTS &amp; CALCULATIONS!Distribution per height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ASCENTS PER HEIGHT</a:t>
            </a:r>
          </a:p>
        </c:rich>
      </c:tx>
      <c:layout>
        <c:manualLayout>
          <c:xMode val="edge"/>
          <c:yMode val="edge"/>
          <c:x val="0.22270299145299141"/>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88382461807659"/>
          <c:y val="0.22785493827160494"/>
          <c:w val="0.80019222356820785"/>
          <c:h val="0.71813271604938267"/>
        </c:manualLayout>
      </c:layout>
      <c:barChart>
        <c:barDir val="bar"/>
        <c:grouping val="clustered"/>
        <c:varyColors val="0"/>
        <c:ser>
          <c:idx val="0"/>
          <c:order val="0"/>
          <c:tx>
            <c:strRef>
              <c:f>'PIVOTS &amp; CALCULATIONS'!$S$4</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CALCULATIONS'!$R$5:$R$12</c:f>
              <c:strCache>
                <c:ptCount val="7"/>
                <c:pt idx="0">
                  <c:v>0-10</c:v>
                </c:pt>
                <c:pt idx="1">
                  <c:v>11-15</c:v>
                </c:pt>
                <c:pt idx="2">
                  <c:v>16-20</c:v>
                </c:pt>
                <c:pt idx="3">
                  <c:v>21-25</c:v>
                </c:pt>
                <c:pt idx="4">
                  <c:v>26-30</c:v>
                </c:pt>
                <c:pt idx="5">
                  <c:v>31-35</c:v>
                </c:pt>
                <c:pt idx="6">
                  <c:v>35+</c:v>
                </c:pt>
              </c:strCache>
            </c:strRef>
          </c:cat>
          <c:val>
            <c:numRef>
              <c:f>'PIVOTS &amp; CALCULATIONS'!$S$5:$S$12</c:f>
              <c:numCache>
                <c:formatCode>General</c:formatCode>
                <c:ptCount val="7"/>
                <c:pt idx="0">
                  <c:v>9</c:v>
                </c:pt>
                <c:pt idx="1">
                  <c:v>22</c:v>
                </c:pt>
                <c:pt idx="2">
                  <c:v>69</c:v>
                </c:pt>
                <c:pt idx="3">
                  <c:v>62</c:v>
                </c:pt>
                <c:pt idx="4">
                  <c:v>33</c:v>
                </c:pt>
                <c:pt idx="5">
                  <c:v>11</c:v>
                </c:pt>
                <c:pt idx="6">
                  <c:v>3</c:v>
                </c:pt>
              </c:numCache>
            </c:numRef>
          </c:val>
          <c:extLst>
            <c:ext xmlns:c16="http://schemas.microsoft.com/office/drawing/2014/chart" uri="{C3380CC4-5D6E-409C-BE32-E72D297353CC}">
              <c16:uniqueId val="{00000000-5739-43F3-87B1-E0C0AEB0BE3B}"/>
            </c:ext>
          </c:extLst>
        </c:ser>
        <c:dLbls>
          <c:showLegendKey val="0"/>
          <c:showVal val="0"/>
          <c:showCatName val="0"/>
          <c:showSerName val="0"/>
          <c:showPercent val="0"/>
          <c:showBubbleSize val="0"/>
        </c:dLbls>
        <c:gapWidth val="75"/>
        <c:axId val="1978030256"/>
        <c:axId val="1979940416"/>
      </c:barChart>
      <c:catAx>
        <c:axId val="1978030256"/>
        <c:scaling>
          <c:orientation val="minMax"/>
        </c:scaling>
        <c:delete val="0"/>
        <c:axPos val="l"/>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Height (m)</a:t>
                </a:r>
              </a:p>
            </c:rich>
          </c:tx>
          <c:layout>
            <c:manualLayout>
              <c:xMode val="edge"/>
              <c:yMode val="edge"/>
              <c:x val="0"/>
              <c:y val="2.6716365315446688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940416"/>
        <c:crosses val="autoZero"/>
        <c:auto val="1"/>
        <c:lblAlgn val="ctr"/>
        <c:lblOffset val="100"/>
        <c:noMultiLvlLbl val="0"/>
      </c:catAx>
      <c:valAx>
        <c:axId val="1979940416"/>
        <c:scaling>
          <c:orientation val="minMax"/>
        </c:scaling>
        <c:delete val="1"/>
        <c:axPos val="b"/>
        <c:numFmt formatCode="General" sourceLinked="1"/>
        <c:majorTickMark val="none"/>
        <c:minorTickMark val="none"/>
        <c:tickLblPos val="nextTo"/>
        <c:crossAx val="197803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 September 2025.xlsx]PIVOTS &amp; CALCULATIONS!Favorite Belayer</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TOP 10 FAVORITE PARTNERS</a:t>
            </a:r>
            <a:endParaRPr lang="en-US" sz="1400"/>
          </a:p>
        </c:rich>
      </c:tx>
      <c:layout>
        <c:manualLayout>
          <c:xMode val="edge"/>
          <c:yMode val="edge"/>
          <c:x val="0.20197499726596677"/>
          <c:y val="3.086419753086419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spPr>
          <a:solidFill>
            <a:schemeClr val="accent2"/>
          </a:solidFill>
          <a:ln>
            <a:noFill/>
          </a:ln>
          <a:effectLst/>
        </c:spPr>
      </c:pivotFmt>
      <c:pivotFmt>
        <c:idx val="8"/>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755134281200632E-2"/>
          <c:y val="0.11271806140511506"/>
          <c:w val="0.93048973143759872"/>
          <c:h val="0.5675920161142648"/>
        </c:manualLayout>
      </c:layout>
      <c:barChart>
        <c:barDir val="col"/>
        <c:grouping val="clustered"/>
        <c:varyColors val="0"/>
        <c:ser>
          <c:idx val="0"/>
          <c:order val="0"/>
          <c:tx>
            <c:strRef>
              <c:f>'PIVOTS &amp; CALCULATIONS'!$P$4</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CALCULATIONS'!$O$5:$O$15</c:f>
              <c:strCache>
                <c:ptCount val="10"/>
                <c:pt idx="0">
                  <c:v>Chrissi</c:v>
                </c:pt>
                <c:pt idx="1">
                  <c:v>Guy</c:v>
                </c:pt>
                <c:pt idx="2">
                  <c:v>Tibor</c:v>
                </c:pt>
                <c:pt idx="3">
                  <c:v>Lena</c:v>
                </c:pt>
                <c:pt idx="4">
                  <c:v>Chris Awe</c:v>
                </c:pt>
                <c:pt idx="5">
                  <c:v>Yoel</c:v>
                </c:pt>
                <c:pt idx="6">
                  <c:v>Kathy</c:v>
                </c:pt>
                <c:pt idx="7">
                  <c:v>Gustavo</c:v>
                </c:pt>
                <c:pt idx="8">
                  <c:v>Christian</c:v>
                </c:pt>
                <c:pt idx="9">
                  <c:v>Angel</c:v>
                </c:pt>
              </c:strCache>
            </c:strRef>
          </c:cat>
          <c:val>
            <c:numRef>
              <c:f>'PIVOTS &amp; CALCULATIONS'!$P$5:$P$15</c:f>
              <c:numCache>
                <c:formatCode>General</c:formatCode>
                <c:ptCount val="10"/>
                <c:pt idx="0">
                  <c:v>25</c:v>
                </c:pt>
                <c:pt idx="1">
                  <c:v>20</c:v>
                </c:pt>
                <c:pt idx="2">
                  <c:v>14</c:v>
                </c:pt>
                <c:pt idx="3">
                  <c:v>11</c:v>
                </c:pt>
                <c:pt idx="4">
                  <c:v>9</c:v>
                </c:pt>
                <c:pt idx="5">
                  <c:v>9</c:v>
                </c:pt>
                <c:pt idx="6">
                  <c:v>9</c:v>
                </c:pt>
                <c:pt idx="7">
                  <c:v>8</c:v>
                </c:pt>
                <c:pt idx="8">
                  <c:v>7</c:v>
                </c:pt>
                <c:pt idx="9">
                  <c:v>5</c:v>
                </c:pt>
              </c:numCache>
            </c:numRef>
          </c:val>
          <c:extLst>
            <c:ext xmlns:c16="http://schemas.microsoft.com/office/drawing/2014/chart" uri="{C3380CC4-5D6E-409C-BE32-E72D297353CC}">
              <c16:uniqueId val="{00000002-BF73-4A21-9604-683B3517292D}"/>
            </c:ext>
          </c:extLst>
        </c:ser>
        <c:dLbls>
          <c:dLblPos val="outEnd"/>
          <c:showLegendKey val="0"/>
          <c:showVal val="1"/>
          <c:showCatName val="0"/>
          <c:showSerName val="0"/>
          <c:showPercent val="0"/>
          <c:showBubbleSize val="0"/>
        </c:dLbls>
        <c:gapWidth val="75"/>
        <c:axId val="1225436432"/>
        <c:axId val="760647184"/>
      </c:barChart>
      <c:catAx>
        <c:axId val="1225436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647184"/>
        <c:crosses val="autoZero"/>
        <c:auto val="1"/>
        <c:lblAlgn val="ctr"/>
        <c:lblOffset val="100"/>
        <c:noMultiLvlLbl val="0"/>
      </c:catAx>
      <c:valAx>
        <c:axId val="760647184"/>
        <c:scaling>
          <c:orientation val="minMax"/>
        </c:scaling>
        <c:delete val="1"/>
        <c:axPos val="l"/>
        <c:numFmt formatCode="General" sourceLinked="1"/>
        <c:majorTickMark val="out"/>
        <c:minorTickMark val="none"/>
        <c:tickLblPos val="nextTo"/>
        <c:crossAx val="122543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FAVORITE CRAGS</a:t>
            </a:r>
          </a:p>
        </c:rich>
      </c:tx>
      <c:layout>
        <c:manualLayout>
          <c:xMode val="edge"/>
          <c:yMode val="edge"/>
          <c:x val="0.2498811415020491"/>
          <c:y val="1.29032258064516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AC0000"/>
              </a:solidFill>
              <a:ln w="19050">
                <a:solidFill>
                  <a:schemeClr val="lt1"/>
                </a:solidFill>
              </a:ln>
              <a:effectLst/>
            </c:spPr>
            <c:extLst>
              <c:ext xmlns:c16="http://schemas.microsoft.com/office/drawing/2014/chart" uri="{C3380CC4-5D6E-409C-BE32-E72D297353CC}">
                <c16:uniqueId val="{00000001-67CB-427A-AF67-DE38FC4BE00E}"/>
              </c:ext>
            </c:extLst>
          </c:dPt>
          <c:dPt>
            <c:idx val="1"/>
            <c:bubble3D val="0"/>
            <c:spPr>
              <a:solidFill>
                <a:srgbClr val="BC0000"/>
              </a:solidFill>
              <a:ln w="19050">
                <a:solidFill>
                  <a:schemeClr val="lt1"/>
                </a:solidFill>
              </a:ln>
              <a:effectLst/>
            </c:spPr>
            <c:extLst>
              <c:ext xmlns:c16="http://schemas.microsoft.com/office/drawing/2014/chart" uri="{C3380CC4-5D6E-409C-BE32-E72D297353CC}">
                <c16:uniqueId val="{00000003-67CB-427A-AF67-DE38FC4BE00E}"/>
              </c:ext>
            </c:extLst>
          </c:dPt>
          <c:dPt>
            <c:idx val="2"/>
            <c:bubble3D val="0"/>
            <c:spPr>
              <a:solidFill>
                <a:srgbClr val="CC0000"/>
              </a:solidFill>
              <a:ln w="19050">
                <a:solidFill>
                  <a:schemeClr val="lt1"/>
                </a:solidFill>
              </a:ln>
              <a:effectLst/>
            </c:spPr>
            <c:extLst>
              <c:ext xmlns:c16="http://schemas.microsoft.com/office/drawing/2014/chart" uri="{C3380CC4-5D6E-409C-BE32-E72D297353CC}">
                <c16:uniqueId val="{00000005-67CB-427A-AF67-DE38FC4BE00E}"/>
              </c:ext>
            </c:extLst>
          </c:dPt>
          <c:dPt>
            <c:idx val="3"/>
            <c:bubble3D val="0"/>
            <c:spPr>
              <a:solidFill>
                <a:srgbClr val="DC0000"/>
              </a:solidFill>
              <a:ln w="19050">
                <a:solidFill>
                  <a:schemeClr val="lt1"/>
                </a:solidFill>
              </a:ln>
              <a:effectLst/>
            </c:spPr>
            <c:extLst>
              <c:ext xmlns:c16="http://schemas.microsoft.com/office/drawing/2014/chart" uri="{C3380CC4-5D6E-409C-BE32-E72D297353CC}">
                <c16:uniqueId val="{00000007-67CB-427A-AF67-DE38FC4BE00E}"/>
              </c:ext>
            </c:extLst>
          </c:dPt>
          <c:dPt>
            <c:idx val="4"/>
            <c:bubble3D val="0"/>
            <c:spPr>
              <a:solidFill>
                <a:srgbClr val="EC0000"/>
              </a:solidFill>
              <a:ln w="19050">
                <a:solidFill>
                  <a:schemeClr val="lt1"/>
                </a:solidFill>
              </a:ln>
              <a:effectLst/>
            </c:spPr>
            <c:extLst>
              <c:ext xmlns:c16="http://schemas.microsoft.com/office/drawing/2014/chart" uri="{C3380CC4-5D6E-409C-BE32-E72D297353CC}">
                <c16:uniqueId val="{00000009-67CB-427A-AF67-DE38FC4BE00E}"/>
              </c:ext>
            </c:extLst>
          </c:dPt>
          <c:dPt>
            <c:idx val="5"/>
            <c:bubble3D val="0"/>
            <c:spPr>
              <a:solidFill>
                <a:srgbClr val="FC0000"/>
              </a:solidFill>
              <a:ln w="19050">
                <a:solidFill>
                  <a:schemeClr val="lt1"/>
                </a:solidFill>
              </a:ln>
              <a:effectLst/>
            </c:spPr>
            <c:extLst>
              <c:ext xmlns:c16="http://schemas.microsoft.com/office/drawing/2014/chart" uri="{C3380CC4-5D6E-409C-BE32-E72D297353CC}">
                <c16:uniqueId val="{0000000B-67CB-427A-AF67-DE38FC4BE00E}"/>
              </c:ext>
            </c:extLst>
          </c:dPt>
          <c:dPt>
            <c:idx val="6"/>
            <c:bubble3D val="0"/>
            <c:spPr>
              <a:solidFill>
                <a:srgbClr val="FF3F3F"/>
              </a:solidFill>
              <a:ln w="19050">
                <a:solidFill>
                  <a:schemeClr val="lt1"/>
                </a:solidFill>
              </a:ln>
              <a:effectLst/>
            </c:spPr>
            <c:extLst>
              <c:ext xmlns:c16="http://schemas.microsoft.com/office/drawing/2014/chart" uri="{C3380CC4-5D6E-409C-BE32-E72D297353CC}">
                <c16:uniqueId val="{0000000D-67CB-427A-AF67-DE38FC4BE00E}"/>
              </c:ext>
            </c:extLst>
          </c:dPt>
          <c:dPt>
            <c:idx val="7"/>
            <c:bubble3D val="0"/>
            <c:spPr>
              <a:solidFill>
                <a:srgbClr val="FF5A5A"/>
              </a:solidFill>
              <a:ln w="19050">
                <a:solidFill>
                  <a:schemeClr val="lt1"/>
                </a:solidFill>
              </a:ln>
              <a:effectLst/>
            </c:spPr>
            <c:extLst>
              <c:ext xmlns:c16="http://schemas.microsoft.com/office/drawing/2014/chart" uri="{C3380CC4-5D6E-409C-BE32-E72D297353CC}">
                <c16:uniqueId val="{0000000F-67CB-427A-AF67-DE38FC4BE00E}"/>
              </c:ext>
            </c:extLst>
          </c:dPt>
          <c:dPt>
            <c:idx val="8"/>
            <c:bubble3D val="0"/>
            <c:spPr>
              <a:solidFill>
                <a:srgbClr val="FF7878"/>
              </a:solidFill>
              <a:ln w="19050">
                <a:solidFill>
                  <a:schemeClr val="lt1"/>
                </a:solidFill>
              </a:ln>
              <a:effectLst/>
            </c:spPr>
            <c:extLst>
              <c:ext xmlns:c16="http://schemas.microsoft.com/office/drawing/2014/chart" uri="{C3380CC4-5D6E-409C-BE32-E72D297353CC}">
                <c16:uniqueId val="{00000011-67CB-427A-AF67-DE38FC4BE00E}"/>
              </c:ext>
            </c:extLst>
          </c:dPt>
          <c:dPt>
            <c:idx val="9"/>
            <c:bubble3D val="0"/>
            <c:spPr>
              <a:solidFill>
                <a:srgbClr val="FF9696"/>
              </a:solidFill>
              <a:ln w="19050">
                <a:solidFill>
                  <a:schemeClr val="lt1"/>
                </a:solidFill>
              </a:ln>
              <a:effectLst/>
            </c:spPr>
            <c:extLst>
              <c:ext xmlns:c16="http://schemas.microsoft.com/office/drawing/2014/chart" uri="{C3380CC4-5D6E-409C-BE32-E72D297353CC}">
                <c16:uniqueId val="{00000013-67CB-427A-AF67-DE38FC4BE00E}"/>
              </c:ext>
            </c:extLst>
          </c:dPt>
          <c:dPt>
            <c:idx val="10"/>
            <c:bubble3D val="0"/>
            <c:spPr>
              <a:solidFill>
                <a:srgbClr val="FFC8C8"/>
              </a:solidFill>
              <a:ln w="19050">
                <a:solidFill>
                  <a:schemeClr val="lt1"/>
                </a:solidFill>
              </a:ln>
              <a:effectLst/>
            </c:spPr>
            <c:extLst>
              <c:ext xmlns:c16="http://schemas.microsoft.com/office/drawing/2014/chart" uri="{C3380CC4-5D6E-409C-BE32-E72D297353CC}">
                <c16:uniqueId val="{00000015-67CB-427A-AF67-DE38FC4BE00E}"/>
              </c:ext>
            </c:extLst>
          </c:dPt>
          <c:dLbls>
            <c:dLbl>
              <c:idx val="0"/>
              <c:layout>
                <c:manualLayout>
                  <c:x val="0"/>
                  <c:y val="-2.777777777777777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7CB-427A-AF67-DE38FC4BE00E}"/>
                </c:ext>
              </c:extLst>
            </c:dLbl>
            <c:dLbl>
              <c:idx val="1"/>
              <c:layout>
                <c:manualLayout>
                  <c:x val="7.575757575757576E-2"/>
                  <c:y val="-6.944444444444444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CB-427A-AF67-DE38FC4BE00E}"/>
                </c:ext>
              </c:extLst>
            </c:dLbl>
            <c:dLbl>
              <c:idx val="2"/>
              <c:layout>
                <c:manualLayout>
                  <c:x val="0.10101010101010101"/>
                  <c:y val="-4.166666666666666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7CB-427A-AF67-DE38FC4BE00E}"/>
                </c:ext>
              </c:extLst>
            </c:dLbl>
            <c:dLbl>
              <c:idx val="3"/>
              <c:layout>
                <c:manualLayout>
                  <c:x val="0.13347763347763347"/>
                  <c:y val="-1.388888888888888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7CB-427A-AF67-DE38FC4BE00E}"/>
                </c:ext>
              </c:extLst>
            </c:dLbl>
            <c:dLbl>
              <c:idx val="4"/>
              <c:layout>
                <c:manualLayout>
                  <c:x val="7.9365079365079361E-2"/>
                  <c:y val="-1.6975112544026657E-1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7CB-427A-AF67-DE38FC4BE00E}"/>
                </c:ext>
              </c:extLst>
            </c:dLbl>
            <c:dLbl>
              <c:idx val="5"/>
              <c:layout>
                <c:manualLayout>
                  <c:x val="-8.2972582972582976E-2"/>
                  <c:y val="1.388888888888888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7CB-427A-AF67-DE38FC4BE00E}"/>
                </c:ext>
              </c:extLst>
            </c:dLbl>
            <c:dLbl>
              <c:idx val="6"/>
              <c:layout>
                <c:manualLayout>
                  <c:x val="-9.9203601012949658E-2"/>
                  <c:y val="1.5955490112455641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7CB-427A-AF67-DE38FC4BE00E}"/>
                </c:ext>
              </c:extLst>
            </c:dLbl>
            <c:dLbl>
              <c:idx val="7"/>
              <c:layout>
                <c:manualLayout>
                  <c:x val="-0.15668893317904395"/>
                  <c:y val="-5.3830817332737131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7CB-427A-AF67-DE38FC4BE00E}"/>
                </c:ext>
              </c:extLst>
            </c:dLbl>
            <c:dLbl>
              <c:idx val="8"/>
              <c:layout>
                <c:manualLayout>
                  <c:x val="-6.4935064935064929E-2"/>
                  <c:y val="-6.944444444444444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7CB-427A-AF67-DE38FC4BE00E}"/>
                </c:ext>
              </c:extLst>
            </c:dLbl>
            <c:dLbl>
              <c:idx val="9"/>
              <c:layout>
                <c:manualLayout>
                  <c:x val="-5.772005772005772E-2"/>
                  <c:y val="-0.1435185185185185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3-67CB-427A-AF67-DE38FC4BE00E}"/>
                </c:ext>
              </c:extLst>
            </c:dLbl>
            <c:dLbl>
              <c:idx val="10"/>
              <c:layout>
                <c:manualLayout>
                  <c:x val="-3.6075036075036075E-3"/>
                  <c:y val="-5.55555555555555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5-67CB-427A-AF67-DE38FC4BE00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 &amp; CALCULATIONS'!$L$5:$L$15</c:f>
              <c:strCache>
                <c:ptCount val="11"/>
                <c:pt idx="0">
                  <c:v>Siurana</c:v>
                </c:pt>
                <c:pt idx="1">
                  <c:v>Grau dels matxos</c:v>
                </c:pt>
                <c:pt idx="2">
                  <c:v>Chulilla</c:v>
                </c:pt>
                <c:pt idx="3">
                  <c:v>Gelida</c:v>
                </c:pt>
                <c:pt idx="4">
                  <c:v>Martinswand</c:v>
                </c:pt>
                <c:pt idx="5">
                  <c:v>Arco</c:v>
                </c:pt>
                <c:pt idx="6">
                  <c:v>Garraf</c:v>
                </c:pt>
                <c:pt idx="7">
                  <c:v>Arbolí</c:v>
                </c:pt>
                <c:pt idx="8">
                  <c:v>Margalef</c:v>
                </c:pt>
                <c:pt idx="9">
                  <c:v>Font Soleia</c:v>
                </c:pt>
                <c:pt idx="10">
                  <c:v>Other crags</c:v>
                </c:pt>
              </c:strCache>
            </c:strRef>
          </c:cat>
          <c:val>
            <c:numRef>
              <c:f>'PIVOTS &amp; CALCULATIONS'!$M$5:$M$15</c:f>
              <c:numCache>
                <c:formatCode>General</c:formatCode>
                <c:ptCount val="11"/>
                <c:pt idx="0">
                  <c:v>52</c:v>
                </c:pt>
                <c:pt idx="1">
                  <c:v>16</c:v>
                </c:pt>
                <c:pt idx="2">
                  <c:v>13</c:v>
                </c:pt>
                <c:pt idx="3">
                  <c:v>12</c:v>
                </c:pt>
                <c:pt idx="4">
                  <c:v>11</c:v>
                </c:pt>
                <c:pt idx="5">
                  <c:v>11</c:v>
                </c:pt>
                <c:pt idx="6">
                  <c:v>7</c:v>
                </c:pt>
                <c:pt idx="7">
                  <c:v>7</c:v>
                </c:pt>
                <c:pt idx="8">
                  <c:v>7</c:v>
                </c:pt>
                <c:pt idx="9">
                  <c:v>5</c:v>
                </c:pt>
                <c:pt idx="10">
                  <c:v>68</c:v>
                </c:pt>
              </c:numCache>
            </c:numRef>
          </c:val>
          <c:extLst>
            <c:ext xmlns:c16="http://schemas.microsoft.com/office/drawing/2014/chart" uri="{C3380CC4-5D6E-409C-BE32-E72D297353CC}">
              <c16:uniqueId val="{00000016-67CB-427A-AF67-DE38FC4BE00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 September 2025.xlsx]PIVOTS &amp; CALCULATIONS!Count per crag</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FAVORITE CRAGS</a:t>
            </a:r>
          </a:p>
        </c:rich>
      </c:tx>
      <c:layout>
        <c:manualLayout>
          <c:xMode val="edge"/>
          <c:yMode val="edge"/>
          <c:x val="0.3082162162162162"/>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C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CALCULATIONS'!$J$4</c:f>
              <c:strCache>
                <c:ptCount val="1"/>
                <c:pt idx="0">
                  <c:v>Total</c:v>
                </c:pt>
              </c:strCache>
            </c:strRef>
          </c:tx>
          <c:spPr>
            <a:solidFill>
              <a:srgbClr val="BC0000"/>
            </a:solidFill>
            <a:ln>
              <a:noFill/>
            </a:ln>
            <a:effectLst/>
          </c:spPr>
          <c:invertIfNegative val="0"/>
          <c:cat>
            <c:strRef>
              <c:f>'PIVOTS &amp; CALCULATIONS'!$I$5:$I$51</c:f>
              <c:strCache>
                <c:ptCount val="46"/>
                <c:pt idx="0">
                  <c:v>Siurana</c:v>
                </c:pt>
                <c:pt idx="1">
                  <c:v>Grau dels matxos</c:v>
                </c:pt>
                <c:pt idx="2">
                  <c:v>Chulilla</c:v>
                </c:pt>
                <c:pt idx="3">
                  <c:v>Gelida</c:v>
                </c:pt>
                <c:pt idx="4">
                  <c:v>Martinswand</c:v>
                </c:pt>
                <c:pt idx="5">
                  <c:v>Arco</c:v>
                </c:pt>
                <c:pt idx="6">
                  <c:v>Garraf</c:v>
                </c:pt>
                <c:pt idx="7">
                  <c:v>Arbolí</c:v>
                </c:pt>
                <c:pt idx="8">
                  <c:v>Margalef</c:v>
                </c:pt>
                <c:pt idx="9">
                  <c:v>Font Soleia</c:v>
                </c:pt>
                <c:pt idx="10">
                  <c:v>Silz</c:v>
                </c:pt>
                <c:pt idx="11">
                  <c:v>Mallorca</c:v>
                </c:pt>
                <c:pt idx="12">
                  <c:v>Roc d'Anglars</c:v>
                </c:pt>
                <c:pt idx="13">
                  <c:v>Rodellar</c:v>
                </c:pt>
                <c:pt idx="14">
                  <c:v>Sadernes</c:v>
                </c:pt>
                <c:pt idx="15">
                  <c:v>Zillertal - Astholz</c:v>
                </c:pt>
                <c:pt idx="16">
                  <c:v>Zillertal -Monkey Island</c:v>
                </c:pt>
                <c:pt idx="17">
                  <c:v>Montserrat norte</c:v>
                </c:pt>
                <c:pt idx="18">
                  <c:v>Gorges du Tarn</c:v>
                </c:pt>
                <c:pt idx="19">
                  <c:v>Starkenbach</c:v>
                </c:pt>
                <c:pt idx="20">
                  <c:v>Achleiten</c:v>
                </c:pt>
                <c:pt idx="21">
                  <c:v>Ötztal</c:v>
                </c:pt>
                <c:pt idx="22">
                  <c:v>Le Coupeau</c:v>
                </c:pt>
                <c:pt idx="23">
                  <c:v>Etxauri</c:v>
                </c:pt>
                <c:pt idx="24">
                  <c:v>Berglsteinersee</c:v>
                </c:pt>
                <c:pt idx="25">
                  <c:v>Zillertal - Ewige Jagdgründe</c:v>
                </c:pt>
                <c:pt idx="26">
                  <c:v>Masriudoms</c:v>
                </c:pt>
                <c:pt idx="27">
                  <c:v>Sautens</c:v>
                </c:pt>
                <c:pt idx="28">
                  <c:v>Montserrat sur</c:v>
                </c:pt>
                <c:pt idx="29">
                  <c:v>Hundepension</c:v>
                </c:pt>
                <c:pt idx="30">
                  <c:v>Ailefroide</c:v>
                </c:pt>
                <c:pt idx="31">
                  <c:v>Atlantida</c:v>
                </c:pt>
                <c:pt idx="32">
                  <c:v>Le Fayet</c:v>
                </c:pt>
                <c:pt idx="33">
                  <c:v>Can Paulet</c:v>
                </c:pt>
                <c:pt idx="34">
                  <c:v>Fenda de Arrabida</c:v>
                </c:pt>
                <c:pt idx="35">
                  <c:v>Gorges de la Cesse</c:v>
                </c:pt>
                <c:pt idx="36">
                  <c:v>Collegats</c:v>
                </c:pt>
                <c:pt idx="37">
                  <c:v>Penyes Aragonesas (Castellón)</c:v>
                </c:pt>
                <c:pt idx="38">
                  <c:v>Dent de la Rancune</c:v>
                </c:pt>
                <c:pt idx="39">
                  <c:v>Carol</c:v>
                </c:pt>
                <c:pt idx="40">
                  <c:v>Unterinn</c:v>
                </c:pt>
                <c:pt idx="41">
                  <c:v>Roc de la Lluna</c:v>
                </c:pt>
                <c:pt idx="42">
                  <c:v>Marxuquera</c:v>
                </c:pt>
                <c:pt idx="43">
                  <c:v>Cavallers</c:v>
                </c:pt>
                <c:pt idx="44">
                  <c:v>Bichlersee</c:v>
                </c:pt>
                <c:pt idx="45">
                  <c:v>Arboli</c:v>
                </c:pt>
              </c:strCache>
            </c:strRef>
          </c:cat>
          <c:val>
            <c:numRef>
              <c:f>'PIVOTS &amp; CALCULATIONS'!$J$5:$J$51</c:f>
              <c:numCache>
                <c:formatCode>General</c:formatCode>
                <c:ptCount val="46"/>
                <c:pt idx="0">
                  <c:v>52</c:v>
                </c:pt>
                <c:pt idx="1">
                  <c:v>16</c:v>
                </c:pt>
                <c:pt idx="2">
                  <c:v>13</c:v>
                </c:pt>
                <c:pt idx="3">
                  <c:v>12</c:v>
                </c:pt>
                <c:pt idx="4">
                  <c:v>11</c:v>
                </c:pt>
                <c:pt idx="5">
                  <c:v>11</c:v>
                </c:pt>
                <c:pt idx="6">
                  <c:v>7</c:v>
                </c:pt>
                <c:pt idx="7">
                  <c:v>7</c:v>
                </c:pt>
                <c:pt idx="8">
                  <c:v>7</c:v>
                </c:pt>
                <c:pt idx="9">
                  <c:v>5</c:v>
                </c:pt>
                <c:pt idx="10">
                  <c:v>5</c:v>
                </c:pt>
                <c:pt idx="11">
                  <c:v>4</c:v>
                </c:pt>
                <c:pt idx="12">
                  <c:v>3</c:v>
                </c:pt>
                <c:pt idx="13">
                  <c:v>3</c:v>
                </c:pt>
                <c:pt idx="14">
                  <c:v>3</c:v>
                </c:pt>
                <c:pt idx="15">
                  <c:v>3</c:v>
                </c:pt>
                <c:pt idx="16">
                  <c:v>3</c:v>
                </c:pt>
                <c:pt idx="17">
                  <c:v>3</c:v>
                </c:pt>
                <c:pt idx="18">
                  <c:v>3</c:v>
                </c:pt>
                <c:pt idx="19">
                  <c:v>2</c:v>
                </c:pt>
                <c:pt idx="20">
                  <c:v>2</c:v>
                </c:pt>
                <c:pt idx="21">
                  <c:v>2</c:v>
                </c:pt>
                <c:pt idx="22">
                  <c:v>2</c:v>
                </c:pt>
                <c:pt idx="23">
                  <c:v>2</c:v>
                </c:pt>
                <c:pt idx="24">
                  <c:v>2</c:v>
                </c:pt>
                <c:pt idx="25">
                  <c:v>2</c:v>
                </c:pt>
                <c:pt idx="26">
                  <c:v>2</c:v>
                </c:pt>
                <c:pt idx="27">
                  <c:v>2</c:v>
                </c:pt>
                <c:pt idx="28">
                  <c:v>2</c:v>
                </c:pt>
                <c:pt idx="29">
                  <c:v>2</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numCache>
            </c:numRef>
          </c:val>
          <c:extLst>
            <c:ext xmlns:c16="http://schemas.microsoft.com/office/drawing/2014/chart" uri="{C3380CC4-5D6E-409C-BE32-E72D297353CC}">
              <c16:uniqueId val="{00000000-8FAB-4B51-9372-04972A5DF2EA}"/>
            </c:ext>
          </c:extLst>
        </c:ser>
        <c:dLbls>
          <c:showLegendKey val="0"/>
          <c:showVal val="0"/>
          <c:showCatName val="0"/>
          <c:showSerName val="0"/>
          <c:showPercent val="0"/>
          <c:showBubbleSize val="0"/>
        </c:dLbls>
        <c:gapWidth val="75"/>
        <c:axId val="1232114992"/>
        <c:axId val="628608288"/>
      </c:barChart>
      <c:catAx>
        <c:axId val="123211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608288"/>
        <c:crosses val="autoZero"/>
        <c:auto val="1"/>
        <c:lblAlgn val="ctr"/>
        <c:lblOffset val="100"/>
        <c:noMultiLvlLbl val="0"/>
      </c:catAx>
      <c:valAx>
        <c:axId val="62860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11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 September 2025.xlsx]PIVOTS &amp; CALCULATIONS!Count per country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23791821561338289"/>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5774473358116479"/>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6852540272614622"/>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3.9653035935563859E-2"/>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4374225526641884"/>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s>
    <c:plotArea>
      <c:layout/>
      <c:doughnutChart>
        <c:varyColors val="1"/>
        <c:ser>
          <c:idx val="0"/>
          <c:order val="0"/>
          <c:tx>
            <c:strRef>
              <c:f>'PIVOTS &amp; CALCULATIONS'!$M$19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55-45FC-BFD2-DDA1D04896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55-45FC-BFD2-DDA1D04896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55-45FC-BFD2-DDA1D04896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D55-45FC-BFD2-DDA1D048966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D55-45FC-BFD2-DDA1D048966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31A-4AEE-93A8-65A97D2187E0}"/>
              </c:ext>
            </c:extLst>
          </c:dPt>
          <c:dLbls>
            <c:dLbl>
              <c:idx val="0"/>
              <c:layout>
                <c:manualLayout>
                  <c:x val="0.14374225526641884"/>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FD55-45FC-BFD2-DDA1D0489660}"/>
                </c:ext>
              </c:extLst>
            </c:dLbl>
            <c:dLbl>
              <c:idx val="1"/>
              <c:layout>
                <c:manualLayout>
                  <c:x val="-0.23791821561338289"/>
                  <c:y val="-5.0925925925925923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FD55-45FC-BFD2-DDA1D0489660}"/>
                </c:ext>
              </c:extLst>
            </c:dLbl>
            <c:dLbl>
              <c:idx val="2"/>
              <c:layout>
                <c:manualLayout>
                  <c:x val="-0.25774473358116479"/>
                  <c:y val="-0.11574074074074074"/>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FD55-45FC-BFD2-DDA1D0489660}"/>
                </c:ext>
              </c:extLst>
            </c:dLbl>
            <c:dLbl>
              <c:idx val="3"/>
              <c:layout>
                <c:manualLayout>
                  <c:x val="0.16852540272614622"/>
                  <c:y val="-0.13425925925925927"/>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FD55-45FC-BFD2-DDA1D0489660}"/>
                </c:ext>
              </c:extLst>
            </c:dLbl>
            <c:dLbl>
              <c:idx val="4"/>
              <c:layout>
                <c:manualLayout>
                  <c:x val="-3.9653035935563859E-2"/>
                  <c:y val="-0.14814814814814814"/>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FD55-45FC-BFD2-DDA1D04896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 &amp; CALCULATIONS'!$L$20:$L$26</c:f>
              <c:strCache>
                <c:ptCount val="6"/>
                <c:pt idx="0">
                  <c:v>Spain</c:v>
                </c:pt>
                <c:pt idx="1">
                  <c:v>Austria</c:v>
                </c:pt>
                <c:pt idx="2">
                  <c:v>France</c:v>
                </c:pt>
                <c:pt idx="3">
                  <c:v>Italy</c:v>
                </c:pt>
                <c:pt idx="4">
                  <c:v>Portugal</c:v>
                </c:pt>
                <c:pt idx="5">
                  <c:v>Germany</c:v>
                </c:pt>
              </c:strCache>
            </c:strRef>
          </c:cat>
          <c:val>
            <c:numRef>
              <c:f>'PIVOTS &amp; CALCULATIONS'!$M$20:$M$26</c:f>
              <c:numCache>
                <c:formatCode>General</c:formatCode>
                <c:ptCount val="6"/>
                <c:pt idx="0">
                  <c:v>145</c:v>
                </c:pt>
                <c:pt idx="1">
                  <c:v>36</c:v>
                </c:pt>
                <c:pt idx="2">
                  <c:v>13</c:v>
                </c:pt>
                <c:pt idx="3">
                  <c:v>12</c:v>
                </c:pt>
                <c:pt idx="4">
                  <c:v>2</c:v>
                </c:pt>
                <c:pt idx="5">
                  <c:v>1</c:v>
                </c:pt>
              </c:numCache>
            </c:numRef>
          </c:val>
          <c:extLst>
            <c:ext xmlns:c16="http://schemas.microsoft.com/office/drawing/2014/chart" uri="{C3380CC4-5D6E-409C-BE32-E72D297353CC}">
              <c16:uniqueId val="{0000000A-FD55-45FC-BFD2-DDA1D048966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[Sport climbing data and dashboard - September 2025.xlsx]PIVOTS &amp; CALCULATIONS!Favorite Belayer last 12 months</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FAVORITE PARTNERS LAST 12 MONTHS</a:t>
            </a:r>
            <a:endParaRPr lang="en-US" sz="1400"/>
          </a:p>
        </c:rich>
      </c:tx>
      <c:layout>
        <c:manualLayout>
          <c:xMode val="edge"/>
          <c:yMode val="edge"/>
          <c:x val="0.28194444444444444"/>
          <c:y val="7.716049382716049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spPr>
          <a:solidFill>
            <a:schemeClr val="accent2"/>
          </a:solidFill>
          <a:ln>
            <a:noFill/>
          </a:ln>
          <a:effectLst/>
        </c:spPr>
      </c:pivotFmt>
      <c:pivotFmt>
        <c:idx val="8"/>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755134281200632E-2"/>
          <c:y val="0.16442840478273549"/>
          <c:w val="0.93048973143759872"/>
          <c:h val="0.51357963935063677"/>
        </c:manualLayout>
      </c:layout>
      <c:barChart>
        <c:barDir val="col"/>
        <c:grouping val="clustered"/>
        <c:varyColors val="0"/>
        <c:ser>
          <c:idx val="0"/>
          <c:order val="0"/>
          <c:tx>
            <c:strRef>
              <c:f>'PIVOTS &amp; CALCULATIONS'!$S$24</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CALCULATIONS'!$R$25:$R$29</c:f>
              <c:strCache>
                <c:ptCount val="5"/>
                <c:pt idx="0">
                  <c:v>Chrissi</c:v>
                </c:pt>
                <c:pt idx="1">
                  <c:v>Tibor</c:v>
                </c:pt>
                <c:pt idx="2">
                  <c:v>Christian</c:v>
                </c:pt>
                <c:pt idx="3">
                  <c:v>Francesco</c:v>
                </c:pt>
                <c:pt idx="4">
                  <c:v>Luca</c:v>
                </c:pt>
              </c:strCache>
            </c:strRef>
          </c:cat>
          <c:val>
            <c:numRef>
              <c:f>'PIVOTS &amp; CALCULATIONS'!$S$25:$S$29</c:f>
              <c:numCache>
                <c:formatCode>General</c:formatCode>
                <c:ptCount val="5"/>
                <c:pt idx="0">
                  <c:v>25</c:v>
                </c:pt>
                <c:pt idx="1">
                  <c:v>6</c:v>
                </c:pt>
                <c:pt idx="2">
                  <c:v>5</c:v>
                </c:pt>
                <c:pt idx="3">
                  <c:v>4</c:v>
                </c:pt>
                <c:pt idx="4">
                  <c:v>1</c:v>
                </c:pt>
              </c:numCache>
            </c:numRef>
          </c:val>
          <c:extLst>
            <c:ext xmlns:c16="http://schemas.microsoft.com/office/drawing/2014/chart" uri="{C3380CC4-5D6E-409C-BE32-E72D297353CC}">
              <c16:uniqueId val="{00000000-285A-4E21-BCC3-1BBDCEE1CE06}"/>
            </c:ext>
          </c:extLst>
        </c:ser>
        <c:dLbls>
          <c:dLblPos val="outEnd"/>
          <c:showLegendKey val="0"/>
          <c:showVal val="1"/>
          <c:showCatName val="0"/>
          <c:showSerName val="0"/>
          <c:showPercent val="0"/>
          <c:showBubbleSize val="0"/>
        </c:dLbls>
        <c:gapWidth val="75"/>
        <c:axId val="1225436432"/>
        <c:axId val="760647184"/>
      </c:barChart>
      <c:catAx>
        <c:axId val="1225436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647184"/>
        <c:crosses val="autoZero"/>
        <c:auto val="1"/>
        <c:lblAlgn val="ctr"/>
        <c:lblOffset val="100"/>
        <c:noMultiLvlLbl val="0"/>
      </c:catAx>
      <c:valAx>
        <c:axId val="760647184"/>
        <c:scaling>
          <c:orientation val="minMax"/>
        </c:scaling>
        <c:delete val="1"/>
        <c:axPos val="l"/>
        <c:numFmt formatCode="General" sourceLinked="1"/>
        <c:majorTickMark val="out"/>
        <c:minorTickMark val="none"/>
        <c:tickLblPos val="nextTo"/>
        <c:crossAx val="122543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Number of tries vs height of the route</a:t>
            </a:r>
          </a:p>
        </c:rich>
      </c:tx>
      <c:layout>
        <c:manualLayout>
          <c:xMode val="edge"/>
          <c:yMode val="edge"/>
          <c:x val="0.21228455818022748"/>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427537182852142E-2"/>
          <c:y val="0.17171296296296296"/>
          <c:w val="0.87250240594925632"/>
          <c:h val="0.7060495042286381"/>
        </c:manualLayout>
      </c:layout>
      <c:scatterChart>
        <c:scatterStyle val="lineMarker"/>
        <c:varyColors val="0"/>
        <c:ser>
          <c:idx val="0"/>
          <c:order val="0"/>
          <c:tx>
            <c:strRef>
              <c:f>DATA!$O$1</c:f>
              <c:strCache>
                <c:ptCount val="1"/>
                <c:pt idx="0">
                  <c:v>Tries num. only excl. outliers</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25400" cap="rnd">
                <a:solidFill>
                  <a:srgbClr val="C00000"/>
                </a:solidFill>
                <a:prstDash val="solid"/>
              </a:ln>
              <a:effectLst/>
            </c:spPr>
            <c:trendlineType val="linear"/>
            <c:dispRSqr val="1"/>
            <c:dispEq val="0"/>
            <c:trendlineLbl>
              <c:layout>
                <c:manualLayout>
                  <c:x val="9.5222440944881886E-2"/>
                  <c:y val="-6.3823636628754746E-2"/>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rgbClr val="0070C0"/>
                      </a:solidFill>
                      <a:latin typeface="+mn-lt"/>
                      <a:ea typeface="+mn-ea"/>
                      <a:cs typeface="+mn-cs"/>
                    </a:defRPr>
                  </a:pPr>
                  <a:endParaRPr lang="en-US"/>
                </a:p>
              </c:txPr>
            </c:trendlineLbl>
          </c:trendline>
          <c:xVal>
            <c:numRef>
              <c:f>DATA!$K$2:$K$210</c:f>
              <c:numCache>
                <c:formatCode>General</c:formatCode>
                <c:ptCount val="209"/>
                <c:pt idx="0">
                  <c:v>15</c:v>
                </c:pt>
                <c:pt idx="1">
                  <c:v>25</c:v>
                </c:pt>
                <c:pt idx="2">
                  <c:v>25</c:v>
                </c:pt>
                <c:pt idx="3">
                  <c:v>18</c:v>
                </c:pt>
                <c:pt idx="4">
                  <c:v>20</c:v>
                </c:pt>
                <c:pt idx="5">
                  <c:v>20</c:v>
                </c:pt>
                <c:pt idx="6">
                  <c:v>25</c:v>
                </c:pt>
                <c:pt idx="7">
                  <c:v>25</c:v>
                </c:pt>
                <c:pt idx="8">
                  <c:v>25</c:v>
                </c:pt>
                <c:pt idx="9">
                  <c:v>18</c:v>
                </c:pt>
                <c:pt idx="10">
                  <c:v>12</c:v>
                </c:pt>
                <c:pt idx="11">
                  <c:v>25</c:v>
                </c:pt>
                <c:pt idx="12">
                  <c:v>20</c:v>
                </c:pt>
                <c:pt idx="13">
                  <c:v>20</c:v>
                </c:pt>
                <c:pt idx="14">
                  <c:v>20</c:v>
                </c:pt>
                <c:pt idx="15">
                  <c:v>20</c:v>
                </c:pt>
                <c:pt idx="16">
                  <c:v>18</c:v>
                </c:pt>
                <c:pt idx="17">
                  <c:v>25</c:v>
                </c:pt>
                <c:pt idx="18">
                  <c:v>30</c:v>
                </c:pt>
                <c:pt idx="19">
                  <c:v>30</c:v>
                </c:pt>
                <c:pt idx="20">
                  <c:v>25</c:v>
                </c:pt>
                <c:pt idx="21">
                  <c:v>20</c:v>
                </c:pt>
                <c:pt idx="22">
                  <c:v>22</c:v>
                </c:pt>
                <c:pt idx="23">
                  <c:v>18</c:v>
                </c:pt>
                <c:pt idx="24">
                  <c:v>15</c:v>
                </c:pt>
                <c:pt idx="25">
                  <c:v>25</c:v>
                </c:pt>
                <c:pt idx="26">
                  <c:v>20</c:v>
                </c:pt>
                <c:pt idx="27">
                  <c:v>20</c:v>
                </c:pt>
                <c:pt idx="28">
                  <c:v>25</c:v>
                </c:pt>
                <c:pt idx="29">
                  <c:v>32</c:v>
                </c:pt>
                <c:pt idx="30">
                  <c:v>25</c:v>
                </c:pt>
                <c:pt idx="31">
                  <c:v>25</c:v>
                </c:pt>
                <c:pt idx="32">
                  <c:v>25</c:v>
                </c:pt>
                <c:pt idx="33">
                  <c:v>35</c:v>
                </c:pt>
                <c:pt idx="34">
                  <c:v>30</c:v>
                </c:pt>
                <c:pt idx="35">
                  <c:v>25</c:v>
                </c:pt>
                <c:pt idx="36">
                  <c:v>10</c:v>
                </c:pt>
                <c:pt idx="37">
                  <c:v>10</c:v>
                </c:pt>
                <c:pt idx="38">
                  <c:v>12</c:v>
                </c:pt>
                <c:pt idx="39">
                  <c:v>25</c:v>
                </c:pt>
                <c:pt idx="40">
                  <c:v>20</c:v>
                </c:pt>
                <c:pt idx="41">
                  <c:v>30</c:v>
                </c:pt>
                <c:pt idx="42">
                  <c:v>25</c:v>
                </c:pt>
                <c:pt idx="43">
                  <c:v>25</c:v>
                </c:pt>
                <c:pt idx="44">
                  <c:v>28</c:v>
                </c:pt>
                <c:pt idx="45">
                  <c:v>30</c:v>
                </c:pt>
                <c:pt idx="46">
                  <c:v>25</c:v>
                </c:pt>
                <c:pt idx="47">
                  <c:v>25</c:v>
                </c:pt>
                <c:pt idx="48">
                  <c:v>25</c:v>
                </c:pt>
                <c:pt idx="49">
                  <c:v>25</c:v>
                </c:pt>
                <c:pt idx="50">
                  <c:v>20</c:v>
                </c:pt>
                <c:pt idx="51">
                  <c:v>20</c:v>
                </c:pt>
                <c:pt idx="52">
                  <c:v>30</c:v>
                </c:pt>
                <c:pt idx="53">
                  <c:v>30</c:v>
                </c:pt>
                <c:pt idx="54">
                  <c:v>38</c:v>
                </c:pt>
                <c:pt idx="55">
                  <c:v>20</c:v>
                </c:pt>
                <c:pt idx="56">
                  <c:v>25</c:v>
                </c:pt>
                <c:pt idx="57">
                  <c:v>20</c:v>
                </c:pt>
                <c:pt idx="58">
                  <c:v>25</c:v>
                </c:pt>
                <c:pt idx="59">
                  <c:v>12</c:v>
                </c:pt>
                <c:pt idx="60">
                  <c:v>32</c:v>
                </c:pt>
                <c:pt idx="61">
                  <c:v>32</c:v>
                </c:pt>
                <c:pt idx="62">
                  <c:v>32</c:v>
                </c:pt>
                <c:pt idx="63">
                  <c:v>18</c:v>
                </c:pt>
                <c:pt idx="64">
                  <c:v>20</c:v>
                </c:pt>
                <c:pt idx="65">
                  <c:v>18</c:v>
                </c:pt>
                <c:pt idx="66">
                  <c:v>30</c:v>
                </c:pt>
                <c:pt idx="67">
                  <c:v>30</c:v>
                </c:pt>
                <c:pt idx="68">
                  <c:v>25</c:v>
                </c:pt>
                <c:pt idx="69">
                  <c:v>35</c:v>
                </c:pt>
                <c:pt idx="70">
                  <c:v>35</c:v>
                </c:pt>
                <c:pt idx="71">
                  <c:v>25</c:v>
                </c:pt>
                <c:pt idx="72">
                  <c:v>25</c:v>
                </c:pt>
                <c:pt idx="73">
                  <c:v>30</c:v>
                </c:pt>
                <c:pt idx="74">
                  <c:v>10</c:v>
                </c:pt>
                <c:pt idx="75">
                  <c:v>25</c:v>
                </c:pt>
                <c:pt idx="76">
                  <c:v>25</c:v>
                </c:pt>
                <c:pt idx="77">
                  <c:v>12</c:v>
                </c:pt>
                <c:pt idx="78">
                  <c:v>25</c:v>
                </c:pt>
                <c:pt idx="79">
                  <c:v>12</c:v>
                </c:pt>
                <c:pt idx="80">
                  <c:v>22</c:v>
                </c:pt>
                <c:pt idx="81">
                  <c:v>25</c:v>
                </c:pt>
                <c:pt idx="82">
                  <c:v>30</c:v>
                </c:pt>
                <c:pt idx="83">
                  <c:v>13</c:v>
                </c:pt>
                <c:pt idx="84">
                  <c:v>25</c:v>
                </c:pt>
                <c:pt idx="85">
                  <c:v>20</c:v>
                </c:pt>
                <c:pt idx="86">
                  <c:v>30</c:v>
                </c:pt>
                <c:pt idx="87">
                  <c:v>30</c:v>
                </c:pt>
                <c:pt idx="88">
                  <c:v>20</c:v>
                </c:pt>
                <c:pt idx="89">
                  <c:v>35</c:v>
                </c:pt>
                <c:pt idx="90">
                  <c:v>22</c:v>
                </c:pt>
                <c:pt idx="91">
                  <c:v>25</c:v>
                </c:pt>
                <c:pt idx="92">
                  <c:v>25</c:v>
                </c:pt>
                <c:pt idx="93">
                  <c:v>25</c:v>
                </c:pt>
                <c:pt idx="94">
                  <c:v>25</c:v>
                </c:pt>
                <c:pt idx="95">
                  <c:v>20</c:v>
                </c:pt>
                <c:pt idx="96">
                  <c:v>28</c:v>
                </c:pt>
                <c:pt idx="97">
                  <c:v>30</c:v>
                </c:pt>
                <c:pt idx="98">
                  <c:v>30</c:v>
                </c:pt>
                <c:pt idx="99">
                  <c:v>18</c:v>
                </c:pt>
                <c:pt idx="100">
                  <c:v>40</c:v>
                </c:pt>
                <c:pt idx="101">
                  <c:v>15</c:v>
                </c:pt>
                <c:pt idx="102">
                  <c:v>20</c:v>
                </c:pt>
                <c:pt idx="103">
                  <c:v>25</c:v>
                </c:pt>
                <c:pt idx="104">
                  <c:v>20</c:v>
                </c:pt>
                <c:pt idx="105">
                  <c:v>20</c:v>
                </c:pt>
                <c:pt idx="106">
                  <c:v>16</c:v>
                </c:pt>
                <c:pt idx="107">
                  <c:v>20</c:v>
                </c:pt>
                <c:pt idx="108">
                  <c:v>25</c:v>
                </c:pt>
                <c:pt idx="109">
                  <c:v>18</c:v>
                </c:pt>
                <c:pt idx="110">
                  <c:v>18</c:v>
                </c:pt>
                <c:pt idx="111">
                  <c:v>22</c:v>
                </c:pt>
                <c:pt idx="112">
                  <c:v>18</c:v>
                </c:pt>
                <c:pt idx="113">
                  <c:v>18</c:v>
                </c:pt>
                <c:pt idx="114">
                  <c:v>18</c:v>
                </c:pt>
                <c:pt idx="115">
                  <c:v>25</c:v>
                </c:pt>
                <c:pt idx="116">
                  <c:v>20</c:v>
                </c:pt>
                <c:pt idx="117">
                  <c:v>15</c:v>
                </c:pt>
                <c:pt idx="118">
                  <c:v>35</c:v>
                </c:pt>
                <c:pt idx="119">
                  <c:v>20</c:v>
                </c:pt>
                <c:pt idx="120">
                  <c:v>35</c:v>
                </c:pt>
                <c:pt idx="121">
                  <c:v>20</c:v>
                </c:pt>
                <c:pt idx="122">
                  <c:v>23</c:v>
                </c:pt>
                <c:pt idx="123">
                  <c:v>23</c:v>
                </c:pt>
                <c:pt idx="124">
                  <c:v>15</c:v>
                </c:pt>
                <c:pt idx="125">
                  <c:v>16</c:v>
                </c:pt>
                <c:pt idx="126">
                  <c:v>16</c:v>
                </c:pt>
                <c:pt idx="127">
                  <c:v>16</c:v>
                </c:pt>
                <c:pt idx="128">
                  <c:v>27</c:v>
                </c:pt>
                <c:pt idx="129">
                  <c:v>20</c:v>
                </c:pt>
                <c:pt idx="130">
                  <c:v>18</c:v>
                </c:pt>
                <c:pt idx="131">
                  <c:v>15</c:v>
                </c:pt>
                <c:pt idx="132">
                  <c:v>20</c:v>
                </c:pt>
                <c:pt idx="133">
                  <c:v>12</c:v>
                </c:pt>
                <c:pt idx="134">
                  <c:v>10</c:v>
                </c:pt>
                <c:pt idx="135">
                  <c:v>15</c:v>
                </c:pt>
                <c:pt idx="136">
                  <c:v>18</c:v>
                </c:pt>
                <c:pt idx="137">
                  <c:v>25</c:v>
                </c:pt>
                <c:pt idx="138">
                  <c:v>28</c:v>
                </c:pt>
                <c:pt idx="139">
                  <c:v>20</c:v>
                </c:pt>
                <c:pt idx="140">
                  <c:v>28</c:v>
                </c:pt>
                <c:pt idx="141">
                  <c:v>18</c:v>
                </c:pt>
                <c:pt idx="142">
                  <c:v>25</c:v>
                </c:pt>
                <c:pt idx="143">
                  <c:v>18</c:v>
                </c:pt>
                <c:pt idx="144">
                  <c:v>30</c:v>
                </c:pt>
                <c:pt idx="145">
                  <c:v>25</c:v>
                </c:pt>
                <c:pt idx="146">
                  <c:v>16</c:v>
                </c:pt>
                <c:pt idx="147">
                  <c:v>22</c:v>
                </c:pt>
                <c:pt idx="148">
                  <c:v>15</c:v>
                </c:pt>
                <c:pt idx="149">
                  <c:v>18</c:v>
                </c:pt>
                <c:pt idx="150">
                  <c:v>20</c:v>
                </c:pt>
                <c:pt idx="151">
                  <c:v>10</c:v>
                </c:pt>
                <c:pt idx="152">
                  <c:v>20</c:v>
                </c:pt>
                <c:pt idx="153">
                  <c:v>12</c:v>
                </c:pt>
                <c:pt idx="154">
                  <c:v>18</c:v>
                </c:pt>
                <c:pt idx="155">
                  <c:v>15</c:v>
                </c:pt>
                <c:pt idx="156">
                  <c:v>10</c:v>
                </c:pt>
                <c:pt idx="157">
                  <c:v>22</c:v>
                </c:pt>
                <c:pt idx="158">
                  <c:v>22</c:v>
                </c:pt>
                <c:pt idx="159">
                  <c:v>24</c:v>
                </c:pt>
                <c:pt idx="160">
                  <c:v>18</c:v>
                </c:pt>
                <c:pt idx="161">
                  <c:v>20</c:v>
                </c:pt>
                <c:pt idx="162">
                  <c:v>22</c:v>
                </c:pt>
                <c:pt idx="163">
                  <c:v>20</c:v>
                </c:pt>
                <c:pt idx="164">
                  <c:v>12</c:v>
                </c:pt>
                <c:pt idx="165">
                  <c:v>20</c:v>
                </c:pt>
                <c:pt idx="166">
                  <c:v>20</c:v>
                </c:pt>
                <c:pt idx="167">
                  <c:v>18</c:v>
                </c:pt>
                <c:pt idx="168">
                  <c:v>25</c:v>
                </c:pt>
                <c:pt idx="169">
                  <c:v>8</c:v>
                </c:pt>
                <c:pt idx="170">
                  <c:v>27</c:v>
                </c:pt>
                <c:pt idx="171">
                  <c:v>22</c:v>
                </c:pt>
                <c:pt idx="172">
                  <c:v>25</c:v>
                </c:pt>
                <c:pt idx="173">
                  <c:v>30</c:v>
                </c:pt>
                <c:pt idx="174">
                  <c:v>40</c:v>
                </c:pt>
                <c:pt idx="175">
                  <c:v>30</c:v>
                </c:pt>
                <c:pt idx="176">
                  <c:v>16</c:v>
                </c:pt>
                <c:pt idx="177">
                  <c:v>20</c:v>
                </c:pt>
                <c:pt idx="178">
                  <c:v>19</c:v>
                </c:pt>
                <c:pt idx="179">
                  <c:v>24</c:v>
                </c:pt>
                <c:pt idx="180">
                  <c:v>15</c:v>
                </c:pt>
                <c:pt idx="181">
                  <c:v>15</c:v>
                </c:pt>
                <c:pt idx="182">
                  <c:v>33</c:v>
                </c:pt>
                <c:pt idx="183">
                  <c:v>26</c:v>
                </c:pt>
                <c:pt idx="184">
                  <c:v>22</c:v>
                </c:pt>
                <c:pt idx="185">
                  <c:v>20</c:v>
                </c:pt>
                <c:pt idx="186">
                  <c:v>20</c:v>
                </c:pt>
                <c:pt idx="187">
                  <c:v>20</c:v>
                </c:pt>
                <c:pt idx="188">
                  <c:v>10</c:v>
                </c:pt>
                <c:pt idx="189">
                  <c:v>10</c:v>
                </c:pt>
                <c:pt idx="190">
                  <c:v>25</c:v>
                </c:pt>
                <c:pt idx="191">
                  <c:v>20</c:v>
                </c:pt>
                <c:pt idx="192">
                  <c:v>30</c:v>
                </c:pt>
                <c:pt idx="193">
                  <c:v>18</c:v>
                </c:pt>
                <c:pt idx="194">
                  <c:v>22</c:v>
                </c:pt>
                <c:pt idx="195">
                  <c:v>27</c:v>
                </c:pt>
                <c:pt idx="196">
                  <c:v>30</c:v>
                </c:pt>
                <c:pt idx="197">
                  <c:v>28</c:v>
                </c:pt>
                <c:pt idx="198">
                  <c:v>25</c:v>
                </c:pt>
                <c:pt idx="199">
                  <c:v>11</c:v>
                </c:pt>
                <c:pt idx="200">
                  <c:v>15</c:v>
                </c:pt>
                <c:pt idx="201">
                  <c:v>22</c:v>
                </c:pt>
                <c:pt idx="202">
                  <c:v>18</c:v>
                </c:pt>
                <c:pt idx="203">
                  <c:v>20</c:v>
                </c:pt>
                <c:pt idx="204">
                  <c:v>30</c:v>
                </c:pt>
                <c:pt idx="205">
                  <c:v>30</c:v>
                </c:pt>
                <c:pt idx="206">
                  <c:v>30</c:v>
                </c:pt>
                <c:pt idx="207">
                  <c:v>27</c:v>
                </c:pt>
                <c:pt idx="208">
                  <c:v>25</c:v>
                </c:pt>
              </c:numCache>
            </c:numRef>
          </c:xVal>
          <c:yVal>
            <c:numRef>
              <c:f>DATA!$O$2:$O$210</c:f>
              <c:numCache>
                <c:formatCode>General</c:formatCode>
                <c:ptCount val="209"/>
                <c:pt idx="0">
                  <c:v>7</c:v>
                </c:pt>
                <c:pt idx="1">
                  <c:v>4</c:v>
                </c:pt>
                <c:pt idx="2">
                  <c:v>1</c:v>
                </c:pt>
                <c:pt idx="3">
                  <c:v>2</c:v>
                </c:pt>
                <c:pt idx="4">
                  <c:v>2</c:v>
                </c:pt>
                <c:pt idx="5">
                  <c:v>2</c:v>
                </c:pt>
                <c:pt idx="6">
                  <c:v>4</c:v>
                </c:pt>
                <c:pt idx="7">
                  <c:v>1</c:v>
                </c:pt>
                <c:pt idx="8">
                  <c:v>7</c:v>
                </c:pt>
                <c:pt idx="9">
                  <c:v>1</c:v>
                </c:pt>
                <c:pt idx="10">
                  <c:v>12</c:v>
                </c:pt>
                <c:pt idx="11">
                  <c:v>2</c:v>
                </c:pt>
                <c:pt idx="12">
                  <c:v>1</c:v>
                </c:pt>
                <c:pt idx="13">
                  <c:v>1</c:v>
                </c:pt>
                <c:pt idx="14">
                  <c:v>2</c:v>
                </c:pt>
                <c:pt idx="15">
                  <c:v>2</c:v>
                </c:pt>
                <c:pt idx="16">
                  <c:v>8</c:v>
                </c:pt>
                <c:pt idx="17">
                  <c:v>14</c:v>
                </c:pt>
                <c:pt idx="18">
                  <c:v>1</c:v>
                </c:pt>
                <c:pt idx="19">
                  <c:v>1</c:v>
                </c:pt>
                <c:pt idx="20">
                  <c:v>2</c:v>
                </c:pt>
                <c:pt idx="21">
                  <c:v>2</c:v>
                </c:pt>
                <c:pt idx="22">
                  <c:v>10</c:v>
                </c:pt>
                <c:pt idx="23">
                  <c:v>2</c:v>
                </c:pt>
                <c:pt idx="24">
                  <c:v>2</c:v>
                </c:pt>
                <c:pt idx="25">
                  <c:v>1</c:v>
                </c:pt>
                <c:pt idx="26">
                  <c:v>2</c:v>
                </c:pt>
                <c:pt idx="27">
                  <c:v>3</c:v>
                </c:pt>
                <c:pt idx="28">
                  <c:v>8</c:v>
                </c:pt>
                <c:pt idx="29">
                  <c:v>1</c:v>
                </c:pt>
                <c:pt idx="30">
                  <c:v>3</c:v>
                </c:pt>
                <c:pt idx="31">
                  <c:v>1</c:v>
                </c:pt>
                <c:pt idx="32">
                  <c:v>1</c:v>
                </c:pt>
                <c:pt idx="33">
                  <c:v>2</c:v>
                </c:pt>
                <c:pt idx="34">
                  <c:v>1</c:v>
                </c:pt>
                <c:pt idx="35">
                  <c:v>3</c:v>
                </c:pt>
                <c:pt idx="36">
                  <c:v>1</c:v>
                </c:pt>
                <c:pt idx="37">
                  <c:v>1</c:v>
                </c:pt>
                <c:pt idx="38">
                  <c:v>2</c:v>
                </c:pt>
                <c:pt idx="39">
                  <c:v>1</c:v>
                </c:pt>
                <c:pt idx="40">
                  <c:v>5</c:v>
                </c:pt>
                <c:pt idx="41">
                  <c:v>3</c:v>
                </c:pt>
                <c:pt idx="42">
                  <c:v>2</c:v>
                </c:pt>
                <c:pt idx="43">
                  <c:v>1</c:v>
                </c:pt>
                <c:pt idx="44">
                  <c:v>3</c:v>
                </c:pt>
                <c:pt idx="45">
                  <c:v>1</c:v>
                </c:pt>
                <c:pt idx="46">
                  <c:v>2</c:v>
                </c:pt>
                <c:pt idx="47">
                  <c:v>4</c:v>
                </c:pt>
                <c:pt idx="48">
                  <c:v>6</c:v>
                </c:pt>
                <c:pt idx="49">
                  <c:v>2</c:v>
                </c:pt>
                <c:pt idx="50">
                  <c:v>1</c:v>
                </c:pt>
                <c:pt idx="51">
                  <c:v>3</c:v>
                </c:pt>
                <c:pt idx="52">
                  <c:v>1</c:v>
                </c:pt>
                <c:pt idx="53">
                  <c:v>2</c:v>
                </c:pt>
                <c:pt idx="54">
                  <c:v>1</c:v>
                </c:pt>
                <c:pt idx="55">
                  <c:v>1</c:v>
                </c:pt>
                <c:pt idx="56">
                  <c:v>2</c:v>
                </c:pt>
                <c:pt idx="57">
                  <c:v>2</c:v>
                </c:pt>
                <c:pt idx="58">
                  <c:v>10</c:v>
                </c:pt>
                <c:pt idx="59">
                  <c:v>3</c:v>
                </c:pt>
                <c:pt idx="60">
                  <c:v>1</c:v>
                </c:pt>
                <c:pt idx="61">
                  <c:v>2</c:v>
                </c:pt>
                <c:pt idx="62">
                  <c:v>1</c:v>
                </c:pt>
                <c:pt idx="63">
                  <c:v>2</c:v>
                </c:pt>
                <c:pt idx="64">
                  <c:v>5</c:v>
                </c:pt>
                <c:pt idx="65">
                  <c:v>2</c:v>
                </c:pt>
                <c:pt idx="66">
                  <c:v>2</c:v>
                </c:pt>
                <c:pt idx="67">
                  <c:v>4</c:v>
                </c:pt>
                <c:pt idx="68">
                  <c:v>2</c:v>
                </c:pt>
                <c:pt idx="69">
                  <c:v>1</c:v>
                </c:pt>
                <c:pt idx="70">
                  <c:v>1</c:v>
                </c:pt>
                <c:pt idx="71">
                  <c:v>1</c:v>
                </c:pt>
                <c:pt idx="72">
                  <c:v>2</c:v>
                </c:pt>
                <c:pt idx="73">
                  <c:v>1</c:v>
                </c:pt>
                <c:pt idx="74">
                  <c:v>3</c:v>
                </c:pt>
                <c:pt idx="75">
                  <c:v>1</c:v>
                </c:pt>
                <c:pt idx="76">
                  <c:v>1</c:v>
                </c:pt>
                <c:pt idx="77">
                  <c:v>1</c:v>
                </c:pt>
                <c:pt idx="78">
                  <c:v>2</c:v>
                </c:pt>
                <c:pt idx="79">
                  <c:v>2</c:v>
                </c:pt>
                <c:pt idx="80">
                  <c:v>1</c:v>
                </c:pt>
                <c:pt idx="81">
                  <c:v>2</c:v>
                </c:pt>
                <c:pt idx="82">
                  <c:v>2</c:v>
                </c:pt>
                <c:pt idx="83">
                  <c:v>2</c:v>
                </c:pt>
                <c:pt idx="84">
                  <c:v>1</c:v>
                </c:pt>
                <c:pt idx="85">
                  <c:v>2</c:v>
                </c:pt>
                <c:pt idx="86">
                  <c:v>3</c:v>
                </c:pt>
                <c:pt idx="87">
                  <c:v>2</c:v>
                </c:pt>
                <c:pt idx="88">
                  <c:v>2</c:v>
                </c:pt>
                <c:pt idx="89">
                  <c:v>2</c:v>
                </c:pt>
                <c:pt idx="90">
                  <c:v>6</c:v>
                </c:pt>
                <c:pt idx="91">
                  <c:v>1</c:v>
                </c:pt>
                <c:pt idx="92">
                  <c:v>4</c:v>
                </c:pt>
                <c:pt idx="93">
                  <c:v>1</c:v>
                </c:pt>
                <c:pt idx="94">
                  <c:v>1</c:v>
                </c:pt>
                <c:pt idx="95">
                  <c:v>1</c:v>
                </c:pt>
                <c:pt idx="96">
                  <c:v>4</c:v>
                </c:pt>
                <c:pt idx="97">
                  <c:v>2</c:v>
                </c:pt>
                <c:pt idx="98">
                  <c:v>1</c:v>
                </c:pt>
                <c:pt idx="99">
                  <c:v>1</c:v>
                </c:pt>
                <c:pt idx="100">
                  <c:v>1</c:v>
                </c:pt>
                <c:pt idx="101">
                  <c:v>2</c:v>
                </c:pt>
                <c:pt idx="102">
                  <c:v>1</c:v>
                </c:pt>
                <c:pt idx="103">
                  <c:v>4</c:v>
                </c:pt>
                <c:pt idx="104">
                  <c:v>1</c:v>
                </c:pt>
                <c:pt idx="105">
                  <c:v>5</c:v>
                </c:pt>
                <c:pt idx="106">
                  <c:v>6</c:v>
                </c:pt>
                <c:pt idx="107">
                  <c:v>1</c:v>
                </c:pt>
                <c:pt idx="108">
                  <c:v>2</c:v>
                </c:pt>
                <c:pt idx="109">
                  <c:v>1</c:v>
                </c:pt>
                <c:pt idx="110">
                  <c:v>2</c:v>
                </c:pt>
                <c:pt idx="111">
                  <c:v>7</c:v>
                </c:pt>
                <c:pt idx="112">
                  <c:v>1</c:v>
                </c:pt>
                <c:pt idx="113">
                  <c:v>1</c:v>
                </c:pt>
                <c:pt idx="114">
                  <c:v>2</c:v>
                </c:pt>
                <c:pt idx="115">
                  <c:v>1</c:v>
                </c:pt>
                <c:pt idx="116">
                  <c:v>40</c:v>
                </c:pt>
                <c:pt idx="117">
                  <c:v>1</c:v>
                </c:pt>
                <c:pt idx="118">
                  <c:v>1</c:v>
                </c:pt>
                <c:pt idx="119">
                  <c:v>1</c:v>
                </c:pt>
                <c:pt idx="120">
                  <c:v>1</c:v>
                </c:pt>
                <c:pt idx="121">
                  <c:v>1</c:v>
                </c:pt>
                <c:pt idx="122">
                  <c:v>3</c:v>
                </c:pt>
                <c:pt idx="123">
                  <c:v>1</c:v>
                </c:pt>
                <c:pt idx="124">
                  <c:v>3</c:v>
                </c:pt>
                <c:pt idx="125">
                  <c:v>2</c:v>
                </c:pt>
                <c:pt idx="126">
                  <c:v>2</c:v>
                </c:pt>
                <c:pt idx="127">
                  <c:v>2</c:v>
                </c:pt>
                <c:pt idx="128">
                  <c:v>5</c:v>
                </c:pt>
                <c:pt idx="129">
                  <c:v>1</c:v>
                </c:pt>
                <c:pt idx="130">
                  <c:v>1</c:v>
                </c:pt>
                <c:pt idx="131">
                  <c:v>3</c:v>
                </c:pt>
                <c:pt idx="132">
                  <c:v>1</c:v>
                </c:pt>
                <c:pt idx="133">
                  <c:v>2</c:v>
                </c:pt>
                <c:pt idx="134">
                  <c:v>4</c:v>
                </c:pt>
                <c:pt idx="135">
                  <c:v>2</c:v>
                </c:pt>
                <c:pt idx="136">
                  <c:v>1</c:v>
                </c:pt>
                <c:pt idx="137">
                  <c:v>2</c:v>
                </c:pt>
                <c:pt idx="138">
                  <c:v>1</c:v>
                </c:pt>
                <c:pt idx="139">
                  <c:v>2</c:v>
                </c:pt>
                <c:pt idx="140">
                  <c:v>1</c:v>
                </c:pt>
                <c:pt idx="141">
                  <c:v>2</c:v>
                </c:pt>
                <c:pt idx="142">
                  <c:v>2</c:v>
                </c:pt>
                <c:pt idx="143">
                  <c:v>1</c:v>
                </c:pt>
                <c:pt idx="144">
                  <c:v>1</c:v>
                </c:pt>
                <c:pt idx="145">
                  <c:v>1</c:v>
                </c:pt>
                <c:pt idx="146">
                  <c:v>1</c:v>
                </c:pt>
                <c:pt idx="147">
                  <c:v>1</c:v>
                </c:pt>
                <c:pt idx="148">
                  <c:v>2</c:v>
                </c:pt>
                <c:pt idx="149">
                  <c:v>2</c:v>
                </c:pt>
                <c:pt idx="150">
                  <c:v>2</c:v>
                </c:pt>
                <c:pt idx="151">
                  <c:v>2</c:v>
                </c:pt>
                <c:pt idx="152">
                  <c:v>2</c:v>
                </c:pt>
                <c:pt idx="153">
                  <c:v>3</c:v>
                </c:pt>
                <c:pt idx="154">
                  <c:v>2</c:v>
                </c:pt>
                <c:pt idx="155">
                  <c:v>2</c:v>
                </c:pt>
                <c:pt idx="156">
                  <c:v>3</c:v>
                </c:pt>
                <c:pt idx="157">
                  <c:v>6</c:v>
                </c:pt>
                <c:pt idx="158">
                  <c:v>2</c:v>
                </c:pt>
                <c:pt idx="159">
                  <c:v>1</c:v>
                </c:pt>
                <c:pt idx="160">
                  <c:v>3</c:v>
                </c:pt>
                <c:pt idx="161">
                  <c:v>2</c:v>
                </c:pt>
                <c:pt idx="162">
                  <c:v>2</c:v>
                </c:pt>
                <c:pt idx="163">
                  <c:v>5</c:v>
                </c:pt>
                <c:pt idx="164">
                  <c:v>1</c:v>
                </c:pt>
                <c:pt idx="165">
                  <c:v>3</c:v>
                </c:pt>
                <c:pt idx="166">
                  <c:v>4</c:v>
                </c:pt>
                <c:pt idx="167">
                  <c:v>24</c:v>
                </c:pt>
                <c:pt idx="168">
                  <c:v>2</c:v>
                </c:pt>
                <c:pt idx="169">
                  <c:v>2</c:v>
                </c:pt>
                <c:pt idx="170">
                  <c:v>1</c:v>
                </c:pt>
                <c:pt idx="171">
                  <c:v>5</c:v>
                </c:pt>
                <c:pt idx="172">
                  <c:v>2</c:v>
                </c:pt>
                <c:pt idx="173">
                  <c:v>3</c:v>
                </c:pt>
                <c:pt idx="174">
                  <c:v>8</c:v>
                </c:pt>
                <c:pt idx="175">
                  <c:v>2</c:v>
                </c:pt>
                <c:pt idx="176">
                  <c:v>3</c:v>
                </c:pt>
                <c:pt idx="177">
                  <c:v>2</c:v>
                </c:pt>
                <c:pt idx="178">
                  <c:v>3</c:v>
                </c:pt>
                <c:pt idx="179">
                  <c:v>2</c:v>
                </c:pt>
                <c:pt idx="180">
                  <c:v>1</c:v>
                </c:pt>
                <c:pt idx="181">
                  <c:v>3</c:v>
                </c:pt>
                <c:pt idx="182">
                  <c:v>1</c:v>
                </c:pt>
                <c:pt idx="183">
                  <c:v>5</c:v>
                </c:pt>
                <c:pt idx="184">
                  <c:v>6</c:v>
                </c:pt>
                <c:pt idx="185">
                  <c:v>1</c:v>
                </c:pt>
                <c:pt idx="186">
                  <c:v>1</c:v>
                </c:pt>
                <c:pt idx="187">
                  <c:v>2</c:v>
                </c:pt>
                <c:pt idx="188">
                  <c:v>2</c:v>
                </c:pt>
                <c:pt idx="189">
                  <c:v>2</c:v>
                </c:pt>
                <c:pt idx="190">
                  <c:v>5</c:v>
                </c:pt>
                <c:pt idx="191">
                  <c:v>14</c:v>
                </c:pt>
                <c:pt idx="192">
                  <c:v>2</c:v>
                </c:pt>
                <c:pt idx="193">
                  <c:v>1</c:v>
                </c:pt>
                <c:pt idx="194">
                  <c:v>1</c:v>
                </c:pt>
                <c:pt idx="195">
                  <c:v>1</c:v>
                </c:pt>
                <c:pt idx="196">
                  <c:v>1</c:v>
                </c:pt>
                <c:pt idx="197">
                  <c:v>2</c:v>
                </c:pt>
                <c:pt idx="198">
                  <c:v>2</c:v>
                </c:pt>
                <c:pt idx="199">
                  <c:v>2</c:v>
                </c:pt>
                <c:pt idx="200">
                  <c:v>1</c:v>
                </c:pt>
                <c:pt idx="201">
                  <c:v>5</c:v>
                </c:pt>
                <c:pt idx="202">
                  <c:v>2</c:v>
                </c:pt>
                <c:pt idx="203">
                  <c:v>2</c:v>
                </c:pt>
                <c:pt idx="204">
                  <c:v>2</c:v>
                </c:pt>
                <c:pt idx="205">
                  <c:v>1</c:v>
                </c:pt>
                <c:pt idx="206">
                  <c:v>2</c:v>
                </c:pt>
                <c:pt idx="207">
                  <c:v>2</c:v>
                </c:pt>
                <c:pt idx="208">
                  <c:v>2</c:v>
                </c:pt>
              </c:numCache>
            </c:numRef>
          </c:yVal>
          <c:smooth val="0"/>
          <c:extLst>
            <c:ext xmlns:c16="http://schemas.microsoft.com/office/drawing/2014/chart" uri="{C3380CC4-5D6E-409C-BE32-E72D297353CC}">
              <c16:uniqueId val="{00000000-C054-485E-B0BB-85D1FEDD616C}"/>
            </c:ext>
          </c:extLst>
        </c:ser>
        <c:dLbls>
          <c:showLegendKey val="0"/>
          <c:showVal val="0"/>
          <c:showCatName val="0"/>
          <c:showSerName val="0"/>
          <c:showPercent val="0"/>
          <c:showBubbleSize val="0"/>
        </c:dLbls>
        <c:axId val="476432623"/>
        <c:axId val="476429743"/>
      </c:scatterChart>
      <c:valAx>
        <c:axId val="476432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Height (m)</a:t>
                </a:r>
              </a:p>
            </c:rich>
          </c:tx>
          <c:layout>
            <c:manualLayout>
              <c:xMode val="edge"/>
              <c:yMode val="edge"/>
              <c:x val="0.85450568678915129"/>
              <c:y val="0.929606299212598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29743"/>
        <c:crosses val="autoZero"/>
        <c:crossBetween val="midCat"/>
      </c:valAx>
      <c:valAx>
        <c:axId val="476429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tries</a:t>
                </a:r>
              </a:p>
            </c:rich>
          </c:tx>
          <c:layout>
            <c:manualLayout>
              <c:xMode val="edge"/>
              <c:yMode val="edge"/>
              <c:x val="0"/>
              <c:y val="3.3140492855059787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32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Number of tries vs height</a:t>
            </a:r>
          </a:p>
        </c:rich>
      </c:tx>
      <c:layout>
        <c:manualLayout>
          <c:xMode val="edge"/>
          <c:yMode val="edge"/>
          <c:x val="0.32985298681352204"/>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427537182852142E-2"/>
          <c:y val="0.17171296296296296"/>
          <c:w val="0.87250240594925632"/>
          <c:h val="0.7060495042286381"/>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25400" cap="rnd">
                <a:solidFill>
                  <a:srgbClr val="C00000"/>
                </a:solidFill>
                <a:prstDash val="solid"/>
              </a:ln>
              <a:effectLst/>
            </c:spPr>
            <c:trendlineType val="linear"/>
            <c:dispRSqr val="1"/>
            <c:dispEq val="1"/>
            <c:trendlineLbl>
              <c:layout>
                <c:manualLayout>
                  <c:x val="0.12064627740440567"/>
                  <c:y val="0.39613664661627773"/>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rgbClr val="0070C0"/>
                      </a:solidFill>
                      <a:latin typeface="+mn-lt"/>
                      <a:ea typeface="+mn-ea"/>
                      <a:cs typeface="+mn-cs"/>
                    </a:defRPr>
                  </a:pPr>
                  <a:endParaRPr lang="en-US"/>
                </a:p>
              </c:txPr>
            </c:trendlineLbl>
          </c:trendline>
          <c:xVal>
            <c:numRef>
              <c:f>'PIVOTS &amp; CALCULATIONS'!$AB$38:$AH$38</c:f>
              <c:numCache>
                <c:formatCode>0</c:formatCode>
                <c:ptCount val="7"/>
                <c:pt idx="0">
                  <c:v>10</c:v>
                </c:pt>
                <c:pt idx="1">
                  <c:v>15</c:v>
                </c:pt>
                <c:pt idx="2">
                  <c:v>20</c:v>
                </c:pt>
                <c:pt idx="3">
                  <c:v>25</c:v>
                </c:pt>
                <c:pt idx="4">
                  <c:v>30</c:v>
                </c:pt>
                <c:pt idx="5">
                  <c:v>35</c:v>
                </c:pt>
                <c:pt idx="6">
                  <c:v>40</c:v>
                </c:pt>
              </c:numCache>
            </c:numRef>
          </c:xVal>
          <c:yVal>
            <c:numRef>
              <c:f>'PIVOTS &amp; CALCULATIONS'!$AB$39:$AH$39</c:f>
              <c:numCache>
                <c:formatCode>General</c:formatCode>
                <c:ptCount val="7"/>
                <c:pt idx="0">
                  <c:v>2.2222222222222223</c:v>
                </c:pt>
                <c:pt idx="1">
                  <c:v>2.6818181818181817</c:v>
                </c:pt>
                <c:pt idx="2">
                  <c:v>3.1304347826086958</c:v>
                </c:pt>
                <c:pt idx="3">
                  <c:v>2.9838709677419355</c:v>
                </c:pt>
                <c:pt idx="4">
                  <c:v>2</c:v>
                </c:pt>
                <c:pt idx="5">
                  <c:v>1.2727272727272727</c:v>
                </c:pt>
                <c:pt idx="6">
                  <c:v>3.3333333333333335</c:v>
                </c:pt>
              </c:numCache>
            </c:numRef>
          </c:yVal>
          <c:smooth val="0"/>
          <c:extLst>
            <c:ext xmlns:c16="http://schemas.microsoft.com/office/drawing/2014/chart" uri="{C3380CC4-5D6E-409C-BE32-E72D297353CC}">
              <c16:uniqueId val="{00000002-6171-479D-AD29-456BEA44DE45}"/>
            </c:ext>
          </c:extLst>
        </c:ser>
        <c:dLbls>
          <c:showLegendKey val="0"/>
          <c:showVal val="0"/>
          <c:showCatName val="0"/>
          <c:showSerName val="0"/>
          <c:showPercent val="0"/>
          <c:showBubbleSize val="0"/>
        </c:dLbls>
        <c:axId val="476432623"/>
        <c:axId val="476429743"/>
      </c:scatterChart>
      <c:valAx>
        <c:axId val="476432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Height (m)</a:t>
                </a:r>
              </a:p>
            </c:rich>
          </c:tx>
          <c:layout>
            <c:manualLayout>
              <c:xMode val="edge"/>
              <c:yMode val="edge"/>
              <c:x val="0.85450568678915129"/>
              <c:y val="0.929606299212598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29743"/>
        <c:crosses val="autoZero"/>
        <c:crossBetween val="midCat"/>
      </c:valAx>
      <c:valAx>
        <c:axId val="476429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tries</a:t>
                </a:r>
              </a:p>
            </c:rich>
          </c:tx>
          <c:layout>
            <c:manualLayout>
              <c:xMode val="edge"/>
              <c:yMode val="edge"/>
              <c:x val="0"/>
              <c:y val="3.3140492855059787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32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225AD160-6F02-404C-8289-8DB4921FE5EA}">
          <cx:dataLabels>
            <cx:visibility seriesName="0" categoryName="0" value="1"/>
          </cx:dataLabels>
          <cx:dataId val="0"/>
          <cx:layoutPr>
            <cx:geography cultureLanguage="en-US" cultureRegion="ES" attribution="Powered by Bing">
              <cx:geoCache provider="{E9337A44-BEBE-4D9F-B70C-5C5E7DAFC167}">
                <cx:binary>zHppc902svZfSeXzS4cgFhJTk6m6IM+mXfIaf2HJkswFBEBiIUj++tuKncT29SQzVfPWvSrVkQ5B
HgCN7qeffvr8/WH528PwdG9/WNSg3d8elp9/bL0f//bTT+6hfVL37oXqHqxx5qN/8WDUT+bjx+7h
6adHex873fyUpYj89NDeW/+0/PiPv8OnNU/mwjzc+87o2/Bk17snFwbv/mTsu0M/PJig/fPjDXzS
zz8e7P3j048/PGnf+fXVOj79/ONXd/z4w0//+PtP/3T+787xaWnfHfp2+v8Kztvu/q8W8PX8/2PT
PwxgFx8eYfEkf0GLPM1Tkv/4w2B08/k6Ii8QSXlRYJr++oN+m/PqXsFz/8JCft3Q/eOjfXLuh89/
v3jwK7N9cb1zpvxk89I8r/C/Xn3Ppv/DyLDJ/39mfzned/o3A/yzU/83jJ6+wDxFKUP800/xle0T
/IJSghlD6JPt02+M/5fL+b7pPz/2jeE/X/3W7LuX//tmvzHWh+Z++M9ZHvMXrMgQz+nX7p7kLzgM
FDnHn48Exj8F+Sd//1eW8n2r//HkN4b/Y+Bb29/8H3D5vb3XD3+JdP+Gz7MXLCNFyrOvLZ+9ILTA
OeH5Z8Pzrw3/1+v4vtl/e+4bo/92+VuT7+/+99395O+H9bfd/wdQBmAko5SmBfkdwr9E+OwFYs8D
xfdB5i9X8327f37sG7N/vvqt1U//Bxz98GTVvf4P2p2iFylHvMhZ+smlv3Z4BOBfgNHz4rPhvwH3
f2E937f87w9+Y/vfr39r/Wr3n/D5f551f+cd1b2/3/3KmL5Hxb47+usWgcN9M/hnxOsTXJ8ef/4R
Efrrzj6h0/NHfIXlF93TQ+uftPNPf2T13597unf+5x8hT+AMFZAoUpYjXDA4xPj0aYTkeYE4IRmg
Vpph8uMPGhJV+yuZynJMSUqekwlDefbjD86Ez0MppQUtGMpSllKgW79t8cYMa2P079b6/P4HHdSN
6bR3P/9IYT/jp9ue15mniD3HbkGAoGWMEIph/OH+Dqgw3I3+X0gjZ6mdmBgzZavAVne+eXJtZC+r
WPuwb+iAr1pqg/BkWnZ42fIK61VWaRrYq1xiX02ahMvNOHKQ21xmvvmQkO5doRpbZlSRUjF6zZmM
laxH0Xt5MW+tSDpp30oWubBDkZ3kmI+i6MfVi8H2cTdiyjMxdfXkRKPMx5YOY0XM7Crg/XXZJWF7
nSijOyGz/DT2gxIsp0zoptD7ohjI9Tq5XhSzclWftjdJYmZRpLEXEsVZYNx3B691u+dIt4d66vM7
MgVSfenoX9n7wYyr7Zr2c2Xw+9t/vDIKfn/llH9cfC4s/nh3+VtF8qd3HZ7MM4Vw3970HDe/f9Yf
7PXZW3+nst94/9eFwr8z+K/FTQGuDOXLPwmb31LnH3H2fP9v4UIJ5+D2hHLwPI6B0X4Kl4S+QDgv
Mp4XKc3B/TH46ud4eUZKAEHKU4oowuzLeEEvMBQmrCAMI0xyxv6deGFfhQsEGyFQ5GAGsfIcegWs
7stwkROtbT3qVLB2WuRxQf32hkjKz7RV7kLKkKblF6b5ToT+jxmBwGcI0yyDNACmAfj4csZUJaN3
xs1i0FaXuKW5EVuMKC3NYu24p1m33f75lAis/wUowL4oUCnAPjiK59/8G1AwE+1MncogFrYpK/p5
VbVwS91jsWVbXi7NmO9Yzup+N3RD8y4QkxCxNuTjgu3wIY7ZbMoG4+Ut9zgW+z9f3vOO/4Cs59Vx
hHiaZpQQnOMC0t6XFsEmsNo32App1s2JWTu2VvXm2DVFJunENsSi0tSs4VM0f/LS7xwFet73VzMD
8QQfQiQDT+M5e7bbF2DZBZb3rU2MWGeaQPGZFvjQDHizYjRtSE+dSYMTHcvsdWhGi86nLvCpHIhL
UGmbiUmxTqEb7iiSPhF/bhb0NZSDXRgsCxbHCAQJRAfkjC9XRxZiVGTGiLE2SyYSjNiNJW4Rxsq+
E3ZSXX5MbFLoijK7skOWt+ajKQj4klSJex+o725V0DK5bF3XJNXKEj7+5TL51y6dQ9rCWZqlOeTD
gmJIYl8vVBUd4wsFY/S0pqeuqe0OdtOfSzmkxzy1j2botx0i3L5pm0g+TLpvrCBD7q9toYeLtW/o
L8y3pBNIz+42WXJc9usgMxEKyGWnaW7oO9wlU1uNXYvWys0U3QfLV1/2cR5KLlfZHqaGD221FInf
buLKh+WW8A592GrDyHHM6lAPYgxWy5utz3QjEm4wvu252rIdth53WihT9JnIutbwSfjGLvN+QGjr
b1oWu+XQ5Fr3om4kcZUHcGuomD3L/cvc0hHBQS3FhzwJ6VDZbkrcKQyJ388rVfrg57GXZe2TnAqO
8jGWtAefSzZv7MmG0WXX66zr9bSxPK9FanziIHXSpS9ZPicWaFRc7pu8ZUpsmkMwsBaR7mLt6BYF
3qTcAeDAJ27jmnoxpzMZRT2q7Na6takGL6kq+9x1l2TLib3UQApTkaULvCbLkDVlIlkTy8ZIKUVq
CZjSm62eDiSNshGTVBAXau765bAmafqhYbTuBM82uLGhKpTDMAKroLGZzsa6QWTvN90Or2bn3Xnh
Ik5ElG2/XocU014gMw1vUE5cUfGGF4/DuuVRUIvbUqGwLKXiW/4hXa0bRD72xSAaMiw3jHjA6a1O
6Xky+0WJIWkzKtLCAaSNpkgfCttKuV9ov73Lt6EpW4CVR9XMmOwSqovKGb6VsV4R2i3TkFWt5O7N
2mchLaNf9CbqPrS3W4GLx87EmIi1Y8JuTjPhFEK3wGO8Pat7Gb1APeXLq0Bm0wiLTcv3qi1Q2XA9
3dBm0VZMmddvEwCW+Vjjlr0c6WiWE03mQoleNfG2kKRbxbw0EglkeUd32s7mNNFxPCTSozM8FPdK
JWoRLDHyHthckj2MrLZ7l8r+ce0pnUTCJCCVxeuCdjToadcpHc7XjZ3H0W+PaAipmIJ3B9xl8wPs
uGhPmGcaZt4Wf/TR4itfU3VqWHBvgR3iCvu6EUOHVGUW0pat82ZP/Qy7XpdshdMuml3j2kkJCVxs
z2WreqEpAYclo0f7Rfm6Fa7oAbyjQw9bU9hO+K7O3gJFq6lAUkdcmrm3R0tpCKKG5LBHaf7EfNO/
SnrCP07JRNfSw/O8dG4AZjamGAlc5N0ZsktSrrLIK6LxuKObG1/2JFkHMXndv5UmlVVni7nZxSnL
AVvgkDMxrrJJd2nDqVDOAWhtcd3O8jXQl2Tr6YduWfW1XbKlZNNUiybo/DR1HjRlw1gixpSa85Fm
ACVmYngujZe937NeU7sfAhn364SSJ1Nweznly7YLaByXUpu6PYtkbbEoTJAfjdu6cqux7Mu1TWYu
ZEzkzWKbgh+W3NDKdXa7S+XYlagvyLlsXF8uvUvay9UngZ8PUyJLNA9oFsEvrHRZandj7BwvdQrp
Kk23a8mTHFKZ9/HdiHNw0Zo1+DJzbb53YWpuCo26Qy9lKkVSe7ebqc9uZbP5CiyDj7krSEmCoW8m
Ppqu7NaOd6I1ybbnNpuR6LLM7MPUF8e+bXJZhki6szVM6yGdBuovTDOQE9bpeuhbk41CJ7Mr20GH
l5Duhw8F6/Blj+y8V2qp61uPtthWmBd2FtOWTXcqxdweky2E2xWzNi3TrmbndOaFPJ+9bnfzumw3
iV56QdPYbVAPDABgrZtK8OLtPW4cCUIbwvYbz59TTmNIcSuDUcmtAk8fT13kGz9CFk7q0wyhoKro
lnY/gcdCREty5fJMljyyuJuzNFY9a5Myk32oEkfd2TLQm7mIJ4KLV6Yusgs5r+s+Jv6Qyeww5ehB
DdvdmPInh8Y7ZPiOyezD2jTXdot7snU3XeLJiVo3XRNsUSsGVwSBQwNA2qKXw8guPUq7vetmQZch
ni1qgv8kVuWUayxIHdEOpWp7XUe+7KeMsr0eeX+cV4cqXmT4BOktr5Km65/qEbU7kjTTAXww30Gx
5j/MUASezzBFDinHsJ0twI6kwNMb09s6rXyaHNt1W9w+tQUbBMVed2eWrmEt7cDH89CjWQqbDmNp
TRYGQWS476dtjxaddpdMyRArlLTpPu+iHZwAg9bNfUKXEMqiLpKXY9c0e0Dltjl1PcPAr7Aa6LGu
m7S4jIWkxY7T1r0yKUBp1o8ILCzVLm5TqO/0hLeKNLiOApxwLEGAqZszpV0GBNfTi3mqt33uu8Ud
gF/EktuFtiXu4nIlY8+jKHiI9gKv47Lr5nQbS4bTfq74NE9uB82l+YgKS68mNgFnXzEZ89IYxdpy
XfI1Fanftru+BpsDDFKMStIq+ssU8pbvMtW25TalGxL90GTzPgfy9Bpidrro13SNpU6KfBF21qzq
VzXebABA+x4nq97Nrhkei8bjZxvlu9WirKjwuFIiJtP1r3Ig9Fz4qBwpV6xYdihiQm7zpKvLoefy
44ia5PUUxi7s5NDpk2ubptltRNpS5rkreSOz1wvDxbs2IyqcTYaPuux9R8zJd7iGfDGv8dCmZjoS
PetqmRte6W6y10Yp3R5N1g/XRcKXX0KmxjvSU3u2qrS4nWH4ElP0di56d5ZLkl0aPDRvsjUqEdrM
o/fQWqLnnDF+bOoBfewdzl83wbqdNXV4AMvSXzyq03M4OPAY2F5tK2WzxJfdQO1bNhkkBVs2vFuT
MFSrth+WzCy7DQq4UuIwHl0m7SrkqJYKYh9y/0ASHI+hGdD7UfpOFFbyMzSZZ5lihnXKiLXeSzJ7
iHujy820C5z3spwx5eZDmCIIKKOZd3Ucu7d9DnRvG1lxlqpmQmU+LnCSgeN1TxIagFEhGS9mhs+7
pp/PVG2ZqDcGL2nMP6xp6MtihHALdTjVuG8OpNhWugPsilcG4fO4DuYuDDRu5drg+RSXpdlNyVjc
ROrRK9lSfa48mq7WfFxv1lERD3WS5nsZjd7ViEFRmS6nZJ3le6hH29LxuNxyyBoHkCCTepcrsl23
WHuRjn0UE8VQBkGhOD3qjNQXCs3o3NrEvcZQoB/7lUxnivv2MoumuZlSed707jrfan0xriHNKmD9
Z02enHRv5TtWm3hP62BeB6A4h2Fgt6kEfWaRq0hb4w4kSSdR5PNwYQN15ZgqJ1rEsj2aEEhPicor
umU9JLQh7s2g6H6w3O/6NIEqcVLjKxyhMDcFHg6rXscyK9pWdJ1Eh7iOF/kwoh1vfLjiMtdlZKo9
z/LBln4qCoHw4q6xlPUpstAC1sb1fHWjPxvnmLwCooUqS3VyPscWZC0Oxw3nPtm+mto2r1ZLsjdr
Mw2HAo/bedQ6VjrQD+3YKuAhYdpFruadkt18kDV+mog1fB/kpnZdTerzKdl60baOC92u2XWiVvMK
tU5fKp2yBTJUl++WFgOFXpNFbEHGfZG3/nwdc1YuyboeZZ7QakzCeq6Idq/aTX7ksXCPKnJZNfPC
jWizphB5l0XRhVgfxqYfDkPqE+D4reYV0+ZCtepxrU29B8KtzwnbDACzl8LjCb+XuF7LZhwbwB3n
rvKFJsIMxoFPsa5scW8F08A86g3K85n1cMSdPDgit9tQ+OxVTtr+uEyz3g9xaoGC6Ilfht5tQge7
la6fwA+w7fcp4O4DB2b4lNthE2FGkGfqOjspVyeXpGDysDpSvOakhoLJ+yGeJ8MYdu08vCm2BjCX
UiXqQXflzDP7FhlfJb7uz7zhxSwiZlBPoRlS/zClCqqV2FwkdqbPXDjdddOyXdQjQ/vom5dwJoto
cYeruq3dPvD4pqipLtd1GU7Lmt44grYdTiBJI6PX/aDyQ7t2eoc7r8ZyGsFFZmbWKs0QwIta572O
HcCRhNoFQW551XUdPiZApU4F8Auo4jR+GFiq9irEO+xHukIu4O3btEtuhqbb9klWPIFknJ3BaaNd
AanlxLvuwMew7uzkr9ZhieeABVCvxUS9BL62HSXxQ9lmGeTSpbvIAl1XoRUpVFnzPOz4NKyHOTGD
SDmk9wbC+wh6V70HcvyLymN74Izjt6rP+eW0zsCsTMsE1VvY5zEAjkj+wfHiZTaPqBzr3pbjiEKJ
0GD2LFuPCQSQ0JHgi0UW/aMehvg2KhBwxdIsy6mIVuB10zcDKLyqjLnMX9brOO5nn6sgmEqB1NC2
PtJte9fRdts7ggOUYDSsAhKY2k3zOJQb6PLhVCxsIUKF4I2QfoYjnLbWCJJDrUQmKBFE0QD5SAf9
ofbm7bAsxeO0+v4cHlTXuQstO9VToJekGXstWmvJuyYYcsZmM18lA13vZYLsTUTj4kQd1+kIUv49
GVPmS1bY8XJmjNwPJB1vWJ/2ZxNJyKXNNL4hDnTy1EB5EVGX3kIZSc/qQurDqMN4hhEZlWiSFp20
HcJZoot46Tu73Jp2sFdTx+GtikaEkOCXXi0J6BkkvrdkRh9U9KpKEx/sgeoocyGdXI9caomFA5nr
RFnu4AUqAYenuJuA1r0e8y19rBOy7Xgo1kcMHn6ItFj2NjcRCdei4VzV2pU0CeNhGaAI2vFaToAK
hCBfQS+Eg8a/LN0krFP4dZ7hGHa1oUA6N8/fmm1AXZmrlD7NiQu+DPU03bpx6N/gDWaq+nEOt3We
rGeLzUH9lNI+1NPCjxIh/M6YaM4aTR+TbtBnZOWuTBjOXwFtfznMtLuYeqhjBcPbbSxw+rZlQGXb
cQlH6GG2HyQp5NM4joBvGQOaZf3BDKk7m9XGL7zVwJG8HF8V81TcprnVux6c5sj7NK1iD+LGMvZz
qYPPDmZtkrss6ttlHduK0HAbTIYeBrc0JVYmXso5/oJSPmBIWKlPhVmS8QNPyZweAJFsaaRpfAVV
Em1F2i31UYVkfLdYOlXRyOS8Yb30zwYfRUibS4VcXrEh0ZPo+p6dYb1ELBalQL0BFkv2dTGAv/sl
NCXHpDj61a713TisUh5nzH2y3+yyHMZsZU95ZNtuQrG/HBvzUuF6MdDvWsg8iDmjGt02Kp9XYUDM
uJ7lQOtdpFNE5WJTdIaChd5MHras2FkAFrJrkFzaNxNITlEgNqYfEB/Zuq+HGN5zIF5yP9uJH6Cr
lIAX5lt2zkCFvp2lBU2pWBUIZishCfR9mjEjrBH52svuiG3etHuQ7YAdq3VgxTmd5jqWmZVrceS6
5v6kN5BZLsasAf3MJPWcCTTRrK8sQknV+wKqLBSH5gCZb+2EiTzcAJxqeT/52IG2LVnXi2enpe9i
C6XQVSvngX0E2U2OFtYx+xXqV+hdtVQkAwn1Hiug3EIyO6JrwoYaA7DMrt/3wFoeZ4TVqwwKAk75
EO44pOr6PCdxeOOVHd5A9TQNQO0Ueb9ZycKh0wXdrtLZZN2ho2O7ozSSqwBRBuV5n9G2mpa2U7sV
qtbLxqyLOykQEFdQLmp3Y7O61md5FvwkjM66KiFaXehhTFbBi/aZbpph0QddtB1Qzbm5bWmdDwIg
QfbgWt0yllqPw0ceQGitEKKMvoavvvjhYDoLmN6ibBh2TTaCXJgVyE87F2OshU8INlcoXfQA52kZ
aO+gRsojnhi0DWyWwf162+BcneLQNNnctNzM2wzhzRpG5ru2y3x2vTgHt+dAO3UpQb97VY/gnns0
p+smxuii3cnNI19uTUvmMq8taHftbIFM+BoE6jHWE9mb5lkd6bNkuWS9y7eyQXl4C12OeJxlO9A7
ZhIuhpomU4lpzSzkDQirl1Tj4hJYeXvZNNB1KHFYVFuZDvpNpQOHSKHZmE552TcyyjIPpN8EKmSb
iiH2IJ3PXOlabEhuoRoW342lBwZWcdPF/HbDHcm1KOqOnfDcYRA1RhxvGtokYBk9eaHYJnXJep86
gBXQ+AXkluVV35IcWPLGSCPYvEICmUm3sNOmoStb1ZkCzFjM+NgSi1TJV05f+1TKlw5j/ejzIbxh
WeQgfI/umrgUOZGZfOgE3ZZa9Fot8RBwTcmRshq5UzuwpTgZa0GcbS0xUcyRugs3DUi0QKtusgyv
tAyzHt4MLhmsaEGlnqpxGjmGZGroa5qu6VBavuSQl0Ob329T5PsEpHHI0IsumCjGfFZvO69rIPPK
5d3Hmc+g0aM2D/LoIgG6D4KzVnuQYBy/aCDXHji17Si6ol6XPawa388zp17gpC7A21fa7cKSg+dh
mcUzu2zdu2wz9lXRYH+FrGwOoDGAu6TQmC8qD9yxOXpPN3m+rTKNpRmbrqgMbtRQdURBGPebwtlB
LSmQqiRB2Q2dcoXP10HDrj2j2XBKsk6HMpmnHJJ23Sx1lYP8vpYtUvx80Q60+WJNANS8dEM5rJ6e
hc5jdZYyYIg7qNPAsWMPXL9iNKTvO/pMObtUxZfEtxqXrQkQESkU7RBvQSWn1c0A83HIgU6sNZjS
dC0HT/Ed27mWOaCq9WLVcbNKXrnC8+waQ8c0AzECAa0aV6aGMskJbMFCRM4lGxMoAbNffT0tmvZp
kX3GdgRKvKsMNomrcYa2ZuGQacolWPPe0YidmCJDRtTODy9Byy3uu8nL92s2tcuhH/HwJgPCOUKg
SvxmS0EHEJRPRMyEjL1IJIL5oV+J3kBsJOdolS5WjoOwckq7qKGo/tW1cpVJtmvN4Knom7pXIsNN
ekWsph/qGURn5ScIztB4OLoWLWl7yCMdB9HNQLlF0FwlFSa1Bm17xeNeFgaYaz8l6gKalutYcULI
FeETbC0MaXqI3ibQ0KwTtktz3OCqm8akBW9HtT+lWebiQSODl0NKtwGyhW2hnTLrmQw7E4fVlWoe
o9kNsJ0oALSGfBdUNl1rzgHvIAGHCjSOpd5DcaP0RehjvHBkK6BGzH2+vWNEmYc1z6mrIIVn6zmF
2mi5da1ugJqqmE3l6rY1VrYw0+vo89GUkzLQ2FiTvpjvfm1brQopdUq3jmChoev1wbjIr+a+sOve
LVmhoXLPGmjT8rF5Kfs5y45zgtiOQbDlImkDfyPJmndQixb+jnegmZwKG7XZdbx5cjzrSmwa4HOm
I/zUziAVic0X/g2l9bZUNli8CSMVBY17gjQn9ETiRT1lfNyPTvMDTQoQ+D0o/Po4uwyyQsuGxohG
64saZbo+lwVX7DHkrl1veu6n5soyD8FL1bL5i3SZJ4hAEEmycyfzfjua2UPvEGpnPJwo9/VWTTYZ
HRyQsh+tSRoP/bJEvhnxlK7ncZFZ/Uu2sW3iIlvq4YQdsv4+7VK5vcnqZ2ZQoJgXOypnnu8K0Cem
l6Tu1xYyoNyNyPNQMlO0pAL1p6s0c6D5zPUE+QLaJl174mAlKC3jGKQvVQ5Z4gPZ2m7bxBKtCjeg
yPfuVk1d9noLm8l3buJ42afGNbQsJhrodUiSAZhc01XFnJ5LjbK70Gi5tyALvs0HuT00XVpf0s0g
KH0pPYcvpWxvCTUdsGvn7vJmM8dxLaigDYP+jWfFUQJVup6yzlbZiNKx0vWWXwCRg5myMQ0VtGHz
l/A9Yv8gVd6A+/AuP6RtO91A43p4QqOdP7qtWTqIqrWutmGe7rp+7Pn5f5N3Zt2VImeX/kONF0ME
AbfAGXQ05qBUZt6wcmSGYB5+fT+nyt1f6qgsta/btexVTqsEBEFEvHs/+/U8Vt61q1u3i4xinrPQ
sH0/nJN4fVLmkh37XO8G2x+yqEg39XURfvylN5X/aHDsjdTAVFBF2ka5kchfVVZ5IvAdZd9Oaz5c
qak271PhSHVMgRXs09mFK4Oy0V2UNflwZDGQR0qqTgfIJM13nWqXBXycjWW/mk7NPtSm35xN5Eej
XKj+vdm/dh2xnCS4Ruhahn9a0wqrcCnUXepre+euw+CFS7XFRSQWKQxMkNg6VGW6fUgzwzXxsGpT
BAkc1623ieVYog5+s4c+DS3lF/d8QdqIVFpyoFRpP/6YHb9EM8SGwuWe8ptB2K4dFkgoLT50VvtB
QpW7n/zWL3aNqtL7Da01CTLdt4dWJmsdCEtPSWC3cfVhk2X6G/Oaxc6aqNbSyjTzEDlZO2FXpXaY
TukwB6soxI4zbX2aB+30UVtkadCWY8NrtYown7L4avXnMsg9b/ziblYZje3Y3djbllxZTYkxZsVP
YGg1e4+MjTxUVtPI3ZbP3dM6W7+9TOR3epwelbRWtsKm2K2oWTc4puv9otNiCQ3RZe+bYZaR6ryx
CVA887CLe3kaFqgI1zHGj+kqvG9rOTc3FkzFA0IqE3+b23pvys6MFtkyN/wks4MuZuMIuTU/4Wxl
x1clUQQnjCdj3itXu03kV2abfq+c3jhhuoXe1OkuNPKsO6Tb3A8AEcYYCW/O3WCmMg6LRX4wF6+6
AR1pAixqTwWsp+JoM2bY0xT5D2Jc1znQcm5ut1j7VxTH5SfchioaitFGYKtTjPnYy5xQzL5/nddj
83XJJva5eU2bx1l76i7b8vWLr1t753sYTDni/FNtGTNq7sCWmjUdYoVTmFm6H2dErKCrymtpsJOv
te0m+8S0u2g29G9D2dNR1nooozMTFP6vdLZWXnWcB5vho4mOYrB3DLtaQ5l1nNeSuDnlGYJUb+dJ
WHpz/TfK+R+ZmOcwDiyH58AnwlzDKErHdc6sxx9ITMd6adY6Zc3NW1Zqz3Hk9RaP049Z2nhtZqXu
89nmVPk67PICITnHSZQL62VanNzkxWXrMVvktg5Y2LWhvKAqVxFHJXo3S2rlURioevLeuKZlnvme
/+F/eFjfM+ExlcLTMWE2Lwibrnf9oSpxnodJnJXMvDHxoEwWrwBkaOj26TKPH5d4wMC1OE9DP3j5
EZufam8q3G3Ypatrfl/L3p8onjKTwlX1i36S9iCNK9dALS+DzZur7dsimyb9oaXIf1dFueYY3x5Y
ijRrzgdrbg0/lN9g/4zS9S12Zr+ujhJq+12OpGGEbbk5d5Olx0ePCncOq4Fj7bumAwc92Oaoh2M6
VtO4G/J5XXfFHKs2sgaJNZdTFLXf/VWckRFDF6yifHTIZARRPvrZiHva5oNxZcZrYeAoza0OlTtt
V9Kp3feLk5d8WtQJ3+dlZq9LFw/9laPV3jE4XIZtIhwR5YmxmQHaX9yjv7mmG3WpackrLzOnNFr7
er1yS5N6bZES5QOqR5+swm3xTKitn0CE2zrSsjF+VbWXcdZYFqUOuFXZF7esbXnI8skbdiK21h+l
t2RmaHTL2AbFtPTmLp8WoIA23dxo0KjQVJDNwhKAMmaEZu6M7VVZDbqgmikQjX3Vddf+VrDNeNuc
lyBD3ZAEiWrAYLX2O2oxI6sPSdVDyDWu41S73B3GCaEhLZEErMJn+YaTkcFajt1JWKXp79tl3a60
v5rL4a+P49989L9Btb8p3z+5zz8x0P8vqVMfGvM/U6eH7tev/8mhnOnn88//TZ3aUNrQnBCnUJYe
3CPL3N/UqeX/y2H+OdT5mIyCGNv/hU6F9S/SP8JEo2IZZOlmuej/hrQd8S+UAQkpCsWNdcn69H9o
2GevDy793//9T0j7crFjhfMklb8jfJY7Vr3na6xwJqsSCTDJghfshyXS6RaA0lTvTemu32cxGfd/
jMz/4xUZCFf4wpXnh3h+xRottLNWnYSVAykjan/GvrC6D05DYYg3kV+/fr3LhfX8hPzLNz14U8eW
FwurY4Li1Rwzgr5tXQmX1eRPacry+N9fBtCe8pUCD0j4YiDxacA04izBI1c6zMUEU1ElInz9Ks4Z
QP1zm7DZKBz+siQ7hW1eMvVT7CRxYbdJ2FvOeKeH3TxtsboBRejHCHEiKWHVe7c6wDrIdD8YFmKc
SjPr14jWbIedAyoYoY225smVg+GGJhaHCrYWLGiH258DWk3pZL2XRe+Wkc9q6oY8nfjSiZyTVjly
sA4XEPq7unJ7cfTauUxPdmlyrlFebZbU27Vq9noZ3OTsEU3JG4NwOWfPY+D5gMvkVwB1rYs32tTK
rjLNmcNerPVj2fj+3Zh1/XQqgbUHXA57eAvPfXlJUo6uIu54JmAt7wIrNc1VpHNfJCFlYh0VY2FD
PjpNdahFkdxY8WoeX3/R1vk3Pn/RNslKZbE2EMiQlzxw2Tfwbkt7rhHg/0I9z9A+Mq74z0QaxgwE
Z9T23tN+WoTr6CXvoQ/zbV/4c9t+fP1m/pq8FzdjU2GAQArbhpu/eHxjbRZvS1MjqBFlBTVztY73
HhJEfudaHCQjN9aZEeYVNRxUVhY7v9c5XsDz8lhZh3WLvfx6KfwaS9XojTyYe39zf8R6yUowJL8Q
Yb6per4aG0d8xsawhxuDZRNywPIcXAInNqZd6uLbhR52pvdunqCs9q8/5l8T5/ljCouprzh0AhJb
4oLAL925X1Fy4qCyJIbAKjbd7yX2IjYcaF730Fum96Mdt0x9Lsu68U94WZ59WK026XfeDGhzsuXm
oEG+fmfP8Wtl24QSnfMaja2igJMvZnwxjZU6H5UD+IxlDga70OiC9bJ9dGwf6ub1q/nn3NDzyecI
0/ZNVCHT/Yf37Sydz6LA+xa5Y1NV2L2eoJsbg4p49bO7vIb+sOBYb4dyq4yw1Cn2U2qkyxqVuW5l
tCBV1cEC7dOEulex/BgXlpecfGyCMrJqhdlhwotTOMeLHD77xlTN17PBhAn7VRHVERYsdGgbYqqQ
iZfR2qFqOkXkb0vRRyWO0s85bopP5UQhtR+NLreCwpnkzDHOSD9om68y7Oe46nexNMEnATGRFxd3
NWVQmp1OA9FnVrbv4qohUlBy2P/ANQfjfW+Duod1nPLzksB+EXXThLYGk1zCAw6zB6VYI18GG2t8
fmUvufUtRQFaQ52brTwKp/U41qmtjqOW/Q6BqhAVDkJm1rjwSScezdZG1RWDxW1XzLsHhZEvwqRL
t8+p8rh+rtBTDnEGeB9UWc0TTLYo6yPyEhxpam88h6lX9dOeEQtCpKq4fDdb3rKyyfWTD4mPC7Av
HFkZeL2d82haI7/XFOYGcIowGEcCNGjbUfDJ6bhZHWGpmNUGBqeJp3Uvl/MjIWlryuVmXppd4+Oa
hlu+9XHYdjNjWI9eX0S2UYjHthvH6jiC8qKc+FrMwdIW/EixuOY3L11yWKLJ8rwPWzGJFRTDzma8
B19yO4bnrp+TknU2rPJK5vc4dguuDKVFHm79zH2XMvW7j+KvewKfYzzyHnjpe9e0PEO1VjZioE65
P9uw1u6UrwYRjjVDMfuSx9ZsBqMtG3k07AI/ZEMt8w8JCGgeDiMQUIMAr/ztvYvtmO1ryrTukPFx
PDLGWxtlWjFG9ah4X83Y9NnN2K3cYV/iXu7WUvIPlQuE6hHjk7t1EH97Vkr7/PvZ0OdosTQzZrDz
Ij3VdsvvmRvBOKZDxqR1N5dpDKXHq+x603d3uZ3w57K0SmSxWPNu2t7ePudZtX3u5/w8Iqk1xGHl
uQ2wJsj6EJobeNq1YvJ3h9HDuQy2okzOyTTDW0Q4N+m87qcm7Sin+XBhLBc72cKta9c2WuLVeQTk
Yl6lLQBTMEkTa5tSTslPZdXwKgfH476RzEV+D542nS1e1j0sEpW40zHbHC7c9UCTP0aMhrOipRik
dBHMhozihZcpisE8+HZj5fdt2fG6Sp2dh3BK+JmpNzkzBuXg8u7MbWS26DVjJNfN27L3Q6L5+wYJ
cjoay9T5buC6hvP490iWauYCq5dwp9UsQQ+G1XT7q9qw+W22M2zdIZ8NRkXHYq5/ONpn7jZmz5iP
QykerVatny2fM9UuSTKUcFQfiFeZOOrn6lk6DshTMvFS1Vfy2K1z4z6BnLjiAfKdGdSPWrd3To6S
dZJ1pbprjXbtH4qqS8cPdschMRrcmuWj0iOvi2+e8RJy4XdmTD4euXdK+xSvyDZ7Nh7vpymn7MOg
Zm8AhFO8MZ2IyYm2zlJFMDksm8diKniA2dfcakH+ZY7w8yx5kzcZw6HQWuPASCZGWpdN0+/cfsnt
U2k23s+iy8Z2PxnxytiaOX8v5o0vvx9BXq91vfj+/SLWrdurtKh5qVrr6bQpC9wHQcveajbxtvKo
fjnHdB+HbuDlbiyN3QPwKSNoO3Vs3031ZhJpzSv7VHWbnO//nnGEcvL84Kwuk6p0Cu6Q/YFlaYw3
7rmn/jXuEndL16DI67rfYRvzK0fHZplYO471R85jHCE6x+ITYD5zWe11dcM8gizDG535wJy/Frla
+NAnZHkaPgHAP1Y2PHVWjoTMhBOR/GerGgx4xb03x8yOzDExCi1cvKtFb1zRZc2VfDcZ42wgg/v3
Jbj7fM/yQ0bBGEG4djOKkn87ybXtHowYSOVWQRgk30YR8/MJDlwc5UvPx7ym5APOnDqTFdKZTWYa
zx8ybv32uZA1H0PfDd7PtdH2eMtpPB526zJWYM0juGK778aer7+dbSZFXLv8vGW22QdrOo8gphxj
SvKHBVKUG8sVFi5/joS6pntmZquvVsvPqsiIE9wuJiQmXFCyHTWBlZapc+1sNv+Y4A/YHQ2PFxJb
JRPKrDzHiAo3VvGVqGFXsbQyI7mec+H6t6aZFO5jZcz8ngQK1L7q5MAs4uXWJGqVOSRjHmSin9cd
WCCn6RWDs3jnMPze+2WZDeMdyEFnfXfWrF+OZGOm5l6Qc1MBK2s9HoTo/XqfbC4Gid8pt/hqpCr9
YihCHJGhXNhAa6IU+pFlgGRk+FyE1wD0EaXXIMKbXhvZupqRr2OOFrMPHwjKfP4YzTqspHiImXhn
stm6KZVfHVJtZI9+u9Q/ZCtqmCobvXc2bt2WHIFNJchDpXwAwqkAzosvoi52JIiiROj3SD+ha7bm
TtUkazg1HeW0fgPueqxa/dBPPxJruUk84y6eFCiF6X9qFz3u7Xq5GtwMdXhDKUqGxD8a+fSuZh2I
zNwVN82y3fbx8sWQ/aMhyvUa4eth2JS6XbzWDs7bY7DqvoqmeRJBmg8qqsa4isY0/YppGzNhOvNT
hh8eZguw4pZ2PwY9AxwTkS3zEKG/CaGOvhZub0Sjdm5MDSGWFkN+VdWFF+F8xweiO3rXq+a3Noq7
zUvf5TnsjO8M8sm1QQd06/2sOJ08GLbOjmk79rs2VvIgUvN34nkhFPWT1SFuWWm6L3373brlV635
l4BJZbtYfTQ6yamzyIX6/igeyj7+kPTYJ11eFkG7zvYOsvdnaoG0GsAnwbBl1T3WfBZ2haUOsWV+
a9XUXce9UoG/DWS03PlTNnTWUalyOBZtoU7ZkM07adrzEiypyg9e2dc3ne7fdwlGheOa2z73vV+Z
nc+3Xjn+2GYzC8bV1iFUiLMrEuZ1WyQVk2bT13U7Ojqa7K39QgRCRX7fAgRk9SdOTtsJ7eMa4tHg
1U5QurYq3mPFf8Gous8nuQT4oc3PnNU+zCWU0pwnUxPM8wi6YbsTMnR+s22GsdOetJ+MZCWGN5/z
BY4HWIatbUbr1iTJw1ZlyR1YSR8RKlhguRiUh3LsvSsUHZGEnZDptGsq/PN+TNIQlVYeEhwbYu5p
n9hRtVlVAeCM1R0w4/PHeIvlN8yP9nZc6/dr1a23ThsnK4qqWp9g90QIQenhbCX5yWmG6nflk5Ox
rGVLH2Q6vsfpy+4GBtgLjDVxSd+UoIt5Iz6PYEFf5sUhQtlRQ4TkeOKPeT3boQfNFFqDkR5S6SH+
N+KpZxn/yJkLWGcaqD02via5X0aN69bGLpSsb/XWFz9uC17NtIW+HtoYC0X5x3Rr9K3AecuCnIo2
hMxI+Ozcxa8Dzast3ilvWZ7SyXFV0M2u1DdZZycf7WHTT3WSUIOUKeffOc1CgMRvVue2adDkfU+C
ypnZ6ROT8FG/yd7ZEzEo9m7XbdBdqdh6LMVM5bt+Ge0nsqRuS2ymxQRGEt8pwP0IV8AQUdLZoM9x
7kaq6OKbOJGApXg1470hwV4J/vXmQtRw/EXmZAxXoj6RQ4D6ZGRuxjEdbWhxijYcrOY7PPQPyx1y
uou4egsXT+Ndu5P64E8Qg4QbV9sAjvKqCB3S22euO912RMBIl7LRRBmngIAGDyPoDMSaz8yImqTY
IiSY9Nc4iOKAiVyz7GWCkGTeyeRgrQuZGOLmu9VT1tfWHLf0aDdktjDVwEo6W/c3VFDjtVvOA+hv
zTVWnb/vWqv+vfjeGIrGHzsO2fCy5WQmhwaP8Bak1IlyuxO/ZQZURcxj66/tiULuvUxLIznN+dTs
Bg0f0ddeeaVaZew4aU5kccpYhFOWQAl3Xm4+Dn423Me9a95Kn29ux/F8uNp0i8vazsPRSj1IfbDH
6utmkVDE+C1KyCVVmwdrdEQdljNZYTT+2uuxAxPRBWOyMO6lnk2HE+YKHjo1pvkL+DAx8efb5Zjq
Zv0NRewtATjmEpp1se6scrEog88ZkEV7LrvB3P0ks6JOW2rqq6Z2xq/u6KidIu4h9hZN4Iqw6Jv0
0aVSvVYyScAFjH4/oNkdnNJK5G51+rm8tjOWiz08eVeyTCvPiKBU53vmUXm0xlJ/8CRg0kNfcpKP
ZN5Zn7w+NyS7mOlMgZBuRQ6qKDI7KluMoqC3tqwISA6Vj9oiO1O1ox9Qj0FCCzE+oPUOD2Jt2veI
sGyoc9rKR7vL4C1rN1XdznfLJpLD5u89NrBvc1uZNyrPHEXx5SQbJ2pZki9sij7ITXIBdTU2S2B7
hpij1iP+RQLa0TdgES1iGLAWvKY9A76Vxi92eRSXtTayp3omj7PvvYVjlruci4G8WiOnikW121Zv
Hd7hQltD4Ob2+s3SW15FKk9mtl8T4tKpqc/DdByLZkcWfzy2fuV/TbbS+UUvFZJP6Ty2YY/YJohu
9A4mTm/WSwATym23qXsimfV+82hIUgY9keQDLRbYiyqCpT88aWg/KpDG31X9VpzybV2bK9hATtiE
guYgae3VOIhBrUY4dxvZt3KJi09S9HpfmsV02xuVV4feOIPpxqQAqlPmdL51qKl66l1qqA2CjV3D
vbX5cUYsJyjOpzujFhIhAukn+YdYV9exEk9b3iHHqcpL5b0j0BR3CREde0c2YwZm3WQ6J1DDpvhc
KuBROp2QutgnnTZ/xzGzMViQkgED2lXb0TqNa/GxK/WkT6lOuAUTtfRUl9OiT9TzhdwRrjlrl9m2
Zvuq0njhMWpxg7gEAnraYPGGzy5YXnkN52fYYa4L3wkz6nBEm2HsNUWERgm1YwPFs7fYCq9HTGvn
GwGcbrjKY4Dshi9sArRQTMy1SdciaPymsimrSmneJalrZh/NwmmcfebUuYdjSN58n+iGeLSFZgPU
mrojDjwK4RhQr3vEXyUh7l3SlFMc2WLajqSp82lHPn55oDMDZ7PVr8pPS2ctD+3a90+DPzcdIkmv
ncCofFXfL2kNx5NnQ87kbTpZ7krPBJ3fFlNUIRA/R026fyxR3M7Lg1aD+XnggyD9323GRGpAgJOJ
fl3YkX3Zl1dkJpcCsBZLOSI3RpAsU3LwrieXNMnDIN1cR4Tam3k/Nyvg2LZtPHMxFKtxqlPbc086
36xFkRonB0geI5lbh1hlwlgNDZsP2kTilrvNXZYHuJF8eioq9KX9CHM0D9CB0xxHMHLIsmYhk+Kq
NRSzgW4EqLs2498TBOnj8xxa4iyWYSY8sVynllxcMhRoEtW+8/uk2UnPTr+72jahg41OdVHPLreq
sKbwpVKwz6GLfbW2W3HT0qehi/Kt0HDAad+VD/5kMOSBQ2q/u5ry1kyvYFCUe/A9icLY2JPwbhK1
VN57Pz8HCdjr2+F6cxS5+tFIt+VQg8/FJ52qSkbmoAeaBBBXO+DpxXS2iKthaD8NdsZJowdeS98B
dKjhDbWf9nHP9FbBp+JivyH2S/7z0hNz53ri8NENoT9Z7XTd2w2g3byaXX83VO5Q3orFJIlXxbFp
/Opd5vs+GeC4/zZ3/yNwcWmVUSQ4FvqyKyxcFevc0fFP4IJFJ05z6ehw5BR605Sb/yDl0rzhlF2K
2VyFcCn2n4mbQn+x8138gXWMLSVdrJYuLON1qG8B3UByjMUZip0ckDnfUrNfjK1Sf1mcpmk76kVH
kDmvZlVC3ZGclvquUNYmTsJ2Ch1s8baVUQHu69y4tCZpj72v8/zBRccc31DwbefFbXiOgCnBhQTw
sC6N1sJK7NlyOPHm6OZFSKeUJd71Yug86v6NcdDExJE0yTlYOz0tzXbn9OefqaaKpUhUHMGwRxvr
YRmzuLoWUzLUd6Vg54rWmWUzajN3jOELe7lcWZpR3mFa8BFY+cqgGomaXJbcZSz+2wEGOhAWzb5o
FupLYZ8n9x/vUzuONbYTMVWSRMU3ufSAbRZJexG1sVP98KzM8vbS7Ajs54aOH6QFfrR7w7K4HF3I
OoxyYB3sdJcmTs/vwdQFJSDCc2hPEKNXAyozqcHEn+5o/hLP95m5TT9bZSHi93ncf7Sz0XiT4Xnx
irkJx7F5yzTw4R7O//sfA0GDhNyK4wKByhyFuiEIRF8E4U14BqJ2ZRPUUtNGbEBzhgjuUvm9Mssu
C91StfZ7dvLxE8hTZezEttFa5/URunQw+agdekvR3Ahv52wfX9xc44IWzqTSJYIIOUXyiyvlp7l+
KIgWCk6VhvWG03/pIp0viVd1Xs8E/XjExXLiOGUOdt8TWijS5bSRjiZzPdBwDT9BtYGlbQf+s3oL
MHixinFZz8YOM88gF5rT8yeNq1KBSdHA1/WL5UvSN81NZ/tvrZX/MJ6CuKPHMsm/rUu/X9eD6FYb
eceoctrlSG9G+PHGT6ss7HvTylBnX3+BL5ZNWujhwfqSqwkIsQsPFiCs6+yz6DAQwZjASpN21624
ssGy/vdrtEtLM9+1IF8dz8P7fj6GiLhVNqIkEM3PG6I0zfZhUVN1cus2eXz9uaxLpIFpApxBZIBm
Qr7lqYuZ6Y2gZXYJ2Q9RS2p8FdzTNSB0VoXsl3nKcc5z02sq8yzdjV6zKOTIyjfecfjiT+A/+F9f
v6eXY437SyiI2pap63kXywk9LTJikjbB+DWmiBDY30UQr8SN9nQw4U9ev9wLs1+4sHF09jVtWvko
1pDnw23UGr9p41j7b48oqc62SOkj4VpmgzVT5gbWWvO3E9K66YfamdRPjnNv3ss/PLoD4OB6BD+d
c0u857fibpoVxFEZwjKyCehIV97MCdmXvY2O+e31B/+nizGXeXqA2jP/+Pxicdcu7lkvCpus70i4
rykhuw89ra42euhk3s/XL/dyZXCldFidz+AUjQAvhrntkI4X1WYhOVNU9/QvSy/LMhzb//ZCePYY
Vcxmrsde8Py5qlToLtNdGaqsW8vbv/yj3nKd+Y0V9uUixGRh33X4fGy+o4t5amSkhWS/Al3nNU2d
4jnpA9LXP3unqyIalajmjZn6cklXwpL083To12vRRPTiwQpR+NY51W0YcT0c+nFc5rCf4q05uZhZ
nJGHeciOQ+ylzd3rY/pPl2aF4A0Cc5232OeX9iiByxZ6GbC9XrtfxOE8HXnD1PsIFfYsH+POd35p
nJPu8PqVL3oWKkaWPex8wvhrA2VdfH7pNWtUSmQNUci10+yKZp0ovn5GO7iwTmX/cY6NDoHWkmVJ
3aBb+0oxrad3QB2K4IYxIMJYHn2Ywt7VI8hUR/O2/I394R/mgqsE7dgBo/xzv9XnN0n9regOaNJY
rd4S8PE08b5zKwWtKrqs+0mj0k7vXh+Y8+f5Jy/DuCjOe3StBKxTL1ZukW2Vbse5Ct0twzJJdBHT
FYUgmL6BX1wcOqxUVRbpdtrMo4l0lkT//Q348Ap8zzY7vntxwrAtuVZEF8k40vWwQrlZJ+swWTDQ
v83YGan+B8OWO8MnNfqU5sU2vnv9Bv5h5WaNVCze7Eqs387F5iWnvl1Xr66pxYtORHIuZR7KpBGk
09DunY8jzUjdo99aZGq2NZmyY1KnY3ZsQQSzN5adf/hEfMUpnBanjudb9sUUyP3eIJOTlqE2vKY7
zGbF269IBbdwYnnrRy3GI/25vHKu3ngTL1dylm9a09MnUlHJX+6YU+y6tS4cQhiWkZt0ycu6jy56
2TfFZ/tWxfHyOeFifRp1ssbSJ/XyoL0YTZt1GBpYkc3aRPMweWOQ1h3Nd9s+rvOo8vr0E8A0ktcb
7/u8RTyf8p7lshDwkPQuMC9XXFdQS6kWZH4iamN+AArI20CKcVPHJZ1abPg67T7TT6U9Z+qbtjgs
Tbr95D6XKUIX8zkCj9JPH964r5e1B+WlOt8W40Lvy4uddKHrpl5EzI5D/OZHk5DcCFVvM/Usn6pz
R/Oi2P2Avsy80PS5J09nD076rjT4vzMJrWVtrvO5YvWgUBLTG5Pj5dLEQgegpjzX4UR5WZ15Bqlc
22Fewm+Z9QHty2yiUntjfZ2i+GUPctnQgF8fkvNkv3hTnKUkf3lniu1yPaQJqhFXJnujaVRzfG2m
mtHptJ/MbzzdP6wBfP1QkWwR8KhnIPtZ3Uf5U3pxffZ9xmkaLQiBzQdIovPMRrg42ToMacKHxTu8
b/8pxdzdaOLoIiLPrdDNG7fzAtak4rHYsIRFW2KEhsvRXpQ1uwutV0L6V3TFXUsgOQ3U0ogNu9xA
EJDbCGWdkWz3IsLi3TkXssbOdLLIkCZ7FM3kW0LTlavcBFO5R+2kd0g8NfHtlNgdzXHpgENMyIut
bNmTrxiJSsEO1V9lmaM6IDE7y1VDi0Uv0mj5/W4ZEhJGr7/el3PKt/lLnic8zZkv1zqz6Oy8R+6k
J+GwtGFKv1WJxz1SNYwIgNkhwc389Po1Xy5yoJLn4ZXUBUR1zlPujwI/j8FhtKH7kEOdgH+x2w5T
PnNGM6p8N31TUDgfaZ5PYcJPRBBJDlAhvajCAAkIqCTk2cx0nUhuk0Ok3+gskHAmooBitywE8vYG
HZKdJztxGPx4NQZsCVBtJ1RD6sSPi2OhH8WoTuhNE8Hrq2kmFrOnE3I8HrptHvNrHFG0pyleU+/r
60P28uNQSA5sCoquvJTK3uWYkfUtW5suEM1Mi/iwLGp6/lUTaht9OTJCuXtaCPXzsYHa6ug3xgoS
Ol3tyNvYpcHtGzvkixHlbtgi3XPIisPQ5d2kVazyUc1tCOMB2hFPbT/t6OCnl6skkfFwmExoyZ05
udmnjJNuH9YrPcVuXh+Ul3fBGogmiSBpk1m91GIsSfOKtsgxgLWYfrUGWWXQ7jT5vXjCz0P6YpDh
V0XZWTuRLM14RYMjvt7/+iYg6NF5ObdR619qzlWyotKn2A+yIy/1PtXZNr1LfL3IXewsAqh3WJuE
DHLmUQIaY0N4opnqYXujpHjxUZ1LJYQUWqifI3f+eWf746NKey8rgRWakBzCqIImPseihnzMvkDW
tcX+9af+p6vR/f1/s3dmy5Eb2Zb9IsgwD4+NQEyMCE5JJpN8geVExzw6AAe+vhekKmslqZs09fN9
kckqKxURGNyPn7P32gYHWzjW7xZHegUV/AOF7MXoq8+OKPoBkUPSK5RzqVt9cI3/6dNctqAATYG7
xir8+tsyb5mtuNFKkD+MJg4giKrPraYz0MjQrfzbpgUXki2WhhTFn0ta1q8fVstCLH0HjVO6ziyg
LhuQ/SqDtAVyCdgT/j/uG28TjgCdtuu7im9RJcEPiAKpuuPmUcTAyhmVpQWrVZCX7Qef9q7k48dh
g9KNVZi/dtx+/XFJCSwSVXqxQZvXjOEy1iUiSOll3edsahokCQvsphALnhVc/vUjY9Hhtv31XLU6
wn/9aPbAuTZ8+DGi55GBPKhfFbUxn2PGF9vff9T7XhisKt4CVgCaB+87FEBBKM6NkuME+nygTdie
eT6lk9cos4AVAfWwGEKfGb8VKDCQ/bHHpi7DjFY3M7nFlS28D77UPzzEjsvhhtCp9bz3tpDCkjUM
JjM3nisGhDtt1qzqUMHMuqk5UX2wxRrvzpQen4QNny2d3BBq7V+vdoWrv5mRQWwytjKPqTaSg0+j
0uzyqgjgD3OO9Myvvufb9VVJTABKL4Z81lVPMdAdVZIwD/Hg5gB/Bzj0mvidoxD38+xEHn33+iqH
uQL/KpuK6l+/gOwqWHbw466d57e+JLdZv2VpUJJMCU3KJHddsScuUHYR+ISl+aDQe1cBMUUjMcDE
lUQnBp/Gr1dKUak7mTlAvfNW+nnWe/LeUIgAuXSpd8I4g3v+98/n+5vDAs2Aw2ZJ82gyvDlltIaL
ORlJE+jawEW2sAAWLrLuWEgksYY7G0eHIdShyJT64Me+3zJXh+La/mHAs36JX39sMzcwDusOIG8G
BntXLwHELcgfA2XYaI7tWa8N++IWs3HK5gG9ztwjozn+/uf/w+vJ+cU21wgRhnn+23QBHcFwAtwD
uAJxMvFNylz/zkIjauz92Ra3WUopcY6zIu2O5ZKNECP9AZGUDX3cDxkxio+Wxffv5tqS4tBh0DSm
Tnyz5tOPinO9g/ZAM5u+JlaY/CEe/Rq9pFPb6Qe3/00MBI0wTpiY7qjB6AAGtMN+vQuQzNApI3vd
5K6RpVGQBLxKXZEKf4vJR04HDD2yzkLOvMz/g8aATalLiQJODcgbtvmIEOJCv82Ux8mUPrjrvupe
kTn15v739+ofrgy1M99X5wvzOr75qjqLtibZmTiUuRPS4dkYf8BNGoKNGuv52+8/7E16x3phMH3y
bOpu4Bk4p95sT0XB2jLi6EGxhBEC+kdquchuNe2VKQpmptrKGnOnCkghGwYhiXl2grqtz5NdmD6A
BVV7O3ZtxznGni7V7vdfb10zfzlHeIxMAp4SWoPU4pb1623z2qos/EHXwoL5YxeJRRM22sg2zj5o
h72/6AA5meYw4sY9R4zOrx+UzN7S2Dprsg/48mmB+YOjoQK+iuEvRs73+5/1/tN8liEHdgLjZ4q5
9c//VjkyKcdLMgEKAI/ZC1BfeFc2sd+YAG0RcqkP6gDv/RqEWoFHihhSgxnJ261JigphsLLEZiLz
gTJnACITunk+ijQ0k9ozD1U6xkjTq6rWub6GjaOAw6upAJBZSwsIfVzaH04h5coZAbuFRq0HrTsW
qHkPHLm95tjSU033w0pBp3OhYc4Z/ExAY3VINNlbjVcGx3qK9eQSKLhcoac16deg1uNgC6a3z6Dp
Zlz1vPH5vyhlF81Zr0bN3MWe0MYbMDi+BfZSITOHEihleSp6inJEjd3AhdOalZOT9g7JAJHbiWlg
7yoNaBhx3/K1Eebb8b7UBb8zFtBvYM7r/ATbrhe1KQyTf5Yzm1UYDEk7I4L1uTV148op0kpryvXQ
kYHeXqm5hLgAzR14f+XK+muM5nDZq9Q0k20Ov07fjlU1LEf0o636ls5OlTyWi9+qa0DAelLx1pR8
e0/T+UhAkWYVWV5WZHtRrV8l7SgwaLBY3ApsYrZ+MvuWq1ymxSAi5Ys2O/YQqNQFXxof1nRebH/w
Orx/7zAo46L0PQbpxrvKycQB7aNcKyBk1CCCkiXw042u9On771+Ed8ZV20PPxH7M6ZhMgnd9cKSZ
VoyLothk8Os4uYExHEOzcQbjZA01Al2d1sxLMVqo5q10aT8v/VK2uHmLDs6wFhTUDL6nxAf75fsX
lLgtl1mb5XJO4J359QWtjZXh5TYo3MRItBTVo7vARst1rIX09OcP6q/3q7DPYk/7k8asy7b41r9r
VMVcBytmu4IFmm0K7Pr+TZXCEdnQR9Y/F4NXLQcaYvqDOZScv+kYl8mW3qOv74GUQSD3W0cfdlQ5
s/i3izBrh7k2jdAkcPR/V8EgGsVFU9QrSslFZ4iaE9fzNCND//3TsO5sv6z2HFT4OcyTuYZro/zN
VbfEjDEgaDZGmfkkIVAffevjjkaRJPGuCitYNtkHS/H7yogPpfnsrkRmDgpvp3P2MpZImdhudVBJ
akeyC7cBdhHYUEQnMBSHYsaJgvGMXA2+FrBmTfQj1LCpJ4mDwD47+bcVAKcHCiMkLwA0eAnf7MmI
4DtgMgRwxKUqvnGugDyZJkn5CBfVDj446b87n/JhdDBW0AezWPdtZUhkgtK6uUf2OWvu8FxOgNhu
gNabbdgaLOwHhJyS+Kdca7e/v93vXjIM66tWgf2drYmb/uvtDjpO3pkGcyKus6Gj9gZsiyQEjyv/
XtYfVDrvu8tAHRm52FxQpi/vRva4/TmAF3azajCskSwy2XXXo0p0NHRZVgL8t0WeRt2fZQARdjI/
CLp8nwYnpkqM3Wx4mgKHfwUWb30VjVlVtMrNYIlQdKbmuTfnVPooNxupVpGU20aznhvlru96dHqp
hR2MHJKJTyUxR33iIGwVn35/Sd+/QWhs1pEickzaDm/fIOmNmls6PbkmTU72QV3ApY88oiX6Yx2L
kqM/v2j44D4a78oLuhrBqpgiKZMD1tsRztRC4mCeWW2GhOp1l3l+mkYzrlW17YVmkaDFfMmBr4bX
FNU8iJhHRYiVHwo3AU9YKKEFhwLKNAhDMke+CglO9lvvoEc/pAFHYkzyA42ZLC/9BQJgyvH699ft
3aNIF5HDLydSNj0Ereuf/60gs0ZnaKagGzYp2WqP2WBXX0joafZm0i8fNHLfba3srLxqfBiXi0fy
zcvNIyZ6QyO2ZTa8vo40rUEbzePOJfu3v4lW4Rr8TEoxfYm3lX2iZDwa9TIwU9WKa3C98Z7HYb5o
g1n8tYb8L1vpH2Oi/19C56q3+J/ZSv9noEGSfv1v5PRfEbj/hSsZHvnQeCypfSxLd6Cz/BeuFPyx
anzwyfM4EnHsrjvSfxNwgz+Yi6HrWjVHdN91jin/gSvZLkgm/ne6b/Sg6KFa/wauxCH8zXNKhx+x
JccF1me6wBwefn0lMpHKxF+AE46YsU9G6u/dwP9esyWdCoy4wZogF2vtuBnNwqV+rpKHYA004qhW
1neAHb5ZKYxQOYCjtTRQH7Lspw3+NCMSwwAkGduKRNxgEHB3tixAvm0AIVoWwXBOOMuHZaeqpxWD
Ru4DsttxIBGGMXSwAd12pfVJhih3ucHsetdD6d2yRskoGwiCMlVBc0P5nCWCHNiyO5w5KQBXTrpN
ajIRbG0rgapbOJhsJv9nruGPYthBhzImmyQZic5VblAwmB+XT8Cl9M9147cPpWimS4/K+VjVebP3
E38+1Fm9HADk2/uM4navZ414KigY+NJYlSNMdt03TZ/kz6kOTuywzySyjCejIG0OWaJFOIHPG6qb
y/RZDdUjcY196BcSFmyL2wQ3YRVKXQeLbsfpKU/L17QEPZ5VKVFNrobjF6v3SQuC7ib3526PRVGD
il5AyqQ/EcVFHocq+OEugzp70pURo658i1I+3VatE5BPHMentHKW/SwMTGh2Nz5U1NPxzvGx3WJB
nust37gmRBLx9qmGSHvd8viGoGySx8RKuteczJ3PAAxIQKiTdOyA+pXzvmI8u3FzVOOikltFgNyO
Qyh8aJ9ZX2tWwcnNElKSa3CrmeXWeHWs4Nm3pNiOrkggpGBqpeOsmWsA8pp3bGfufmk1d4GqrlmQ
5Rf9JSsH78xJLdhgaYPJ20u59XI9oMHWkHjpeySAZWaxTXifSGRu4IYz0IeGzE69zwKt32rton8f
W+w5QV3YG5Xpzlm5hCBk0BmOpjNj8q0z0HUzAIM6vSKXJt00CyLxzdhO7LN4XYVW0yjNZIFZVRcp
86C0PWFz2UN1b5g9JRZ2jKbND0maHAozdre1NngXn5iavcFXu9Ym6xU7YR7N89yAvO3Gez/ppsea
sQTYoM6HWKClpzqu8mvbwRc2l156o1KnuDQG2jyhG2OUk7QX1T3cgbgSm7hN9mWcJlecC27IMauO
WptVZwN4Rih98SyXxhcIUPzRDTEmdYdxwjuWofDA7WnfWh6+II/YQoUd6rg2K67NyZGcT+YbrSIK
0x7oE8Xl5D9rhblFwJE9zSZsKSKp4Tw67bPMOnML5dIPs8DKPicYhknw6RG2uFZaXylIS0p3xWVI
RR6mAoU1uRcTeWrIHHAiWK+FqZ8Cp9cOlSbOxcxzIpvxR5C5859kAlij2rJJksA/GLUW7OfccrfE
Dakoi7XpU2vCRMTrXP0sBwF7sRffyqzo56hbgF85rXV2FpDhbayeCO5Kt9D2nftZ5OpK0qjdpPN4
7aGY/ZS2RXqEmvHq01k42f6wACaBpO0G6adsKA0YrPnoHgswkQdpifTaRDL2aWmxxi6a9ZN4KTMC
bqBFUN3Ly5D0X1oSTGj9jh6m3+EbXcT0jmCY1yrxnbBPi+lxUemR+EH9PNQ2C6XbEJ6UxaSvbQJg
4XcFoV5liD8zu00zhpoEUb0EvIP1z9YfvBO9e//B9YrscTLy4sRb0z+WWe9GoCCmGzcweyAbDrfS
rsTnMWtIJwM+QhYRgrnNlHrDwzgqhwfJUbQoWC0r1FlHzymHg7s0yxkZyo+cqIjzqIIS86kGmV1C
ckAjVKavqOLljQ8B+FxUCtSktqhPmTCDjZ01EBvYdLazJ8oydNyiuwkWnk9Gg6GiN/OQ+nDrGa8n
/tYii+u+yVvUXqv49sJEtHrSh3R4VVL2R0j/1jWDyMTdmER4AC4uigtAjaIiN12YW0PHrB02vWF8
HyarPXZuTDjckBGZ0DFx0+LBD21E6WcEI+KSdG1xKe1uRdlU2k5bludubMWhzNsnq1XToZg7b1tU
wM8F2ZBYIsYKWZJWbqFeNTvcMeLOq61XCYDnnFH17pK2x6+PAnYDTcO67brkWgfZcKi1po1aJ/NB
TvXTeBB9M5xTwF27kkMP2VMdwQKZlE8wM4azO00vlAosCAm5lTrxvdfjPCncng17UAJl4hpr+JID
AtWW755mGJu0Feoqa1z1xcHNXCDWSVlKLLelvE6sLw4mQJAdTQmEE1H0pnYncSBxdgCdP7XX+FQ1
bBbYA5iKukS14aobzKgF+29vuwlzSLgMqRG1svsxOzB148m4qhX4hdCsbOfolS1+2IzGhK1jX69t
e6KJTrJyInjx7MzLj71rdRuzw2bM3TROzhgn15PNogdHbEHkNNu7wdE8GMcui6tNtGoxJTRkEX5j
puwsD7RpY0eaoelHwOPdGKmcJbYU1XIrWzS2wqn0KwpeEe8IM3KvmaXlT2KANVs1Brke0v/J1qYd
SD/5bC/QVEMiVuavpkrz17Zmz5S0Jnb6xM1eSrvgeyXqRAQGmJeS3+/Nqt0WYvzZYZkIB6P7HswK
2ljrkTtWycGNJmZnK8HiptZHgGfjdIEoLq4aObx02Jp2qd2dUq8sDmDei0hXbsbe1S17k6X/1Lkw
ZaVoXztHc7YJOZEXF0IgTKCsCcdSO1soBlkXrAOb3hAB9Uq+Lj2s/T4jQqGmURhCLP8+mHicXc3/
mcXQ9YivwCmuVScS3USEH95/8hxn2KvG+RHI7BkcC0lYJpPLMg/ueygsEefycqdok2+9RhiRbyzW
/cQRPtIS+nOuvzOLmuJlieFOT6hPvtD8h4dna/WVs8xcANl2yWacyovSvHRv1qa8GpsVbuE67THX
B+eYkcjDGOxl6HE15zroD1/KGzgt7b4hA4Eip2/Wgq0f2RrsxulvhmF5jkn7xFesPwRqoJrM0+YG
1TMoKthUP8dSbx7SbP4xqNm+pE43fOrizI4mtO4OcDabpraGM2FEgb1yFGIROT0ZtXRxDdxtnrtN
UaUf6TvVZ7JpueW1Mq6Ul3JCIxtF0mrV4whRUvPFnngiVvTxKR6J8OngR4VTGRxcr0KmShz1IdAM
ccm8anjKRtKY6OkmO7KAmgvk+5jc83Hez4ndXZfIzwnv8yQHQFs63XkgpGoH44O1zOrda8Z6hAPX
/m3jBB1cOucT54AsBJ2ik3eZlrs4QZgr1GevNHy+ptXfVHGXP5ukG++Gbp6fpYcERwq/31FtIXWI
hzXT2CVBwM7JRYeLeFBOCazAaTho1xIa3SKmV8lo6E7lANDM0XjorfG7FwhIlQFZ04Q+fZWO5h56
QFdXNDuuvUVuWufrzBEgJAlWRcQ84/UZ3fLoBfOlH6x2azBhArMPChFVQnunOfE9halxHJzkMUAF
RhZh3WySGGgb1GBxyErDuiuNXRxYCcidG7z5KZUQruAytb4GCem/+C6ghJOtfEPaLLHAckaQxRgU
Dx05t09V5wcra345YV6Ue0j32hUAAMPBmiPyHdEfTWSX3aHx1JNQDmKEyVawwp+myT+gOPyKyG2X
u7Ye0j74LPTlc1qbu76YwtxcbtyxPQobF7YP06hPjliBz4wIrr2EaK5Mc1lkSb7MYDo3Q5CQ5Qa8
vVg0DhtJIG89dz6RIzL6YQGg44hkrtjpjTfzovNuPPGU2dnWTL1u3/e2mUTIJLyBxdgywWm64iHN
h8bEJJ+wLOUJn8vjkO0nvM/Yt+WVxmRxi/PdOg02v6lfFY5cnzyO1+6ms1ut8HsgAPe0k6p7Cns9
DObYu2mE2e6xmEtKsdR89Prmkk+ltWW/IhbdI3rOaKjzxkZXUVkbIgT4ID+1UlpEibXG7VToCSAP
wnkO1gKVNyRNhZfDNdP5riVIFnghvpBdw8J6YBwHptwyPuVx833wByO/hrllQfMVtfU8lV77iijY
CIVpTIBETS0q8rZ7hWPFjFYsw8/YS9nREMzfgE3ytjRO0y3OovyE2rG9lPw9ZjQzWDBv0fhPiBVB
FiLPVtvOX36MDfOmIinM2871PpOITGhvE5PDHOe7ZKisZ6/L6jCokZKiI8HdqBO00FeTEemNXuzw
+QRfRJ4gWSrk9IL35GdCvIc8VO7knFsmZ187UdcnMF3kqlWolMO5Ha/o1ORhMmmHIJZlBdun1a4c
NxnOMLerw0Q+zNnVfhJfHh+4F5KALeVcVW33U45Gc4MCW0UtZ5V9ZiHVaIzFXw8go33oykk/JrgG
sK9Pw7VRzM6XsQpaFr1+tRWkihXb1rVxbxbdTmliclDdELWYNKTRgx/sDHC5LbQqCEcdau9iLn52
tpd/GmTc3I+V6u9gd9RROi0vMiaQiMTk4mcArG21vlfLjPqwsaCZpVV2B5uH/JRl6OHoeBwX4QiG
1ujnmwKqwSYA/vVsVIN50+qx+SyV0R4xwDBhn5Z2b3aOeY0CWmxZ33PiiGZq08jKKHAY4kNxTci8
2OhF3Lq810Z9zrIALfuU+PumVenW9quO+9Z1ahfnjbuv9AunY63lUbT9H40zltsx0bDtu/Nqeayr
4Bs4P2OfLTQWx6ZDwYnhfacD5rhKx4rYdlbwm37U1JM3KiiNnelCVJ37nVuMFcFODKdPXWcF135u
edFIyN4VlW4TWsGaW6LaqYWD6I7fikk4sBk5y6F0KfQNkmSqla737fNsCuPekKJEfGB59TYOIGBo
JXVTnWq1TxibpP1hyf5iqZXbUpOxdzt0JBsMtjHe5q7i90lfa7+wkU27YCCJwzEWng0rT0lko241
c1Puc4uYrY3W6E9+HEPHa8FVHmym7C9jLjkowVqDGTmSnnlv5gGQEU/7odP0SUhoiH+UBLeSw4Jg
GfeYsU2BOdJlGOPgOhCOcybLeogk/V9uCxup0Tu3iiAYGQ2EpG/jhrZEBcOWTaf2jCebfLjbTOvZ
1nAXFcY1E+lBC7OY443bwrzJhTZAx/JXM6Fh1mcx6bckrzljxKwq8s2aQKM58++oUea9iqfspHfw
LeqpNDaCWdsBL4m8jwuV3hHD+tqaXnmdGWRPV+0Uv2JzI8UiboV/4WB/q4Jm3q+qQAPA2G5AGr8H
5mcegISYm3RsxBdiIu2rbHKeSAdub2xZqVv4UgBzMpM6yeUoSIJ2fIA6JE9tHhtf1qUQtTIxM2ZT
zY8TKpyQ1U27JzXa2c8cRShFUp4iu9OPzKHnB3cggS1XJTmlRAlHaekFd3pnDnf+RPhSNHYzaDVf
HwM3Sqas82iB2U4TFbJ8TLyFmMOJKM8CHm2cz/LKnwhLaSCFMDU2/J92Skhb5viEATYEs/AOzfu2
JR0gRJA/w+6iOUzZ/w1EB3fEb0CpjDYwFlr1p0It1bVXB+SuZCRl8h6W9jHpcv3gKpNHeLL2c2Dv
FlJNjx5+Ov4+/KuacXk7zeVdU9nDpYVmRzaxAr81U3FqsuAdg+VCwnpARgKSwIvpT8MNmSfqUKIz
/uzXSJHCBmHXQCtBDddWLv02jMn6iTL+6FZJle4SMouhkyYr2su6mbm3ZFE4mrVFgecdikR9TjO/
uCMSgkMrcIynWpv1Lb6rL2A7YElphLwvStWHrkbTPVJ9GaSkRBR8y2PgDF8w86ASmtaTVj2TIedP
VoLctxWU/K1LwlG4eLI5dK1yNg5xSpcssxNyVmt9R/kzbjuaF3vf7mKgJKw3ZMMYe/bEkqCUCbb0
ZF33rdvBfVtevHpwHnqAtd9iOnsbu1AvvZrgjqCXMraq6RYiMuqBVC/eRnPbKGJ6kOWCUu1KzBBj
RVKVhz4womCQbBoUIlUOhWcexmOZa0TPS4NSe4lfTJEb9ioXrwgXaghrEwygvxoVty42hbyySijW
YY4qNhw4AzehK1JuO3EmPyth+Gdk/VBdpYwWC/5OS/6DHiDe0vVJv+IBzQ+BSUY3B4p+r6dmckN0
m8UHdd6+WBiNhbDOtWvdpMLvsAaQfkmORCfI8tMnpCYgeoTHRFLGNzxt6/iT0L0rUvqAfXYQlkKC
ielWweE9SOqPkI/16bt2/YGeSjmjzx+5LYIB5Bj1vZm4QEpLdWPmA7RnDenSNecV45YgL3WEwZS5
m4DTxcb2+uyp0QU6OZ84qojzknr9cyAKidLluDzSTwQJsObYBuqKLrxY4dE2EYKwgEfj7PtNe4t4
KP7WK49LV7uDfjMXWvtjlvXymhdFfRXQPMzhpmF9YEc0G+6ieDF95dxorOQ7UxnFlTmOaQ0Y1Unu
Vvokg35DnibUrNGEVuiA9qR/lmIRkQgQiULnaO6DoU0v3RTUW6LRqKIT9VyIErVJX2uQbWRr+g9D
rJbXIs/KSxDHI5ngC64uAinTsGfYAP2hFKD4Vbed57y8Z7CUQM5KIEIi1OvTiG5fd6PABikmcZuG
Leno+pVxhXYAGvakqkvbN1XECWy+UXV37rvUu4/txtopz8qeEz/Hd+pwOjoxz2P0paD4QrJ5oQnX
PPQyoGOb0WmGgiA/Q7VqkeOlencZiTUmFJUUp2y6s1zxpbJ7e+vrc3ddtJm1l5U53Cg9plmU5l7w
2LlE19dA2vYjmtYt0rn+zoJCua2JimAXAlQRjRKwEK0QQirJkPOvlxVzxDujnRNm5d86wcVMLFOw
f4rWOAGdHLe+D/MM6dB0t2QZ6J4RviLWUXdNFfBYInInM55YTL4Nddsecd4HiIuI+sKQP++qVGWX
eM54R2KR8S5MzjJ9rQqp3UEcKq+1rht+NGnfhGBXHThFemzcki/eAJLEjxkxKFW8uL5FJiKsV+9A
keF8N+wyfwFSb+1HMYAh6yZd/w5FLnkayopec5ERxz1nONgonziL4N1y+q1ut/TmG3UatfGLOfBW
bJqx52CdictcxB1HSqM6ITxOzq1D11OsRyQ0jz//nIb979Twg6nhyon4n6eGu7QqvlY//j41XP/C
X5EslvEH4l0GbRzKcMv+CQL4K5LF1P/AUYYdxgxQs9DPQLL0n6mhp/+BaAffOXPDldG0jpz/MzV0
gj9QffNfxACIrJpB37+aGvIZfxfwwClCX4EG1mcL42j1VrraJsIUAE60yFQLEbQImLS7ltMnC7JK
PTe0ljy/hpCMpKqu6vKrMJqiuXReP0Lba1x6bh7RYiL62/W7/UtA9PekmLcSH8RSBNr6KJ8hglBL
eOvX/tt0H7llm82Lt2zjPu3PpppyGeUZ2MywS1ZOfMWB7VvWUT1vmBhlMynrCX+4gLYiglsOjAI/
+EartOVvSqf1G0FD8VGY6egl8GD/+o0Wv48NqhwEfm5cvQgaHNNman3phV7MGNAZR4aZFZDWfoOH
wqWvk1tI3UjDSZoPRFdvfW58Fw/1Az0RbxUbv5NGC7uxGfnl/bbLBrJ8Y64g0rqxc+sN3LT+pSML
mABPLXC/+HEpfrTIDm8bj0b/R9+Ensmb64JClWeUf2BU5Bl+e6fKdFHdYNcri5Xj7GZUqmI85S2l
+1QsoO0QR+oNShKfOjBEQMtwJQ5M9VK2pedEA+p3GQ42VPawhiVkR0ER6/nGJA4N2L6w5mObxF1B
yxeS7W7MrPi1ysHv/jnG0HaJ7MyHxU5Nut06SzUJrQwi2BvjpUfJImyPE93aF3SVXvzQK2MkEA+g
OBjQqXdfK+QWBBhXi5msauogD405NSigSaGPD3rtkbSXVGsAS4czJWOmawrvAZxy0EKN9HO1o9Rv
sq3tSNVEfUpPZ1s3s/UEXG4BB91wNotwmgXlRmRu8yJawgiOo2isp0Z2NgmTQy2mc5l23avZ+6Xk
ZIInIaKco/Od880zBug1Zd1k1YXxqII6ob3gA7cMcQwiLgWVDQXat8fPC6pze0NePFMR7Dvyh1N7
abzx3SYG8ZlWHfAeW+ic56Tuv8RMWnLKN+ppDGP68gM0CdWN3pTisW1iLECYfIJnZU+MZeif9Axn
SumZW7SurU4vsza+zypjLIHwvayIJdHgCEuojtQVBBia1Dm2PR4sGoTBXT53Eyh9Q1acDfwBzjSU
TJvUk3oNK/WsKXt2eDytsO+NdVJDc36jGeVMOUH7oNqTaUhcW4aijvFRUlWwN8mrh84hScGt18Pk
FdwJOtCp1oJ4ZcYtp20LzP8F7ebKJU5mUgUJdS1FWItKq2m/FUSVEkpPGzWja1WGquektgng3qFd
nwAXA9mwZB1lFEwbv5b0vRxHDF+WokdomAlyRWhgxIERjeQftVvRmeltvCJqN62r7J8IYr2LBhj0
uyRZsKJV3FqJ2NkemR4h+DKMxAGyBxAfjNLalyxeNqWu59pW5aQf7ACNgltqlrhktYPiJnfDgB7y
whA4eLYMt2u3kkRXzuimslTICEP0m6nvPCiIaKmJECfsgqFRhgbs1ozJiUu0vuXpqb2Bpm89xs2R
XKNoXTwXIm/BrCyTIsR6yn0iT4glok+4BOBR9TzV74Khf5BxTjuzLDR/3Duoncv94NnpsHqFFeW4
P2j5vTNm+TU5F9YeeT79W7shOZGOVHMlZKFdCmJdZssSYRmTYGD2wRE1sRHObAPLxis4PO4CElL6
e5PLPt51k9dcIWU4jqp9nj3iBNc+193Uaj1xtx5ildEzW2dXZdR12pAQXUyM5wnJn7sz2yq7dibb
fW3mJN/6fYeMJE6iBSEeTxqA5ZkOgj+TL+uT3clo6tRO/RqBGE9xf023WI8PLKrnaVrH121+n7WN
fgRZ+hAnzYm+WuRKgfdc8/f2CC7mGPem9iXXVc/1TvyTtxRJyVNbDtN5SstSo6VV5v1mcbP0USVu
wtpI9vHOmW0UIE3t8MZWjr1LR/oyIjXjc21740sWlNbXOl7x++QvblVqP/ZWQyYlTud545HMA7F+
WOT6qkRBZd2LpC8ZlM0c9DKd4HAdFNFtDv92x6GRl9TX++FWJezarNb208S8PKTvcwNrM78CUfqo
Jf0Y0rlHvu1YGY56LfMIQ/ZGlgJ3MGfzNE3SlJdsrLDIjfVTDSv7E/2gbnmoS5mWrFmielxFUce5
JesYQYeZXgDW+eX3EZOndlr9j8n1UHEkeB6WNq8vPsMmg/xcU7snWKXhcRyE7e7ShJCKjUXLgmRS
ZkwpDXA3/4mKfDjzdNjGS8dP8aJaM8anwKvbcg+BkVJAn3rU1qPh7SqFc9Dvx+QRLVJyGkH37AVP
UBw2qdZboeFOcm8Rl5HtHLh6fYRxe/iZGKluXSa3LF+VUY/mph+tpxFXPNmr/dxwRwptncETEhJE
iI79e2/QjXKreCd9cnMhfM72UL/CGK/ZEG1dPuIRGguyTCctPRPEooiSJMyISJ5ubK5Te6gWpsGL
szVpFOy6cU0GsGdM+VdsCiQsTpwmb+dmJqtz8AGmkk7e9yeQ5x4okkbrkls1E/pAIyWZ7jsUQktk
I7iIJnMYHkl79vOoJ8EYKjKgGknbGisb4SR0bTauhG3csv7Ipr6uLSMmFCIgvSLkWJHHe0KQKron
NmSfzrYQrmtYzApe+OvOnssNo9xgA6q1965yY9CsTyqPNftTY0Mu94R5V2KwH3nn5wLAGr1lcLmV
j0anbVVUM5VXURGzZ0Q03a3ybC//l7QzXYobS9f1rZwLaHVoHiJ27B+SMpWZJGAwGOM/Coyx5nnW
1Z9HVHUViDzkrn26Ijqi7LIXa2kN3/AOmqTvIYTJxVbpmx+V0XBGUa/+HsfyAh8Re7u3hEtRmXmv
gyK7mEyl9MbOJCFzdCJeuKw9rsUiziB74ie6+AHimxlaBFZ6TIWxo2pOKzH7WqB1RaAksca0YbGh
uhHNqXeyJgoObRv3+z6Ut6TGQKcEbxx90THUL0On7XBL9NADr5y8r7l4MEkihY9fWkH6VSEo7KmJ
CW2w3S72wapIdwYH7udpMbyfMv8GLN1t5Uu3SocuLX4n9ozMQ59QJM1yiZ2YvRh6/B3A2ZdmeIoE
HyBd/QvZlMW/t6Q4MNMonjcxLju7kDY/wc+vLq+3gxGorOF0j40WnutfoWF/nVCYALjQbJOyhrWE
u1OjSjcdC+X3Fq24UkKIekhsGn4AF6rHvhl06saVvAWvfEsYC+dORFdjuEYsEn3woJpjavCjmO1T
oFnSXkoTU65cOYm5WXByknoTeMtYlk8DhO0ouOx51wVla2l5YgUbXwpH6zfVj1C8TlNJ7B8kXwjC
TZzOfrUdw6HSlK2ew72hPacP6aab4YBulMkEVda0AZTYLbXiqfouktXPAl2ZUEm2+Lz13XiVq1U1
eG0cw1FWafPFLzP0KOqrHfTpW2rHMbU3eqS1bUTACm0pGIoOszAFn+GkJVxwdAUcgCvBPEiQdm+M
n0bQJNf4kGGpDefGj11BVeGBttrYPuBoomDuFHKf2uOYisMjp7KP7DLMWaUEUcPSFUMt+T5P/Aoo
khpsTqullDUKs27cGldK1RVzZUeZPfLMqmkexmyMFkteQryLebSC0KVCqB4krdB/t2MRUMShRCJc
+vJk7UcrzjE+kec9up/ZgR4vcsmyOddOrqjNUwovDbsafSLaxWyO3YtAOZ15USmjTRwLVA2mrqSj
jmFP66L6YF3VVVdSdNGmSzlGzyeixP2Ykonsc4UO+Z66jUzoBKuFLmYjaU7fKzNovjS0rSzHS7bs
uUAsoqW7cITnBdAgOsjVND73ZYl+C9njlR4ryhYWEwKEcjFinlsLtQ2lnxxBUMtnOFz61scH/kgp
jx+cQntro4c/bZC6V/dpgeKsnwvg/pZAN5TiesuvRW7TCdaLRgOYPo3V7coas5+oqww3r6yWl8+k
WJeU32Z2DShFPZJsKGz8f9Hh2GtPYgugohboBLYh2IuEgxFaPm9E21fjlkfXMm0ZTt0PoFcRWvqz
sPOHUP8O+45QF91XaY9ktu6DNKm4t6VRy1Hzng1L2xZZgbg5SIv+qW4LwVMmFQV3ySek5nYcO7sy
xfleHhNQKTFC2raJE/CBOvHs1WpUPXAQ2ovJJ7O1E4S/UrcRUCAvKqI9H+cciYeZKlJzCMyOZ7uN
t6X6kmRGeMRfZyeZ6UXUV7gjJrLxmz6X9E2tTOGW6F6XMWCZe6w76CbKzyly0XnoloKS5o6WmkBU
pDjLQjvqEjNmkdkVR6xAGnUv5VYOkEBX53anAQYpvUDw2ySxO4NwNXbIBC39jvhbrxJ7zrrGt3AN
WVA2QE1K67JSi7S9LONQ7SK7oE4v03GT2GzgpArkU5fj1fs7g6DIv/YzK+Dxn8jg+hAQGpo0h36Q
Z4C4kN6wUPD17ApNbjlwCdLCdo/7UROA7sxjPf5ttUb3Y4REGT/rQkIRj7pz6XVdidMgOJCNHxiZ
as/gWXu7CRGxSOpMeqmBzCnQHeVu3wmR/x2z9e4Fx4P8zue2jVl9wx92Rqd8K02d5wTuZHasirIq
r4xKO0xdnOsucdcwbDNqlU8tPdIdbTFtk4bzZMdkbocgTQbXwtdiV6m0kEptSc8HiXd32yr0mDY8
ZXhp6QgO7iSZKF3U6FJFOmqLmZJ/abSy3Ad1241kXaQiSDR9AQItLjxPvbwO5dT3b7NOqPakO9aP
EcwK8szpgggyQ3q8s9+Y4KIsq76ahFB4wlGjjL0k1iQvadTWFQcC6SHE/pTKq6n+VsPekjjlsnFX
xHWMhT1on6uxw4fSLQ1ZBi2pRyp+KFgpFDgklUL4mJXFeB1gEo4GghmNgAZTv7zUVBTwXWw9o+ea
BnmITg+IqnxWgmrfdqZ/hN+lhG4itDKV7zI54r4uPEZzk8F8j6+tmLc9UofxcVFHvaoWwowd0S1O
8U8Rxl+NrGCxZaLO0WynXu9Sr56QCjSVeuwQcEWLc5ZSeqJ+iE7Wtgqx/6ClYiJzYRFP9D3QjY3R
pw1eRxVK+NLE3UPiYM0ejKrYU5s63OnkHpfKMKT7iOf9KApS+rULdOGWNUl2KNoKuwGEu9tlguH0
aq54GoS8nagP1aGtxkrbiLgNHltNnh9Rxc8utXlxXux6BUdkq+BP2ECMhj21IzoX8gwtx5iF+b7K
Bo1XLu+oN+W4HWSBLj2Y2gT8z9JLs3JDXqrbOE8rLG06YjxrEK6lfkE7ckORJWo6Wf+YKjELAiK5
v5eDHpDROJqHvBhgqQLxvhmFCSt2/GAbLNOxFJQaUomKV28wKdvZc0sd6GubQwWC9pd2/RV5bHUB
kGAe3DIL5weiNbJHxQIX5eGWPlcHwy8zL22NyNW6CcoADppbvQxNxVVSybgKG4LpBZKBFK2Co4jZ
g7vmqLblhTjI4jMGh+m1MBfyfS+Ixi4AfX/RcTB+tWOqpl4bhMSNDaLFDl5jFMH0+tByMblzKAk3
Yj7DhAirNtwaSZX9QCWQNnBszbskS+vHKhCJWXK1lh4L8hRA7qReWDnGnTcBcJsphMbjjhcBxJmE
tLoL1ErDHyAOY8QPjSqwO6paDl5g+hNyO+ZN3dWUbUq1Sl3syHiZ4rx9zIGPJ9+y2cfWcahux3QO
vCGwumFjyWb5HSO2fh+bCkznqM/SAxp/uSerWbgzBcvAICyNn/JGkY4NCKuNGRT0RWcWYAv9Mn8i
2+IGGZUM08Bap4JBb3Von0QsTmrw8U1DoyjQ+mPZj9KVWMG4sGuxark5wqzHWGiiLJKo9M4pYGJE
cGVJEMrp5aULKqorW+QFM0l6CUrTAC2a6Cl/XteAFVaIsV766ig3Dq9l8sBFhNb+ONS0rxIOKiA8
kLr3JhDxrz1F2R9JVvXZVQ1luFqutjHntuL1xnUKoqxdBvDbXcPKZ8Nua4lOYiyisYZnYnhlTlXR
74NJmXEoBY3I32eQduigtrCpYTM8kQkPpBaKwg0rTBLPfJaR319AKZ9jB4m8Gegp3pzIERRpVl9Q
05KSW70E2WbPhCIpJgEDevKwTCZjl5FzUdiTLSYrSphkXcYW9qx2GBYmDzGoHXxZjFDIdppFvrMt
DbEb3WFKXm315PG2nvE1GKu64IEvfO4snDoHfOriKPrF09mH+KrE4rQ38r57TOgU5F4rmJSd4igg
vsKmr0CYOA6w9qqiRnCKrBM5E7UUPQJvxDg4jBu+tEXOd60EghS6aqlPFB2rpLlJeYtagg69uAl5
hfDFLTkBW4pHNJ4yfap+KiJI9C1+m1rtQnCsxY2oqfmPAX41ZacBFtryA8tfY6sccNSgmXjMYkUa
MLIdf9ICJwsxJRGTbgOe7gQdoIMFHShSfaB51f2yBL199pWp+CGa9ZxfE73kT7E2xqAYiOMNZywE
4i5l1JrbIa1YBxy82mNtTo9A6/cpkKhkVq7B98q7QY77l3ZsgmspXHyx+tTKLgWMIX/JeWd1AFQa
adhHxowheZlZ/jH0/QZ2hWL2wlaJ1fGhAAYfothXtN9DSI69F7RahGxV18a3gVIVhdsHhaZd+NpY
Em2K2fQI7Af3LbEQ8GACeaV9x2aXT662U2UcBj/UKK3mcW59kbJe/So1FXoCuIvELkjW8kWyjI7g
QvE5GeMIUh3OwQSjqdHwwKUiPCnjtuKH/xkB6QAMGJVo61i1TrsyGulL2DzaiCJISjPVSMpKLb8e
l+1XI5aGe1EoLfLKpCR2jNpeeZykru0d9RU8JE+iEm0DuaFcnSxFLlRCcyVzE8vAFQAmg3JHCaHA
RbURAJlqRSGBWoAppPB3ZbjCdYDDqeCkUVw4feo3gaNNenk74eL1TPDilz9AxShPspzCdMEd2HhK
uxS/hTGr4sTN4D/8svIoecis3lxsIiPx24yK8TWBse9i3wKXJ9Mr9achlgJ2tYYmPQtpEhYuHj/9
g4y+JgoqkCoe9ci3Gkcl6WttxSyT76qc6D+GmduaML+497VAegRlDOFKWarwkL9N/WUeunD4UmRI
ktnTVMeyU1Gk3ONgpL7oc1Y/EFywekNPReCCxv0AQU4Nb1M03OgBkEvRYrIoGgAQJ8TIfNxt3TmN
4ZADe+Nc+kJLwSSecbHZ1WB+Q6etC4CuqZX+5kZRn+u8Ag6pm4hLkKt3DxKLgUoAHbNLVYLL5jRD
0/0cNQHOUxmNvbLRjaxJnDALjedcRjoUvAhQD0eLCwwbRKmsH6OBTeX4SpW8TKrVVnySgUQhm2tR
ceWWig0Kq34AUDKFiEvSNAupM4klJqG1keDuFOs+ktIVFdPSHqHYINJZ6KZl1xMGYXSwwJjawHN8
kj/WQEWZlUgQh85KRz0krCjzW34M20WaBMLd2WDROexBi2W5n8p4ebapsgksKZq8PjFaSqO4n/ND
EXvcG0qUkWEBuwRPOFcFHrCFjpwZW5uPhudyfAdTnf0/EMnTnrGiotuEcdAANNU0OPVWZozkIYz2
O9EN0JK4rhIPazhPDmTshVC7CiREjE40KTC3kPlm0fMzVTCdmIrE4MDCTB+SIqHWNgYyf4Had2bv
wq5rHlNzNkcQByHGhHqEjLCdNVZSL5At6gGqr1NEHzBVu1a54jLHGOYQ2qEggHCJa+BKAC1a3yBQ
MiJsJmiOPKfQ2e4qdjsEyhmIAKKaZBuqNBbf27aOdVuLivbGigC5ASYT5+hiqPzmt99OgM0EYGCa
k4/YcWEj6ou/wYYRwhaKMv0y9ApGEW0+6Us3Ju2LIJHHwMGyIgCY4bhg1PNQ/BnzwRRHqGcUWyJU
qsCF0uE9QAysNdsSw7gj7E/8n0Es4xCidFX9DG6UWmaBNV7ljOlU4l+ZhjqeUQCVHuVGGXBeok3N
Nvb1cjcKpT7YdYvlHqTRsPLyCNEAF9HXQPasWkweWpybcAmrc8yKM5XiaYjwR+7gRdlV3ohj8cO/
ZotCnpyHumvVkfI1L0uR56BqIYRAvpgMMGRW8PAvKxAln2I4DoVBShkRJhJmOmjgfvPHTBTAhEn5
vTC06jeMlSn2ovuJA9y/iqBrpizzp40Z+cV9Z03ieFU2+fTDzGUttiUwSXd6VucYtvV9bLpmVg4/
cY/UMHaE8HCPvLmhQqxBXf8P4vo/wlBcly/517Z+eWkvn8r/Wv7oM23BOgrC9r//692/XZIEoYr8
u13/V+/+UPPfr78dvBTuU/v07l82eRu10033Uk+3Lw0RyusAf/6X/9Pf/D9/EKjPoCR0UAr/b5SE
+5JnT3XyFiWx/IE/UBKS9m+eRPRS4fyqhozG+X+41ea/8R8hzEJQCoIzACZ+50+UhGb8G7Gp5Rdl
Y+HNy/Sm/4OSUP+twcjWdaSgUSZGMPmfoCRWWgO0txehcQ3eBnpsMgJc73v/tF1apTFxiwSMhbJ2
E6mQBaphh7/f/ZslOQV8WAkzfBhqpXqHRoUUlBpDxaaX79XNfIEAnRNdpm6woch+oF1aXxle4JQH
wT1nX7XSomCVacmYTFVH+w6NsRWBvLXkVtdjQ3N0/4sZHWbl0hy/ygPIl78++6k5riADH4ZZQSm4
Fah/sObIQLnKNncLLyaufgDV6BWuCK/H+3zA1ef7Yzzo+WyTRc/vVWbkDZikSEDQSxXTyss7uCDt
dF1r5wAryxZ4Aw/5cwwUOzEaBW72qmb3ZgzDp9RF/VJzZI+Cgkmd91gdqBZvlCvhG0HveADg7JAb
0PF8+Hx6a7DM69iLtC6YX03SuIjfb09sCBHZ4dZyatf06NBvhtjtHbCRW/mCGu2Z0VY79MNoyyZ6
M9O4HgsaUcy02vSu7GCOvmm/pFvBAT2fXKq/KOIdYG5vUaJb+Bs/zwx/ao8uimjLWUS7RF1NFghC
jxUgm0eV7oaN6igcjN5WUre9wL06dKkheeGu9szNmYFP7VqsNJBVwPcC1dTVroXAUTeoqekOAk/O
7KKz/gD4wTY8ZVNenlV/XI7aej+9HW01Tfp2FmaSne50zrAZ3dyVfvY7wak31b7ali/n9HxPfdS3
w60+Kv7CVjUuw4mHaCft6p3m6dvSa84oqUinjsnbcZbff7N5EnSDIZ6ziLIHPd0JHWVXeLoDisHN
d+1GdOXd/GPaKfszH4+H5dPlXF2rqv+fjxeXe0Ee4WaU7gBLkx69bcrfLJm+mrnPNCy2CA/PDH5u
5yyL/2bSc477QVIx6Xjf77t7vCzt6E5xwGq7wbY4s8TyqQPyZonX6lB1ZsStOjFaSctVByJfXuLe
KjXINQDUnb7Eg6dLR7H7YQ0/ZpxrixezuJ3nqzI4SmDoaSYDtsEOFj8Bmi6hNLhTQqJQH/VKP7cy
537W5bO9WZkqtaC61PyszcZnGxQeWWj704KwbdOjtWun+DrtWsi6zbmRlw/+yfnSl2/2ZmRBg3uo
lmx4SP9b9XK5yUKnu1TpPdiaB27PVpzmOrsO3LMGXCf3IsqdUPY1wI3majuolYBIV8+k82OwMy76
HZfIjeDVDs3xL2e23slz/fdY1kqwK6NaAe+XsRTMhodsj/eVbSWXTX9Yso/uV25GW7gHCS1H2ual
emnGR1RnnTLbJSnCTcIxhhR25oc6uQDgBbm+TVGFcf9+7csKS4mcFrqjeu2+uVkCG06hLX2rPe3M
AizX5IfP/Gao1aU9NvKSKTH/MNgU6UU476RzwoNrx6blQUQIEJ88Cl0IWq7lwqexjaMxlaErs4nB
YN1HN6Dn3JkN3F0Le//q3A56xVSuZmUtQQZBL6JUWKS9X0ANe9wKHzcNGgFoeW0wYy/15/IXpOhF
KKXBvkEQrE1atgsYL69BU5A1jRYu3V01kNYMo/GtACkBLr0uL6gs3QcdjPq8Szfwf1U0FHGahvdF
WRhhlU0uZj+nlF5e1wCunOIKMn4VxaGb1m1D6ja2VyagGWomI/UFP49qLx+lcaMIVYJdYV4brhbW
/JAy3F9aROlinDEFAICa6b6rVMDGTS4/WJpWAZ8sodFBnpjoLsSFtu9h+29qdCUIgbmNNq2O15lF
f9Wp9dbfInjhOy0Wzw7tSKg0i0pH00J3g6cV7zQYcW7pdwc0YCxbQZ32oUTJhe4qLDR6v4q+h0xE
xAZNhk83dRawPz0SwPrVPVdf1s2HyoBntj1zBtYbU6Hhq0kIVqIZJalAvd9/QsA98SjCbHeM62lT
bgEhUk+M3OTYbxQH2MMupQV3g0zDmXHXF8J63NWNK4tJK5txKDkmIJdvZYvNspFSgRSDvAIOYGYb
gJzjQ0oPysVfNNkVeLc7tS9MdG70dh/qCerwLSq0eir/QGQhpiUrBAcKLZadarV55gCfPF2Khv2S
tog+imvxtSoSpwj6qubAccx+m56xpT+6Q1Jj1uzZK/bpLtqeDVM+vg6GKL76RGAPJEnr16EBtEah
g0HH526jbRsndq3NfDBIxOpN50obcedvRE84/zgsF9L7o/1+5NXRLoxJieSqYbpfxcPoaltll3mJ
Mz0b3uRieLY9d5ms9Vy5vgwRyAf/WxIXin7vdyJJtKhXfr1kLv0R/NoOPqTt2+A8XNCh5/bfx7j2
3WjrB8kUkZsKlvlVm8mhIB3t5p1FWNuhymPHG3Q8nc93/KkFVQ3T+uO5xfTz/fQKzSiUPmd6bWHX
Wb0Zg3N+wKdX8M0Qq1jCgP8FfY4hxi0Yy+0SxbhUmN14tyxhY7mfz2h9hJcPpokYVPDWiIsa9fsZ
hRTuDRBQgG+2PJ8eEAxP3dbeOUnTNcvgdWOgvamr7I5XPsb7cfwok3XooMvGgKW9ZWNsq31MUHY2
2VkWaL3pKa6QvFqLLel6U8gUIgv06qk7/Og20a65zJznqrAnF/2hs0WOE+ky6/dmtNX6lWFb0sRj
NOl62Ai2slMfgTTa4rH2zlUeTuQ78Jox0iFjtUQqSKvj7M+ZqnXmqL7GBrkbbwXVEwcbCb4d3VN3
cAMHb/JL/CX8+p9v/HdDr0Ifgj6qzeKsOkXxTbScJDpnOHNiH6o6SogSClRUVdcKnMiwlQ1a8qqT
Hv2DtFP3sHA38u7cGn7MEYx3wyy//yZSrzRVaNCm4H1XmqtIMb2uR9BCQBl9jA6fn6y158Cy5RmL
mNwEgCbDPno/Vhjnheb7jBXvo50IAJrqVLxFxt8p9uFu2ss/88v/zQVMDADeihcHu691eSqRfJy1
tEyjsDC6FBYcuJ5O44rbYhttzyX6HxNwSqbo16NVCX8DP7P3Myxwqx6rIKKja4J1ih6AX6BRtgnD
XVXdfb6aJ27ed0OtrkXQ/SD+aZQ6cd04BWjATD2T6566eTWZJAISlCoB5V29XbTf5amJCIRTyV2q
pdKu3aW/jXtxa24BlXqfT+jDjUjwtOyKRY+Y74Rl9fvFE5SK0mkI7TbUrIs2NL6AH202s9T8EFtz
1xp5CekKkG9X90AhZ6k+93qul3SJ3lQKfeBuoaHJaxeCMiqabFCJGpfMKTqolV042Es5g3xEistu
vdQL9XOLfCpUfTvo6gACdG9zbWlIzs2h3C8bNNgsfKYNofLsLHWM0sG/78z19SHwe53rEn2oRAwa
F837xbamTJexbkNT4htYyxf1QKXvkD/Id/rXhMOYXZ+L+k4urqUSDOmGqRL3vR9Qa/oOLFIkUciE
Theb+tImOuesLq2vsz+m9fcoq1NRAb0HZsi0hN241bbZLjsUXm+XO2DHjv89cMJDfHmuPL2+qteD
rtYSexKQOhGDpsd2r+x0rupmf/6qPrlT3qzgssJvruoRuN1ipiaBNkIYc7xsogsdCfYzp/DcZJaf
4s0otdW3FZZQ9An2S9HmO3Er12bumrC3rmLR7ghTsufSyS9BYZ8LJz9ED38sJSroWLDQe1pfOXhf
aApml+ySQ3XVeOYe8syB+MvBnOyMCcjpif411NpkDTnSCkkeJip7vtd5mQdSj+r2ufDr9I78e5jV
vs8F6PByA+BLM0P5rumg12TirN1K2VDuBEC3Z17Z07vk7/FWJyAwTIysVXaJLqK5kwOfo/GrfT2z
S9YP3fKdcD+gxIQF32Lb+X6XVBE99Dpk8VSv0zEWtOXNTDJLYW+mERNvBNd0pCfU6rbGuQ26nKa3
4ezr0H/n9osa9NsNCmJY64WGLZJCUN2bN3CHnHhrurVwNLxim3vC9vPJnpyrvDhFLZ1S8rj3A9ZF
q2kDakSOHOgQt3bpeLFgwUcxh3r16/OxTn093ty/xlqd8bDXGxXWuORUMgw+9cKHt6PL5x66k6Ms
7usI/xOSrWMiNWxUhQLRcsrafeU0qg0g2Jm9duPbgZMsrYmfyj8tNbx+tzeDrh66UsGTVKMz6SjX
0JN2VKWd0DWPxdGi35pth93Zy2Sp8nzYKahME0qQ9tDEfv/hqjlBTLlgRNXzD42XeNkx3IFuds82
QJZDtR4JwPhSctYNBSb1+5GGIhEaOUWgJj0uLynYV6d3hBvW8n+S5Z8ZbV3dKqeutopxmdfN6C7t
nfan4VB9dtt7xJCcz3fkqfvrzdTW+XATiUUnjqroyLAtAa9scutuKnxPU/6h5wtOUzpggr8W8TUc
ffPyYBEag9q3UAGj0WpsKUvSLNig5uIgsXVNVfLMWVvO0icfbX2uw1o30xlnOMf8oRnAftM/sSgg
SAB4fPnjr3qns3By7dB9MPhHxN5tdRfDB41x8iWipZi2bWBEHRtHucg8iHveEk8GzkRVd/e/CbVA
gGFWREq8GFm/341oOIICT9H8Qp0AGOnwbU6Tu893xYdc7vVjvRljdZonQIhKILEH++/VVXuEZrAV
bpFx+h19kYlYU6p3527+U7eWzhGjjkbATDL5flpxPybxmPOyzfKi1CvsIwS1M6E8c1GdHAaLV8AM
hghzdPVgA+PS2xrPLSfJXmb1m9F9CxDY/Hz5Tm6MRXpDkkw8DRY9k7dvWNoonTkZi8JQaOw6eOtS
sjSRxutW88/EAx93OUakaH2A3HtNq1ZDGaEmdwZqa06VT+02gVt4PY+Ntfl8QifyCQagiEy/SSZT
XCdv6P8g4RFCXNEQGcdR/PUAC46BCAPeXS5Fbud8senjpwKAhJ/H66BLEej9MkKWBvcWkSb59X0O
My5x5ejcRv/4qQyDUgU+w0CnKEMuj8ybW6ky/WnEkHziEcmugOF5U4zwMNUlcatspovQ0+/xed6e
e7xOTU3F0YIWhqEjH7MKOgJujVYdC9ZTBwK/1bKLzjizMz7k9yS5wArJ7LmdwMauX62mBQQ4oIFH
GKCmduqm1+T3drZHcjq3hX9enf5jPNCQ2AqauAsuc36zlGnaAxrHMYtSzLCBv0Q1/Hl06idUIChN
n3u4Tq0g2j5/jba6obIxKIzUhPKiWoHTGdKdaf7KrdE7s/HPDbM6XwXVYszrQj4Uhr1XeSD7T0Gd
GDe61hTeHOhIwPl0+PXeLK+0SWlvckM4xGhIXNeh319EWRrtzEDYh+Jw7pI+cfTx7jGI8fi2FgIy
79e7HeV2knOkHybNvJmqkPpyRVvw8wVY5vf+FeVU0GcjNOZKltY12ApFi0o39R47E2Ff+/dK8xXt
Z3es2sNoCWfu5lOH0dIsXtLlDZDWve0slQS979MB/O1lJ/yyup95fsS25PMpfagrs1Et4hAcQHHj
Q49otXCWj+xAZsFVr7/Hd+NxukJxd2NsNFhABzO3Uy60HFhS9tN/OjPyx9BuGZmCNga5GCd/WE21
xyIWfxEiht69Rnpjm3iKZx3CDbzxM1v3xM5dMJxEXGwR+UNrKh9CEHWotjq+eCN1L+ilI0fx+XxO
fC+GQIqGKra64Dzf70AzkFMpQT7cafSLoP6RwzHECGE4V0N7rauuNuG7cZaO45ubZbDw703nvnes
SUZXuowkXCvM/lpMc/9Fi6HaOLVVgtiW0CF1w7ErL+CoTxvdmtLbMDEGcqAKZm0Yxwf4MPWlEIzS
UUVZcWuqxZ3RK8ga4s9nw/bpQPtY1W7S/AzQw6xsYxnotpVBqunaAVbCgO2mjwwONp5N9F1tW2JZ
ud4Xscg7r+YCKnMZaoUFDLGqmawtYSIqj7nRXQ6YnXqjGEH7MSVIJGVTXCcJ3itFmTw1sDLg0XfI
WAYTisEGZnt+p16ihtI7EYKmtx3ymBtS0/kWZiREVEGJ3EHQWvSgEZPUiuAZ/ZbLoUWJTIkrRcfk
wO9YspHeHcqqdl7LX/K+iC8DXRRQolG0L0iJYugwt/1PjD9/N90QHVMj6y9oW3AQWjMUQrduxvCI
amdwBTFCvEARd9xNqKfINgzn8buil2i/oMNmj3kGrh+hTwkvhLa3YreF6HTDSZjcROxKSDZS9FI3
1r2Zpc9Dpt0MU9/us0BT7LhTG0QtZDRZ/IUMhIWUx/md7WpEkywPujCyZ5xBRMgSTYZVRAiqKWsD
/RbauQyUMBDzg5E2ag8y7dVkG7LmphmqX7FoQG+0jGZrZnJMHwRDhnrM8json+oOYkawLytRRYYW
kvmPWStCp6mRDq9hMNno/T/V8GCcpEohDAthhhxCG6FlG6E5mgv1oTDV2zLCgMb08+scfiXyGs0A
oqSb7oZEKXdzX5p3GIa0dp6Lohs1g7izhhJxodqqL7QIbaOUGtJO1ibBwUndv4UBU2+Klh4bHFof
FJrWQWnCPzqwIZnU295S5utKan+L0cQGVsLqShP8ElnZAKfQDOZsDPfwazVNw9dglC1cbgxr08p5
ca0WDXRURU9iCg8DbBwnxw7RvEYxbqeEkAX7cCO3N/221LUU8o84y4HddFL8mxbLZZ8G8ITU9BfG
TgIIl8UySooFlLn7+iGT4quy6Ipt22pSv4uhVu3VeRTOXDknL2+JsIkQQ+c5WkeiBRaEBYpHgzNf
L7gzWqsXzaWAIYStfu0pcOSb6Np3Jg9x+88vu1P36duBV9melLdqiC89wuxoae8ga6J0ZTSIELfz
uaD0xMsO6J4Egi4FyOs1bMMfkTegYTP8WaSdOmC62Odg13cs9ksNTHq0FPefTg91WAVhGKBR+JOv
7/Kptnia8mZyOnXGn0H4LpVfQLadK059XEWGoQ6AFCAIrA9FGxMKAlsQE4rF0cuPYaog8Aml5fPJ
nIh90XcEg0/DiUE+xL7FmEumrPdcJ/goO0o6jsDKC+I0q7kc+txpAmyck/G3yoVrdx2yK3CAwxp6
7Oc/yPIyvX+53v0c61pOZFVzOEb8HC09tnLfKA8NEg9FAjU4vNfBWH0+3MdojeFA3aAOazHr9caB
iDixwpgkJTIiwfLBMC5RfrUxnICytv3/G2t1Hkzc7LEjqCYnlPA4gCIWoibxfdS/Z+mZ8/AxzFhm
pVCQlvWlSrvKA7GQTqZ4kXIzY/OLro9epUrbKZt3cyac+V4fT94yFNHMUhrg4K0iGiXVZ0jx3bRE
NPP4bI7fPl+0U9v/7d+/imQwQDIKcywnuHXJRaWH16ieuVF1Vlry3DxWS1aEInRPJAQcCQMmMHL7
1/7fxYhkOcftFTgRnG/vLFnrh93+9+rJq2QanUTF6CRGNVDWeVp6ysFGcKpnAG/9Bnlp71zN6PTO
+OtzrdGjiFgH4pAz4FRcZF3pDMNFxthqfyYxOdG4ercv1qU+Xcjhms4MVHeOtpV21iY44o9zBZXo
7KROX148AGjKmmjcrLMESlfRPI8Fm7BphOsh8G9kNb8ZR0zHBnW+iYIYXZlcFo5qpytHBWLuPmlw
TuhNpf/x+X490bUnDwOaiyCmSNC1TskCDLU6ZakvLRlLsFt6dsNW8OTduUbaiZLj0q7AYIY6DOBO
eXX0hEFIlS5h1m53+GMo3y2Bd2uX6JbtxJ3hymdahCeqWgxpkm6SRXPY17HEqEqNgVvh7KC7OW9F
yD/dVXLQ3cYtyZao7kdnMYonLgDgKijgUkajCGmsyo9RqbeDGKG9XiH7VIpHQmJbjB8//2rnBlld
zajjmZEaq4sl2XfFOCDEZpN+fD7GiRsGKIxo4pXKS4q37/ucbOwLcwgKiQJPvcPz+FuoCl8/H+HE
20kwYtLCAr5qUoV4P0KFLiTVl3kRyxnuUgLoIID7kRU2cO3Lobg21XOb/dS6KdSUTN4YJqauPo4V
Jgg/CigX5DCpL0tQMQBmXVQtIw/vrAWukbm5989rgYxIV1BdkFMwJFfzxBAx0TvYtU6F3YaJXWmQ
bZruzGv9cWpUHkxFAkbHzMDfvF9MGd/N0JLG3qmGegsA/iKp0XGn8/l/STuvHceRpG1fEQF6cypS
Uqmk8q67T4iuNvTe8+r/hz3ATolFiF/Pv3OwC+xuhTKZJjLiNcPKDbpwehHJmsoOGsv7E8wmjWop
9rUpQcdmD+gjqSsaN5sJ31bu9ce19u3nKwBYKhBnUJ30Aj8RQjzo9/SdQnjqnRH8rtUY9RQknqor
pZBQptHSYmWAnxf+FBD6hQTYBT7k7JwK0eqoIbV2doP+x1OWpe5LLJfq9vLi/6c+M7tMJ6KepdLh
5BKQZyVilL1U7MLFHq0hocdBs0Al2FYkTLrSQP/N4+t71Uq0FdIGd8wyvDObeDIqyQF0daNqHase
G6rSkMttXlivuYoXrALTEgsC6IcqxjltJ+HIUOTaXhmTmzY0hPukiU54XFH1RtsR2YdCeKqx58Mt
QvBugrEYn5u+xY2NPkMME58OXpCOLUqXniUjXNX3dyA/vg2CmTtCqT6OkRvtDTd+iVSvxiEtoiMi
NUiJiqX4PkpjR7cWQyTqAR1egKnVPPfhmB+5cIYrVcFcIM6fqrIbbgNdLe9wYI6pc4SN+FKLkbwJ
sAt95/krCLu6S5Gs1upeuUNvMbmpEUygS2F16i0OY1gUSWnOuxljJHwyUHkJfWGHkRhRhSZuH42+
7W80XkApRsvYMviFJe/MPDccNFpcJxHKr/5QIr2RogYhC0gEosv0JSpr4UDJN7O1AC0KW5P78rUp
su+Sb4m7wvCzm1rCK8oVRL4chETd3A6ljn5zlmf3VoOCtW4EN2QBIN/U/EWI/Ge1EvrHFk3Q15H3
zSYKlRuqWRhxKsWzCmoC4RHvR+oGP0LN28kYTttxCP0OucD0epRo0ExcjG+qmnYF+ILvVqAeizpA
Sykt3RvF11UHsSSguq2wt1wNd9iOlxE+iYUT6aN3ow/N70rNX9uiReQOU0+k2PZZ0333kE+7HgoT
scEAGdbSTZ+rtvQxA/USJ0trjCirMnTSIewnA4cbGR3ZN6R9so1uiNmhiagjFGGNL7Cefx/QBW7i
NLtyNazZoyZ40SPpt4wqF84yCc9CVeC9UgbfUEyiJlZJMHI7PTz4PetdGBLEJ0gzn3mGm9j5SfmB
GRL3jVS8JcgyTCoNT7WL7qmYaxbu2dFXUTLf68kFNKJvsSnq6qF1J+0RTzP4FmG5kbmRN3kdVSBd
erqqRkMXV8vffM1Tr9XMSndeG3S/2zAd0TmJfPhgllF/K+LyCIsH+WdaMSaeKOUzAuSP/YD3b1Ir
CEWbRy3MY8H2YYY/BW1vfsvVCCFLuTEJJYW/pDZ+0FsEE5Nqkl0WvGdRRT3P76MAc7tIx64YhhDq
+DhvodDTNJKgbTgtcp6rmqsdBZR2o2tRLPXuEe4NcuqN2JXegRfTWOz8BH3nStTeRzU7wuR+RJkW
7K86vHuDV12Hrhr/cPsMKeRqLEtK3xTMv+WC1l8FmTg6YiVCx5Ym6acwz9jw/a8kVnH0UgLLReAa
CVpfbs07fFPSqxIPgatWphRKpard51k67BFov0nd/pZlhIii1cIW7Gr9poyFdgcUoNnJOPwc0Tvr
0F71nkZBi27ENI33GKU2p0FJn9NBoQ6bp+4OPU46LLiI5ZpHpbcdSydDEBb1yeRnohZvOIBEuCSh
yh1GEP2xIsD5rxJzZ7KW2GhDqNmZLHc7rM/kg5WjTFVlbXaFej18HqmJnuAyvURm79lFgMdcMqZP
XRmYB6R7LcjY5CFYs0aIWmmeU/fdW1MrR1WfypDg3LbYFlk2BkRH1zWHL6qUS06AR84eG+SXqurF
XS7J8NpDSfyGxGrheGKGdqhqpYeu1rK9pboRI8m6XY/hzCYYS+0wyilWYVLuAuSJknvdj6utGhX4
DSlI4ldBL+06GS3XQHtHm9WvtlJvcEMIdX4dCaq4EwzOwLImRUPDx9gkcht8CVVXvvVQG5rU2J7Y
2f52UD3T7sEaXHeVGj75uM9cieiZIZqnf6/k+g3RIGmndFZ1Gw+Sj8Ag5mijlf1CgFW2a0Udv43I
X25CBIqPCJMgJJ/UmJUCdVJvolgE3ZpH5RtuxLloh4VkXcVSN5B7qBZ1isqtt5rucpGgcfsVIbke
GaouELa1GVXHWEdQFK2uSHO8ptR3plKMv8o46HaFCJC3EfRsh+MBNB9VU05Jhv21iCfm/WDF782I
g0QNR8uOfPfNU5vyRoqzaONmcrHFfMw8yql3h9Hg4HS8+3fonYRU/OkTlGJtbIUAjmeWchhMmve7
3E1Nu1brB+zcoq0f1NMyM2vHqJTytSK5cvJ4TB0jiE9pCGlhY6rDc8LIQtuNE9fB46dFMEirbSlI
0U+LOxWZ3S41b6t6ktDp+tIRMhl1nKJC7wfRbLjHeXgo5YILsRvDR3ae/BUFSV+FbWqZt3mt4RuV
oWaoaU8KNsrFBourByvXYof/fYGdXGVh9daW4L9aHAS6llu3srCH74qol5xBEquHyOoaLLSy7CEM
0y+xMmJoiD8HJCauEITH2gLagG7uMzNqTwrUrmc3w+On9a1j0Whw+UcTzfMGAYWtjOFDsBvUSLgb
0z777va6IDkaglvdBmX/gh6iy6W48ZVWHPae3vc/xTHzsKb2lBC4cKlgRJ4MvZluKffQozZ6bFm9
wEv2Uhild3QNf4UKVxxyFA/Ih9/5SPdt+hwlrSrVXullYNKgI4GRai3ydYhps7x0zNh0geqwgLtu
iPW7j54bi1DYDemAs3c6qWmCSN0JPKtvq86NDgB+/V2XadHeZVx4B5rKXRC3fK/WzIrbNtWSqzp0
8XHzzJ89Cacta25lWyLStZrnswQlo97xnxBocuUCba5Cf/USfXSEING2rtgKSOMPN0LX1qduUBNS
J5FtbxejJCIeFqoa4mUqFh8wUbXIZX40GtBspwJ8biTFz11NCRB3Ag3wZ4Pq0n0jevV2sMbkveql
DgXgrtuaqVhdC4k5XNNX1RFmh366rUiKDcwMymDjFyb3+4h+dBnjj3FVhoPiHTp0wO5b5IxvjEJR
X9SqaffWUKHwOU6VRIZMt0EX3FfOd/GmMJH3HITwLU510akGydO2himk1zEVYNwShgBOmhx0rzqm
Bt+RTgztIe3B49al9VRXhfldUgftRUavb6NGKT5vlRCUO01sa6z5zGbnVv0XnFuF+1wVEI9QWywC
XFQ0lRpzcFUp3zE5nP5PXfID3Sk1w2ctug3GrNvSsHvqO+NWLnPjVNCEey/MQtMcK9HaN9osyhV3
KKopgfJQ1UhsiTg37FrF1X5KbeDdl1hhfMHS4Yc3JKekp9WWNGmyEWTkYAP0ObtINp2BP3705K8V
omZa9to33isyhf7Grb67PgYtPSpM1zlKU4cKvVRuCuzSbkduCMeL3eA575FEjCwL0x3BiPd6GJu2
AXhza0ZeeDQxijuIWupdCWhB3hqRVZ4SLZAPKM9VhwFRa0fS4+jazYx7QArptRsXP+nQxf6+L2V5
W8Wo0tpJqOd7vaJLOLBd0S9Qywdeif0JKQnhGuJyvjOyzP1K2bPZeSFqjlLSeL+NGieOrKiy2wLj
Atsr9eBbbZApxVKYbhvdz2yrM5o7Tr/k5FFCGmgFNTz3ZDMhMWYnIKpsbQroGBs03aF3R/3wu+/F
5mB0coRjg4h9Z2G1xxD23F6qosjJ/eF3NyJhNYTTI04TJW3jxkHxGEo0eFVUXjeeaEjlvtRw7nUw
FUJeF4nmQdyFiQlvJfVKfwvVWd02qZtccyWe9HrItiVesPel0QjXA6+gK6GUazSTu/E/PA3Bo9Bs
p7FB/ZiixfkjGyxYZHKBjLSI9nX5qDQrdZ3FgpVMGU6hQ4PP97w8rXaC2IhByWGwlXakrDRq4N51
Np7fjkhWsumwRl+HEkzFgflTVAYkhazAP5iJ2bhwhMnUWsdjpfCuQRs+ZaZ7IEv/MkmoKQqIqVqG
UJ6+XH4DL4VVRPQCYVsxreasHJOgedeWDd3kISlOqMuiSyMM150iuFdROsg7KefEN7kfrgVLWesE
LAaHaQKZbQL9WrOqTFyMeiV2OslToU/+rHHE21r4KmRDdivX5XAq9BHFOWMMD+zPH5dHvlRvlgEa
/y/6VPX4gHjIkrRBYyPkPb/DaQb66MTWnpCXqb3GFfpcGTJleiuGxUsMEc457hKF92jg8TfaEBm2
nOz7EoMnQ13Da32u0xAG8zW6iKiRfSI8yn0vlbVGTTIvvwz5KY8yx09qdBNXSvV/6iLzxarw++Au
UDeEN3o+dTGYWerYGpQux90jMDy+R3tEOu3sOnZcRz7QQXUQRESB0EaowG5f+pt1YvgfQaP5r+Ax
iSQY6mc8A2ZVIj/yjMboMKtU1VK+oQZB+aWsg+qOrIzj0AWZjGxXVqIZmqtyqzvovHvQKbpYfgss
azgGmPbeZdXInY8FRJM7WD2m2l1X9+ZrqhTe85hVzT4LUvVVcVsNLw+UdQ2hdZGTj1plA/bnFT95
9meH33mjFccuk5TnITWi68yKpX2iukmy6YqKfV3jZLwTNLm6rcW4/oItKvDsseao94K63qZUYrEY
k0rjtRiT5Ci4HpKXQDPbq7Rqo4NqdML3QmvCm2rEkylSewNsziQakVfUeBI9uB1SyTi45Njf2jRR
f17eLkt79eNkz85dJfdD9Dl6JnvSRNmjG/ZHxWoNUbVQ2qSvygueMi0wNcjd50tLUeOyxCcNMKAB
q9vYFVAcwKiYntNupW20W5PNWtialBlZxdgJUGX/83s+nAJAO30hEICwB6KBvZcOgSPqo03qKys1
zbVAs1qjYSQhhScIDqmrGCiETmKlhfqEpviaFeDn6qmpwInnX5SrJs76+RT6XOBYRwONbsVxhxj9
rvM75/JqWBzMvyH0WRcSv1df4CxCMg7OsfcTxY5NTHf/cpBp/872N+NQVAUnSVrT84ZgDuw67Xht
QAUWd15Uv0f4ivf5Nzd1n/1IXBnS0sV/Fm72gTyq6r3cg1oX0q8Zyr84MqSYvagqlkimXUS32AJT
fngZk6dquDXaV6FN7MsjXp7Wf0c8W/wjFoUZcAsYz9WXNL2RYEvhVLgyrQu3xNk4px/xYcWDr+Ft
6DOtNUZHZifR7LRuMlMPNsVgvV0e0GIsXYU4zmJQPkFRYjVp09ZjTpv6pHS/yty9GseHWBUOl+Ms
LnloALCs6YxwcpyPif1NDo1NiV3UqO1VyWODn9flEAutMojV/4aYpQsptVzsgmDxuKbv20iPXVeU
UAK03CWKxz56OVSphMfLQRcXxIeg8yvOVMI/NELqYnT8ceJurRw0tLqy9hd3mgFUF5rX1KedhZGR
iPJ06mb2iF+PhPugqrmbyH2og295+3x5SMuf6t9Ys4ukz9xeVgVRhNVv3vaWdCpGXjaXYyxOG739
qewICtmcHU+08bMs6iidpJq+lYt4Lwkdz5hg//8XZpY8B11e9oZLmDKlP9MZO5N/T7p0dznM4ib6
MBr5fHHj6RaZyFjAH9NRzKO7ue3EaKOH+ZOOCc1KrMXP8yHY7BREsbsKk6hFQiCe1poWwQ7yGy/5
3neNvLNGENyVIWjbIhjb/eB25T0uo7bHJAwGrYoHSUMOUhV2Ip67lYKtjoEqVxNQR6brinMlJpSx
M1bpg1ArwZdibG903+wdCiXVoeiFb3JBncLCLgwjeV7AuaZktA56yrKj2u5aaJcHA0nno9KU1nUp
Ke3XcMi9R6srcQHu31AnoljX3hdi8GDp7hFHgKMsaA/oSfd2PNIEaFVvmxp0uSwdtwNTa4vr1FJe
ZV8p7spE1l5AD5fo7WcUWTHzAQooSy7Ix6wP+c25sMHxuD6NnpA9XZ76pdQHNvC/q3b6NB8O5i4w
6TNMF5CMsi6E8Z2Lc/0mR1Ez2VnCZi3zWV5WqOhO7X8FcPl5ODWP0QTnwWJ77SOuC04u3iGBjXXV
yqW2GId2LukCL0x9fjaXbjMW+rTh5RoPyI5MuD1FzU7N3y7P31IcjRc7+YI2sVZmd4CBIukoKQ2b
HmywSaoNEvFQdKfLURbThI9hpp/x4SsNficBlS5E6gM4e53KQ7rzd+4p39bb7KBB/V3jIi6uCw1u
J8fzpOlhzSJmuhpHjdhKf4RdsY9v9tjW7v3HiRHmX6+BhJbOTvoC6FlrwMaBnpyPLzAxuhLMgTQI
61EP/4w6rXC/WsGBrEWZrXVTr9zWVKYo8qlwf4XiYfR+Xv5SayFm68FrUkUOopF3KRZnGQ7JzaM3
/ge5DEg7Om9g+G24lJuzgVTDYI6KjsOZuqdTZ/v36pZWE22M3RtsVTtzhMPUD9leHtv0V89T4z9U
oYlTB80F7/bzj4QLZJPWo9bavogOoonr1/fLAT4/9xCi5lUNrw0gCzIF5wEy8MMF5qNAPlJLsIWw
tICl48P8Uwxb7Z5nqncvivG1lSvdyShE6+8RIBNKDcwJ2AxT+6SiDLYqRtqf0lBefxG8Oz9e4Vx9
PizO//5sT+mjK6ZR7HV2iRUbGVxaXIEwANbYpdFeGL01ZPvnTQx+Cx4UmwpA/aT4fj6hSSA2QzER
oqwnVKG34c7YBoepohghIfa39SZVNkVEPwGAI8EGJmkWbIRdEYq0cHF3xx9UuZOUt4Zu498tkVmQ
Oa0T+gIG6a3f28N1f0Lm7ajsh5O4Kq/1aeaIQ1YK/1ti1uCAzwaDBZZY+q3X2vrDNHPT7qqc6vR/
UwaYZ8KzYHNJE3ww+7YW4fREytFL3e3QSptOh6AxvCZroLS1kc2BirzE+nH0p5FpwlHOlWfVQ2a6
M05hjOJI3k/1qFMfykdBNt5SLE82dPFWso7ppPh4kvwzYMCgLE4k2pVZ6h9lmLwaSdLaUrNJjAqb
sNhZu1Lmp9U8xizllwejrBLArzYF5s20yeQ1DsB8O/+JAAdPgu+HDZQxO65Ez0s7caJiCTIEm+Aq
9/xni3bfuJaLLw7lQ6DZcZ/nNaW/nGQm4AFtFAbuue+Xt9XiCoRZoNCBgIAyr8iHhkuS2xJBaAvb
y18GDzCIfw2L6SmM/rZUNM0b/B6OWlMDezzPAaE0osibT9ew/4Knz8Z1VyQpFpbXREEBvqoZVPOU
2XzVfC0jrLLeDoedl0NcAqYOUvHylC18FAjsaI5xCes6ahHnZyt20JoaaWNny8M3KedplK3xvBfW
F78UrpCGzqsOMO88AoaGhdbpsIMAZuniHsASsHuT6vpWD6Cxyw7O7mhsRKtb5xNkmy+EWoMkIRBK
XwhNp/PIqUvqkrtAcjLgV3AuS2xpy0eXPilN6MGXHRyxMbj+KiY3SrnVgazllt2EmfPXU3z2M2b3
ZdoFGcsVfEEPBsKDlZZF9uUI0jSHs5OIJaKhp4ZIHeTk2Vfs1aQLpHKobeOp2SJdhYqbsU3gJNoi
7HbPWdUP/RyQ6wSgAN8VzwSy3dnUtpmKUHUKNCn+I87HyTSpKQa2sgdvAnV5VW7z824glRI56Tip
sIOZs2xirH2UQhb4mOm9IADfRXLGGlc+1ee1OgF1AdByTCkm4zofllePaRy6GbVZcD1lj0WLfBfh
VK0p1UqkhQvsPNTsYIeCHzTBmEKiOwlPE3PBdaTbbhdNAiarnI2lyaMjgKA4QF0Sl9lOKNQ8klvQ
1HYjgitDsaJr7dA/XF6Fn09fWNBoo1gA71GdmUPuU5S0QZjFrHP9JfCRF+eDOZ1svUKDgb/qrbwm
P59chIOsTq1e47CdLwgMukOwABTeeGSpyF1CSLaKlVR3ad4+xNBmxbASgWGtUgJSedxi8Qzfdn6z
QXZ45RBeXAycT3whRoPPzOz7JLh4dhbW1jyMEUw3dpOEU+VMUErUzDxH317+UgvnBXPH1TLVLkwU
gGfnRTS2sQE0jJpvuRnI4XdTbohWxN0wyaXIDooiayGnStv5EXUecvrvP7z9SwlUXdGQsIUHd9j0
P8MdMrm2uOv3Oajg/3Jc8LBEHw69R8gz89UxiMrAxZNj64pwp2mO6PKaw4CEVL27PJcLR4ZEjo1R
FVh4WL+zFBv/V0WsLau1h16SXmKlio6N7nnkpR0gt2Doh5Xn5dJi+RARKsP5TFqVPIjAqlGhRsgE
hV7HRwoOpapxm+38gr7x5QEuXKMIBf1vhMi+n8ejvhU10LZxlHW6reREW0PcFC/mfeFY+3iLQnvB
El1L8Kdpmy2Xs6Cz5eIVPtAig2Nq6plO0q/afiJorBWIFg4RbhOQDEhEAOOYJ794BtcyHHe0EGg2
8xI3spVizeLXArUAa4xqIUpIs61tQa8N9MnbT90Pfx6vNX7eSFJTgQUtAZzz8tdaGhA3GHQkLNLA
GczCgUdJNIOm31R9PphS8YDv4cpWXjjnJyeq/4WY5TNSbUV0X/vOrrUBRn+e3AAS3Kpe/5BU6q4L
uuY/3JVwaCQQlBDryVGnbOTD2ZH1+pAP8DdY8bA2ke5zD+kxnizFdoKjrpz5izM4KTxSbcDCZP6I
SBNXHAtIEbYu3Kqqv1HW5m/pxOCox/OOy4urcjaaqlJ709U47IVwB2F/j+l7GP6S3WDlO02fer6F
0E6GZ43tADXdWTID2VqIy4LXUA7qa2NlNWoQw32aPF5eccq0/+dxDIoLCjUGC+Xi2fnAaYQFm0YX
owXLl6hfME69lpp+j8KLLTb+vSSTs2V4l5yAhPXVqRqdQPZt4b2RfvO4shV3qqOjAalsLeN2NMKn
HvK9LN6OqFBG6qmSTon0EnJPYZpNe22lbbM0TYbIP9A7Fwo+et9USQ0I0g6D3A71hzp+Gor/8Ck+
xJjXe3xXFVtl4K0IJWCrJ8G71Zi7ISvvLn+KpaFM1zk01cn1Yc6Gjfp08KM6QU+G3L8tryFp2Nn4
43KQheUr/2GzwdODI2rNPndeK32AkS2qOlprbQW/FHduqPhOWhbAmBVEPi7HWxiULOGIIKF9Qglw
vl1UNLsStyHjb9Cqquvisc5RvYmtv08nz8JMx8KHM8bNLVxpkgYxmzjCs3mfr50rSzcBybcCRAEb
P0OZl7sHKRoTOBQD0iAN+fBjt/+je5rbUztiXbD5U7dl0sT6GG+a2A8jguRAd30k3j+mdtKm2Odv
zdcAbyjkqLNdc9U3K+t84WoARsADlN7XAo2T46YKogx6KhbYufscpt96n6d9fxuh1/P3y+JDKGWW
BUXQsdyoUHAhBKcLKlgTNoWUORg17i4H+sQxn+bxY6TZggfxX5YlHvJ415KwauXt2MmOF+R7FTxv
U2dbKp+bugltrapXBrmQBRF64sVyHZGDzT5h4I+eOjSE7rE01sOfbveWD/secll9LNK7DOjnymAX
br+ziLPLXS6tyBKUanqJuPuJoPM0LdJuh8n5ZrxB7GhdU3kxJO05U1dAViEKf75OI/Dz2VDiDl1E
ZbJJVflVDOP3lXEtXFJ4u1LRV4Gq0Z+bXboC/ut5j3wWVLjGwxjal6+SavRfx7yDk9eTudnlmJnQ
EprxUMNlfesktXvV6nwNmvUHBT27L3kr0H/iVl6QCCoCMP5pCCwai3cOg9KRkN33Hd3Rkk27QRer
dOJbSKzOOph2KZc/iy2fz3XQ1XxhsaCmeAiwn96Uh+iqwLCkcITX8nfnBF+j3RouUZv+6HzA6OkA
quViAmwxeyKVeVAaQgglGeZLKVAC03In8wwMKbX8RI32Og6wGc9qVbv3Gld+yCpNe5ZlFZNA029v
oTFGtsur+1XqQe6ngAnUBn6FX9ePbgWEtk/NCF1sL0tx/UpQ8wqFaAc2+rEra4gGRtAf9UErbouy
eikVVd6oSiFihh49joEl26Fk5AKVwV7ybGgMIiGE8psCn02H01+gjJXL+Y9UNFLkzQDuF0JA57CD
v7KvLaN7Erou+d4lSfdQ+Kr05Hdj+Rr0VIXVoTROhh4U10VdBmtlxaVHPEkdmuA8LqzPTXu1Hw2v
gm+MV9CwtbDOEuzxttlhMoYyaLPx3i5voaWzHUVQSpWQ1Wilz84itCjopfuk/TxAt5Zw1+vPaftd
xNDRalfwYksnAlrWFPAVtDYo3p6vUksaPbeUGVluXUM71dJfl4fyp971aUV+CDArvuWJ0npyVCG+
/GJK3l7xGui1z5oRP7jmNiuoGEBdVsFDDBAoRwjQvngX00Fw29+C9kO3oq3OHOCeKJQvkn+T1r/C
4FpSqv0ofrn8U5eyrY9TMds7idshOJcr9D4VeDeI6QX7Mb6ulTVN4KWb5t84yryoQFO6ptpLlV5F
Hf2f9/ZkErsGnFlctPqUaPNO4PQTZ59WNfJ+5CleI9hi3bl7PH6vwrvgRtuDQXpfB7pPH3L+oYG0
gJ/h0P9c0KXfpNRxgTSjmfPcTnaJ9GRym2Y/1OJruqY5Mu2AS8FmqyoxAAolLjukNFQbOp/NjB6H
Yc1j4RP7YkpIDDxxsDGhrwFH6Xx7qHoM40XKQWfUp0zrNnpCdxMIWHlnlk9JeRP5Lz0VZTdbSw6W
DnKALZMtO4hvfv15YCuZ6r5DwNP4RsM2FreR4CU+wj+2rjGX3AkrKfnS2jfxd+OShOPyKfvpJx5B
EPHxBt266sroJm5I8moShWBwLm+zhROHdgaz+o9ozLxJpQxGqyBnAS240b6MsqYeSQG6w+Ugiy+A
Dxfhn0zzQ0ZuNnIiWAL6qurofkOH8WdX1eGm9/3voJS+RFW4dcvwSq2N9wiLyk1HUhLE/lrjcjEJ
YErp2rCK+Gd2ptSGl7hZzM+YTKmyW52OXH+FuUqAMHx8NTjmUTgoP1fGvvQxJ5kQmXccotJzblgS
DKlgjnTBwpPynJ50gA/ci7YPm5JJh60B3of394v49+UcKD3/xv20KcPaVQtIjFl5K5qvMYy/yyNb
HpiFHDBmcJjEzzLL3FV6X0mN2hayO9f7IWlOLOxTbyXK8trRYVogtmLKn6osUj/WkivXwJYO5n4y
eTBP+IFgGyluPGf1mF5KlzHe+l+06ST4sFITJDTTZIomwiSZ3FXSY3KYJKf+C+Bm6gtPkovahDme
A25QnvUnp9rWNobbpLvKkOLwjIfL32jxyPwQZF6AEQ1fztWMIFPNXHKQjElAh1r7eo8N20qitHQN
fIw1O541+Motpi21jZBG790nvrnpwrVVt3SRcmKxj0yEfnjYzNZ10ZcduATEd+udhVRzvItuvL3G
RTqJkTVXa9toYZUjrY9XJM5yE65sdmYUZRT4mj6JvjXatoID72bfggAKsb+20BeWnjIVr0kxpyLC
nMXUgb4ySrmANbrvT9YRTgKWip1T3a/3lJdOfV2no0ERFobFH7v1D6vc1fJWa0rOBtR56rKHI7yG
XVuaNh2PIph2FiXYT/eKanaDKWeN7ffyPtIBrQFL9nRhl0IX/vs1DoMRZu+kTU6iPjuIvCooke5g
NEb/NPi/UBLivR7uFSTcpDE95dDyN0NsOFKNeEGh9/eX4//hDM7Sn7P402x/mM1MGxK0fHyKPyEK
L76l9HsprrBKDYLrvhbijdrnXb/pXUU/5pUQ31qZQcdFCNWNILXJj9h1n+XCMx7bPKtPJEFIjnVV
um98UXoO/NK0EcMz0Q5VASp1XsTzA/VgoaGSHtOBObRd5DtaI1h2Xvm/ilERtp0sfRkjv74rstbb
1Rkuk602bX1BDN8ltBuueemUW7kWcUJRO14Bueru0lSoNgWSzbuq7pvfmuBp8FOU7IhtnXIcTGl/
eeakheR7ElaD7GNaOBPPv1zgImig9oxjsqaUNsG3/in8iX393sRrFtaA+wW/lhsX38GHdTO+hU2g
T6RBSLYmhrNzFBtCf/DDxhJYlrGLBG5kpBpXxrewpc9CzM4q1CJzo0aKB6VscYP+iEMf4Wc/jC+C
y6QWxm5gfWqo2lRmcUAl++/L4mfhZ2eXp7aBhB57Z2u5dghF+RiaqSPHzcpnXDj3P4ZRZ3WsFpZ/
Gw2EsSpUSsJeeYmE+iYM+5XhLBV2QfpQYoXGD3Br3rRsMwQcEYhBlyFSNr2FysCEC/w5WDdAJaCl
RY8uVRG9QdbHD1p9r+EcD1v9ZVIuWvmy05ky2/NnP2W25yO1DFRUhCdEP3r2mEFZW+lxam9ONtqx
3X5dibe4WImIRzJlSioR52fMmAtxWP2TurZOfq/sJhsPJJIdM9tMJTNvt+ZqvfRVOU7/yF3jZDEv
wTZDSrXIpaStAfNDw9UywWWsHJ1Lyd103f0vyHSNfDg6AcfXWi64NelJ69Dg3DTFRtiqG2OfbpN0
1XthKXmgM4h5nkJblazLOI8X5lXlJQp3bLvzrtryznrzHYEqr7pLdirkaNRMVz7clDDOF8rHiLMj
oBsLOQ2NZEI8i7/7w4hFcmsriKAB4l5HDyxcu2iEyzz4sUmGjzG7CnNd7pVc56NJklNjb9A9IM3k
SEF/+C/D+hBotv7RNIlAIaO6az1N3f1sLx4m6oLsYD7orGkULG78j8Oarf4uVMqqEyjSFNpm0l3I
bIT7vg9fux2eqbyeDGf1Ul/6bB/GN1+YfuaiYt7RZfG+COVtkfyHxPzsS81WYq6PPYVUaiajXtx2
Q3D0a4+aaeaQqTwA9N2MvWzrFIAHObJFJV+Jv7xQUA6hLK1TcJxdDVGimHk8NFQak8aJ2uTa7BDI
a/Q9FI+1s3LpJKFSC1SIdJ3y9XRLftjk8piFjdVRY5jeIALiKBb+t73tOnj8YlGVP4ALjcy/5qqR
KIHK09noOmwXDpnzsI0YWWoyyTV7wZvB46oxlIc0haSXrW2GhWv+LAGcLU8hz7sESBZP0mvvyria
Mndl353U4/+hkbFwnhBrErCgp4CLzOzDFZKr+H5Z4nN41JE6qKjBbv50Nv9oMR+898sbfeHb8UCA
DzsV3oAJzSYxiSqzLYrpkd+gRak5igHuNVpjRC3cbjTtwbciREKdyJoG/WGF+FnWFKYOGDuko1i5
v9Ny5aJZGsbHALNzURLHzihFQHhqIY+b0bO2jVveaX3x+/J0rQ1kdiymg+eNbsDjVGrVG0WPbyy4
d5dDLOzcs7maLTa1TdWmjgA6oZVF+xc3YL9HYc57al8uB1oby+wIFLzOzUeZ5Lxr3jXdKYsVmP/C
3wfXDEtH1ADNgqk+/+hajIyQIYA5turmKjPMg6u0zuUhLOUXZEs6OHxQTaBlZzEyEwQ6cObOHli2
wPDZMRSQUPjTr/6RBlnr+U1/cHbdnwWc7Zdca/Qu8gAcC1WxGd133f/B83uTNqdCWVMHmf7WLBan
GzxcuG545M7PcNdTY6PD2wWAiNP4hzjDD6ffx1AvM+GlXJMVWKqeTugGIKUWUGcO1PPvVQdhVCsK
axtKtb/VdsG1Zct38vM/9bHhjRa5szadfz7QfIzw0mgbwwOevMHOg/ZRiqKorpPy84S8FyKz+ZLn
ghc6Yx8qnRNbUlk5o5K5By000r1RmdlJlw0NFyTZmrREm7yAA1F048HtA2nceggz21Wp+EfDynTy
FykHAOm6g047L3HNTWa10Qve0V8TKY+/ipkcOJXYypWdDipSIpYYo5BUWMG2F8YfYWa+97rWHDw5
Fb54FpaV2phqm1oQxH0rCfgtyG6xBV7f7xNRymzTxOhHroJ603WmbCe1212ZllAfh5H/bxJn6nWG
H5bdodOMeEMtvme1iD+KCHNDzD3pqjf/H2lXsuQ4jiy/iGYkuF+5iJJyz6zMyqoLrZZubuAK7l//
HNnT3RLEJ0zVzKUPZZMhgIFAIMLDfUX3Ldf3PYgVIaOCa84biPsdcnCZZ806pOxV1r2aTb2o3lr3
w63LNOt7ZcffWG6DX7RHByNL+1FWXd+IS+hbosZtQoSKk6Gdf6nCRN8rXwDZmMx3ves8U5k8Oh9c
++3XzzSfpkGGy3GeuDDODVGTtKBFQkZNIvcHRL6OBfSvbTAg+yrkE2W40s1lnVgTouCszapTj7AW
AybetWiPR6rC+9rfri+L/+oLRz+xI5yuUm1KBrJgPLfU1Z9dv0BLlvzOA9rBNCRKp0CVXshbThBE
1ycF92zaH9XG5/IjxZP1SAav7YI2RTIG+u7db23hX1BjVGYdEVhKyr5wx49cukgj1x70SNPXN3BI
135eNp0s5m9kYxbmqtH5BOIC9S9hJxcdOsmYx0DpsR2TG5M631KqOeA8nDs/0RTgewaq3gI9eqeM
a7VPF/MBCPZY0sPTeWQSP+jpzxBugqEpJqUsUV5yO8hDr2BF/d4M9q50m4AoYTdaoJb+ycpkZ2T3
5tgE/UiCuXhClzZVGRjs4sc2Bhl4HdS9T5z5MTYfrO4YDxpAehn4I1WP1KjmTK/gQveMFcxQ016j
xzljPh0eLDp6S1VgFDuM3fywMMnlvXWznu2yEJiLxehbG1oQPgYMH5pZuekX98HOAbCpNM9qS7Cz
/1Hhtxjd12kCibdWfPr1A3OyvyJfS41eejK3qK1pcTRCg62i381M4kvG5TcEeAftZk0H3hMImfNQ
s6y2ntUrQGFQfmvWtyyVZNcbPnL294W0tLSmajQ1/H0OPvhLdNLYycv9W12gMzt8nSf59VqM8eq2
iM2VAcw1mE6MEDKIdHloyc1QhmZ8Y6XPYysrIW0kKGdmhUg9l07s2oA4gRw+vW2Z4pHWup919mQ7
eTRAYtfJ2l9P9M9MCuG6ypfJjFF0BXXrbUYjVuxIHF13vO3dtFWkEby7ipHb891kWTm5w4ynO2ig
PzVgXKEAr9WfqmMiFe/duH14tfMfU0IQqas8SZwYZQh1rrysiUNriT9V8RJASubXz9OZKeFAm3lu
jd2IVaVQRSiqoMSV2i2/SiSGR/mpFbFWDMr1GIqEC1yiBHEMCF8ZQGnzLjN+MLWUrGjrdKGw73Cs
NjpDYu6YgPMwXR1c3XyUpjhmkHS1cLrMw3V/2AoSqPBh/pQXGS4SnzTTBvA2QrOxsSFe4Aw92LKH
ObhuZCv7tk+tCI4NpRrom4Bi+D8F5+pFu81/8pDRhXlzr0TljkarDNYsW5rg6Zh/qkDZbqBPCC05
vT5OzqtkWbw3INySZ8sSHLxZGmrXJMeY/0cHKEEdfdrxr/QbA09nhgT3JuBvzo1mXNFtt6PYtHaW
DJi9dSWemhBRLiA2b5ZxBFlRxYDSLJu9On5r1RtteC2zJCJVFZmFb4wvoN43ZQ8lyZf6iFknEX4x
FgMBHj3QUQtAK+uBmldSd9hIUM9WJ9yFQ5XXMaYPepCfV1BpBeUX+O7xMBtz05CNzvO/dcUrPsr4
J6uJoSSqsJkX1MBqpQdtVDUh4KkMfJ5VqBzcQXKEN9cG5VmeGfMREsE5lCw3aAZRA+j4NFEH5vJy
IPc6pZKk6YN98mJdqEaAcRBP6Yuni0GmFX6RgG6K7twf9Gf1RflcHNNd4WN4GHOMpj+/qp8UBN6Q
vC8BZHiCYX/9xG3dydAFQzaDWhsG84Ri7GLHbEhWRCu64oI8aMmz1hwbg96AwN7Dg1PiNZuX5ak9
wW2SYVDKBUS0qI1me9MF71Xht7WnYIJyMSMZawj/UJcb/O/qhISqK5OxsLsK8J0jZ5wd99MO84aR
bBM/jvKFHbykgAsGmv0C+6RONqTcah3ev8vB3hQfMrxBm3tDymSzea4xMM/RTzaIoAXPRA0b8sEK
Wp52wdx9U6bqY5+UhQR3vJVmYATsbysiSkjrjD7TW/i/uvildQ8+mwNpgFhwSHjd+7Zj5Iklwf0I
UJYZypdQWu99J+KcRsldckse1B2nQZN23zbeghwoDlYjlJVRMRAuMGhuQ9eG4jtxmcT6uQxHNE2h
GPNMpRxom653Ykq4yYxSnSEOgbuSap97vfTM/mUq1tCevrbzHHF2jVp9vr6bMpOCc0z1nJBSR/fU
dX8QrYFqQqmYEbWr5Y107TsBLuWIFybzWE5kbL5bjokGBBgp0NfBADEPqSchWi3dHpPmkJl1lhwY
krm6AQxHAmEUwzJkDFHm+ZdWTsh5yrJPXYylYEoSdZHGHrx0hZx2/OP6LsqsCD4ylayndso53+hL
D14ASOhALUcSB2VGBO9Ah8Ow+wxGZoKBm9hPncaHKsv1lYixXdwvwR+QfrYMrJqqP1W1r1LMq39K
1WBUvnbQPuACQNfNSdYkkkSk0NuoirLHxun5UZ9daKd1ONdEUkkRvVxYlSmEjDTJ6Gy7mCHtp9bP
xz9iBu0oRdvHNgiksx9aawW6m4fX1yZGRNGocG01UFOogDSH67X3JDGCfnqdMKbUKNn/uInCjbUm
NoaAFKyOqZVXQGCNtQ2KPzJ0IXfi0wtLXA8/zqfHdS6cMSnhf6qSvVgKxHccwOdvATHzmSt798sc
g//7iTEKmlkzoTA2OTl4sDuog45eDj3C699IZkYID2ZdrXYWUw0DzN4MtAgC4WL/ed2GzA+E4DAm
g6K1H59nKb02bgGlQntFf9CV6DcMASfpoE+FctMHVO5kz3JE7cTiFF5L8uQCd1csn3XSepkmcezN
TfvXzoUWNATDkCHxGNH+KInux/Nns/8dTnLcuH8vRpyMT51EVSrMpvhFMfkxpKSy5Q/LDa7vmGwl
4hGtWV21K4yssxn0hu0xZJlKb0i8bPPknKxFOKBpldT6pMKZ62QO6xgqkcBt1kYQxw/UXPz/bU3C
MY17trRdijUZ07eFlRjDeluZI1nR1sZx3hYHsA8Uy3Rh47qFrW6P+rmvMuqXKdpJbuPVI5OY2Yrb
p2aEjWvi1ZzpCJ4iuuyyJVqYDoHPG4fdTubnee4jd/r065sHVCAIAJBFXpL7mPZsVK2NUGoCc6sn
7rGpU2/oW8nrdGv7wOrmYiofxPFoa51HNytV2qpKc9Uvx9ec3UCKsJClyVsmQFAE8WETY7sXMyNK
b4Mqe1FQScjMCIMzfmpbtxOhEm+7yMb5rYCHBSdABp2OLjJXJpjnzDI2Qlg5VcPSSoJuYuhRYgC1
wTkqyXLPiPYIuMnBbulXpbTu3EEKD+LuJlxNEGwAz7MJ9DsIAoT9RP9FMwocMT+9HUJOCGY/m3cD
WE5LoBrb/XUf2UiRzowJvu9aTKn6HDyMWk4Dk/ahBdwBbXFTFf7QfSJZF143yE+suDpANqEXgo4b
nvxC4reO9goJTSjsVgTDsSAgldIJb1gAHwWHV6Ghh/Yad6aTm4NUWe9WDkHXULPABPZSrq7kJF/A
JvFnz0wIN61NVSOHvhaKZ+jtRNCJi+YbjCbvrQf6jCVJJ6c3QgcGSThdBABcnGDqfEkWZCNrWkL7
iPdF9D2vCf5XfZEN1zu1I2awkPdrtI5Cyeqv6RiKx4XvohJDdn2UpJ7y87ovbBxrmEODHJUXFbRI
gvPFbqNptQpzFnS52ikG084ONB+yr7W5KhvNeBfiNJcTU243OkSFYKNvvjiRFtBd+jA/1Qe0EW/k
2MxN7zsxJqypyYxexQUMMTDyychqjCzKSB43jqyJwbl/liPcI12xgLxV6SBKqn6FhC7o4CGFCYAH
m95n42XpJR2kzQU5EBA3waR6OZaVQOIXUnX4SDT7VpBbKNP+hhNgdhVgOkTcC8p5THek1cAgIWYM
r0PHwoooN2CkkzydN48sYC5QQ3cA8HREdFVBFrTBWMtd2zjqQRZCDvOwRvC9XQGSOxledusqAcQK
SQVKAUAkiZWWZDRWGxqpYOoPwKrnsyh7sgJUJCJMN/4hq3Zvrw668vjy4MW8gD6VWZ9nzMbqWBzS
Q808e08DJUQzOLlbcHHIQQz/j0noS4FAEM0ecYFts0KAMUHbtAsWTNIB/7N375O7vyITU71adlNt
HWMbI+F/GxRujtwFUsdu0fsrK/BBrUqq/kxiKImBTlXtjgkZqzeGmnUTYkCt+zENk5OgFUS07yjx
JvslXq0oaVUIu7b1Mu4cRt0Jsz7r8pxnY61DMjNGIwScGJOPIWTrJme29UnL3K+oU6QvYHlYnxhR
W18vdTMyYrCbWxN1QWe5OiFR2uwuyacGA1Zud5eQjnqauUw7XO/foLD+fbEBBoCwe1gnUFJ3FhIW
ljKGxoiGomavRRBbU3LTQCjkCc8EXfMMag0veMSRo2knDSokY+MVtePu8HoYHtN1Apc8VTJyzJ05
/YlS6fAMcUFnp5erAjlr1K5JMdfPdWI1r02bKEGqJ8tOg4D5MS2XdK/ohXFnD2p8q7YDCapyhqo5
67S3DEwb+1YZmqcU6unhOkL/3ADCdfTaZnrNrRYC4mXPlXqYVRdGNLBpumVpNXoqpr0MSUa2EXxs
nFrOrA1qC1VkCViM1E31Gu3R2K7eQBwTZTY0UH85AOFa4Mx8EGrAJKUQT8shryCKNQDRNNMAkLIg
q10IvLeSOLcdEXiJEPc3b5ULT2dQ4y+zUqLylNcedC8OJeiPs4hoHp5RgXojG93dulz5ntkO5EnA
CCykQaW9sLzJYW5WHriqnhVNTXh95za+zsdn+duEkAZ1Qw5Z2hoNvslFTHV+5Pb0dN3CxaQDz7RO
VyFsmksVRnstW9FYGOqb7qfmcc7oLlQw4lACn5WHlS/buY0XLkQGwJTHnxogshNsLm69Nm6K7M5y
7xmUbhRMiPXuY4cSEXSsJd530cjmKzy1JoS1qbM1TNvhftUeEtAmux7P8Eq/9/rUJz9qnCvMkFS+
lIVMtkohp9RnPVGbZsHOvpM/raclTP3WLyPwHUNB9IhhQ4Aqcg+mI/Is+ahbruloUKDnsEXbEE/c
nGHb8dSCPuGLdUx9sB8GH8Nb7xDD/Gt660XW+dhKmk5Nclc+eRQ4a65jXkaHSWreZnHztSBsRy16
O7RZQFvIFk2q5MKSrVI4gLNl927cqIBbzPpLYSp3dfrVSTMJryg/Y8J7Cu7z714KZ9BKDBdDq8BI
MqDKwGrhxSAjY/pXMv6QfLWt+/fUknAsWDOtM0uwhcZd73rGsdmVd/TGhJbaDjlNJB1y2rQHwnQk
7VCjA8n++SeroGg9gC0Y8bIL2DcG7ywi8mI9mH8m/wWt+GZ45jTxf5vjP+fEQ+xYgZZT+h9ASXzk
PNzt5E276pns3QDa8JLt5NfKxYeDVhUguyjSoOBwbk+n0OnWsKV+UuXFq1PX9YvmTtW3dnaVCOpB
ymHS9BlUncYYkML6Eidrf8QuTWEFDqswx1Uie5tvhATk35zBE1rCl11cnYEQDC47+8BQmy3d5Us4
tQ/W+p21MrGJjfN4Zko4j+Vaxy0maXA4smS4L2IDCuP13L2hN17dLk4FIl5IK/7IB4tJUgpyeWvx
QX+QY0Kahy9T+NC4npcYH3vyaT1/gyI4C+vsvk1ZHdgxempkzLtDW+iNV675zzkeineipdp9X0xf
JhujRWNtol9vWI1HJ8X2ki4BCZhikCgZ7Z9xqoKJ2VA00JMN3dexdR4ba3RksLGNL4Xg+Y/ziA/1
YrW0DPcGClUztFWU7slIteM8NJ8JimNs6GKJt258rjN7wlkEA1FHpxyvWtX1abpTy8SLK8rH5/11
iQiVJBay5QmfCJg418GOAp9ZzfMRuXHJF9V7StuWoTKByhwJmun+eiETzC0ctwbVJlSnhEW2wIi4
5ghIFGWa14BDYMQ89eBKUprNgH1iRVjbUpjzgHccttIECS7oaNBCU2oMZjvS1IL/qYsQc2JKzGwp
qh42HqJInpYwuWkjxe9Lrzh09/kxBjesxEk2LzxwbKF0ikliUFyfR7SmalrIPPeQX+/A/pz5PRkx
eSNr6m7u34kV4VpdWmb2FcGi9MEbirciaYJ13fedE10P0LLVCBerTjXQTjm4vh1qPOZLH+gVO5J6
lWQJl9EI6d/JcvhROLl23Fmf56HGcsr+e8WeDRnj8Fbp8PTv85N98veHGnqMyYSPktqvafOQpa+5
c5yTcKl9Zhm+ki276/u2GSownoS8HczDEM46N5gnGWmUHgZp8m0eQTlSPWgoKDfO/ThDI1xa7r0g
zeAJNFjkQN2CCXak7MJFCo6ATMsn7GCc78t7dIzzA/2keKDD37k+OlIgs0TY8liNKfr/Rv16840C
UheI5qB5hGekcMwSLuSwTJAn56865XO+i4MR8XFXHHh1adkTjC/Jph63dhlDvJgDAxqfU6Gf73I2
qVWtjkDOkaEI3TjzlmI/OGbgQveyo74uU7e9QHh97PKJQTFsGd00NlxT3HLezdwNVu2esfdGBStm
BdLDezfRDzNoW6870wVc7sMsZHv4fB1ES8S3WK00qN4OMAtMNF5HgD7m38GM6lHEsd/RMefaG+Cg
QusH3JaCJ2WdtSwKuuiYlAHvc/vQK2Ao6WTCultbiSI+CC1BvQY+WdFfSNqgu9AgxckPnLciPmiR
EuUexvYPkt3buADOLAkRGRJYg9VQWAK37A6JgZ8HeFke1V0FuQZZK2kjMANHCc5xCAEBzynuXgEe
TWeKQWfbZ02YdNbtQuD5cxt3AdQVJHf1RoZwakzs1E2Q8lqNosGnwnR5/lDgAu3KaDDeCmpJEsaN
CA1TEMXCWYOyhyh7sWJ+ogdShCOl79fiyZ73kq/E44NwTZ8ZEI5Wo6H+RM2ab5wKDCCgIrveze2g
NJfUs83PplG3O6ak+g4vPfLVTZ3AMskSDFpt7k0jViQ/aOPm4/TLJgbc0X28IAKaWjLoHd4mflLE
d9oSYxhuuXUw+Hx93Rv7yqtTkFjEfyxUkM9DWDdWc1+zBBc5+ZOl+1E6galteCQYFjC5xgcwUXkT
gmQ5GMWixiMaPw/ZN95JtR67YYenxa11Wx/qYNpbqzfdGL+RnUN27qO0gc4W2uLnK5uZlvYuM4Ad
xbR77UbJyoLKelyGN2uVDT1vrdH4oGPD7DjekULMGhga82mON1tX3PboR8eP67xPBsmlvvWtcLGh
XgNIOKZHhCyld42+WSi0Ut2ShCnIjkGGKyPj3YqLNtfOgfS8gV6dqFqQlDl6TSsBFId00xtbY436
6ZLoeKm5ZqlHwHaSN3fSs++dZrHIWTTybBaqJkGlb6715Gfwfz/JmIgNnXCtWsFKk35rkDAQSUNt
q3PC9dIwwA04J+AmwicrBnDu1Aad/zO6su618qC1uyFYAk7GP7g3+SQ5a1tewkXhUEEHSSBw/edr
ShLDYMxGjduyggUTQEO7K0ChnRaFxFG2Yge0bcAFAxQsVikYcuM+AXs6CAYMrWUeHqlRWjWfW0WG
H91cEF4amHyGuQtiH+SeBGLVqB/UACUGa9GBO27Cq7SkUzC2hsQlNlcFNAbENCA+c8EO09lm0kHW
DITB8Z2aR6Z6t8oSrI0LDXcmyJgQqrgcMb8kTryuGco6GyqMJJbt99hi4ChqodzxpqrPrPjV0RUk
VWe2RA8HPV8zQIzdx6WmpA+lHhByuB7cN538dD1CdNdMtpKy5lu20wef00zo9+0P+2m4JSgWYt5f
Vi/kniXcooh+YCUHMyU0l8X2SlcqyTIYaA9SawwVpY70uHztCz33l7R9SWr2MC3dd9eU2d3yRMgr
IZ+D06NNLnj84qbaqhk8x8LsXqPcWfO4Y+s96AgkZ3jLCU8MifIINVgTi6mCIPFSm7E3NBPD2LMd
P+Yzy2Q5qsyWcIO1ilnSPkVvlTigliuNJjLT+PvExvC6m3zAK8WvdrooIfdxW5LElYndy97mhyH1
l2e8GgNOIKdgVjtYMPLjV2/0fg2tHYiJf3kWnx8FG3U0LoyMLvbH1PrJsSOrtVSks9AoVx+hdQ58
6eiDMTIGd+YsE5XculhOm5nCkcimbND1DBOlk/YljV81y/wdDznplnJXPVlM2mcVkADIqDBn0VV3
fbVf598AGaNkDQgaEmHHvCDeWxLNZrMGDe7YhW6rnxiP8yLJ7TecD2yGfEwFkBD7Ig8AX/msVh04
Y0xtARdrQ3bIhHOA2p+vO9+mHVQqDBvpMpqyQlJD8zpzncZCc7ntHPROzNWziinUF1Xi5VuGIMcE
PB/uJXAHCqdJA9VoQyck1CTNAgMaA6ma+I3s628EIoyvqQYiERrmuETOv75VsYHSGmQWQ7czFiAk
1oexvelkWJONxeBmhwAbJr2B2LnoK88KbWonwdfpnT9yxYp6vUGdz9aern+djdNyZkdw5rYorX6x
4QUauMpA1F9Nkq+y1fFxQR+pQbkWH+WC/WMYZuaAohPvHJZXTwUt4ygvq7umWdVDrCb2Ia+hYwe8
aHGTVuUxAflOkEAle1+zoSTe9eVuXZhnv0a4lIue0mTWIafVBXPAte3oQ/yl388+F1esLHD6SQxu
fkgU6DiXEDjNxAYUslMInrT4kKy0itRf47r/ovfdj2ay4kfGZUz6se+OJRkoBATn5kdqNH/Qmjp+
VXTPyzw92HPV3oxr7Pwqdw6iMvR5gFnG0w0NOZFnoq0GZ+1HB9CefFwDPHNL3K5971ct6TwnRtHp
+l5s+dqpPSH50qYpT0gDmEk2vI52GRa2IrGwcTgxdMfJ/vA/hE/+MU5Cc59TY0jBZ+OTKTnE/eDp
aECZBHA3WWa89VlB8AdRV4yhIUwLwcYesrIuU3h1BZ6V1vXxGAWftaREsLkc6KZwUhnMCItlOfA9
LaRNwWSxGn9YFE/OylPHCJ9Msm0bSR0GOiGQiBwfZAJEiGlNoSlLUiEP4ZQFLCoi1FRDspcNw2+G
Ahesq0DKGLjdxEoB64pVg+4b50HVgUbId+Y95rkN8OpX4bLvZKF6wx56kAQ8z5BDRAhyyLk7tLVZ
xdAj0Xyj8TnTSbrT77vQfVqC3xHW4scJ1lCc5pJseFqfW6OZW2GWFrB2kGMPoKRZMhkiesvpNLgC
mk2o5+AFf26hV8HM0XSIJZl2LOc9A4Xz2MkIBbacQXMcxAMEBXCbC85Qj27bJ5Bz8uexpx6toaI+
AVJ1k2LmycvUSo+Upip9e9LY81zNssaTzDwvyZ8c4aLTlbqpTfARLTdKuj5rK/UcCq3T+ziD1sP8
3o+jxP03/ASa9ZDn0FB/RJQWseyLo3erqwGSSG+dSA0BSpijzKdvHP2t5VJ58K0lnpoT7lw6zUrl
gOHSr5x9OX1V6QvoKcMUPEIYnQ9142tjvVyPvB8fTXgAnK1Q+Kggba/XvgNZNgvnYH5xjn8T6GKC
/EWHJLWvvwG/+qB8khjmR+yaYeFzKiwudIWgpDXujD+b3bz/MR6re4x87/8LllJ+wi6M4XQgmCHf
vNBdr/MV9dsFrjtkehOMetXsJ5vkixe36ERAHXV9wUwqkvW2GodDryvLD00dlHc37/ofvTEnqxdb
3RpJ9mArjEMJ75+fJXxvLt6Lai/XCQ21nb2H+pwCti00WRz0JGboh5lTqN5Ur7osAG5duBD6A/wL
aGy8mYWIVE2Du4IRElcg9Axby1ds2Tz2Zj4FxDrvx1kYMxFDkg7BRD214cut+ziunaezxjPVPyft
uWPvrXKfpCxsnQycPoNnp7EHhOnvnF48kwzIW0FO6EKIoYOqnN6aiLtATAVcJamI5mfQM4ZcJCmV
fMytEHyawwj3vlIqWVulmC90ss5IPCVNb+euS3Jv7DVTtrLL74e8EUV7PJ3Rc3VEqIS6LnM71agg
9cEHT7mvOqF93wbtYb0bMaUZOPcyetSNVuC5TX6gT+JvXXXaYKfAn/EEmfjIxY9JZEckKHYyNrfL
c3FuSnBPAvm+bNFQXdRUi3rV0hq3A1h6A6LlelQZDIIu10+ibD/5v5+srex19LA5CDRtn7rhrZMp
Tl06BxaEJ+jH9AOngDr/+2Y7N8bA9UN7ZADjl57d5uOX60vQeMA8j3EoxwI5w3VKHUxZ8MvlZA1T
teZjl+NMd7pfc0VJIDsDVfGUz5yevPfGsPzEPulvNMy/SglI+Me/MI48FK94VIPxkDo3PhZDPM1g
/cF4xxJWX7TPxasRqDs9nC0/kZJgbm0nV9TG2xESdpaYYxv9HDttj+0cjfFBp8pBHdTWS3NZS3XT
508NCT6PV0ldgtyUa+CMt5ZPgxiwZy878Pu/0PzrX3DzA56sSvB6Da85ANSdxY8HcGGmqIbYCdTd
yv7Wctag1Ht810amgirbSsHzsxxzJCPDS8Kw/VZPgl4lwSCbH906XqfbKLh/lltOW/TK4uf24vX6
oTV+Xt+6DQwInB8jsHjfgWYTmIxz/zNT9LSsrAC+OAkByvhotVdrgBdsaJScRTSYPBmP6EZ2eG5U
8I5Em3LQ+wAc0eUP1XhkmgaW2WBJfmbx0cgmr88/64ZXEC10dVkTa/PAoXWL3NQEy5soYt0YyGey
lYE18dZ+t3d1VPqGpy1gnc1D6JBJXHMrIGOG2eEwEMPCa/B8e1WqO+2aoV1RjcVDX4K4vkRdwMLM
Sk7eJZ9SpGBDlx+dK6hEoiqsc6rBc1t14hpVvKJMu6Qg0SW7RHmskdnj6eHFygO221Pm+7HZScxu
bSgfpMIB5IPooqzqnClF3fN2+IL3BTDAPiZves+qfmKbD4kLmfjG3Cer/upk6JSz1ADGbpXF8K2D
YlsEcRxve5TFhBAwNfFk6BbECExvCtegCEke9TYUOhyPq8miAJ9QCdfStkkHRSg06kE1Jmw3YFVD
p3TQeCqAGMQYoNPJ4tqm82BL/7YgZPpNkeXuWmOGxB7nYzW5nzs0gdgKbmS2hJKvyDdIvIeQF/1j
S7iHpmrJSIm0GgHbfFe8IVLuARmegthToUrDPstG1rfC57/2wL117qxlNwyrbsGeyzk+0+mpMPNd
0Y6frq9r0wxYzlGwgOwb5rbPzcR9vbTqzMF0NLBp41cxDfLilzNYHDzg6FCOBwALisbnRprJySCb
ijs8U7+UEDMhqWfasri16W4nRkQPV4escPVx9u0HZwn12usPLaD+kNh5YplXraGxl9OWbuZGp0vj
v+okNyrrIaM6T0/QDUV9KTnmceD6SWj0+A965Dfp0XimkfmJtl4i8//NLMKGohheQWjcoKdybt2a
63bRkpTPojaH+VN2XEBFTj2MHEGcicmmwriLC0cAaSb6aRaGraFRKcTqvHIgtOkikM3QFPp7WF2V
MsFtuKSmIVSjKa9xRT3BDHgDmz6b0WBObKhdq9lhSZQnV29k18FGVnRmh0eXk0/XrJiepAPsgAN/
9cmCIc9Ko69g6z70q40hIld7c2jV7sDDlN6mJFN3SpFme4OqFRBdpuUVQ2LsWerYzyt+b5Qmy5x6
HSlkLQT+GcWNx+dFSQa9aARxIfYUc76sdEZWuip5cctpF4NFGf7INOVlLQ0nTCc6ym4tfvCv2PzA
9JzsTtu7qbmA+ewDy8KngC3IGh5QI9t3Ediur0ehjTc9MPjIAVAMQ1sA8JnzbzGUaaykmDxGzSbZ
c6Qt7b3mTyDI/DKoWg+AcBkAdePu4LMiQFhB5hhIEyHwzTR1lhLcf35Rp88DBazYhbJZ87MvZAPq
W/6sG66FuQPc/0hCztdmQLTRdTKsLdd9F8TJ9GDuSuTEAO2PPnMO9rEOlMdf7+YhmgMRhAoJnAY6
YOdW84YtALpz7wbNlt6AV1GLnEJWL9jYRcwV2TikHD92AYjLpgYP3C7lQK47zGUHthqaK6aO6/C6
g2yEHhBDcji0iyQKU8Pnq9GMBZXUwkZSeuBhvd9j5Dn8L/jDt9aDL8XZYjRosol+6PSLPivEhugQ
ZrBWsjyhjHlgeeK5c0K9HLwjaYl/aMt9nZsejVEPYcP91LT+MkEk27aPA11/9SgaOp4e+I4cTwlB
LFP4lLw8PppQ0vBZs6bvdR1r/gqw0a3eVdYBqJTWA4bvxp5RZehaffSzvpnCvB3qp+sf4aP4cxoT
+A+x0a7hcG1kkSLYjCIYmiPL8UPC8lt3GKI67G7tHVexnHaaH3t9VPggV+0+RlvlEhUXI7XCDxDB
wSicTmmdAYlsegQKVPotkpUgi7SIHXrUi7gkm6ybKnoEN+mAEZ+jWYHHFysCSmmylFZYs2vhYQI6
275roqLWbntwil3f383l4dZD841zO2H44dzLR3ei2eAqAwphU4hKS3NL0ESa7tZsp4QsILscsgpS
DpqLLAJL5JJRHJwGRegLuASpeqfPwaWAz6rv6Bd+s5euZ2KmokEvQnKSL0K9aE1I2t1RbQ1wMYF7
5gmphHP8UAO4g0C48W7t0DQL6l/E+H0YRGUMr1kCxg4RPqEzY50R4Jnf5GZUV9XeKOgxo/n++tfb
cBQ8DtDP0XFECIr75x9vGmJcNSt2MSGGZ5bvdfe+2jfKKDFzkXF+LOfEDv8dJxezkVjLlGiYnoTc
XHekSp/fDUhJvNyo6yCnNAugtQ2OwIT9idAAzaRxhays2T+2ult7zWragCmZ49620uTNLMxqR7MW
0x/zbEjihZhgffxSjF0gQcU1hIzx/JeO2ZhURsJVPaByfT9Q9DpqfcY0hNo1NyZ+ZKgUCdhqO8V4
v/4txLfAh2VA3VFTAAoXA0vnlt11sFGfLzlJeBMyQo+kjw//mwm++JPPUFpa0VUF7lVrDMzR8LNJ
Npp5UXoSVyGEg5yaMdM1q8OTM47sPmTIONHKqV/ToAnJrtMeDOiAX1/W5vE08FpzMTFtgiRB+Git
AnI5p9U7P77rAidyd/lL75l3+tH0uzvoXslinuZuuAlAIf9EPRH+ONQDYYtrtbjepsfaZsV93Vf0
Zs344G5rkyB1S/1FsQndq1ox5L6aLeRQ5x0gI2sRZ37arWAUHVcaZMw6rN2w3DVd075xBKCXKSjg
6nVNvwxFhQjaaSixKpADnwByuWHdiEGBseywrVqnebW5Fneri0sf/ZG2xyxsD5WXwUXhZE5Ztu9Z
oX5m0/BYzcnwuR0yiBEmRv/Fspav+UwqvxuV/Aa6UdVjOpmYNK4UBDS88zE4xrR7pQU4fEl1/UiK
ZrzpOvKejfoCha0q1T0rU+mrO2iJty61fV9ly7dlxY+wwEH8c7IG4s3q0u+xEU2Yrw1oRmcTbAC6
pqi1N9rNiFK8s5avs4WuVxHrk4dZMjJgAJHg/zU5g+s5rHR2NCeNZ+u5EZARKVU+YAhcTbQb6Pg8
A2v9nCXVS0qG52YAJWzWPKfgkTu0XZZ8UvPK+E6hpGkGqJPHgQYem9AGXuzd1Sd7NxEtCTv8nqgr
7MJzFKrf9rTOvg4JL7mVC3GOE1nTB4b7pg4TbPS7iRHxm94ohwfKWjO0oAy+Qz02Oa6dQ7zGMMEQ
ypybsjRSv+uqfZzkn+ZVLaNV05mv6LRggVm6X4cxJnc5q0fQXFD9exxb686BnuqOMSSpgaNWRmjj
nbGfIHNz3w60/QoOdfBFmQl5jcnwtbOXH4Nl3c7EiKFXRpoxSJu4aCFOpsVQqVo7oIdKjPbGCvlE
bFZ9S1J39gxz/tFY0Lntkuphge+9wDVAN2ngUXazTFoRzt1Qvy6YFQ+sklN65aWW3EPxfP1m95MS
Gdryf6R92XLcuLLtFzGCE0DylUONKkklybLsF4Yt2wTnASRB4Ovvonfc0yWqonh6n4f2Q7tbKYCJ
RCJz5VrpgfCKvKQ5K0I0zc0hxBxEM+eTHegjIZ1e341mIk/W1LJ7XS87JDoqcY8IfdQv9Nw9Ag2N
Z4Wo7msad9BpNjToJHcVfwR1UHXMUF3c6p1pRmoavW3PDFBj2Fz/PdnWNxIDbtEm/IVMAqwEsTQ2
E5TeG78jVmGHlrLeyq4pC1/YZRXamboza7d9YXEN/yucIYpBgBNZjUi+9jMUsq1Seuggv4XBrTir
TvqouREmoczUh44SHf3CZnnUNNzGCKmddb/dWrPuuAe9Pa9zYnhfmmxkbxRYhdkXQVEZLPPbDPrP
zjSWR0PvOmj/Zd7D2Nd9tku8vjmprrCiPlOlBccv65+Gos2PguY4wbiTnyZeFyeQXHZ4qMQVw9Ac
YutR8Nw912rIzm6NKf9az4pA9rhK8VZ1f7SNHj9KO20eE6i6g8o/iTV08e0+SooOo6cphlb8vhLG
URRDGjlcVYHBiuTEy5Yfk7yaIkPmPxsD2tmpA1a3oXDN+yKpvLCAUnQFLYIZyAWKRvO5GpX1AoBv
vgPNdHmukwQ8Ddwb30gj4m0nePYTTKbPAlmOD8/rD6Ccwi/ngFbPIVX1VDhGOfl97PLHoSfW3klo
9shFne9TbtgRm4h4U4KOma9sswo7cB/gS9Jp507DHaDv54R7v3K7B4rNUOhmuxIDxGCUL/xelXc2
9F62E4Z0jm6qmz4hUkofWqnTE+POGDlxAaYF5HUPCEdpZIk62aL4jm9MYmh/IYwdWTqQu4Q6leaj
HP4Flbo28lw23XvCk7vUG8BGTiZWaWE3dk0RpBZ7okU+gKIcgFpaOvrJpRKKFQAPPtWgn4TGfDMd
CtG1uxmNFcTg/EE0AuoBmPa6wSNbKfS53Kk3M78CTVjQNR3Sj5LhMaxVRjB67Bw7MtmIYTTOtLTS
jahdd08al280A/TrUqfteShos23TprzzxgmXCdFn/bKcHZVoRFgnLg6pltYbMrLsy6QNgz/Rjvot
BSYh76Eu4GbFFJLY5I6fadMLx9xmqLlxA4WI4TcEKpyTluo5NOudNNJ7rdiPdiE2CYYM7mz0DV6y
usz90ZQYc57AFelT0r72GWhfQaBwVwn9BZuR+2liPZJu/J1LWf/B7J2z6SQOkKOa+FlDPnqI0dgC
LUYtNqhsuQ+QmY6PE1XlbszydwQpe0caa9ikmlF9SRzHvQdJGttkWeuNQMaO3m9vaLKj6HqOUcW6
PhbKoF8MnjghmMYI6vsa2vdxhR6CobHpJAtJLL9xK+NbAfnsgFH1Q/B+WybAZORofPouSeNIeJY8
CA5ttcqx+q0Qo/5StdmvuI+TUHOa/tC1uKXUMPwq+6HYaaWShzz3zA4V8UkccUXHoZNaErdTW3d+
riq1a11rZkOw6LHMKwHNYMOeMEVt5e5OdxO3QXpMm59TqdXHNgHDcdxpbzTTnlo7n3w45Y9ei++8
qfxZDoa1E0hFwpGy9EFQjhTIpAqItNI6VGmRaFvsd4zrWrj8vYb2Xx3SypYN0s7qze3Tg9ZwRc/m
aLSmr9diKDcj0G8cAgmagJaAEfOHsbbJroc7fjW4hZA5gc6yS2OwfI+dm/5wNVSycT3xJy8vuZ/0
xnBK9eabXjneHeAp1l5iAHOva7adB4gMOLJdMpa/2km8VGXifpFxNQJjzCv2hPL4e9VpYp+hxIJD
ljfmXTIN5qFmGUOyIC09cIbxrTaZ84SrDFJzKquiykhToDI6V3+FEDousD6Pax+bSzf2WD8x14wP
ojaSncFT7lfUFg9ZBWo7idF+hT4bTmvcYHwdMc9nM3152pnPjd3WBzU5HY43CqbPiSkqX8TIjGLJ
xKYsiZGCGryR+0JJ64yhVhNzFXX7g5Z5jzcW2MNOUyXjX3XOkq2RgGFL1RWoy51kigOTa2B6q+Kh
9x3XGB5bXRI/kxV/duziESx39d62tCbFwWkfDdyYvmTjFHFF7Hu91Yw4SnIu7zpGoeAylpp2rpux
OmheEcWQVA2RCICI30tJdwfSmDxkbjpEejcY36pRZC+5Xv3S4jrdMT7nQXqfkYNTDcYLyvXHVNj9
0Yod1OlzHQxEIkfU0/m9Lhs3tEumjl4hIeA1ufh4+HF/YqWjGioG6T6lHdozoklU6CVehswSMGqM
xtlTcV9KhBi34T/tLgannzTU3pVJQRADGff8EUwk3wYoKvv5lLKNxrunzubFQzth5/IRMNOQ2xys
DlnCcUOlBRIMfyCVVWPqrrIDL7ZN325F+9xVmfWY16b3qNu9/QVUkcaz7Uj3WaEDA6wEPqZp1dUz
AGgPUgcYz0943vfgFRAZ2+dZ2+3aFIUz0x7UHIjaR89R74JmwzvynxzNbYu1CJ6eeMUpzB60gqSv
uqHZh7wUpY/PI3aqTZ0gzs3vo1Z5O9qhfwz8UHtXJ6P87ZkF6IcrqJXJCHqShQ0RU1MdpE3GECFf
7iQIIQNChoz5+G/JvStMPJinHqkjqnripRBi+GYrbedIXBd5g4DnszZOtnAtFulDqYU8sxWKNA2x
QpFS/WhmGj/WGpmFG1LDjRTy8NBmpfkbPI1TGSDfnPy66wE3ajDIUVFjOjAByd8QSYrC8dGLvUOd
+py7rbYd6awjgGqrvO8c/tjyIXtIPKfcQD48Dt0i60NSoxbld1QrNz3i6Z6V1OpDzW6kT7kpfYur
9pRMpgMgoju+oSQwX4oJf66Y+T0DkByHzewg0Cklflndg8K2k8q9UZRakBJoCiLne9GKSbxZpir9
vmsT3KnjE0EcOOrI2PZtCrIqkQgDm2MR4yEvh3Sve6J7cUliRFUKsnr4In0DqDj9lYAJeDNNpXgs
S0f5k9dXpzFO8YKD14UjCggBCvXunehtFpaFY+5IjEdZVbfalzTR+aY1ubHx+hEXvAZS4aSXOwbp
YH/Imo1djuY+ie06VG7l+VbnGo9AsTH87Tz3kxmMnrtmpiwhnYEJkLIOwe3EfuRcc0E3MQA7gqtE
1JEiZgkuhRIlOD3Fl/LHCZygnoam+QDGCFBzPdRIKcJW2ae8oe2GdFCXpZM+uGGFtfo1quV4izKL
n9SgoTKbob+KH6vabQrKy5Odi8IMcp6ze7Nqi9Bqu+pIaattasKPTMmfteZ4L72eMOiadHTrSYp9
a5UDnk9FDyUZvlCatVtaNFoAWZIm8BjSPC0zlc/M1gLbVpsVz07ncoXw0LYMuX1MIGRtoT7KmjwU
dWxHBF9vl7lu14Z1odg24+B/ylvZg48/N86jyAecHU8cSqmrk9u3WhOhIyj3GUMeqnmk2jNrKqK6
ot1W9u1dVdbWpsYdii1Li2drJFC2S7LsAOxWsyubyr2brAyZis3PeSrYnjfOsJOuWf+qHfiHi4fL
TlE6FhvheHodNKPbfoulJ85TJeyHCfd/pOcQlo6tPg14TpywFlnmezkrX7P5mTtokxeKQRxi1Z1L
Qd8A65aQiIVinF+l3vRQ0gr14YZrG2jl0kNBvHT0p6ae8DIV8b4pY/qiE7s9askowlxD871tdVyz
wE9FXW2XkWmzBolzfDK1ocXtOGQ+idEqdJX2A1poGb48fTETILlYaXE/7bXXgpskQi/ffDNM3gCI
KxxGTp434kFseMWE5z2xOiSFdl69ZHY2Rh2r/wCTFeMt0o57QfIsajmH+EeTW2GGURQfI9IksLoC
EOe6ASAfU9Qh6SS4eBoQ+BG7Y3j5TyJshgFF5Cl9NTguUjzTzH3VZMkuEW0ZJAOT25Hb1bvBmSdm
v8hfymz65aEeeCh6AGRUTJ2QOzEKBwiZ0w9tkNPXlLf2vWV0VZizuDpRqf0ui9F5F1WGKkc/FSeZ
yq+kpTJsCprcuYLcadS+pyY74NWrbfF56FEIDrFgrThgIJVGQ97pvo57DPp34x8jB7jQhu4eOeL6
yEy/HZFKnjskFdsR4i4sKEp+NE12crspQrDKgt5VL6oy8vui7aawU8Zdl3bFVwyzJDJgQ03vQI4L
Hg6pzs4Mu6HeFANiVKeOHbWV8SJd7xfRuddDMzmJo0ZUED3NmTixpukiY6LutuCFWQJUTEHaywc8
I/KkvHPZkAYjKvn7wkQP0W7SclsIy0FJsFWbGE/5wNbVfaU3LxMYhpDZVSTyCpM8kA60YBKR+Jxl
+aPTtYXro+0NXbK8M15HbnwpLOebmePtW6YmJiAmqBZgbC9DuHacZ9wN5sm2GoI8GRwzpPCOU2ba
dw0hT7wfrU0zAEZoggvUr9xODyElnwedUz1AKBTPLtNBaKL5WcevGKKJqLauqLTdoE+/Ze3GvpnF
L6hdaecMJClPgEZVu7YunL3XGuWhyTznl4RQwiYXE36frPzZNBZ5NWX+YyQ4bQnnXcgcCa9uBwcv
pLbFeJSnRx1cAzHZfIpHlJSg6e49Upe8ZQV1f7eW86iPHnIpa8Nc9VyQnJ0yFWOCU+kNz5/iyQDb
UtqDiB28MzHBqW6KxHkGTrv0Da6ydk8dN4+fMXsMUpw8B3O13T8boqudUCVNcVciEH8Rqov3DnOh
B5QVUB5xS4/c016Rp2LERZ+BCfPUpMNrHSNt2wpzSLqN24oGAEDHC7xquu84KwOraH6bbd6Anwl3
mlb8KUT55iEF8kkHaKokZMIj1U5Dz6vfENiJP8TJN1OBAhrPvKdhTE1UQoryZ4LGQeB4U+43nTnh
Gq7BGtTgPaeV/DHBVNMjm0Z92o5TnP0mQ06kPzlOforLsnmwO+UGtGUS0cv7CSGBxm9T+3fKJZim
VdefpqLr/FEBkoBBVS1CQzg+pSjYB5yr7yQHneGcym1UC++l8XBOtPZFedqrDe0PHzPiDxVeSgGz
U2sDHwXfFvEetVr/rTKaBWNu7Wob8DnU2UAcwjAZ75jjd2bTF4Y6ZthrioXKA/tySQG3Bjck3dJW
/0IS2/ON2LmvRymf+VT8SE2FgWCF6Ykiib2QDCK1/bTzMIic16LexrXXRrYuJ7wZdXRjmeX6PLam
jYY4dc88eswV6ii6U+9UY+GJwpl1h7kL2++h0RR4sj6gnQlF9F73Dj0kmxhE0AzrPc9GzLgyC6XT
CiLqe4kn/dFjxdc6lRniblzk73XqylDrK/ZsjJY6TBSPRozoCd+pE+3NbabiSffyN2E05TEGfiqo
SosZAZdDCj2gyhNRMjISgVLDDTwOCZVaMMzFe3pv2YHeyKRDdlkkdy3pnHu8oeUQxogT99h4QAP0
sZ9RAqZ3r1TVPbtCt19xtr33zlb6zpw4yM5rrZw7EM2EEjjgyx7343EwrQgPm9g64A3TBpqnqq1i
TfLHybzqa9qWxlZ5YNprQFnybwkN5saFPgvG4B+Qk/wdDbrojWRmT7VBjTxAzXQCVtvcUfdfjpLP
Jgx3Fj0GmBMd+0WHZ1CFIQev7YJpgLIikmvUYCNXK8Pb7ZC527HoeGOID5N1wKSg+b5sJE0VIw0C
O65t1bEH4boCgdsSh75DSL5t6hPod17STPQDiRgK+NMSnuoazUDADsUDecDLtN8XoJvrfRP57Awz
3sRrnZclLnVpb9HBar2kTMDs3gf5a3qf7PLDDPR1iB/7GUjE1hs9V7fyn+UtulkcNKsdiujIMLco
ygf8VKGvFBEoVecbPGhvb+a1ZuzFXloL9KRRe55AlYMHAnz/5Z0BBb0GCRcUcfzbhq51Gi8NLWBE
RKOSlugGBMj8T41Mn5MKj5J/b8PG7KoLyRuwJizxH1qWoM7JTDhGts+hy9VlzoqFa25+aWFe5cWB
RTHGoE6Luorovwwq34EOZUOm9vn2Oq59FFDWA56G1qz9iY+/wDNb4zPkitP2OxnLnUnSH8rIDkVD
NrdNXfssl6YWC4LsW4H+m8eDsq7CCnTn3hrHxNXjCgowvEpBbEUAGPq4Z7TGX04KjVIUv3+YUbHR
AutknIdwxl7imXp7Qdf2jgLmCdY2ADUwzfzRmpmA0s0bQb9kob/YmQlSEqTmWkidl9uGrjaAKVis
EIwskN8sQT6ikGbXakAbjXgm8oN9EFu2AWYgiUi5nQeZzdWm8zX3A08B2GXBRGYgRHxcnNswF81J
jIqig8H8JiZHMDad82RNSO9qRx1Cxo4HvKwOU4uw0Gm8nkQyk1htxWtdo7udHHr/a/+ax1sQdwQa
4Hkr2zn/yOUN8he5NuMQAB9aXFQ2pLBIM8zkiUVSBF4ynFuJKpzhaE96yZEzd7teT4OUQv7CFtYK
Bv9Kbx2TqRhmgtgBhjGX4+9gVM6ZGQOv2dWGE5i5iE8tQ5vHdcY41Aj7Bvj86JcNihS3133NX2HZ
xRQoYASfcOXFhGmyNBt7BGAoYgI2lfF34qLttzZwumbI/Og7QiREpCVqanj9YzrHUo9Drg8+2qvI
uyxWruQdnwMLyCsAKwHe0QA8eSkgLVKRJK2F4WKCpHznMq4dZcq+3t68z18Ng8R/qUqBlTdsb3Gp
NEYfxzZq40E1JM/cIiAzH++HuNjYKbLX3kaLeU0r5QoIDASfmPGfVwdGgSVe1K05pm4aZIoQMA+6
PdLJA7kn2/ZR7sgKdGaOjB+PBDiEEVwAvLUw2Pr3V7m4bWyjJaM54B3tqB6AAQ63BByhj9EsSLgb
6MxEe2sieRkJM52Lus34/fYGX1vth19h4TXlUBVVoYOke9Zdc44snHGLcgM0x85dwf+ac/T6tFwP
XxQAYGTFy4CqUSfPspihOpPZf2TfPesZTmCL+AQUhxq/GazynssunVDxLYGnrGryffSy7EgT1300
oe9zR4zOfGlcPfnDTW7v61g4aCfLVAd/Ts+3fU+FE6E0V46hJgfyZcwkfb+9ZZ8+GkBBgMVCQYBY
AEQuI0kiCLj+WgsySdZv0jc+6BnwHPMtubX6O1VsMxQqblv8dLJhEbwq2Dbc5PhjccHqKusIj6sO
WIwXZYVoTxoUUt8rosufXWE2g0vVRUQCdG851dCX6ThaFGZMoKysMN7HO29rYqanCNZy4DnWLz0B
JQi05QiyuU9XK2krcIcm4My28P6c3J9SZYGFGqbZnU1cSre371MQAafh7HVItMASAlKnj4HRsmVV
GfP2ZdWm54de/DYxngtwUYJ+rbYGh7vysebM1J65SAB2X1rrs2rIyzGHNe+HaL9ozjMqqoBR3V7T
pw2c1wQSZ9hA2PgkrZFyFziQAlZs0N2XFQ0hWnxsuvaAZ9O9l62hzj8Dcm0d3gFaTR2PJfrJ6cH7
0ZDa8mDvNL3H23DYgpTYRx+pj/QQWiWoK62MMV3ZR4oTBuElnWCw21qkQoZwSe2OAMP17V4kGzX+
Ms27Xvt9ex8/J0J4Y16aWeTHbBaXsnKAVemJbut77mfhGAf6Htj2wN7oO68K1kaeP92cC5MLf0Tp
L4V4pwvhdG/ud323k/H19qrmn/DheC0szHt7ca9YTMfWgfkKGB9Apl+g9xBXu/+biUU2N6AnUiQ2
TPTsC1Ne0JEjXVWrvbJTIHNFDdZx8U4CH87HdVQ16wwvgQ+Q3uv9snPwHpfeWjBas7K4AonDyx63
FYJRfBLT/UC2t7fqM1B5vjEulrFw5UbD8yK2YKB57zd6MIXom0eYFXiEwIr2aoDhgb+YR/BlnP71
cI+9ML1w767L4ibJkECp3vmR5u47PlpQ6U7AUftdWeYVr/uwzIVf256SInfg1/p5iKp99msmY6f7
6awOKAZD42ubndbO0pUo8cHmwtOH3h5oOQIZrNPpy5TNPcziW0KZXyZrii2f37mLvVy4fMv7wo0T
7OW4Samf7v4zt9S0ATBVeDCtueWqvfleuzjFmO9AfXQEtlPAZeZJ5Qx3sh3W+yLKH9ZS0bWNXOQY
Ws7H3Fbw0axu/JGf0MUnThY0a9OpK06yfDY4UwzkkAs7sYhDiCruvK7Z5NMaef6amUXkcFhld8gH
WvRCgcSoTmlc+DZdOdgrgcNbBA45YcKXDDDSdztWnLv038dYTE9gyAvPLBc588LhYg0z8bQ25hhb
+UW2GVDwL7TX28f26oeneJvOegZg4FosYhwwHyAzG0Zc8yF2HiXL/dgjP+UY3jZ07apF5fgfS4sw
aBcVph51nFVxpt+7OwDqN+Y39lV/kG/zTWs9rs27XEn8PhhcBL8MvbFa1cDI9T2DtgZ0WaQXTz4G
iJFp4tmzSQcUlU3GVlZ6fUvBIg/ibiSCS4ZwklUYMiJYaFn6dvLqndHud/uV73bVw6E/Y841f3CU
LpyjGVKajwNgNhWaOXUSToD+G2yNs/uqi0Maef594YbeIiwALy3byYUV4IazvQbEhT84qtrcdo1r
a/n7vpmHQqEnsDitSe4Aizy/PIoac66G4buYqFurhH+u5yF+X1pZeLojlLCdpO6gOq+Bhc3a0Ufr
HlSVD3xfgpT+v0hgP5hbuLtBJ2tWwMPVADVUTTvmMRoM8WYYf/3fNm/h5Q1GIhUpYcc1z1r6UibH
lKwUz655weXOzd/v4ibS22YUJgBPQCF9I+nZW+Nuuv7zIQljg2gLZJiLn8965o2ZlbWY5uytb7XF
vhBdjk+39+mTVsacC4F8/n+szMf2YhWi7mkRz6vADA2+/3Dynsz9O38v7yCy6mdndlotIc8utUjE
8UADlzB4njGv+qlhgX8tOhPPJg7KHPvV2s2C1QLusJ1VXadvKyv8VGLFCjHJbWDCb2aV/ju2erFC
l6kGDzjBUcyZxwnH3bDBWMX/gu3h2oEFsR1IXlHx/0z3DL5dG9gxvJrk8CQaHW1lwEDKtYLEfEI+
7d6FlcWBNYVtllJDQsn2+iGn4NvKD/OoOLWjeRxeWx1xvfbMReEdIsnYO93EdMNHF2kV15O6dFso
1bpnFeI1+JCfyL11ImcjAHHiV2dPXm5/tKtbeWFycXzjAjM8fQqTDd/J8qlBcfrfSpvMjo+Z3blI
iyCOGsjHVVFPickUuI/67M427/NuJQ+a///ldwILIVgOUapDRXhxFUHVYTDtiiB33M+fiO4xAw0K
27VB/mtmnJlnkM6KMzhNH5eBfK7WtDSbpwBnpkEtSvfadp0p99oHmcmywYjwV1d6uRrg9qkwsVsa
oY/V8Ewm+YLqm3/7s1+9jdBLx2w9qudgelh8lImoTiiTzKEh3pq5D/Zt/BEAOIL5baPZVMFan/va
whBe53UhpwRT3sf9s7rE5VoJMFQBvFznocisfbfF2+11XTVCoVBhzXTGoFv4aARPac1tZgQeqjpx
qJrJDiy93VnJWqf2ajoJ8W+4tTNDH5bzmYnSNUNI1WFYKkpf3a2JJ3V/NPdNlBebGSmghWs7+Lct
tvT0v6tCeKVwj8UWZkVWGIIaeG4e0l15nqvlxoFuyuc1uuZr23hpaBH6tNyeCLCSXSDpvTIPndza
fM0Dr926lzYWwU4fBBA8AIEF/QZdQAK+kVkReMTYtm/b0cy/h0LYSg/gk00UYBFYQQI2n2FI0n90
jxwoZIwEjXrAWPsTsm14nHVsreX2OYwvrCxezhiuazJHEbDUbZ13ep55tdNTCplExIv3+er4L9gR
QNvmEsy/AZkws40s/L4RLHX1rgbKcSYKL3Y0/pM5ui/W6GiubOClnb9qIxdXvMOEkaQeauS0zvZZ
Bdiuw8+3j/CaiYWTA0Y58nyoQL4gKFhWG+NPl6wxTX/y74/btXx1WiQZFCUcWOU6/2MLBWobi8YF
AG021E5vr+fzqQWdDihn0PxFpKWItx+drjAhHxxjBCqIY3lQOuh4MeOj7nKJWZEnNTy0CFc9sLO3
zX56BS6sLo5wXrTTSGpM2KWy/slYX/lu1lBAAem2YdP+trEr+/lhiYuz3JR2PCjMYAaa8avWfunW
U66ebpv4XI9aLGj2mwvXy7TeIfaMBwY7xl8+RC9qSn88SHCQyl25GmznDfoQbGd7uO11tGwgJbls
F07EcPDKxQZ24X/4JtUOuGrcj5jE2q5xC8+BZ2nMmrOKOV8HYfQiMDE2YbBKAhntArqkG2iqaOYv
ZoPedYRSMnv/L/by0twiQrmecibMKGIApt0XezPKIzd0uwfxPgtXyp3QV5zxypn+G3ixo+hN6ctS
ksl6ZU2d0rE8a5/b5t7r1gAe13Zwju3/38RiSWiFsS4H+BSjAgY4BtyRb7W6z6PBS8vMlwpjbDLn
K5WDz2kUnAQgQSQAqFHM/EsLp0xFNtktrLLUp2fMOUXVptw2kbCCWWmARW50+9Nd38l/DC5OQYmJ
1NoS0GsoTe0ITKufTWvdtmuR43JN82G/OGhammKAkOnYSW8Is1FitKIAkrctBHD100oaYK8taPEs
HgvVc82RemCMDt11TH7LrRgkvHpdDFE9DvYbkfG4Y5lgug9hP/sd8y4zz5sG6azyTJTJEVQz7443
XvJz6CzwE4x6SvfaWD9w1WyZVlp3Oa3dIIkBrxk9TYREQ62eUF6GDW6ZdwhxqSRgddkc+1YxzKW4
TvKiDTMXjxXb/IfQmeObRlqeQaxOoFkP1ZxE0F4DabxAoQ3k85usz46ZhWk0SSE4biiZHPVEag+3
v//VjwMQIPqgszj98jHFVNm6Zoe5qFibHppaC0vp/gTLwHc1JCu59IqpZa289cqGFbIEB9eD0aMc
/1xB+hnE57cXdPXc4vA4ENAw8dpeRD4AxIVuUWcI1Gj1O1Be/LJi74WWwFbqMWbk0cZfUwT/DDWY
Ty1epVB3pgQBfuHhrQe+BcCK9CCHU/wVB+Eb8FtA0ytYx/deuxupPcsB/qXWW17/mSvy3jJmB293
dR0N6ffWXrl+5+xueXtgPgNPYDyCPzPxQ1fJowIzKyA/qyMOTP/olqeRgNjBBm1JmnPQVmC8HxoA
Kx/v6tr+MUwWOL5SF2psCqytJBsJRCwrjn395baDXHXDCxuL9KlLwUKTUdgoJMYF7T01fnX9XT2u
PA3WzMzpwEXUYyWHGuoIMzoGvWWPvUSwcKvp1JvmiqmrLn+xosWl4dCkyimDqarcxBj7rcT3fHyk
GOZu1oAaK55BFtdFmpMCuQ1MjRuKkty0mw7att+uvRfXNm9xoKC+1rgKonKByn7wusKYKvrlTee3
8udtZ1hzuPkXufhKGC3F6NUEQ6XND2IUkV3rRw+jmbfNrH2hRVBqElCNJgO2rYUaQX425VuqNnl1
gorRygm6ev0B4QtSUQf53xL1NE4qkWoQMqgISEHUq7DW1LWvfpsLC4stU3UxAQWFlM5N9zQ90GnL
3Z9O9XR7x9bWsdixIfYwnpjNx2f8UsvHjoS3f/7VD3+RaC1+fl9O0NqYowChNYtKJzkho/zSls5K
anz1y1/YWaSRDJMmPGPQWTIS18f4YRQbzxRUNJOHG+JfY2YX2eN8ei+8ucwwFVkluIeaKg9oWL97
zWaw11zsWj3iMkldEntZGNnNVQEzDlpb21n60wXxx6MDKkNvK/bjtjs5IY1uf7CrkeefjVw21XBT
1RpIZfSgrrsQ2nJgQojfYokkko564YP5q/cLau0KWvxbaPDHXaWLSD6ioG27+BNj2RxDuYxGmL17
vr266ynExala+IkEnQzrCgSibE//lNG0m9GK7Ag11dUBoauuf2Fq4SUgggAEeTaFMbu6OWIe0se8
38p6PvVu5k37x8gy2RslKKxTDVFCt2TYiRwDDZhbZlaoKIvqoXhqO/OrlUKySuXfbtteCR1LlLWR
QKACbCG4PDpvU1QgZMrWajDXthDgUuSXgCyiI774WrSxKlZrMJF3v8rqBzhbCSY0by/jmsNf2lh8
JqoJd5oM2JBOAI6HVHvT+ghKonjYgO/cDsAv8l/cUui9Q0MBOG4UhBd5hNaw/j+3VJm7Gw7JHsyg
TsW2hDBME9xe3NUNvDA1f8OLSKXKqbXtvxc8pFL0mAYZhDiyf0sQCh+8XM/8S1wYMYWVZAnBDoL2
QgeDjfY20JVW8vyhl5nypYnFZVj0U1om8XwZiu9mvdG9r7oNTVoeymHL5NvtTfvcI1gsaHFp5dng
gudzkEGi7/v+xOsh8noMJuN6aUdMLaeYJANx046NL7pzivljvRaFr13+l+tdOD7vSTZ4HTS6uMvt
2Pcac9qMVgm2toKPWzlY9dp77tppvrS4OAYi54CNzYEkzg5dD+4ae+UFvGLAXrw5EtS6c7CB6EHf
TDuU2cEUsHKBXHUSsGkDCWLOwiuLF4dGNTAtjbCQxZBvF4Cv0o1r3UvxNXG+6/baDMTVBQEeDpEv
3QQL02LHbEvE4zgvaNwQK6B/Ztzi3ImzjXACvLkLui9rvcyrxxmdc8NFaxbgnYVj9mY+TZMcMHrv
hB37Zk73MjNW4uGajYXrSd0m8YghRKjfRi0qtTaLmvz19gm7vnX/rGOxdSl4daldYx3CPoDbyQYp
1m0D8w/4FC/+2Sh34WzmqBoWG6BE1A//j7TvWpIbV7b9IkaQoANf6cq1U/vuF4akVtN7z6+/C61z
R1UonsKMzsuOia2IzgKRSCQyV64V7NN9vBl9zScHIdsry0nO7KDkgBYO5F7P5HdKK8iqmmIh8z66
MwFNM73oefB0BzO5rgi1urqoI2NcEEzDBQScbFFs6IZp5o0YuCFbUalytTiKvflnUZyXEaX8n93R
1O7DoDF1c7Uw8bpmnCx6HF+pk/JL0tVvXSi/5IkV4t2o6bYBLipQP+J1J7jEVr3l6PdwHmnk3dDJ
KUJTBCIVUwVZm0jmeDXcHlng/JFIE55bErYRoL4h9tWo8kodDOLCuvPaM+Xo0/KFFxIHaTYwf9Gu
42djX/lMAa7E+NYTvQPEx1WBCQ4j29w1ommg1eD4Z4m8XgNVkFpj5B/lGCsDbRtYv8b+Hnm9LZcg
XExaCewpyffLp3A12wYZBiIV696qvAhPok6jUbUx5ODQJkby4UNRE2JYTrKN9l0hcBOhNS7+5ygR
J7PWsPOR3OVeuanVG/26vSr9YkOMb4K1nfmMJaPAyVpNoDeQoetymvWUtZ7F8ci8cpc/k9HNHsGr
42pvgV9egbQLPEL7DDwAIn2xs/DMmWUR6SjZogmoUNCxQ0ocpS44HS1p9qhomvHsxHFGuAxVbyoz
SVsYkSDoaCoYBBWlG1+d7ZPIyZlgP+FoHdkEzlhwULKTYD40pf2u7Ylj+SpmCQ03vAIhMDhX0OVi
n3B3eetWPyHuT6jSobqLBu+paciAK1qv9IODrGovKV1jV4UKkSh13F42dO6RgCoQCyNXwPAB9Ma/
4KmaU1Ds4m93ECQYb5hON5POLu/INhJkyGfu+GXKRJMOx009B0OmWZwakL1zssibKpAc0AAyXkAt
ZwJ83dnX4wxxt9BI8iWMawpYWwA+7H47VQdQNAnO8pkDwgj4+UChjql2fEJui2SrUmJlwFFuzE+D
PMTZLDBwdpdyBrg7pR2boUx7GCDAPKb7ZsvAZ2JBlLN4z8wwgRzMX2Lyk0cbaRHJh6jErphFcGe2
7cMIyrOEgrTTUl7CEOROAo9b251jg9zuNDO4vC2wo6LbnuQO6BelV+SlPshS7eKZ2hHuasMWMxCc
P5m+FkrxmAWvzLnMx5wl+qTUWoe6CnEih8ybRNtKDvhroOlLoFWN0SXEfcEunl1qnFUuGC5JPBB4
CpivdU9Ds1MermXkCDTYZxOop0THmYW9k5jFzGHyGprwFAKPX4nTUczCO3Ap0gmuP+4HFyQswD0p
N7EDXSmv24SucifYTHaFXLLHxcgOfU8SyFgeU6Fm1+dgYh+hNeFX16C+FlhbPXNsUhjVP0yHUu5I
ZIVcSFODDikLVvm2uCvccpPI9rIJP8ANDEo2T6ReeZ5qsi8K+SjM/eEyxf+ehmIonJp6isDrLA9M
CLrwQ6+XQBZp5zsVcA3lLfzxN6v8Y5EvmIE2rzKHHqqKYF1FGp17+YbEm8FR8FXnbf0C5k5ReeSs
Rne6SL5QNlghlTFnDh0PPW2uMbN/o45J/0Awnd041QRpHHJTqU5s3YF4+rUihWqTaoY4qhprLp76
BKRuydR5alw0mAjJGzfp86UGCcX8SfQgeZ7G5Zeldvdgpn1Im4DRstYy006Iwds2yDm0QA3Fnmqr
O5hZOrsL+o5vYHymUF7qQCicBwpGmkGU4LXDvNy2YAd+TuMMXHqL0UuP4L+EykNAm3e6BCGI7AgS
1nBaNDDn5soOzOBMGn0EA46NfubYuO2ogdL88sateSebjLGIoTJyJy6wTWWQ0QYk4uCIh3KcCmpu
TICLxsxWjDBcLcY2ARBVzsChedWD8aIOYCR4D6R7i7xdXsTKdXDy97lFFNDcSGc6dtDyzMi2sXIj
AGtcHXvEQhYiDVHwAnSl6P20loacmOVu0yTNC6sgGaNtCbeJtVcPHe47w5ejq9QXPh9Fi+TjSAqu
lDGTESWd3xLoiauNdn1tAqaHYgleOcSVt+ni9j8WUWdm5VoHYwq2EBhiE8NHLIIfRehcztNKHiKm
cxZvlW240TcqVJj+M+wL4yYy4MoECAcZ9ylXXjCSKZI6JJFOFD6B/89wozC5gu7CYQYWYsDorOCe
W/XLI3vcW0MCJXFS5QzSYQTdK+YNkpuKgAH9sneu5A4nq+JuU0WJm4FCtcDJQUSs7WUVsp9UkD2e
wwHx6XCAwV8FsYVzzIMUq0FG+hRL2Robpn0mOdkh38lu6oauaJ9WVoSBFiBrNRQFDQwBnLpDOCSS
FY7Iv6l8PYKjmoatoxedf/m7sVPLX9OQ1pMZKAX1Pl4bGBIAVjzFRoe5+c2CRllZPc1pBaZakYju
uiFw5wCNB5YIvsAZpmk/tm2IHF8Gp+T0YuobbcC4PvhyL69obZe+oEpsfF4HyIeLGNlg5HrSgc54
3je75nbYdkg7+t13yHM6IhDCau4IBjCKtzRGXzGxerpL6O9U6hITsPH+7D2ptEG6q7iJD5HC107C
zM6/Ye9bOVFs9ASamSBGgR9yiccAFqscin+Ds5j59dTHGJ6YQXf3N58RdEBAJbFRA54UqF8iNdJy
vDKmn7PzW3ix/wkhazf3Q1/Ual8L83hiyKBUY8OdcJHT7whadt2YFZOF+XjbX+fOYLMxA4h9bERB
fs0TkURBSAiYV0RbLs4moByrKYj4wdKp3kASA2IBij3IBM0lSYC6OedBQPp0bItt5VFMz/CIT0DN
C1TmFcQ0tj3yUwbNj9zYAVkcCu7zK8Nsxr4oO125yEyW5+MlCsXes7EuKiOPKa0R9SQFOjAAZJUO
tCTthbqk2F32lLWHDEhfcG2BREo+Q7YteZtHsdwi4QKFbmWB879C6n2v9smuwuCfHgtyUpE9tr9H
3zQPmxljIuhwdUgSHQmsQNk8B3aeS7sUJMFV/0RBInV5jatB5XiRnH/quMG0uYVRS/W0Pbi43ciN
AkeBcvamdOdtKXoNr3npsUEuE2nKGYIpI7jjisDCgPBtaz3NOlYpwjCvPmNQTcLUPW6Zc9E3s50C
sFbjnmHkX/E2czF5n/zofzLQOSsBaiJg9trFdpwNc+evmGiE8kkDf1nuaHk/Q9VNA7v55Q0TGeEO
HkZxAtDXI+UuJcjGtOPLiFn4fkgFZjABCm/jLlDw9ciM90jG7BeP/CjjlEz5lPZOZqqSsdUl4BjM
mfwwyooedApZOFlOjU8pXiSnlgptt+j6q1YMEXRHyrzzi3oKPE1ZII9BZnwJiN1ixFSWtpCFKcHi
LgOLDxUUF8GsmUBBDumaqrXivUxHxTfNvK3cuMtqbx5AyZAp6fKUqvkEeQhJmuwpj7+PWb2pTes2
y0rJbuu4+xXL+g0q26oNOQ/qpHldfLZKAThql0TurFq5byRp8TmCU2xPoBQBkBjEv6ndS+H0rOPV
dQ9BL+pClbqswXidyvukzVPwGzf0o4zaJrWleTpg8ry4Tnul8JuugsQOmOSdNrAWw15imu0SpYBe
eV+2r2rTkUcd/LvfYrnBn2nqH0leT1fQGRr9KpQh0teBktpZpiV+C6j2o1zk8FCYGjQ8aFQoD00Q
AH+NFk5r4/OYmlsERfUrgARIq0OaqA8WsCrXeHRqSTHtlLD5wA9AYb1tVWCCZOW2KaTPRilTW+lA
jj8M8fSc55a2wQURQD6gfDaH4pMMXeJAVUzeJCy1tucqDh197JgcTqjYwSKVjlrNFPSO0wRlIil1
m4RKtzNNJ9+M0wKMbyYkRdoud0ez7fdd32CML0kAQlFm86D3kKqPpyXSnQmMWnajspmdYdZvwyiE
8Ngsp1cl9GCcRg7oVaDqkj2U6qdZkeS2i/KHFKmrW4PAvDWBGFTyrhlALjaR92wJgcpdULR2gT9W
9pjoUnZ6oKTXclSAghyQgFAOJ5t0irSfq0F39HnB9VuO5NVUodRpVmDdUmWQ9lWoqfvBoFUPVaN/
lmmzHGgutVtCIQ4VgC/BU9HzB3GHmbjLmLyXEP2o7DhW5b1BBusAjRLDrii4jZyoy1RoaBhShjrf
QkH5raStiutxbPuXuWWNJAN3czy0t62u3RFUiK9Siab2aGQNej5z6eO5+4gJz/pNnrWfSpruVZqi
d50rH3FGJ1vCifSAYSkcrYKMnlfrtPQr3QDRQm7Um7aMILeEQgZxp6j/TmvS3y49ROZA0wKhHXS7
7KxRdYyrFP0ngcqNncXTZENE8qnP+tbukvYJWiUaqN6z1Nq2Big3DhVkTzO3VcCQNwe5dhWEVeJQ
iWY/MFXQP8+jhSrfUpt7PaqKjzLuym06M8L2al4i/J9q5TZWRB/GMEkf5VJ+muoUulg66UFPoxub
ItPbBwXs+k41ArQXB6AT1YLJeltM4G8iramvJ6vRXMgrjog8Oglt2mDSwM4TLDZt2soOTQKBJBOi
Jxi0CAGabWIFfPU0SBa77uFfkJcvDy00H9E7H+crXBszFGEseoi0oNvSedahjdKCil6eSBY4ZdU0
T1VoVt6A9G6zgPFwj4LyeDCrtt/hdwVuMIxo9kCQ8qWuU/1DSaJ3iRY30PfEdk640ooSClBV1Y9O
T9PCp0PzncoaeNKtqdr1bRTZQz0qe1zAyzXkcbL3RoaIDgJEDvR+EvtRqIR7pEHNbRe0KQSSKAIi
fsSH3GFDNUzjPM65VCdOOpJ0b9Zwz8iSKkhiMj43BU2vYlbxwgpyz4jUejcV8Jp0hJQ5lQf8F+3p
bppT4Onb4HtWLAEopXscjwlc7W5rQCBx6iDRkM9pYnea1WwXzEwcMlJE7mTUurPkHZwSvCxeNIz1
dTkXo0/NvLiDit0HXsNvebDcyUWwgUTj4gxVQ3dhl1quRRcwJtf6pxG30r4jUOzE+YL4eDfXhRPG
BAp30UDn21CRltvKBMM2U2rx6jTSdyAeST1z0AzoLFSKN6dRuVP6TLuNJxVSAXryHloKGJnpROe7
ug6HQ2IMaOGaif6zDicUPerhBy3Mz3SZgxt9CT4GJdc/MATSB3ZPouRbhdz3+fK9vZaOnNynXHYw
gxUl7CpkzA3Kt3WbB94AjRoJcGtSL29Qo3iTFyiQ6qFvFD8gHYCf0vSHrNB+Xf4hLEG4dK9zCURd
BqpWLOCRk9oew2mhneSW6InF1nLJBktijjJZNaiTRMktlnqNnuLG3vCjO3T2BBq+ZoMrRlSKWc1V
kKawljaexvzci4IrU4fq5uAk04vVgjFMekYn1tYmUJBObly9/MUnJKBikAHyBOUq907NklbBoasB
ZNEPvYojowmaDKt79McAz/Qej5gPm034ipbWt2ls9u9FRqWn/9MqeA4BMOfWbRi3ixMuuzpFYlXe
XzbwNfl75gZHy+AqPX1mmRnkaoEoQgbOOlCxZ3ngMwZ75/W0NXZg5kcuHpl3TIIZxC3gUfnvk6co
bWG+i5ggtFeg3MC5Yj1XxIgUBZ8y2TNigQSU5mWBCoMj+6UfQlNc5PxsVWerPrLIPeP0hNBQjkL2
JB699v43Am26L3eASHa26NHPfv+5NZDPU9B/n+NW274sRrDpgrtZGty4mOywiA6laMZ79YCpf6xw
QcOcukULaqCcouUmpF5guqTXMOZ9mJiCXS14lK48EbFnf6xxe0aQy9CsQUuPdN+H5Gkcb+NmZ5HQ
veyfq6fsyAy3UWmwhLIWgMqJ5r9q6kFi5vLfX6v9YB0UXPoUxPNIQbkwGEKqKkBD+cv/y3vG4hPv
EAL3/4JhcH0xf2xxZy2ASla5mGhqD/40+6rfb3LHcrSHeDd4Rmk39l/10U+Wx91ofW2pFTSwIXQK
gpINCgmdF1cDALphB0XpUZLdsdVkwaatFSzAaoz6p4ExQBS5uIJFlBngTVBQq+73i89q1dCFvNM3
spt4/VZUbVr9qkfGuGJFkXRxR4JywPguHi0hJMIHSY0EEWPViAnGHeh+m3Btzk1mI8lKiOUA3Fni
SRjeLcrDZUdcixG6IgPqRdCBAXLj1A91eTEKHbPBwODeFuC3R4LbuhCuM/9iIUd2+GsrlUo9tswU
0V7Kp2dI2uHJn5cLHheX17P2wY7tcB8sRkcSelmY21X7EcoKd7Fo0u+cXwyz7yD6QhUajPUKiPlO
v1i2WJAsXHTG1zkgD7Z/18UYJhCtK8hfIZYjoRQKK6xsFDIKJBTAS6N0xXtCYZiDnKIK6OjLixXf
UhQ3alFdbOXjgTgA7zpwMSB34YFWqZZLwQw9JmccJLsx0E5aAv/y/qzcFpaKJQDzDQqBs45tAlDs
jMFyVNitW/xxKTU3cu/QEnVhqbAX0YzSWjHawgg3pDQVzdQRk053a8oZWTgABA551zaKr7rxnt4h
09gFu9qtia14uTvbgVcfxm+XV7oWjWAaOhQaWiTaGd4crxBIU7LOWefPjuoX7rQld5ptIa+Bjomo
6r7mH6jUgc8dWHNG0nW6UG2QzJxWwJ4MfrNbbju3BnwNz1BfvQeR/DMgbdcidPuauxyb5C5JqVqa
ENBD5E/y66T5Riga9Vl1Fsx2QEUAVDsWH89BLTVbpO97J1TBSRB336RigCAMeKKpO0uSn8XW5vKm
raQXFpjh/rHIBfW+gLCfGnS9M8fGRo+L6wTUVhCFV/e5GniXba37Js4yYjsT1OHBZg2EuIjSwkG0
TbdDJW4EJesuO8TAHFobNEhc8y3aUx+NVt96FNhmfs/lhugF/bHN7Z1ZJQWQzTgXrTd7oOSvsUo8
w1jSPb+EqE4IsV9rr9wTk9ztTBtlHpEtAoi4b79XmJH+OQFbUN0AzumIs/u188AUdvDAs9Dk5Xuv
WkkzDA/WcM6sDma7kOvYH2oVQpZWWPy4/DXXvAa6DawZCnYSUPmenr0B/f1WhVYoJJpbu4TE4fBI
MD2Y9P95PAx3z7EhLpMrgi5DATVcHBQh/JR6KZxHGZ8ur2bty+kE7FZ4M5smaNlPV5NnoTp2etbh
LweoyPZOahDHUFTBTb0aH4/tcGdNAhIwg4ornACVAA1Y7MRtDjVGZfH28iURjmHN4Y+tcdd2oC/m
DFV2BrScUXdI/EzbTdQ3ncFTgDgh+ruIa3vtO4I/ztJAxmchJ2H/flTpkKogJtBbR08+eGmkJ9Vw
5+k/D/8gcUP4wH2NC1UDge+pjcKAWGM5ta0zxOnDmCZu0RuPFAXSyy5xFuk5M5yD16juN7PVTY4Z
Sl5PMt/oBWWNsyPEWeA8e8HpGtQMvauo+mZM0HbZRMpeKT8ur+PsQuGscNlAZuFRJ9EW9b95W6ih
+pFnEF3NslrZkroPMRwToRvf0+Xtst0zV4BdjFOAWwrEcRSaZqfbRGJMuKkavl+ykF+l0r+rs7Eb
pt69bGZlmyCLhtE2gGgUHeH91ExXVkMfQRMe5c38QS8TO4ial8smzqM4plOPbbDfcOTVxFgMUMm0
KHB969DdhxjPDwIqeUfdJ9v0NgP5qMD3zuEmXxZ1kGyrBkASfHSdu37soAD7FSc+iQdqhcfMtqmN
NsV+th9E77qvM3NyNbL5W4MoIInQkTjyhGT1AKyEwaDmJTRsP43FyW8ijAqapp0CwIBmgkNfNP9r
ahAYB/BPikqWK2cBQHrwwTOaVewlF4DVuQVyaYEMatr29iChFNY8ycMHplcv7+Wau2gQ3JIBvQMs
TuMCFIX8bJblaEBohmY33cvSiFrFqys5ssD+/chZ5LwDpXRVzU4Tkp3WAo8xZ+7cdrup7tzLi1k5
Ysjwkf8q4J7H7DkXoqy2J2BzBUCoR0cZEAUFGMbR9C8bWfX+YytcmJJBLSiFCqy03uTWlgO1Vwgh
etOe+FW+xVaJaQnO70n447FN7lSjhxHOXyRygx9sCnf+lbjSvemhaOgigoiSeuZcvPcfW+PO91zD
LQhasI6Bzn6uS5uplbxIkl9lqb9aIkHYF+0a54JtYMRNP4Egz+odSS6d3rruqClwjVUvBFoNOGEQ
8YJX89QL42gwzGpCnbfBoLhPsjq7SUZq3QDdM19BA936LvAS5gX8NwTMAcBWCoEt+P+pQYssgxmp
iJGdq/hsykyFYrttgA8clbanUhSS1z4iKKlQxkbMPx9akQJIMisLzLGxAzZHNyce+vbxE+Sr/dCR
belNknaBaJUrlylwVn/Mcod7qKdqanW0OlgJn7Fod9o22IFg5VaBVsrwhBoI8noM8eJZIdhRkWku
QtbjpI1JCDxvHc7hpi8gLSfjuW1Df6d9KOOw9NO6yf1mrNPt5b1d/da4iJB2ITiDhP10a4sWVG1m
jLFIOvdQAO+vgJy2S2IK0lWRGS7OBGozpUsCTHZXPtJxG5TX2iiIZSzh5Z0U6nYY42Dz95iuO10J
okqP7iu2b94zMeRuq24UjMWI0KLrK/nHzBdr69EVYIaN3iiY3oJeJQAjqmEHlSuEx63GSGAjwEet
AeENTurTxeR91CozMiynL6x5bwJ2fQvKjsg2cqtyF7OugKyg2UGBqDlUCOhjCJ3QjVWX2VXNCl6C
lGXt06KQBlVZQEl1na/FNFA9b8ca7bN53+2UbXPovGjb/NWnxegDizSgFz9T5E1zqEsvhCAJAfA3
HOKtjkzWYcCeyz7/VffjXQWobMCYUYLUUL47/boqlLNR8kSzQuk2tW6D7YdBwZcDUW2gSW/iK/ln
Q9Gl+zeMy+y+4WzjLYonPDRQWF2f29myqSYdJWPgIqqtYQWyH0xhvLm8wJVwgmDNiHkY6Tz0T07X
F4fGQIoc3hOND3F8ozYvOdlJmdfUjGAydC5bW1uRAjAgpqgI4My8d8RSlSL9YyCHQd3pvZV7syyc
IVk5dkBkwTHw/pQxXcotCZc36bLMmJy+jzb5rNRuCGErt640QRhZ+3ZHhviR2aYqwhjvJxR09R9V
jalxS3kGAsvvOuorjfG0lIqANmTtsKO3TvD9gNihKOuebleDIIxyawcwZejFZM8I9zA77qbt6+SV
rjgDW/uWKNDB9Qn7lPwDhNBCai1wMjlq9N5mXm0+S4bgK4pMcPE+qadl1CxM/LSdamt6dJAZOGww
BZ9u1Qx0HRlFNgrS/MuixUlusgETI+Q9lCu7yW6GxLvs3cbKeYUqJhAXYFlG/Zu7IOsU02eWQkcH
PHV3lflLQz9prPSrpRDlH6uL+U13jAhhEHbOjm6WpNfkrKAoGYDFHPK9QeQ1MrgSJFO+zgCG7pp+
Cx6kp0KFDIuS7Cwp9jo58aCMardWs6GWSMhr7WADRgDiBINq4Efmlk7kuJHADj99KT6CyHaUf1z+
tucU56CgQiBkTqgSQJe5QGzoZWoCeImqbQhIabsbm3tJ8Ya43LfqjpJDWpW3s5wInHP1wOHljaFD
AzUMDPOdfmkpMlsaz1gYSzALYHbacJ8dZh9DQL6UeJVoAG7NhzBIjkiMZoZ6VsfA7Gla0wyVx0CK
DuDsbpnOdb2JgMV3UjUVfdWV6xp0rlDDxV0NwXL+fEfd1M19vKC19gDCy5vKj1wi2cVt4YZeuBlf
k5vFI/ZwHQSOvhNJJax58bFx7uQ3eRaUeY8eWKZ+0qh/CeTw1xgK0knRCrknpJKkkwRoMpueZ0O7
TDGo3v2FdAtzTyxGY702yPuxtR6dSIVkFUSqSkyZLNEMRHSUZZ5lxvNbn1sYiijbwqkGU3ksDWBs
aloUj5fPx+oBPLLP/OrIPoCEemWUE+QGsugOSpzUDsr+6bKN9cNwZIQ7DEoWJgqoHjsMxC2+/jUQ
l3Yua2UU3rgV6r2v+seROXb/Hq0JuMWuC9sRTx3Nr827StmDHfvykkQmuFxBr1RQdOswkRqvfbgb
tZ/RJNiZtRSS3ZzQndZAwmrweBczRI6VM0Wa37C/zG1kO/6mASC3XTZTYwNx5Uo7Y7Eb1ON3l9e3
vmVHxrkzRsyohV4heiXzvF2mXxJ96E2QN1eqXTbfispNk6esirzxsZVE6Ki1auLJwvmjl6F4o7ZY
OPlm/kzvs7fmDqrl6iFHxkL8+Kd2pT53GOmBHNC/khddPRNHa2f/fuQ/aLAvUWah0Wc+TK7hZD6q
cBKqEb0ru3gg6c68FfG1rFXJTtbMxYG40kZLKbBmNr88PIT76NNC+xsz+0zTwfxoI8ENtXphHC2S
O/iNUqAql2JwSMJ0fJSmOyppfj8Et3QUiRiulaNPFsedf5qRISP0q3MabNKDsp1sKGQcmEpVs4lq
VABF9eDV6H20Oi4EFKAIKXrkbWAuGq4KP71uvOJGHL3/l5Vh9BZtWvTb+adW1AVZRlqgo0fTCZ7I
HrV26FW0o435NuuaABMpbtOuGsW8JTovyOTZFPipf5rI25SE4GyGzwPkbzGo8AQmhdvk5muOFHAa
0djlmq8cG+S+ZjmGwElQlByz4la2MAJCiyukjVWQCGqbayfv2BAXVjGt16PNg373tKTOqFxZ0svl
uHbZgMlPtS8DUfo8XFCLihxZqTGxVNqXLZzDFBnnKR4LYEMC6Aljsae7A8Eeg7QRweD8jm60L/rd
cpdgqFgMcPp69/IvfZQxUGdAGRP1KM4TJDXt0LcCnJ8JIaORrjnVlf4wXIFIxZWc4pDuA1e/7sG5
BqIpKOV+Uju/w5vd00W4k9UABg0hUONgSFA9Aw9AkaZQeglnfN4Ym/AAiRNvuQ93vcsUbNuDJUjP
1jby2Bx3P6UdaRvC7oh+vJfBhalgfEKwkWtef2yCu4ZkkoemxlbUevmNsWGIazbOOb8xzAfjd9AO
obCRJfyO3OWTEwoxGhYrGcJlroCvlnfa7Qxux2ZDFE/aiZp3omVyN08b65nS9kjO8jkuMXRHIuSZ
y1M2ISms0v/MWslOx5GbcNdOlhuNLDVInIwU8+gmVJKUDlXw2cWsTSErjhRLh8b4PzoLd0wWSSuq
XkNYKQBmGIgbT4p72VnWSjrQj2SlVHYe+XtALdQ0g7YfMKGktcfquQs/qvC+na7lAEoXsb65bG7N
+9GuhnQX62CccW5JilrnWQXIJsk+o/Inpiov//3V9O/YALdNSZMaybDAQONOruJmbuBqu95HjWoT
+iL2INFquO2hfZgu9Av5nJuYppS+6bkk6tGtJezHC+KusKmPgH6bsCBjfpWgTaQmQDSIJnXWjtKx
Ee76qusW43kJjBS96spVe0XKB0zxPartf5fJwjk6MsX3CCJSQrmKeYDy8JtVatgq961r7kOn+u9U
CF/G8DgFzBVlRJ4KoSWlIZkUxlStaW7NpQxfms4qrpQcCB1iVZNgdP9/cb8/BrkguChBqOY9YJIQ
VEM3sLgFnbLHIH7gSgTFifdX3v7HHBcCLSOBtPaA01t+okjU/A/zgpRsf0s9ijpV6/7+xxx3uMYC
1fO6Be6Uaj7mfx11FJFbEnY38YkBSob/7Bh3pDpaYKodTNEA0uLF7VoPWgPCkdaJfLKLfDTh8bDI
tqqj3eleBg7K3M+uhfgxZuTSj+DOXJ9LadwzfK226aFJu122gx1sMV7OCCIbGwpXml2CFCdzMkH8
Wkv/QbUiQ9bXBK8FD2HWjHwoIvZ6Tb44krrtso/AxypiK14NKoDzMoUUKPF9qVscPxTnLkYlDn34
LLZRtHHkbLGtngqC/Wq+j27OP2Z4f4GspSJZMDNi7mSXepKxt5zfr4uEejjw/wILupqHHBvlPGiE
hEQZBTCaPrNHMDKfwm62FI1qcNW4mLsWRWiyGj2hL41mJOPE5DEHiYy7X4sRZRhQ5OvO2RWyzc49
9JNvWzbu5iw3YCJEqxzK1+8ydM826NQj8XX+LiQc/RjumxvhPFUB+JJxgKqd5oX7n7Vb7ti3FoOX
VmvU8JN/Vs596yLrlr5vWXy1ZWe6YrzX6ibaakKh6NUTeWSIO5GaFZEOdCiobJg7aRztJbiTg0fD
9FJFAK5ftcQAluAeUsEUwC1JV3sNfDIBXkGpqXa2BSLhV3lMw03SAg7nNEadfXT6KGoUrp5I4N4Y
ellD65V7fIF7YdSTHAuMI2ITubDVJnaU6uPyhbESwNHYVSxUbWFK57O9AeSwpaGwxVlP7XSTVtvL
f3/t/oMBtFd1E4B2YOtP35C0l5D7VZQ9AnD//Uz8dMMEPoHzdZHriSjeVz4arFHAwBQI3WG3Tq0Z
JDbCQWMQacCXrNQJ4ve0kAQhec3JT6xwydFkldbUyObvh834xBSi0120LR9ENMErwf/YEJ8aFaUx
x7WFaaPwptvFewgnemCIOojileCr8V07lITCvgIvhBMWHsnuwLOsA3socISVe/xkLdwzN9fB064y
R4B2IwDf/Sa7jTeTU9nzLvs22qK34Lpj/+MJX5fC0YVm5JDvjAuYW0odtCb1Deb9/863/9hgv+HI
Bl7UhKYJbEyYq2TyRPGGXv1/ysRWxI/0BeDlkpCTL8i28chcpjXj3OVD6/Sh1fwypbq41eMmf65M
pJeVFEpXgPq09gSFzZ8YbW4dS21j2ZvnbnhMc/NKDtJ8O+QAApTgpZ5AOQqqrCwdhzerMIvMxr8U
ztx1/fcQ00SqE+ZF/DrEc4LRLC0gGBft9dyvpTLpbCU27nopbm9ADVO7fULBDGVpkGWV2xSIg+Rt
VorAXoYYFH6KPL+3VVPZCmnAUB5axlRuyDRDHLQb5KsmDZ91k8y3hjyp93MV9HZYW6DlWKzhNc2t
t1JOJS8ZFYzvZ/XTjDl+dx5acwtyo9aRSb9Lg1B2h6rvPGVMUidudd1Rs6Z8BCp7fgdoGRNYrYQ6
rQQuVDJ2UPCpZlk9xAiv+0IbSreVmtKZVVJ8rxe1dBQFmp+KnpT2mGjtoWnUt2XJ8m0UjynIdami
uvkQgMhPol25U9UhT1zaQsTJyVrT2tdSptmUlvHTAEq7bV3Fh0TWMcNZL2N4PYA2ZrabZMmey67u
IYmK6S3y34+bAtpjdGzxskZ91eB8s9WzJFUqzOCW6PMr2uQXAVBYcJ4mARTS6j8yIIPtIJd+QN/D
lut0v3TAb5Pp5fK5PzuHYI8EbPsf+nYuIick7qXCghg8SHTahzqtiNPrhegonkUwWGEFSjaDA5gG
32BKwkgZDANoANKUjaPQonakKtd3XSBX3uUFnUd/zhYXyEZ0+etCRRt+8rtdDugcVBlQ05IP/zkn
B3Mu8MyY+wSPNd4/3HlPo6ZrVVpDuE72LejHLDEDX11ezcr2YEgKSAjLUBkXEpfc5Gk/YC3AAUax
S7FLIMd0L1s4zwDYMpDxg+AVZX7QYpyGrdBqFTVWQSVTaV6wQX/dN704tsdX2Wf1W9Fltm4PNqnJ
wHegcj+1R5ZxXkiB0ezWg9CaB3o317pv/XZX7M2daI++PtBJUIYlYOJAP4ydwkdk195RUK56wBXo
MI4OlG396A5I2A2eF5Y331JwLOJJ0zgFxK+88FmUHKxtHTqqoP+GUAhrNZxaBt+bkjcyyBCCfCOH
oPwMRcMX7Gyere2PBZPL3SaFplJfR0jmzftsvIuLT9nyhhphIt9OtSRwxbM8m33JI2tcwruMXTfL
VSM7IXXyaXTroHYC+rOqfD1J/ctOuRIvTmxxZ9hsdEicthL8T8s+INJFQc8dxI4Fsn+B+3+526WP
yDsIruiszansWAWeRODc3NafAx6F83vthF6Kd2DrLg6owrdQzAYXnB3YqEwKJ8jXwtbJkrljMWKw
pYkMRJMJJAykAG0TBrD1n7iuh+Rh7msXBIV2LiRVZbvGLx+EvphM1rG/YAc79dKsHNW8Ya1/gm5w
6ikvudPZJZCVXuqrwqnCtX39qlpjeha+xN96yWKUFrCBvyU8/h9p17UcN5Jlf2Wi3zEDbzZ25gGu
DE3Ri9ILQqIoeCR8IvH1e5Ld26rKQhRaPQ8T0ZoieSv9NeeeY3pVODQu1V0pQMdSCHbHehv79y+X
99LSzGogw0WXH5BvQHQKdyirgIO3W7AbtFKFDsZUeWRpTlzIfx2gGbGVde2ukeidotpPyH1MuxXz
Z441yPiBTgRC0QBFAwKt0xlOhob1dQ9Yn/5l9OWg85rNdJXf8F1Vfl6HdC9cO/BC0RvFY0aQlwjH
VCusJIeaLpyIopbv0njWN3bSSGtULwsr+eHs8gZ6Tn4h3G5aWkedaTST16acOs1VmxtHWnPgl8di
46X4MCJecCpR6nYggLbJ90NAv+KB5bqtHCARFd4w/iVylPN0FF8vxKj/b1SYwN7RpczhjOucBoh3
vkZ3ICXweINICY60VQ6s8zKuYFC47LRWKWkBQkBP66Y90WKvLGCmNNGMVWc3cOwhTVc+Zzm5TezX
urNX7vXFSQbwF6qgHEUoptz1os+GwYJvljbZTlOz67Rcq1mtmeCfHz3CToRmiT5OsVlMwwFhHHuE
ZMMqI+7CAwVPFtVpeGMOOGaEg2ZFpBmzj9ZAfWY+q2r5Ia9Q3a/Qu/pEEqe4rlmOK5wC/Qa6eXhr
Wfk9Sa34uZfnz4w29tYuYnvPDGisN0mjE7B5xuT+8n1wlnt0AJXnvRC4itCgI95Gyax2Q0qR7Sy7
B6k5QIfSTYt7a3y4bObcN8CdB7QsEK8chf1BlHI05UM2wPkiKDSA1HKnO7k/y+UV5Rf7mEA5t/FS
Vfp62eSSCtXJAgiZzHJKjbKXP4h7J6BFEMyGHDXSeWSDPhz1kUv5lYfhgLzm8xoMZ+k+shwdxxa0
CZzjWthijQwnT0MbWZUAeaDti6IO+zRfOSvniyeDbp/3ckO4hlPInVqh44xDkqHbVa82RntjopxC
zK/1tCI/tXRejs0IE2kkhkUzAqzPMKggJQ57WgaX12pputBzx4Vi4NKd8eQkpto6lAdk6fhclaGe
ly6bXv4rGyKrEPRZkj5XHLQP0iywmuq1ntLAnIf/0oxwX8dDb/U5xfOuM9XPUmefsdSD2rd/eTTn
AuKYK+RH0fH7kSg1BEdRnRCpW+Cv9aKbVwrqXs6JcEi9T9d266sA3azDrxYXyQHoGYRCpo1r43S3
JVmtZ6yBxZ6oQdS+DehXTLoV/2RxSx8ZEV6fGsGtOiloeHGaKcw1OZiI8iKVVrnNBmhxXJ7Ec2ZB
QMk4dBzN9iDe0TVhZzNrbBRC8Lg2wfjK269ARz1u0R6yR0sFp6DnGB6crc+5a7gl8OtusVlLPZ5X
ufiXsME7AgQRGrREuYK0YTMZBlDRm325z1TFl2y6t2zlDi4hyFbM4b5zpLu2RsUHF6aKfmWVah7Q
XAc2rXVGL4XDOprnHewq0NXrYsNRCaGESOlRQPxdlopsFG0HLGyIvbwv3uPV9AhfT8HhP7EnrkCq
oVdMAy6N2+MUn4lvP2kbXn8GX+yny+u9cJGdGBNuZbz5CalSQD+1IrpnWThXa9RKC9v3xIKQv5oV
dEXIBobT6Pfy9KRa3zoFvOpr5JALR/HEjODuqqMy67UCMxGwyZ3eh6RJ3iTbeL48X+evNghDQKhk
Qv4W8YImjEbSaCI7KSBZJujDLNv+UiTybhjbqy5ltw1ofNNszZFfmsBjk8LI4EZFcsP1tHjPbFU7
4TBFvkn7x3lYDf94QkLYewYyMQAL4NUBeY14oU0MPN4mUnPMtJG+RnEwRgfoEBmeatOXPko/Uwn0
KAp5TO1sBZm1sIIntoV7riszMJgksF01u7FEqwq4ROPvl5dvYbsb8LmwcIoM7kjRA61GG5wvEiBn
afYaDTeTvOblLN0WUL+EUCoyxw7qgcIoZtA7Z1UEGGZ0kz5ofrPJPWjY/Yi93P9b7w/KqtgcaCtF
rlq8J2umg907V3E1tSFJ7q0k1MZvl2ds6VWFvAriLbjDyBCL+blIlcBDwdD8klzPr/G2AvMUKpDX
xhcLV1K2j8Nuu9pxsBCRn9jky3jkG09TF4GnRZ89eSBBMhVBlz729LtW30b0oDnXo3avUQjnkbCE
QzlI/uUxL8QpMA9GD84/hw5v4cSBd6jKIvCYQQ+uv5oiJHYzum9bM4yybnK7/NfV6FFfAIspdgyS
7yBZFgxOxjzmegJJJaUyjG07N4M/aVG0vTyshc2PYgYvJsCbQIOR4B/FUp6oOQF3NOneSxDlt8YK
ZHvp3TYR0YDKC/sEL7hwfXTE1qcxga5L6b5yeuoGICMLqWMemMePZA0atjSgY3PCWUNtDqJNDmRB
OIVCzCHPIyiIQc46eWhlrd0eTVTrqFw+COGOPBmkMI1GpIERzYTVj/aMQ4x0R/Q4oB+MXq3eJmsj
5J8fHYQRWgBGIiFgU5GamkASAaqqHkQ6wGwVbgaVyr+Q51y4hzE+dBvhYUa6URc2I1oFI5agp8/j
sZq9qXZWyBsZVMUdwNmAtmHof/Jem7UXfHmsf9o1hGS5lTdGNPHNg3aUoJMBb5BXXhj+zc9X7qcF
YXu2jRZDVwAja2Iv7r8lEQlM+06ln7rx1omNYJbDyydu4ek+nkpD2KAkG1hkmlg+Jk0HEGbfxqS7
7vJqo5lsxdTiPX20bGL0U+fSqEBTg6GOMvpW4tcgQAqSkLvslek2EYiXmsf17pqlBw8pHd7fAHou
cPgJ20WyG5YZDN3/xa59AptrGG80A6A+jooHb8vnX59RBPeWgx7JDx3V0wMBjAxrUgWkDXLcQH68
LK7apAFaRQcQIq9X9stS4s88siZib6qiSGfUWiGdPU1X4GrZKoV2SBrQMRvy5Os6CP4s2WeK8znT
k9wbWbUy3KUzcfwFhB2rKbNMwOyFbkk58RQJ5M8r/uzSYUe8h+w73Aj0RPMdfHTBtJAAah0LICmn
lAJZf6y7OJzy4PKiLe4RHYKBJjI/OgrM/FscWVFpB6qb6IODjHPdKO4MsWTeOqEF7GqtQ2nRms3l
FlHBkEFlJexIK2I4JzF2pFz4vO0mAU4GdAAGqsy99xcUQJe8lSN7Iotgns563CSolya7ORx389be
VVfODbjCwYxo3na/ykIAZ+HYnLAn7Iqm1OJvgjNeScWNrqauFH2/vGJL+w6JOuDaEOagOCuEORXw
PiblF5dBbor6c5OW3mUDy4uElgVw6IAJCHwKp1siSjsz7hNj9vrX0TdCZavFwALD4/PNq/W3ZanE
BF1MqDzzWu85KZxSaSbcNgD9s50RWluOONM2gM6sssos+I6csU2F84jWL7TknY6rNvSOkgbVHQXi
ty6EnJ5lU7qWcyssekhYtWvZoaVqCMhvQWjAdazRayYYHLW0NKKYTp55w1AddcL4XgqgDw7uuwDH
a1utlZkX9saJQSFlkLFeSUsVmcls5kXYcVxLfS4a4GlxE0wN8lkONxlB0NzQHnSZqX3TzeodRflq
Zfst3HvI1/20IczanI2RgrIy7oh7rrLYbVLeAHhnoQ+d85k6lWcSX7/Vnlbs8r8ruCBg9QAZM4yj
e0LkgmhKh1IQt3Lh+PyWPADN7Fezb/tQg+OW5e1cec0nKGatXMELeYsTu8KBThvQoxQz7KZdOW0h
hfTQmtoT3lIHEKwkujMdVu4ppWt40vPxKgpoZsDrARiuDUbc0+MwzX1DRhAzeHJZE9fpazeq6K5S
y0NW9SuLyu/107nlOFleyTUgqndGLiYTZqfGoIFLBxzewybftIG1bzfWbmUNzwMAlKjBTucAz8wB
U0IAMEly1TKCN5OHHclnYPY2Kbxi5UXdrk3f+bLhTUbbP+fe4/kKYdlU1jDUwOCAsCYO7Pq5kq8h
kp5KzwNwgUPxenlk54uF6iLSqApuE94vIgysM0dI7ubQXe4jkt1Ko17686yT+0mTrHvHprW+9gqc
H0Ne+DdMzmgPCVdRDaCGyJ3VEK4J/xg/yJtow+n+DJDv4TSYoVG4JPwLEdz5BYP6sYN9Cc9Hxhsn
RBpglc8kw0abI+hLu0Ct7SLU8X/4TIdCHmiT9EDLoLExzWMREMrqeyq1qa+A8zvIs4q5ecTQHdmb
YAm8vAALryJWwAb1DyBRKmR6heOilnkyxlz5egpZgE6LMJceUCvBRV5vOrz1a+i18/k/tSfsLy48
ZmTahDxf1GzRnlg5hg9M6sqo+L4RDuYHtTdS6LhxzxSPIzM200ZCTmwCBSe9meAiVVcTFO292lX9
eiPrm8sWF4YFg3iCUVmFfIGYFyvygjpSl2NbKS6DDJj5HA9/Y+qObYibCKQQipHasMEgcmhuZOtF
XdWQ5ct9PnF/jsMRXL08YxQyMN3kNT1eJuPRkD9HoHbuHrRV0N955lcFBg+FU0RwoOkSXfRGdlA6
KTGcTJEe5HT2x0QKbFDZ6zmE4BorGO1hV5TFJ+CIV4KcBRcGtuHAAKz5sWLCvTNOkzxZyEhx4Zm3
5ivYqFDzSL2mC/QQFDi+FF7eHovTCiIV8IojV3umHN3NaZX0to1WITPyQF0CQcKvRnNlsM/ZakF6
4Qa30Pnypy3hhI3IRhBaOmgNYK6TPVlF53cMPMhq5WdT0IHt5/LYFnJwuFBVAEXw5EIbW6yAg651
TocOBA1GG7TEZQEMwcFoCx88MRPwlLxN6u9cXCdW+dNyFOFNYw4AeMvJFG54yBXvLW/e28g55D6X
ILs8xqU5BfLcQIYW8cnZfWLPfatCPxpFK+vrqO8a+abPPWvWXEpviba9bGzpLgF+ClAQ5MD52Tgd
mZNGtJvHtvXqzN6mifSC6DIY0uH+spmlPQmXAglaYIk5efapmSHKNSmbRlT9aL8xm7e4fmYYSyUb
wZDVK/fj4ok7tiYsF+pkTO2TiXqZ49psx/koId8WsOnWfpwCHSC/1faVpQsGyRSgsEERhlIFn4Dj
HZIDdkg0wuXaOeqbeGD1AOpbv1r1zxanEvA6dJpx+lCxyFOCW7QpZfSapj/iF/tjaGBKUrbIKr5J
N+pbe5tBQka/jT9dXsIFKLOKpBSiWVQNFkolWtIPVuOgrYlrG81+5Y8oToMqovHGT71buWUSML/0
kwDtipdNn3s0gIpggyJWB4b/7MHLU2dIHQldaHYTykXsVyiCXraw5JrYwKEAqQS/F9GLsEEbu4e6
kgPv2jhA1NRXtuNV7hkgvR1v/sJuWXAZ0APJa2joQUNhRNgtfUFtQhL42LwBlCM5lE/puwSPQULf
NwNE89drCdCZAAQVArdIruiaMLxY7fM0imGwdK846l1xMx+CwIH+oaiR+ubDynwuLNmJQeEI0gH8
ua0FV6/1f8dglbpb8lohmGCnTe7T7Rq3wvlNhrn8QE2iBgSSSWFOm5EVvY5n3OvsR1O5ysidbf/y
ywp3C1g2TqvrIA8imKj6po2kHtz7U9u/gj/E5T0+ta2FcgrH0nFWUmHnc3hqTribEUprDMIa6Bgb
La9QiTtqKxYWtj2CANQ+UWQF4ecZZtFAn1NWQ2sCWuUgszFQCkFqXTs4X2bPRPmz1v3L++Kc8Qwe
MjQnASlCfKLjkj69J8FI3Mpd0vKdjzY/qCzvkzvVq8E6iP2Ruo3qlqUXoWMeGsY3La6xNcDG4pBR
8P3gDAACXCwAkVkqbZrj/oQisseCxJu3+Y3jcaKb7H7N8eQ74tTFxXB/Gjur+phzRCc00XgMrM+o
6M7S1kz6HwktnqpkcBs7XfP+FiolvK6LhDdPBp4TdVlxV1h5YfAZrncgSYIGQenRHmJfPRzOdgMM
v7Rb41w/l6vi6/rTqgiVlkEgFDkMpOt9gk4F6CCH7TwjJaLM/fWg0jczLsd9VUvVJ7wv7RY7MXGp
NGuPmSMTVPxGks3+VAGFZQx9G05SxZ7LLu6f1VZb67lYmiLQDIKjnb+h6G4SbkO5SkCEESOLyfkG
6e3vrJfaDW+45zzV7Xu1WXPqPgCvwk44sSlciICHNujDhE37i3NgL1zdVfJ0f8SaKOhz1Twkr8LV
ZVnYfxgoWo9sNDyhh1sIsSapSxOZIe5BsLEn3zib+/hY+DL6HL9XcJghrKxu4deui3wuOGEYL3DG
/EXlsFwh7NGZ7pAYzaVejwd7x7EimeJND3XrspCnAh3Qrq9UtM5TZDCJVTXgY0LqU0zHyXFiOBEd
0e1qZK7RtK7UD2FW3xZx7poFFM83jL1dvtAW7ugTk8IdHVut0gAiDzBF2m3kvDt0g/F42cRCzIOz
Bf8R6DyABoGSP70zy8RO5JpCopV3BHDYwTgjwd/5zL+VXdm1yWqxmn9rYbOeWBRGRQyadZTTfbRp
hp4jvzKiG1O5k+WviOhyay1fvbBuMIdqApQlQQ0hrltdxJB+4wPUNyOnxN8aKJ0lQbfmBS0dfFWG
WCrebjSn4L46nUlKu7RGSwoq/3pLZB/qqQ3gusBqc0k/qM51Q2S6Y4ISgJtFU+2msYz09ThBm6br
36HXNWy6MS4ORla9aANBFEiq5y4j0Kau64PSmq07y5G5AT9cE2p1ZbmjmSsPtCP6o5Gb+c7J6/xK
bYcHnNj+ujfLpywqW5foCIb0vv0+mSlIynv53aiz9yhT1K0O1fAwBm2Py4xW86IohUwCUVh/L9eA
mmusfGN2xsC6X2Wdp1iVse871Di12dJ8pa8+danduqMxA12XUu3azsx2m9l2ecfA6fjQ1HmKkJ1i
HrSqetbafrw1KwftXiD9070MTMsPDnTlVGizqiOKWEBVbwAzeIuGIUfDMJODoWX205A4bSg50dc5
rptbY+zKK8eA6qTnSJLkAQreXDlKXXyJSI/LZ5xrjD4ZW18y0CsBMilk59JCQV2CVr3Pyr7L3BLA
PB/NU8gQyoPkwS+D21/IUd24CdI3t3XfSNdGGX2vhpK9x71jhooBYIWSJkBET9Ozkskvhpm/O1kM
wEzRl5uyBvM2JGART0vteIg04w0NKfJOatofaieZX9LUbFxjYs+OI+lgKh4+F6lSe91gKdvLp3rh
ZoaKFG8sAmDvHIfiJIZNBs6jVqLleZ7fpuxVI9c2hCSRCb1saqHQf5oRFl4BjUksNiJcxfy9067T
PRjO4PibYbL/ZbZCBFGQPkExHDKZuKqEE5ZKkjIow8cJC4zyVVtrTVhy32CA4xZsEE/iv06PcOlY
k1ZQ/nbHrVtMMRr2M6+YfkzWG4lecmtL4dqVseNHw56QlUVbKLSC8xGOg8mVVOE3C+4r4tOpHh2g
VbNdtNH8aBfvoMa5Wcc+LlyJaBsGzSoKPoaGVrrTYWJvQLQK7Cu8G77+WkvSEMZx2Xp2BNYBvZqb
0NRHxdd7Fl/hsESfL2+ZhQfgA+LGJUq4SIQwTnNuZiRysGNYTQLo0teuTeVwtD61NQTCaXpXIcDz
LtvkKyc8OiBZx7PNu1uwusKQdUYHtYK/6JnG1Uwyr203Tp8HuBv/liEedyOLiC4AYXBGFUVmwrdQ
rt3r3aFwbutkO7Rrr426OJ4/zYi+v60mWWY43AH6CIG5hKVz24V8v0S3a4HG0rnA7P20Jswe+I3H
irYY1BSmD1ijjXYDhnNXhX7qOnJvaXceG+NDP8p2ZUbPtJjDALIdmiggSmvgMqk3a4Na3hE/x6Sd
mhlkO0/KDmZSdujSe6Jc2ezWAjnA5Y23eKqP4gExOwnSMZKPXOecg8vybXNjBbwB4m8w6eBKPDYk
XF6GkyMKN7AlJnPyWbxFBdSjv650L1gR7uAo4pnlFtXw2WHzdZFACK6JDQIYNQGBT+aoBFiujN31
6A/U3Kmw551UJ4pLWTkHVmSupSyXfOTjUQveZGo3fZ0bfHqNh5Q+DmscoQuZn5NZFc6zU6YAkZmY
1S7Pwa6a+BJpDnA41y7/FTtiTQyEKCka2WEn+hI/cLb0BggHjrWBMOkD89vOrTdryIYFN+F4bGKN
zKrjEdB42NRtqAmmxWYaJz82kmvouoXZWIYrR2HxyB2FxsLJBj1W16Qy1qoJgGjginFZqMSufdci
QcPDY4KcNrtalZxevCyP7ApHvdabsoQIBXdRlJB3WSOnjVzAH31B6bfLw1x83o6s8R17dH8RlpvM
lDGred88paCQ0PIugNj21pjy59psthN85ssmlw4B2mq4ShUa8c8kKHuAf5s0QqBIZ7ZFi/w2TtbU
ddZMCGsH0EPPFAXJPFolLjifIA6xMoilE3A8CGGVOmOiuU2wO2hEUXrelDPINX+Z2Y77jTLg2VCC
cGwgGE4Xp8i0pi5MgJdIcwXCvp49y3JweTGWxgHyRTRUgmvSRMbp1ERng64ptrEYev+ty+60+s7M
DpdNLJRL+DC4AhUCTohm8u9wtMd6LdFBDAgYBsfRgHfhVgl1yC+iqvAliuF9N+EWSfBv0ftlu0ub
4Nis8MRMLM97SIHDcxuQXRpeZmONcnVx8lS49yinQ3xNFBIeGzZJdgsLJdV2A7gePBA6Ip5Q22Rz
eSxId2OSRJ/QOrLFPz+axCJSqFSA+90D+5TkatIsvyZpkrgtjfKrCqQXmdvVmnbDSrneTU77BAF2
KK1EDj3EM8rfXVyPoTRmTTgAthimMdP9oaL6Vu8ix51LBl6yfGQjEOQx0rKp+imPq9S1hxYUZG01
vctF0mxqNK7cx3ME/thaf01Qy78y5RTOFSJQPykVPXRIpnwpq1YOyyaJby0J7V1NNYGUAoWEDXD/
6c60J9nNUfYJSrgAbjcz8n1sI3UrE4s+OrZmbSANyCRXyTUlTPWxeFLkOjr0aQtAtgLiJTOXgcGo
yAwUXak2SulqUekEA4jFfZB8KEi5GumtNfM2wcGIX/U6qzZzopC7UW3IfWY1X0mtXRdxhG9HpQ6T
F3UMjHAlVJR8HRRx77WU989yze46YJrcfGyyp9LMiBfnSuoXhaGHcypPd3JsWm5iZt2d0+nl/RDT
/JpAOvvGjnR0qqBTkPlgk4MPz7LSwyra12mb7Zsa5HBh00fZ5JqUjK6VtXuzrb5pffYjLaoq90nd
OXdRPjkvaW/Pt62pv8QVeTWc+X1OuCrrWHl2iQRyK+UbU40tVy6iNoT+LJiO4FtV1K01km5JrwAe
MOU1/a6iu9AvRmQGErAfpH5tJyUUEbVDFJvT1lRKe6v2AzuMkZ20bhw3dHSNqNQVz0haSEUmTh3C
oyIPqZwoYVE2II3q8ccLgx5Yot4MSULqQJqlJgavw8RiP7FLbTOlRb/pgR+8j6Mh6l1aKW3vSpm6
jx0N4U2faPnW7Gy1PQCKJr1DaCf/NIFxTXOVSo6fqFxOV0MMKH5gT3XmK2XfuMgRUi9t6ae8yr5Z
9QAVrMHRgeXCpvEJokHq9pXzaGX57BtE+p51pAPbxMDSyidVYwfMnO8SAx5hoSN91VCCblXsUXJv
ynWMY6V8k6rkllDF/uRIrGBhQivbzeWuuZHz2cCtn7M2TGxWvZFEpX6RQ76WxglURyb5qWscJHhB
ZkQhguI2sYI0rJQ9IuGShSS2nlo5Szwz0+ptAYV1ty3rR6UoJpDQZVCbgY/6NOUWAypNPvSEHCqH
yqnX5l0NWlUC5Q+9y5ClI/qoupCuse96o06eEmOUJHRx8gIxUuAFDUxq2CGUXiArlSalO8RgL2Nq
wzaqRK/SNLORA1JvmyFCrsdC67mRZi8Nig0+jbkuesrS2q/0NHFc2hfMdJ1EHqg7jTXR3+nc2cMN
8lmW5FdOLMWeVvUsOWCXvJlFTPdKS8dNSsfSh3zZ8yCBnEpvrJt2zDK/s7TCVYkFTfTIeTCBa/5M
1bovAr1D7zd8b1ujPu2yTL/K+irPttY0dNFbUdegBJTyeJZe8ljTgHNJYx38iDZj45UytKXlSUQq
qiAZpHlfz1P6GPV5n15FmlYUfqHEeRMmc6Ilt6UFv6MFENJDs+8Gsku3GfjAXWJExLem4ju+5/M8
a884frc5jZ4nxbipiu5LM6V3BSTBoa6hfJlj0/D6Ip7dwTBic0OypgCJYmVDEgNu1eQnaial2P2Z
vpuLZki+TCPAXpDX05MD6AwBbomRRglkYreegZZDHz+EDiwkdrKgKO3oM8KX8cWJCnNn15F9P6Oh
9zASo/0G2Aho/HLWoG2yaoyNPZkxCfKoUZ46cNj5NSmzIJsSJLmygq7F9CLMw5CR9UHJ1LQhFm2c
1UurrNG6egYVKpU3s32vGUOo0S8NJFzpIYteZPVu6Ne4GsX3ltsETwBUVrjswhn39lgpNYUMXAtE
LN1CqBOXUbyzs7VqsxjTf5iBzKmFVxNkPGJbKPgfq5LoWeu18+RinwYsk3dNMm312bgundhjRhM4
RbUSVa2YFQuHTePAbe0xumzHger9lsNm1stRoiPBRwdsK9ekRrUbu+XUkWDmpGLpwG9pSLE/ftGb
X5UlFA0IngrcjqY3ehN03QVxJfNmpN9bU3bbXl/xwc8qiaIlwbHsNJpXbDAbZCtkz4SW5VO5b5Dw
cWYX+mx++Z2EaagrwVoxUQwNRbuCZ1lJNfKVPdAps/pC8tpX9SCPR3eeVry+RTvor0Xi00TDsJie
S1PbACHI3HgEWJ8NiepDRMv7ok0/qzH91fj6Y1A/jYlJutp0umJIQApakaeiwvbQd6DUB0S8didt
DSm8dJKRuuZBB5BG4CM93YSRhQtLZ1g5+8scqoAZaVteBU43nQ90BwQCAAdfZRsRMwgfIzwyKkSF
Rqz1zTzBqHpf7IAIuBs28b1+V111vuINuwnpyGQPu8Fl331prCAjkE10Tto6/ut0rISmLI75eZCL
H6MF/mPterBq/7IRcWxgXAcU9GcoIhwFuYTDPFbIkk848h4dagspitjIJzinM71rahwP1P+jNdgM
//JnYQlqKirgAyBPERcSEi5mXU08yNrUOyd1OYmo6ROCHjzVzw/wAFfOhDibfKDoXEC9CLVLIDuE
gZJZoyadKTj5G7/W1H2i3MTtGjHBohHOB4zOIaT8xeJGkaolXDYkDrL+tbRftGIDn/nygi2mqSFG
LoNoBm0Y6NU/3Ra5wRD5G+Df5alWyYXQ1CPvleR878n92h4UL33MGoRbwfjBdWL1s5uk78iABwHs
tWSqfZDq+fLfiIVhARUauBY402IioYTDF3UzMJG686nOnwrjSjLvfn3KTmwI6dNa1sfZKQBsUzf5
reaDoMIbUEXg4ON1aKL4HPMpg9w5+PiQp7LBvnG6PvrsSEZO4ElPUgmuSt2tJgSI1Z0yWK4FykMS
Q1J5jTF/4RjzKUTtB0cKDQ3Cvdhr+ehEPeAGvRQS67q2ERft0RNQj8HfmMtjS8JlOFn9UCuc/a59
Y167KwNAQj4rGzU0t8kvP5h8Lg30HQPEzXUTxbnEzTHJXYfeN51VLoTdPTnR3HR+h6+75hPw7y1c
SCemhLe5z6RKHlQ2QHfWOvSQ9ck3Ot1DFeZWg5CaIu1W5nHhAjyxx1f0KC8zyXPcaFrHscAcklL4
+Xv63H/giUABL7vJSgl76SQfT6VwBvI6TuLGggqzKd3m09VE1wa0NoHCvZRFWdsimYJWIaCHgFbK
QuNB3TW+dA86iM2vN76d7AzR6yAgS1FAFYcjnalubGbe2CLKHPyB3CcIw4E3ubxeokuFnYisM64n
/E9BA5ZwwOjYGg1wqyitFsHU3VTqC4TpwC65gr86S9dxXwMNCzxxi0Z4NH+cbou6G6SEZnbjVa9T
qO91T3Glh/jGeibX1r4Av/Ya3EB8skSDwnk2os4ChjJH0OKkw25EwdCFmpjkplPBVp7gD4/l+Ixx
W+imUUAdhWY+NDOcDq6KTKlFR3nr0T28t4BDxKPrxmehtVevzNu113hxMjmPLvpKwU2E0O/UHm5M
ZbJnA3Hf3gYuit5on7JDv02vR+Dsx8nNvugPl7fJ2ev8McQjk8Lt37c62q3BAu050RRIDjr+6+q6
7qwEKaTBVfXWL4nfZl8NlEvy8oucJGv+gXjQxW8gTDLRaa/BZYWG6IvyakBPPvNBUvTA3rJbDhrU
7tZg42sGhZusTVut7mYYLOIADc1usdojtRiwHS+kcHmB+rlWkTtr4S3Kezkot83G3tXbLmShHLYo
0Ut32cZce+r4WTvbrjbeUwu+HNothbM4kBStUhbDdkW7RrqtH3vA6pSA8w+sgVsX5xAZEd6RiCqT
iBZhs1N1VYnUAev1znVo7Bv5GjXKBznb+Xj+NPJRxD96cqg84gRSHWHhD+swgd0VmfJwfuUCWmmQ
3kRbrQy0vfajCspH9W8djJ8j/EBYHRlHubwwohwjjL/yyQQJhp/uokPk8l6bvzWdIKZAQwpSTGdc
skiKm0OuzK0HyYobm5l7Y14zcQYJ+zhnaBBELgStZniNTi+XzBmx5w3YyHYfNIx7CVzzHJhLDmso
juX9jyQyWr1BZn7WUZ7U+TRKBKFg/8b2N0OACgFvhEbDUghuj0DxAHkM1/iWlu+yI6t80x4tWcPy
rixlo/HYXgk1H7pmbcDliTlT3ep0iv7Q79P5c4jCdOoNwJIUyMo/SLs7r7zhDUR41Dnap1wl7eZ/
TzwMSI6AtlO1wIshesx6BjDtrBaKF6FkYU+aC55GNDb5l9+DRSsAjcNp4L1mIulSVU2RCWkOxet6
y23Hl1h/b9YgdUt3h4VHToOQCVpRRL54M0OakWkp3+yyZ02HrH27PIhFA+i/xyRZOFAiehq02mYy
MEyV2eZul6Jcs6afvDRNFnCiKkCJgLqLZymaKm2C7IXijTVUPqIDWPuCeS10WTACZhwknXlzE4Iz
4TrHYeXcwHiaKwWNYsVrP01ePKxkqNaMCO5UBg6lKZ3h4uSJfQVHAM4UVJoMNfzlJUF2AX0JIDRe
iJo1qqFYpoHEWAKw0KKI9lbGsbDm6EdB8hAcpUBqih3yc9ZWZmnJOPtlEDs/FPZ6eQBL8wRQJpgd
eK4ECMnTu2VMsd4Gv9EU1JKaOpwR4E3WWuC/cKkgggT8Df40sKDizh1NFqUVz9zxIEv3Kj8JzbsR
QRZXMaVX2u/2/vU2/U/8Tu5+vz66//wv/v1GatamcdIL//zPTfrWko786P+X/9qfP3b6S/851O/V
Y9++v/c3X2vxJ09+EX//D/v+1/7ryT+Cqk97dj+8t+zhvRuK/sMIvin/yb/64T/eP/7KE6vf//3b
Gxmqnv+1OCXVb398tPv+798+OvX+dfz3//jw9muJ33usv6bnP//+tev//Zv+T/Beg6DERrEOhAgg
s//tH/SdfyIp9j/RygaECgfo8j5tHMmKtH2C39L+aVnIPWHVEC8g/MdHSDbxj1Trn9A5AscVeEHA
Vmngtfz/L3ayRD+X7B/Ar9+RtOq7f//GGb9OngJsQbCjwsdDYQhcI2jz4bvo6J1DB1+X5sX4YzAU
e7xPLH0EXt2hPRg+eqejrgWQTuKaoL4NJKXBq9Q7dGtTVX+PHLWIP0dVNGgbsy21wSP2zPJPsdWA
+6hTqxLgNgYFA2XUtOErCs3O4LaNYuZeqzFiekZttZM3otkM0Pt0VtvHWgKsItMLjdxJVqygCg5w
3hgMk250m3mMisidZnDlu6rZyIVXzaWJFoFCsowg+z/qvqy5Tl1t8xdpFzPoslmTl2c7zmDfqJKd
GElICAQSiF/fD/Hp7h2f70vqVPVFd9WuncReAwgN7/AMqLvvhV6RPQJyP9yThNNqxxMS4n00SOtx
xsllqlfJgGwZWE8+8iIMHYR8BbOnqcq717QbeTrVRSKHWxGL4blKWnBBpyXQE07KZdz4BVTX5aSM
2nkmew7ZR7G6gxjLRKF5SKLkgA+5ZrbJkoPq5vA4R71mdbr04ZkkJmr2y+gdgd11Y9qjzD0tLsMy
z+GgWimeRFz0h6ZQYobRUxPSGi1OjCPgCh3fj9MyLC94NxG168GHf+IUjtMP0D7v3dGyHO3uiJvo
UeoBfVcvGg2dtWmc2z1qgKSph5ENz1MUJ6j0+BEWejx4+33QnJUfeNfBzAH0lx7hqYs2Cat5mZ/z
Tii1dexjeLouDV/vXRoPEIobSDuDJRU3Tb0K4EsAhor5ZQ7+lKtdV5a3TZQO6WO5Dl7smRS4i0km
/bOB5xM9ozecPAAmAFypwUZzCW7b2hwy7znEXWiwGWQo/TLcAubQQxZpHrOwrxo6IEjPfTScVVGg
Xp5Ger0sk0GktY5U9cWN4Bbsvc+Y2qO5yj/zrmRIyrK+zQ45m7vxTJpxAYNEdnp4noWWr6bnqqlN
lzXxd3SIl/ty4giYnTdkAUO9y77GAyK3S1TVZ3Zk46Sr3VQFEQ7j6OSwt1hTIK2bvOEf+7ydvyVQ
tkxqk0QTVpJaQQESLUNZPGfMJXcrigDFZbPE+LBMmDHEtQ1dMx4GQawGpxM3htH1gB9dmWUYI0iD
z1V87ODtcw9mTQQGVzl78kFlU5WdKxJjsU1xtaK4qjU+1IVYcdgtLcv9kkRtAA/l51KcJusF3Iil
x0f0eTcuL4theXbBSVilrA1PF9PsptRw/T1rU7UCDELdQsCDa4UBsqHPOaWfFm6KBTJLBVAj+5Uu
/XMFMZnkTkEbiR3fpuuaDCz/AiYHHjrMrbE1vE06O3NNj1XvI79PxrXrrnk7p1gdhQJIS47V1zJr
fL6Hu/GASe+b/EtiK1OcO4THKHWFMt3IeeMDxiQF5YeH7JlMrL3OVTndFUB7DbWSPPu2kDmDqAAz
32WrogsokMgr3jB78GOSnx1gLbuiA3Ji31SJv4AV5WvjFrtfu6RojgXR7W2pklLusjYS/CiNdQGY
iykdQdDK5wMUkKPPi49dnas2OchVhuelr8pbU0bdR+or+Dh2TWNeZhXRKxWESKFy2vF551p4YriO
gSZqjPoEOhI9D/lsbnIXgL7R0LS9T+eph8i4rNKLBnLkZb2Ekn9US/6h4ouN8aSEaHZZ5KfpoUrm
DTyHT4Afe1NKkKHzsQz4CicQs+YEA20UbfYjS8QKA74GvHO04tEHisvw2BpL+D4JPr8Hkslcx1WP
Z5AS9+QWOuxGNuaXoVzkrrKVM0CFzjngw1bASJO3UNUDZONu7dxw3cymPVR5HLAdTx/bcpK3IQmv
kZzt5wqeCdCPzRmROzBjOgIFc8M+L6384FbbnKfB2WvcvdqDf++eFzqrWnjBzi2d212vnDmBZsZr
P/XpuC+F7C7XDAtagGo312SpkAL2tE/hEVph5crYD/NhbTmcE3PFX50J+gN2bN3UPaNFV8t+HE4R
bVr8oNT8bqYDbQ/zMNhj3owaLLEMDJYdVHDyZCcHLa9XYCb4ruKj+7viSsh6LUVP9nTw7KtZaXoR
6y55cdoaXmekHL4JQYrowFgUPgzzAAEkkP8IIF8JrGzAi5mqHc1kcjBNUdyuSrXnCCZuJ+wk7lrP
bbnrxqy5hAbWAKRTub5AO3VCuJ44VMd5D9R9E0nzDUejhF/oMIkLCdfUC216u2+A2ENTv+qyBKYU
MH+8UFoSkP8dnli9wKrhOzFL9qPg/pVFq71plGn2E0KRj6DcsucKaoywxFpmsc/G/tvUzV1fw5OE
7WzEKl03JXhDAvMCX9XS8krKXtKrSPnhMcsC20M/YhF72LP0P0I0ja+VHId77PAD0GdYe7dor0x/
x/FUfnDcuz0gYwRCZmwtr12XrT2keBK1S1lSPfRJKL9qG4YHSQrxiA1TQ+q8WT+38ZxfTRXQdAbo
nptKtevfY7TGn93atMdkHKcHQGopXFgnWncR7JB0ASD8MxT6O+wfJbXjrU74+rTqHvCzvq2wMUyj
7f1FizwWlrCIyMAMU0TCQLKNO0DghK1sHUkfbrhhxXPbrljsyeqBAk2BGjwQ+IXYHZyO1Ws1zQA/
yrkfP1W2wNmP7aBSOyFWOIAlDLR2Lqbk2HENp4RkynAYyxmTqO6KLi2Ps5DLcsRp0H5ui8kXx6ld
/VWWd77c9xFVp3EaK8imlD7vgHEGIfIhADx5ARRM/kPLxlyuHJt7jcrNApYBEG3ricdlDKWCJAh9
QKvYQf9ywTOoPnoaA8FZIYSM4FVSglJYNzKvvqDrWYGYEOUy3+t8KbILlmQNii4jFMwPCIIAtcyw
uPZxDNOFvWEd+ZGUjkfHuWoE2zcqUIihkGTYe7pMx3lhsM3mvYekog099u6YlNTX6DrpCGEJddd9
bpzYt8yObj8OSUEe51LE4954WkLeD+fmCFexWMUvRmTxi0vLsNw7GqKdDlnWn3KBUAhnQOSjupv9
wA929b27LxApieuYLYAq9gzKPpdN7uiCJ4HG4TWVdPwiQtY/4ESu/GUmNmApQ9Qha6IETq5g+/67
C1O+9bPhCnFql8yZI3iEOD4UPFouUjlr+LX7KaozTsseBOsqgz7BnBekHlMgTOuMySJ+UEOm4lpQ
7+/zudRD3fK4P7m0pVe6d7Q6JAjwxg1hHF0EKL9QbCaiuAqsz6OdaBd5kbJGPiYOkFsAbrP8FcHR
baFlPGAMk6G8jGHCxmoUdzpf055CHA0bPoETDVvk1dya9EqPVZ+dIscA4VPN2GZXRi+Y/ySqPLCc
ZLai5ogznsEdYVWdrfNw2+IMzXfgMT9kjMOMOHIR5XXaRwg6Fp/CVYYRhGJ1R7KQ7iqg63AMI+85
6GZEsL4iDPhqu2b6oOSKY3kdbXtjY1f8aOISZWzCw47liLYOi9wadEr3LzSGC3UtucL72eCKuKZZ
P8NsbPKyrdvQOci9I02FiMoqilDzEWb3F11n0GSevUirOtdz18Ixeh2GU1I2SVq7NYfYbIcG0351
OYkvkfhMxa5PnfhEvRzzXUO76susbbMXQNrYeuai+jSkEVCg64i9ZzcVtD9Lz9PLpK+qHsLQJZav
LTpcJk9N8qkCaPqadgvGP6RTDqawk+V14cGoOjSRyz6mU2ueM9X7EzIp9GBEimA+Vmb5nkzx8FAN
pg24Y85AsiVFCjXQdJzPkYo6QP+di17Y2ChogfxMAriKl+QamP1PskkrdrAUzMujX2dTXUwVBGAw
gTJOkKqwGbLjMXtN81lcRQBhn3H+V2fYgUzXdOwAKIattOv3mqdruncUMp5b9DfugHlO1888tusn
F4MUcIgLt34ovS3HA6c6vYLHhviepGBm18OyVNCjxQyrO5XFu2jbLPLYpskOoNvxwiaN/YDw29cE
yx/aWjMaC2xLCDnkh2sMPKRUksqcR07soS9LfuY9/54XUEaNVrGcsehmUEYq4MZaG2k85Img9S4Y
oE9Vzx8ykcsfNtPZq/M5edRU2Be6cOhnBob+DM7XfVISTXZ5t1ayjmxX3hdYvj8gs0JAekHK8mVy
TdfvzAZ33YPyrobTYEP5DDx46vfFGAFJu+Vf1RwX+LeBwvudTyjfJdxMxwrqBtmGNt7IxZ4AJdul
/sInWXcZJrGccFgCA42cslIlWsUsbUhfw5n8PkLkcZLUfhYlHP1ikhTg+WfYLOD2eLFClRbRW7jL
yJB8yfu5X2s9zPwqNug9HRCc2FMRku4+Iam1NWZ725yWbAE8K6jxyEPsPy4qLk8wrKGfhig9Gp37
u3FKHAeGH54hqyq/myUmK+Q7eYQlSld9VXVCXkweWp471kAWdEdFUl0Ks6CzXfoffG6a7wWB8Hvg
cXqosKl2e2pIcR3J0qZ72GgJs5tySePdpCb+iF1S3ejK6cPcC4otosfsxFlPu6YGAoce5yCLL0YA
LOrGRu7TPkZoCw3knUbitxukt/daCMCU09nfzKv6kU94lw8TOdsiVVeZJMmFZ+B/4UDLDkNM9I9K
9ulBlONwR9VYrIjwjM2P0mqfn3jbTbeZGccHcHrbU9nH5NKSpgE2GEIgNXEl+P7IQqIcQMwBnXVF
1/SoiEZ8zUYF9FFl5GU0Mf+QjN2mXbBcIryYLlpYYFwrV0JdAyKcd4ke1SevuR8OYIYJnM046D/P
cgknjh40wosEYDBbUTEfUyUwlzA/z6y3Ir1Yupl+yzphHrsxmvDwU+br3nI1XcWzYvB5EZCnPEyJ
9K/KDkhcYkQ12CdpC55LL9rTTIrwrZwzdTf2fe8u8yL3IGgQLCKewJKnJih4fo8WbhEwt9OKYHZK
P9sJOWFmXdyd2rJcvoH0ActpiagDqzc0htSaIEHBNF4Rk9usiep5Ee5DVmlyRjA+yh2PcrZL+way
dh5p06FPO54dRpf5I0RPnrNhiK86acROd/F0zAd0QKDcQ16iJYKcki871EflcsUZac4L8o+6nUh/
QIyCsxU+8x4C4jE7DwGUnhpSFeHClmn8cZlKAQ9pUuTtoZhwzQt0jj73FVhNu2mhMAfxtL1vFjO8
5E0Hm1LRjuYpLOzJAsN/p5aitOfZEiycss2cfLKd1zlwgC6Cm04h4VSdecLuQg5fZ289/dRFyh7Q
15xPYWza9bg0cwYdkCkK+2GR6hHx4HqM5zQZasCz7bc27+xX1zYWFbPB/73MU2v3MDU7BEHUhqnP
Tog8SQW6xpxdolbcH0btyS0OwOGbi0kLCkYz7CzzBinYOic3CVJ/cyLBsvOs1Hw2SJIetPfHsgQ9
d182QX1bxdQHkHhbeo65vmrTKtSxZfwizjQ2Crfyi9KghgI2xgSbqcJVP+wcAa8LycIq309lcIgB
AGKYTktUrA/l6t2XIQ/hwrhknO6DbQN8lqYXHMf6g6w6EE9are514GeIfTQnRxwWelW07kcGOGJ+
ucppjS6bshrnw6AX8rICZ/Kl0tNtLxN9MCh+7pa0FF9E00WP1oILlK9tggJaJJ4paB0XpHGoF5bk
g2EQA5MolYULxMw0oIxBEG0jTwaaei70tXcr5FMAfT6llhUvRIt4Dy4Ev0H7aD8ZXwAoUDDAIjg8
Lc6o9YDNMSbh7HhGHkeJkwgxT46lkD7GpXOXKPo1O45j6mgJyW5YNoVrI0rCD8k6dUNNx7Rs67WK
A0KA3InbyNL4mTlEdpBzsezgWmKuqPELanN991LyFDGcCq8xzMmPQ6LEp0SlDoEVHJYmmsvLhXJ7
Aw5HcZuU6uNKEP13vvtemip6yscRK2jUYwc5grnO5mX8NGUdF9cwN54+jZBuvhy6anquughSKXna
muReIo5YXrq8AibPlw5+EBOD8eoe+VCBctcsmnite53hHlHq64Z7AcJbvC8VTp49j4bxqdQFIsDU
In2pw1YJYpmIhhNPPQqX8JNBlEonEwFPo0j0MQwZmOSe96puuM+ugDnDC5DYF/chm/UTTlzrjwUM
91DKmk2T10Y1KA+AfQY2DLyUh/5qmgzjEN5BUFXzqp3FAWDvpb9GZELlfpgstpklK5F04ZlWKD5x
3fr6992b/6piDqwh7MvQsEMr7R3kYzAZm9Fa/VEVZbistIvyi7BuDifBNKCEGgcqTMIspAZa0v+h
c7R1hv5P43ar1kMcNAHWkW7+Q6AD/1qtrwo/woFy/VqZsbsRNAUYO8Ryv6Louhfx4C5MqtwjYW2m
d9KRP1n2vPPI3RpWgB2CSAKAFgSXyuhdt2CunG1ARO5Q9/IQHuoaMq8XJekKGEz2ujghAUfFEh7F
sa1LT0AUWwq/OpQKwpZjO6YQ1C8aP0nYFhJnCinCwWmIDB1Eju7DzmAT6/cmKnW/p3rm1Z+wGP82
hBUk9zGIMIXD2QtF0l+HkJfwjFoKFMPXKOZgU0ZdiRooFSL8DdZe7p/6KoshXR9RzCLI2UffJAhV
49GWKNAeZutQYkLaMsh9yMXSnpkD0e3KmYYlp5wnGuKp7Tgs92YFVLqOg0zJf4aTw1NA6ARi8ObH
nuOP91L0hEMIK8QZuGAxa4sTtxylfNJ1SbTzHgXGA4xrY4Vor8Uz4l2FwW1UvA09WeZP2dhqfVot
Wfw+/vkUyEAK9af2469N1J8XCXcZgEPgOguponJrgv6jsZSmOC8gnK7qorfSn1hKCnOlIX91KhF7
PEx8Fj9oO6HdBLYhBvnnrKCGYp4kQ5MUBy4bgKmW0vKACmi+/km09adq6T8X0ybAg9mM5ZTAfwHe
cr9eIdzDVkX50AKZpjAH0jYoWFY2A3DDJGCFf9Xoyqv9THjW3jRJ0sQg4EKW5bYJheFXsJ5t8guo
fzE0tCC5rI7ohY3Nfs7HbK1zy7F7yq0thJIAQAPzFJJPec4KW0Ndo4Akzijb7Ahve0gyaI2cA0H1
UJ1IZbTBB2ryitRJPqZRiqKrGNA82S1rRb72fK7mh3nkxRNdUtgAgKjfmz/NsW0Z/Do4QHwi2dqs
DTOQ9rfH+4/Hh8YF79nQihpexNQ/vm2qYzLK5RT3qEHe4lzIxyMAHjkctYwNxblZxlXd0o4vC3h+
YBSj+rG0CA/V0GEtjUuKZcSGJQ5XWqCB39TTPBXVH7C+ybYH/nrlcL+CSm1E4VIIq953C3xFb0WX
6EvVHlfCb4mokJ25SaxsJxD2mUOXmyy9Ge2EnNAKkYSrlRZNe5lHHf6eIe+8QwNjFDA6QYsWiIk8
6y+wM7byKipClR01jBNIjc5uMu6H1qH7VOkGb02WysAqpewiOu8r62T1tS90u55ROJJf0KOIwtPv
z6JfN7MSUPtNkBcypJjGcPCJ3j0lPschZC2D2lk1d1sSAFg/wKtnDUeRy0JYlDTgkYVwKJuSQyBU
j384DJNflzmuAIMMO+RNDAHCtlCm+HWerHzJA6TjUBLnYjTHookzxMFrhbLIW1cKw1xmZ8oy/kUQ
My214nbbWeMm+RtW4X0Hkfkcvh1QdmVsB1DSVrVJZ/fSSZzjSKAZOxM/s+GQU5qdcteqfj8gX4ch
Qw41Vl/rhMHUJ0Ot9fT70f1JWfk/U2mzKkphL7IxZwo4MYFx8uvNAcLSQI9v+o7karhBsahTu8Qp
XD2KHPQGibBjtQD46ZKVLf/aRx0qomVpW3aIqoqlh5l2E/o1EHK+Cyju7gEElB+gLTdB6ZrE+Qfq
grwqXIdlE7G8kzs0oDoLnskc34ilKneoaqPyX4VUtvu+6xyUBrHqDpr29jFjyOd2v7/j98C+7Y4B
VSigkYa7B/Tl3Z6oiClVbtT3Kd1agykaN0iDzLiV/4BKAHke1TN/XFUuH5LAIeqVG5SOkVYgM5uG
lC+H31/QO3zC9ggqOBFs7JiNfQkl0F8fgYYKBuIgCBROM47zs3E9+SAlhTZi42I2wAq0CB/94GM0
oyfFxGHOQ8WuKe2EQMFsGl09o9cOifMmp68dr+R0kDoqbst0E0pwfatfrcjRbc37Qd843w3qQzRX
C1LErUeLjaZ/Tvoxf8odWg51iCIUIH/+lPi8R78hAiN5Fxov4JVEqlYdR0YwRcwEQn/kR2Sg+Wja
tM57jXg36HiEphY68c2OrakQJ22WETPadyg4wlLPcXzknMEmFLvI9IV2Bh+mfjZRE52lMJkt3XCR
QpbkWAG5gFw4h0DAwVRIytGpZWaBQYsaDGTONc3OXQCVunYkaa+D6uOPIw0oaucG6VsNRGqpaq/p
jYr6It51MAunh3TSiMBzpQo0/DC6pA6xQ8fs54P9j+BCT0bjv/cIoF+QQ/8touj/QZwQtr7/HiX0
P7rvxtqv/8QV4fVvKKH4LyBvEJOC10ZLaINvq/INJRT/lSXwLsPGhs4C0EMbPOd/gYSSv6Ajvrms
IBwEPyPBx/0LJJQlf/2M0vFBWDg4wPP/BCREt13un7sgDhmggwC9xfYOVFz27pBJaEemzLaQNmAm
+ia8LO+zxSyoY65mt0ZO16NV5symEg2lUk0XzA3kIxv6a5TOmxPwOQcKX9EFr5E6+LsSgIY684v4
tNgMRgSQ7D8061CBmQ5rMfg8/K0jC5EA5feehAfWK38qUw3uicNJviamBfwDZJ4IdevaN5l9sbF4
GZbquYcAwL5DlwPlHFjL8fS4iSuc2GCvYtSldsPSQZ8pdrfrDH1UiijFrBqktGwfqVl/HoL3h3EI
YGRA9eOUJlM4xDouD5KMVT3Fy/R3RqJHXArwuZsIipntgSLZrrsMWBGLdgR0YyoB4+Ug625ct4Y7
6KVhRqmYAcO8b+fparIxOYbGdYe1QkFymm0Dsaz0u8lWthcz6tJtrk/YbPyTVP1j2vTfWUs+Z54l
GGmRv5IlvkSTlT+x1mYXLRCQ1CTqgrTo2Pe6Xy9XOHm/SRf8316upx9mA8WN//+taQABO6AB/7k+
QUHakHf//ZqGNq3pf/wXb3lb1kXxF7g+YO5hBUYxWqyI3v4F/kuyv1B1xMLGsopRR9ic0P+1rssY
uEBwnilwf+Cs4XD73+s6zf6CKwLQhHgD/AyxNfwn6xqf+svCzrMMbMl42ymyCNtIlr9b2FDyMQCH
xCXwQ6a08e1ioeLS3yk3WBP28dZuio8tN5LAChABEkplmWQr6qBdGvuJ1a5MIEl4LhuLFCFSHXpI
u3FrjDxGodIralCzXD8ZQDvka9SsYv2Um9aiPP2v9xtpSv8Yj8Db3gY/qxmtPSGm9qsQPkYTURcW
vxdoA+JTFHovV6PSEX5hfYQPzq1F1B3IOrRfS5ao2UDMFLSnq1V1ploOS7fY4paheIqvfPsHSlay
wapu1+0yZAaExpXrRUC073q4O8Po8O02nCla+fqWrQDH1+PVc0vwRRr6tOEiRU/Sv4Z1xuEMiXQX
zDmeoOxxbBImcBuJDFsXdEqCXtzWxQFKCd3DIvGP3c+bAllMYbRWV2BUrB/p4mFiptHEjCHF0n5F
q97IVzcCQnC7jhBvCQewI3L/CG0mZF9qYYAy7dQgDJ7RQFwvX+GFtw0aGmh42ZhwDHqCAIji4eWO
8e6QQbEIb4KuKF+g+v0zE6MuBwiO9A7/z4sGd7C6qRiPkCpB5F5nUG3yj5RB3/ITKNCm/ZrzsZOv
GZUt5khoNF7bdaXCB/bE8XWu155tYzsTDammOhFQKI7qMgVkZq07mW6XDYjrgt8NST9X39cUwWZ1
iJjEgL/NEpeV0ISq27eblBDXcvTQVMCaJOeuiYi6a6IJaWSAphV9MkhR+5PSAleHWB5JJgA8Hf7O
Y7nNY2B+MBJFvD2QvPUEfe4EsTMuYIwoSlQIvXHE7coWa3mTCisaILE4SSJc6dvnxYP2o945NNM5
0CRpaYrbf72gm9Pt3mEcpmQFRzoSjem+f5ulcK2fsaziZjJ4ydsTlUsEQkvdz6lDRcMuHR4c/znB
Jy05bjrVKS639AhMgRjqh7X9NKh2aG60YoH5I1o429J7ezC2cU6mEN8eELnveQFNIHMFjIDEczAI
0PFH93P1Zagop9DHZg2VMZgYQ+S+a4cj6RbO0Jgo8xBtI/52a2+fHUWMYCBSvw6oOb8NH4ld1yf7
QWWWf0fvBquzrBr8vociNjf1SBqRQ+c79wAWg181okQOmQOhG1xJj9QQaPep5xIdz39svPdv0cgv
SOZf81DUY5Gjgcny06cZHl/0XeKCEjSbJUerkUPuJv+CkULw/oZMXNYcVaQaxiF8+YiZ7IG5lAFV
7ss0gdcE8I1Ziy0rttQmd25A6Ra8058/ougyoQ32+0t9V1n5eaVQEwCXBEcCSADvMhrT9S3TA4l3
b9c49HD/O8QiRW5YD1yj/jUoqCujreK2Ufv9l78rjmCPR2UOmHKEcageQ3vg13SqW9Ye+m8asf6m
wn25zihLxfXoATSBbljSLB9DzlDu+v23vj9o8K0VOOxQMoQvGeLbd0UC4E4Zy1MT7RhmpgXZ4e2J
VANiLdhIjCHgh7//yne0sa1AD5Wln8ksOHAgt7z7zrYtKgUA6LgDgjMtPqgCjdLkFEOhQr7ShJXs
qqB0cuPBeyiHfk69qKZQ/5Si0tciXtC6avqpwk4aC+RRdpSYI2UzbJdq0VNtoh3yMajB/enCk3en
co4MAPg0QC8Ax4e7yLsLB5ylRZsIzEsK37j8S2s0klPHG1xx1dsxuSsdipPgEmqJ9LMyjKYRQJlN
m5wrM/fdE8SEViB5+1VW+ZffjyoijH/mAtvsiSCzCJknxA0JrDneTV7vATUtZGd2eh02hLBumwnt
1xIQfUj8NW2H68tkhKECJFWorJ6B7CUfRK6RvMekQVFBFyWm2Yqzzj8CsYoTj/I+Gm+JK3Cjfb+E
8RZk/W2eQOkOq9R2LVOHduzyeToJVJzwmzJ0WN+/v7l/20LQUgEqjoLxipwKcduvawNw0hiqqlAI
BAIPPIYR+nPiIcL+zv70iBHC/SOj2kYxhhk1hZ4rMjr4ar17xIpMWrcqwYkCeV7/qFQsh3jXJtC/
d2guVMnwrakmjNJSAg37MfRzgV9UGZD8n2nbcvGAxrJdXn5///+2N0C2Iyrh9YKWAiqL71eMGDMX
SeT9u3SKu/hjTwcCUUuKUOPcC9/0N+XapMWfhE5/LWFiLLbtCCXUJEUhPoLy/6+jnpt1bkoLaDAi
nUrdJoRG68VsAiKRZUbd60OPbjM6rxmgXBcpmgLjfRN1JhprFoD6OKgS9Z6DFFUWXldRoQI3tMVY
5OC4J9sxKFIpyAcGBoO6bWFKOn8xiDf5H27j3+8CkjRoziFbR5YMiZ1f7wIIOXz/uqgdD71anyxQ
8tbuZ03ApqA+80OxqzzQcLfAsc/5sy/nBpYaw4Ti4R8qZu9KeHkGcWAMJdL1FFVZXNS7aRyVKjAt
VrWzWkFGB2KFFnNsXgqwTop0lViU8G3E1iDnDidPcCkvvoCZgvlEEo1abeiz9k/M/Pdza7uoAjxN
yEcU/8Wm1sB+GoYng9otlSjQGWE+WXHwxIzLmdZAWGFm2yS12Et+P6mRtL1bbOiYZmgGJHkOVx+Q
zN+Nh4OJMvoBsHmI0Lpt8jtYTwxRi04pTO/JrnVmZIjHvF+m4YLMeqYUtWgg/C8tQKBjdxDgE7UZ
PFAsglCIt3o0sKmQk4QdXpuj+wdFm8St97EC5rfcFb1P46c46wan6ha9h+hhFuWcPgkCuA3a5XEw
0H2ivM2f22Slvd7DlDGrTnkU+uJi7nqdfCxzBuDSDpW4iJ6LMln0N6eyUNyFIWkAC+tFF9Dzg+Zn
KaY9GTSq6TWL11bBxCWCc4A58yXLsGk0bbFE12xgY7zuAiA5w8FFSzNVe2YI4dhVBKkoLCchEkXs
qZrkAK9QOqezvakKydmxLIaOQRhDFkw82XUi/EfSG5rTvY64y+hBTqYtryDOWUTFvujQ0LoCE7Qd
XnEYuDi/aByi8f26LDb5u2h5Qb9BKbJdb9rKDpmol6bp179tFggENXGcVRvM1Uo0WGTZtUCkmdhN
L2kGOtOXnk1dekfo7KF+IrAbzXMtwTthyS6BADfMXFodJuACnZvyU9KtE4c7Ihvx0Gr/Pwk7r+66
cSRa/yKuxRxeT1KwZVnO9gtXuwPBDBIACfLX3w86mjtj3bvcD9MaKxwmsFC1a+9dslf+jdRFP9Y3
TeT6Z7Sz+xpuJ4ySHP5bmMMe7bTbaw/zbLzsq8LZ3rvrt35O3pSm83H73D1u/s9ihej33Szt1CQ3
1FolCDmNZT+ZwZQURc8h3e2OARbimtR+wkCfoUhHGuUxvlhslnLrccBew5oBa6FOyuYmV1Cn+qNP
RJj/ZWNDk//qHSCdIKVAaprAWXB6v1/DEzdIVJudqIJpVyffpBdTt1rRpO2DqhEO3zTMmyBYYrHL
ttowbN0Z9iZ+OmkaGjJnX95DCyO9rXoJv6CRBXO/ujxqD5v2GYSBtNmpl3ztzZm4BLI0lT3N8xDt
tyEWsONnOqfd+mdfF71Gt5VL2v6Jbuyg8KRkTuFdSSdLvSvIY+znFldOlZ8WSXn9Zmn62KdnDEVR
XDwcYmx2QMZRwB43e0TVuoZ7Fsh7f7Og/GnfrQM8yxE684ck1Iv9EG08sPnSwAkc1E1P65W6G3NA
QIVDUnQQaizDQ0i+Q/c6jkec2YLgPVHBGa2OtZFIqDDqHeI3Ji038w+D6ZoVKljcjMvDVRumtspG
d1ZjEF3dhN2YbeX9pASJj2lgWn4QGw39O2huxtUhU5OqmyFpPThL/WAxY0XjFZRMF68CiMH3ieVx
8fL7dS2hmPGKl18QKjA49jBBl4vik5KKOC0rs2LnUmAGK/FyTgPyoj7JXA6xMGqGOziaGZbFsbSe
tj/6Ba7/u26PRvtGGeoycyTVG3jqjYaT90Gj8QFeYEaye3RdJ1BwpQ3l+g0TkciA5ZajPsRkGrGX
BwOd2yI146/605iA78pDXJU2724ljID0/kVOBuWXceOEpsqWF7tDohaHLhD0+IqyWrjb2YQJX3xM
e00tiUQ+nX7C/g9r/xJVtmWvqomNOiIK7MLDTyyVq+w+ERfnDJPZmDfvUCyhzJrbzjYb2x3s4CL5
1m1iav7ZvcHtgARkmE7Nllv+YZRc7I8Mtc9U/w0I09VPoRzQ3FVCcgrRnlL+KGnccqvJ75f58Zqf
VvvIJqWbVnkfCcMqSg62riGrWLHH8S0eFbw66SJIGvt0I6Gt6iV1A9AaxNSQi4tMt18nWor09VBE
sXJ3r8zSe9AHlogXz7t6V2JrGz6itQiT6SA7Vcq7pcE0893SQo65W4WIpp+0vDmFvZg27t+UpeSq
rcqtepd0rOrTIPZg+nkt5kK71/XTNbOeZkn2HdbEiFvbD173l/BH631kSBklUQWEwzvfrxsZ9xJC
B+tPpa/4SatVkN7ARRzaDYuFrKTcSGTt88ZkiD+Sb7SmM/CT4VlHQHPR5bL6eYXuM8H0Uxpomd9v
NbHhvJd720QI0zqJ24owRJb1+RXBC29pv+aRGgkjqa9ckhBEmtDkddA47ipqkeXDOHft8EmIusfW
J/NVjqa1BLFH1BU7OSTtFVdGX0sjKKGc/qAqrog9ivpJrRNZzjyMXJBhJ2s2REIhi7FPINR/bCU7
2A1JpDsHVCUZV0qFGHEq0R5zU2U4slA8Hnd8u4H6Tj9LhTLyn8ivZxSZY6P4Qy8MdsLmEEd8ZLTz
3X/sFPNwMW/nuPWQODrJEnK5dY419rtt7JBSYjIBPCHWMGH5dRtnC4EgqPvjFuFv/XDVjc6GYSXU
S+U+/YT7sBBOhlh503jOJgRFf/VO6/mEb3LVMecvDJrt7rrIEGZ4MrzZmzZMb8LVj8d3cRrqABHI
0ofw/lOjhtuMRKd9GJ93h5adyPyIfMDgJ2pMXo0ykkS01e7d8r0Op6j92CWJjuh0yHnxPgxbOxR4
1K91GGr65EnFi09FQTPRCwf3aqoUjOstIOMYfJiipQ++MNxlm0o223pmqP3iTfl7Sk8U6aCxWxN8
ROQ4tTfRttrsppUxCNkhaIK+vagR2cFTWHIzb8kgXVIbVjU3eZ9pjd4amqkIgKpyW99lJhTT13hq
p+QybrC77mrRaEgbQ6ZHsx+RcSnuY0iHC8NxqKZ2/lbNXUEYfcFF9NbXT40KgGaWDLLUxyIqLBpY
SKvrVJ37OJeRPNVqgzcp1corGnkoUD/PmyhKwOi0Sr9d6ZBhpWbzRwstqX8v0imt5kO8jbzyIeEt
Jb2pXWVP7WDar5CMOGAiInfrzLqH7UMEFRlQegcn/CpVJ03+0GDWbtDmot0qL3iSbwFmgd5E2X2A
MeTeS51UpMcEUCMKtABAXu05EF6bvU9m3jfUzERtcUJu6m5D72WCmynRzw6HFXrXv43zeZ2Ok4a4
YZSEsDjEueU1gpBkZBC5RjvOjDwA2xcEWUQAtlcE/ff5//9TeBTIOtIcijIkArher0pt8GmJwDGu
ydssb5+1Cq0a8xjd5uwHu4Mo0rrmLfz9YV+DfBkefLRoOKrr7oA//ZpwVXOze2SQbE6rgCyPYnx1
TzZRAY9psYx4uY+rqmSPruGugtb8/vAun/tvyxabV4xemYWJYRLVNXzHV4dvG1t4RQTZ5tqNufYM
QJJKsO/fH+n1/XV+37SqILuBVznLyl8vtLb0vjIS8oM3lgHX0QvPvfegJu56pz5cxu86lTJ8//vj
BvEz2fR/LhIyLBgUNWVBWotfy2sUZVyXIKit/CdEq67UEXzRTRioJyVJ3ISNzOZdzOzasIe4YFiw
ePB2vU35McnbFIJ3h2ZNqwfF1LjxewRPM/8KN1wl4pgNyxJ2b1QE4VXTG+50sd3kcSmj5T5bEzo2
sd3CpTguE517HFaIt5YZCDn/ban7yKk8TbqkzrudmxjBLEr/mB4w0uqHbk+WrLwUA5LIlQoxmSyz
SYZgjItLVWfBjm0FdIG9+pzZPQvVYWnriTGW0YBwtUa6Fye4s5G9LxqUoyp7Sho8GfFqS04zpqFc
fFc2wK24Y7WGCq8oVZOvl1oS/LKjswZDYolhTFtCDBvb2iRnP+3IER9FKriZR0z+++2PDGFN8DHn
5/Dzr6/mTItFiKO3A2llP7wWPO3rbnDLj8+osYi8b/IltV51D+LblMWRNo/Q84GGl1n+aTR9juTA
KMkgHt/svh2QjI1iS5Cc0DtV6Ucd1iuXtFXEtkc5tqEMz3sVAA6dNnTZRX+UeTGt2WEHyYKdAikx
3YOzl9R9wTTkfU1gW9kwtm19zItNcLRuRV2/XViMZfFkmDM9MhMRs/WNIYHcSJaojvOaX0ynIJ+a
i6ySTre3jZn3eGZQQMIej8Z0TnEbaZhx6p1DWw3qUxFGaxWcqmGa2+CQjQBkjIXoy7ZqLuUi4qE5
2TrsYAnj3tdBcquVzwSMQxWbeOsOG6ztNnTCwVa/n/ZGiE/YQBXjN2+Y4pJrQWixktSg8RX+WaSY
iw4HBEV6EBd2jwUnAbaIBBapJyXEtMsm0T5M57zc3OITxmRAAGD8G5Hf87a6TY/FxgYGIYhiB61B
siI0Sg5R7FkWU8SEB/0B4XyT0NQr65Q3GeWwytR9MjU+m2Wf80Dn49j2RfCTkLXabwAdzUSzrcoV
ukAKtGF/XMgrk+0pi0Or7e24rQJSw1wqSC7jkTk4cOFu83Cuih+gAUsnDsjB2MhuWZmqY5L1sm4I
zUYxMHT0ZgOTiKZbYRhpMb8Jx0ib+hL1yIwhVniAB80HNjjN37XrpMP2DMqzrae6mbINdhUpXXpv
6PHpBD2G16fV0bZRNrybxLYGLUyW1LLcrg95I6Dqu7lqIhaWqKlDfnCXhf5rpVNcjxC82CaXoy1i
1s3R7AhNaXPN+F2tB6WIT+KgYm/gBc12z0eC0xRe97M0A33qVMiRH8TMB0Y60dD88PpzzEnQYFyq
jW7A3UxRySelKNSnn4lR3iq/r/EcyOgDQ0gyPr2t8MWhOGSai4TWTVRbWa9sBKPdb4Iinhb/HTzw
HN0Eo8JT/iKDqUgiWlSL+/ud5Jb3IhuznJNgGElrxYmKhwW+lrRd18Oc7z1HqLV2J6ZIwIhprSuH
gi7K+CSbCuSM90Gwuw+8nivacNcnTU26GmrnZDDrNz2VXEVn8eoesUoYPH67tEvOlyRpK27FPuET
/aAYgrx89kevKt4HPal9e5vQ0t2/LDOzBL/UAwO55+PemdY+jQn+Pw/ar5B7nKl1DZIjmwX4EB5g
TrlGpUg9+gtgqsLnsDNlkX263v8RCWgV3hZdQT54qE3Rw+HP93THFej66T5sTXeuMd8dARF6T98R
f2L3j+dH0ni5u+ZyX3P/q4dI8FYPQ80dXMcyah8QFdhkPXar36PFrGn8cuIR3fzp5zzkLhBt3jL2
zKg30AyKgySxZel5zRByiGwf+MVr5njNh/pr2EKkBQzuLT4PCX4qo5xOFfJfnhViHvdEZgk6p09N
CaHhCxVFy4+u97ZeIq5/6ULXbwezdo+iJXYhTL+2+YH4JVHQ5Iv70YRcib/dYhRWmAhdf1/DarJP
at7Z1gDjoAAgInIXkzG8af9CO8djKZE2TlxLWy6b+9MeOMln3+siFvl8Da6qyEt9V4jJfdA1ME9N
514GLWf3V5Eo3f24XnxroOIiXrweC6kDHf2kxWmlvbUklO3D9Qo3uNg8TijdnFjn1e5eX98iVHYJ
n91rhgM95d7sNhV9fTmxlkrc5T5fE9RVy+ZQk0y1D7nnzezybH1ul0q7ouf2wQxt+oduKqc4R9Ie
rt7fYjAomN/C+kZeeobWF3Ko6/YoMN9wHXyV+5pQXxnsnW7TqEq1eEjjoZqYKd0Hsj+QSiw9M67S
QCAP9FuLS9YkY1pll2RTE7gQyZTCcGUsQmXCB495ubO6S3ylu69Ri5GGOlxXRb80ACvoRVyNa9OJ
DL7sfIo1k5WFXi5qkK4XqFOPzffG7ydSHbjU5foZIKAQ3iEJYQF8D3FRIS1mThDVKtYN+fwXvl9D
9deC9wDvP9TFtrlTo0YXe1SaRfzD91G/fa2KqmfdXGEw2QaUMkRnym69Tozf/QRJxOFn+Q5/yOJV
vfgDhDsQMo5GrMil/6H1KjdCfbFgZLfOPIlyJ5wm13hPUFryiJdOu6DRjg0Fke1216B/ASfVxrmq
u0ZJYE0cCnoauvg+1KTcwxTxvZdGvk340/DZOGGs5GznP+IZJ5qRWeuOz00v3B0I2yzXE4DHzalI
nT/jMhp6hNxnMnaEEO6sVMwIqm8JM9/Lj20aGr7F9k+fbm1n49Y+OTnXINtFgJjAGMldxRWVHteM
gdfC82jDDW7BuSPbGuFNu3C5Foa33Ish6XyLs3YOGwSSG0oqchjMELDFMVl0mw5ROzyVOcgMfjti
gLEw7csG8neFfahIHK2oTDLwiyNDafG2AG1afQ7asWZB1yg1+XXAD3d2Ez5H9T/0mX3/scp3PdY4
8cxYpFCxtG5HkkHr0/fwvd3Bi8s0LOFjwKQ7Dh+HKY97E33HPYtUmMrmjy62sRcclqKnPRGEteNa
FM83nxno8DKYbxaJP1FIdhWYRu/5/ZsUmhofXV1tqPZWOXyqFHu1wPXsC9jSKNPXPDpFFfQh3EpK
u5X5cU+6rasxjZqA3cwWuTiY5w1RIPd0Ef/V+tUgyY8N/sL9cU4aH0sPNZNXfd42elQz1gxFFeXn
Ysua+v21UBoRH5YXxNNdhfZ0G+UkDkW1Y/5yHHlxWQjPqkarVhbIFR0YE49jKmDJ9gfZuvF3PLxU
Ragm0eV+D4YnD6O0H9xCnft4q9c3/TR2AtPFSCfjdgxToZlbD32uyO7rZofV/aFMQrcn77tnCkZh
9SYtLh1mWRKQfehNndzh+LFs03iUHh5s0D9F5EfLZalpTGRnmFgd88SAtzZ4JH+MXhC5LwtVftVB
A4qZFdada2IxlIFjNBWFZHAhvClRr+rCWKViLf6kWcR8NnXQSy7H/M9uZNxZBiKb7vVW/hMvmXYv
TcNkQtticzNlA42Wi1FBl/bzg2kL2Ymfe5R7JvrpWFUpBCxEyr0rEGM775b4s9qAmICNUZdihqKO
kx/EVoH3YvCSAU6QyjTkiIcxrYuwwgJnDcTaY7NkY9xgmMsRLstevdu18bP1r3gsdJPdVbLPiyWg
15ZLGfwxKB3jTHrI6qEirT/kbLgi4w2tZYuqalBzFvwdkCaXxR1EpiBYHgPwI84yaU3Gl2VPmpkF
M1uSqTu/GvuNbF8MQUPMFEuqYfpPuhfytqbpn74J2o0eG3P1Ml3qc9D3xg79sW1nHURHu7RxvNxh
lBrV3V3uiueYYZj7nHmPPoxgpe/pM7VK0HkUgi/rjJpGo61O+DhU3guN6KMOKVVCZBlFEvnNI+MN
sE6Th6mWe5n+7e9hhtJphThH9VtPYJ3xHexnb6Imr+Jiu1VYrG04JSS2Kr/KJWnTAGu3wCu+VmiF
mugG4l+lOZUlpRh8oI+XMf7KT7mgB+ObDaXcGFJ8fm9TYRnIVmRdQVsjaRvPIyDiH9L37Ou494Cw
oFhI4+5hLZYxaB5JQQf+Apk5IwdPc489UnS/A4lzUwc04m10o6FhBetpGkDjflZxJubqUOXduA2n
tExBYc+5YmPBuiyxEY9kSiFnFx+mtmch3OgGfHO7bSI/E8h0zFRU+T36bdPslxF23d68bbwGAvob
DBxAXy6FYWvJL9K0ZLE4OuWLZ95ClTKJqA4lrjyiPBe7x2C8N2LddlM8ml11/oYap1lqPCeyxZ18
ixOhJF2A3ja3Z5o3i0MH98S9yMmGfSZhoinT6dJ7Cy6Zl1gJn7y0THaX545rqrb+FAPEspAayI/F
13hHqcGMwL2NSuYt5slG79LKyZCBTF69onxnKjjP0fZ+iFiPIe6DVxwUU99q/7EniQHYPYzogzkT
JgIKwpKSgd8zCNTPKpPdMMtYJAvMswXvtYgwrPBoyv9cfT/Z4VjEZcoEvvu+BBqueoprXPCYWJRj
WB/OZ1M3NBtvm8UL8B3ptrC0HywoasuAxSWFplrOfZj/SEze6vjNOgG39V9mERT2g6wNnSvOOJ0D
hRPFUCOOf1wjmBGY5WEvpnf1pXf8ue8Todc2f0wLfTlS1BxVcPI0mSLUMc2VrOUFhQvhQhEqdtdd
GX078k1VjBPjMCtpqjT8KMOoX+pzanWXeyecJHqvv+tZKpl5A6CvZTcc/YruoH+vvNkynDDuRID3
6YI3tBjoWU7FUtwiYAgwJ8jxY8FsMI2LgCmpiPyKbjqLPCn65j42ZT0Pp2oiMg0Xtay9D0iRMrYj
PK0dldcCcoyuK7skyii1HdN8z7cE/p2MzXyRCxK34LDTFt8ChtH6fVScgjRDSH8yMhu2DSbypPnz
ErQnFh+qGSfK6qLCnf7iu5U4GPmHCu+dMrxLq6HnXHTpu5pzqRPJz3Sbtv3bEq0ShX2WqLXzTq3c
c5MeNmHI+06w5XSUHeCwkPkdiwCo4QdTCNBzEGFWt4QlEnwWbd1lkg+WTF1DEqkUVdIZKozmF5ts
tXwvWEVJNu9TaDTHQczue2oM3a+HGITypagYHvg5xsICT+d5RNBCeBJl779p2dq0f+yaxKxUsDub
eXepygkjJ/o+m/tcZYjtP1xvi7NZBEGVJ8YMIk4g7EJ6HpiYqIohpKKSQZMcI6PdLQgqkpzwrs/l
wO2Jdep+tnsjjbWJVhy/ASXa771bUvU0/VH2uuCii2h1h7bX2zjgmGXHWz9euejrpZuEBIOxQG2i
FVYnHY98OjRJFawYPgoPbewphazr1ccRx1y8mSkha7oOtLO7tjwa4aqj/9Sfycj7jWCNNvqJHDlw
t8rQw2TulcjdBRbP5/Z/r3YS/OLL7cYnwT13QoRDJurJomg9VDrr+OZkMYCfLpNcE37WUFfxryE0
tKsKoAo+GCY39dpMAPA+0q/PuncWwItP6AJsjv8eIzq0+zFOmWmgDyj7oY1hKIvOm/vLbNcSixC1
pxGNnyhoC54c/An++uUdGPAbzuaLFT6+YnxzzzND5TmF/qdui6pqvyVVcMWVDmczF0cYyGPQo43U
7uF212U1jWRx9aHKlKWBlC2dO72XJ4K7VMi/tlSwNBo5uVsA3dcB0r0Nd09hxkf1wjT6xNbeAm5X
YysMqWedSnGkJ+QlXxd4OAIQLwl5Jnh5JXXbP9RXCLNp5Vj6d1VGVtqANCSQW98GNp2j+QBuyIDr
Q5HqMf1uTRX5ZEjpVAEVBKDKXFW7ZqHHTG/cNmbGKms2GXvJ10ms42UKJnKQLer65TGercB1shvi
YsEMdYNKZw+xHEIKeq+iDnjAv5X/mpxXcnk7ruHKZvKCZ2Qjlh3HSsmxel/aeg5p6QtfLQ/+apjw
zZZQbLg96Wqd9XBcQLGWeycm3sVB02okIq/DutoLncwl+hEGRPrhAOKdZtTGsMj2jwqfGlzO/AZy
DPz3cU/0lzr0K3O3PKPhIlcT9XQvAleLe1bP/Z+4hnbZW+SRagVR882MrnPDGzNJT76Cy363MS+A
zXJalcOM8slILjYcA/ems7wAOYAVVmqsK0TTLauDKwg+Hd/jpjRpcuj7zsZ/gh+Kyjw2O3FiBWUs
g8Sedi/dEHdHMtdfp2gUKRSISQ6Tfdwb8uP94vVrMH+IG5P201mrdN2wbKRY0xD7rmiUFrT4g28K
q2BkIDJcqFHbwxr6OykNU3irZTjtDdN/sS/Z4cSNBxL6Qt9NS+FwsiHPnARDPN+oOaZcxN1qbCAN
XEgfO5Efq3myyd/I2iLvM2JX1G4oOuB4VGds4sERH5akmFK8w+J5seuZ0a5VO58z5afq21rTeiMr
8cjBv8paVPilBtomkXfBysjopwzvo37H4ToAcEWN1waYtmz0MZ8MDRANuymPk03852JpFEzCMPy4
m/P0MgtDx+wsUSj5yxlFkQNK/N53b2W+9JnJLxEuaLyxi05W7Niw47ObwBYB+/AfozJr+IPCI9HF
09zCJ30qpOfg06ofubcvQUfAb+M9Va10C0HQluDTXazkTs5CO/zKjEUAvFj1rh2yLIEjLq0MPeiY
YV2Eo9R0TOD6APEh46vsDVpbF5S9mp7xA460z8jbEEUOrVpDhxm+gGposklwjiudfe9zpusUjx+w
76R+WAXeQc3bmQsrBtZ8HCkKHrolaYgbTR/BBbyifVriePCl7NOURV9tA+ApKHIfMEt+yH35paOf
slJct6YMl1u5Txu1TPhMLrgibLR43Sxn6GUTEsednRLbcU5L4RtxxQlNK8mLDh3zk6MnQGkDilfa
EXfTw6bavLenrjEu1iEucbemAaUDOgvIY3gfk81AwD7vMcMaO7rL0mz+OcBNxOG7hHPPo7TyLX5r
olfuz7E6cX0msn0HP0LacTgo9lBuhdvrzYziWersUcWBVt673HgOc5yqKeDvGs8nRhU4xPAAIRw6
tM+Mkdt5Zozq+BADOXbH/I4/6HH9sNB1xVlluKHWZy/zy/2JqedhcB8i3+jfFWUix/2mZfAHNQEs
Go1roVLruv2ItQm29y1iNpxuJWqy/QdOeTRI7kj1J5Hdpbgt4YmaQRzBZPYaQqq2JXE+lipuq/Yg
tEwnDDpSy/zvEx0Gd7HXlxUNeQZQb4Zp5ffZWwb79ALN28Z38T3ZgHM+akY9Jp8MHjPTT3EFgjGb
cjBvyQB5bgz1Ul6Tgcw9lTM+M2uOh2m97d2afhwCUcr2zRV138yQA0/ucbSV+1+o+Tq3ifR2k/tH
qMR1PnxLVlLOjPd5MtvfmdcuMZVRgviEFF236Cse07p3FC9o+3DrwFRH92wwaKoZzaFsmkfeedBR
yIfYADtwXNqSaZyQ/cRFXzenMsQ8EE9lLN8UQZJ8/87TtDkeSSLGuvqsIwgH05mJ9GSbbiy5xzqK
EpWx/Mdmzjimr/Esjj50du6xiApEY9zquK7N9hmSekGVhz5ziNOQjaHrbDxjzC9g9nO4DHFe0ncS
rT8cqGeIvo7Uc//l+aXrrnd5DKB8jTR8Ss1xyrXa3JdrpCm6MODhhXTcsOEdTcRWdYjmFu3Nabwi
6qmKRnODSr/Oike81Z7DQ41hgHO/3ixfBCUx5+dD/XSINF5he3xhO1ZiPKIZ4/WP8fwvGqYA44hX
v8U1YpnFRZAmRcPJNGUflfeocNJFnny5961/hLfczRhLVtZgKhtBEOy/h/MGXHupJmmn4WGMMgjI
f+h4Gr3xTGZgEKuoOCZTe+jj2gwpaW+f1vqHgtlHl3At2mTBST2a3faLHi3WjB23bdbri9FVHZrb
edSWf1Ud1E3gBQan9987NU1glxg0jgaMDZPf8olKJ4lAOHYbFx9W/KUZoZ50kIa/lz0h9ufMRMrc
POY6FZPb2rZdf2mjaM3eW6jIc3okq3I9hiu6PxaT2zDAlWghwECDgkoe6yKNvDZcpgobdyINm4LB
+cP1Pjyzu3CzVFRdBDSmF/FxL01gkHSSj1uNHdjyFcg/3mmv4upUxidZxJuaT2pXLgPEug/QBOy9
irK/yGMrBo3tVEBRhgkZqrvybsTPtGJiDR5XTfVE091L23dUVdLLL2uAasVe/FCJyZ7pOIc2OtI2
qtsWmNokzfDGq0SnyBeExMQeB5+66b53MeHNntPS6NC5Ria4CR3GZ46QH3s0LgoMWvlvl7g7REu/
DRKqay+kgRkwcij6ZPFor3/YfuY+1NUy4fiADDWqQUIskEJzGcrOpZWYT6pYnnZRaT6CjpIK7U/s
rAeCMGgKSKQdEhd9+zp5BtWrwZRfbK4Cxlc3FqSd1PTa5UKh4Gq7FSjGPsXx7IJXN/ucp8Vhg/8G
WyY/LXMaq+0t+vtumB8scwfaJy/NNs7cdkjzaZ0FnhoKiFlz6b+bYh8Hy7cYbDQB2rep2BO8lD3i
9EB7ouvAqXwdhkB9QN/ILc8TuxmG5xUGS0N3i7Sonb1Lsw0TAxoDaD0Cxz8JURYv1NauwVfPU3gH
fCzGWO3VAS1LH3xjg17yD2AptG4OmEvZEdrxhkvcfsyJo1DTmB8V7X/VsqPHcfCyMFHtmcF3XfAt
iCrNBw2jS/5dcHcfCxMMf4zLkNK8zm6WlVNF/1qbnSkVPgpmA9EIM20k0sUsjfiuczqW7SmklyC6
W5RfKJaP47b4Nj6Xz2u7XwgFjH5uWtd1bUeZARlyYGzE2f7mYPh7LOifpbcxW/Xun+0+VILhrJhw
u4COgRq7wrz07pkGTl9HBA2peWEXSDzHv6S5dd/rh2R2z2JnmkkKO2+x3edkKvxqe39tXr28TtVq
XPPNm+lt+zekiewCh7GlrtdY2MJqYpWUngPbrR1qCAhV0YEHnEcZ4Zdwzgyy9/wmz9ehXy+ZNG4k
Ax2EasecWoG5bSBoCedOyrzWe3YLt5jM/5Pq46aeP3a+2PIVw9vG115/oE/gztaOSySHMzm3F6l7
xifxZMvArH559FEYlD9TjL0rcUn8Jkg0vt1yK39amCXyUyCqWH7KyalHvFsgf3NtrUAyR1FchjS4
Jfgdt//aK7Rzh/Ux6Ew1JwrfnjHq4wOJm+t5LmJ2TV140YaW4Esb/doOUPPkNvaXW4dTuys5Xnb7
fN1dvvCSAPECurbtyx41gL3xaFBHuvNJmtx1bH1a29Q8MP3s04xeimNCtkh1fZKzTJU44uTvsrsX
9sJLBxgr0zCp3qKTrjCDoRXbj+HFa3pJH8OxCeK7Rg9ZaNg6yOmns1+XtlA4XPme9y/MLOeR8D/k
MwZa+WSSdBzxRkROlwSvyGcZFjPFuNfJqSDlzOhMeQR7Rm0MmLjDKRxwDmOB6zaJsRaiOeufAY0X
+Mbrs3MjyIjj8AIfY6h4LImgCHn/w2uhtUt3EHmT+/KsV00EpXzHhhS4LlheJzSIvda6AFYly0pD
9Co7vLYDt96jqUeph8yAaaXPvbsRv346Tk4wDG/CTOcY4QHzjYDJ0nv9PE4F0rx7pjpbSehni58B
Xu9yxA/5UG9Q2G9lE0WBf+pmpAb1oV8XVWOs64d6l/9CuPuV2sfdhTdJtYPxVwqxMHutpcWTNtMT
kOR5Ums4XvDFBu1AWL8oCq/fc+z+f4dyA8ScdgR632unyx52Dyy3MD9HU8ZkC2gY+tCHbffl94f5
VTt3vaL/PcwriuZ/D0PjqEozGEqxi2n0NltGOBkhC98/0aTRaX8/4y7gwdyLS1sxJETp4Gp08uf/
TjH7RUiOo86vq5eaDWNFCJyR04K+VvIFhlYI/QqGvFDMrJ83jLZZQ2R+lDErvu4szTLPJvquQclS
o7VCK/C6VsZlnPndvQFcnP/T0FyNdKyg39+yX1mXCJoBlkMn02RagyPUvpIbxtmMB32GQiEpe2dr
gNEdgpo8wsegO8qoxdUCZTfWEb8/7POr+1/KpTsuliU5rm9YkATRs23J/7oCwhff0y0x8hLCtCWQ
KewaaYq2iuSkww+caKYqQdt9n0HPT2y77pWPia4wZZ4b3L8/Ibc0fjkfDMJCbI7yOE/CAELor+zT
WCbGsXvLs4R0j9QMTAuLDgYp9u0fHWg11n6RPzg3imcrkDajRfrh96cQvF4wOYqqjHck4X8MNXj9
Qk4IC1J4No7WG7tBSqbPbPIDHfw+TKdJr/TzcyLU1F+u4SOTe4Jw4FqRwLpY3ytlnXeJooSgW39t
q//+JH8lXfPQnLjW3SkOy6J+PTEc9w8odx5jZxgp56RO21Vyz7iQeUTrNjWsn3+JU6+XKIdk5kmA
9BIXqpz/8+ujQWw2i0nlxdHLV2CeT3gwDP1tNwWMbXhT+enqojWe7v+m4n61RnlvQa8ijEedhjkG
rnp1YLgRW43Fnn+asVcuL8BfUDf6uqrt56vXwnUPqORg3FtqfZYryGmDHkdEkQz/5VV9ZUTgzofk
CFg8z5yjT/xaVg0u04q4o7NH39Ax7K9cGYcRgqcYr3W73JXAwyhyKAaZvzrWBA5RbewziMJDxXbh
Tz1mrA2JalZ7YwHRAH6RJPDyJRtmycdGKKQ4v181odup//t6ceoZDPKUya3MfIfG/voZ4kDvaSAD
bqVKTPhoN4bdrbRy/g91Z7bcNrZl23+p58IJ9E1E1X0AwJ4SJVutXxCyZaHvN9qvvwOU65ZF35Ij
H+vEicyw0xZIENx77bXmHHNCLxUzy8sfh3lGg+6RMLX4gSoDS42ObXU8i0USFZ2RVRkZvrtitBbZ
jqVHKJUw8ywqGItUCP5WfBbvKCUKOfZ7FUv8PpwpYdDynjflz9/UH5/HEoKo64ppUtFbsnFpOJ+K
GaRsFgPBU+V3gQ5ym6uuqfEXpSzkqGKixUgxuJCcUZDiFcgbJtNSZpNeY+kJ+pSBMVV69Y7KUMOz
ehKH2zKCslVGZg3pXCmWus9f+QWwljUG74tiy2AXdNY7ekYfv1IqORAwF/MRNGC6DDjaVELVVOsc
he7tkXHSdwwvNsgI0GacCcyOd+82hEzx9ghl7H+2CeiB78xtDB05cVpP5SHOB6O/lhlDjscMJNCS
XDZ1IQ1GuqzALt2aEiDAu8OcQr799YlB3GQDTBTGX5x3S1WH+2g7LXJsBCfFrDynFRr3NzJWciIA
0jqrpcKfinhZHiOErOkV/Uw7+tEqWqTFK40xn/k0WXjCHj+/ZRdm+OWWITe0WREMB8AvW/vHW4au
OccXVg0e3lqAcKjPzyVhSuuRL9d7wYnGIykNRABplnxnLEs16Gj0u+JN2PQJfwyM8pz8pUq+2DZ4
ZdRo9CmoClX2cvOStKmQDKKzCM6efHYBkh6yHNNiJcUsW9gY7CgjA42cQZdqArcoBkJdSW7qgUnJ
PQqDsQOsS9BHsVeCUKk7L0I+wJr6+Q386GNZXiUiCTZ7DSgEHL4zD+Q3DDBHrIC2B9E4to4P8IlW
g0hJesCaCEWyL3ulenGYFEd49opBJ7Tv88v/+fmxp3O4VVUsHhZpvBePPMNHlU8gDgmwLAWLp2oF
CzdgbotMxF+BcQJufg8wMhcdFqfSQAtYL5MuWrSQjVQhUcvVfFmW/uFL02gkyjYPlkVXwEGW9PHR
auDFaFEKuXYuEnYYer1I4/CSZSwgjkwowklDlcFrmQw5kJ8mA1lTvo6GbFHm4X9uyZ8zgix5/cvr
uly0IZfAWGCJ06jXFOOPVUKUJfaqbtzjL5mZQsumhKcVGcsimCGbWQdHMB8MQuCyazordhteQYxY
Jmz2+3hboefIpODzl/WxHPjFCYZxiS1qSVW/9GHxbbfjDPYOU1m0F8+Zg1+T9Kh3MSf5oSz65Er+
vVJWL55gdYnYZQUgpUKjFPmjRBxsVMAZU0+6UaSFPszKuIytMBpkyFtqGiYtI0MxCDD6OCgDgQai
YMrauil26eQELooBLDG4jEjwSXA2dwIwWe0yE8HbQ0M669qx+0nkGFpG+L34K9Mc1ADCqIZVmDfd
lk8qDkbjR1Euqk2BDLo/ikleUhLgakYmcwSH6fuKzgtL4z+77wB9GQ+y11F+yHyXLp5SYCUOV+1f
373yop94SH9VX7++IyjIWX0/v+rl6qbS5FFZeUGTQiuET3pxWUbWw1zSXQKoFI+s+nXYUX8RXEcH
zIMYtqxU7E5LBdYymUJ+TdYbvyB9pw3nU5Ni6lVcuylk/mAk5exwGNojegWfv9ALMgLHBxZgmCkO
R+qlXrQumhVE7I1K6/QYxt5HjSQ0le0zvrWCx2NIp0VPpKqt40xuEmTY6CenFcWbjvW9XRzS5CM/
2LE9Bjn9fpMZjhfXtRn/qBQytyJ/lpuKH2SyB9hgwgXHEPsgTfg6FiWNoSY0qzPLqGdfHlEVnOhV
L5p6SARLpVWWRBQwQbEnNT/g48TACCBAsiyvgYrf/awATdipb7D/FsFf1rfL742CipAOg6FaHBv+
9GnW0xxGtO2RkKJZ0h+jAY6w39e4l3IQq2L5UDtsY92PdoqXgJzPP5ePBxY+FgOeOPu1w0fCRnm5
7+BnEYwJhtCbY0x6Nv6vMyOsi1uxHKTO/ZvPr3i5QOEfZHnQETAsJwfKw4/LOU0c+AVTyuw7C5f+
WqmnS3EK0H15SN81zKo6ctD9/LraUoL8VmRDDFKXWg5Ch74QzC+9mjBbuoDtl/lHqCn5oUDIizzv
ffylp9RYtwg/WU+keWa16RR54NmRMo1kQVoyGSOHTcPImiUI9cwiLmzIjzb8qFK0EVK1RLaaum2K
MSJQqcwF4qXVOFCUr96Po/Ak5uCGSOtkpGM25aiA7GkM5S+It0ms9Qd0OTRI0fKK+muZyhDG3C7m
k5ev1bEOGx3Lh2Qr7c0g9ywl61JMiZrtP79Jy3Lx8R6dWVkyR31rWVEuPpzayDRKMVu4zpQ4ALMk
qpWndxHM5xe6fOpZuDg7OkxNQb4DTls+rN/qnaDu9UkOKGfenfaziqToC9J7Pvb3YjGStGXt4izD
4v75tS+LHZX/0b7kmMhg3NKty527G7SpJq8aZUGQLl94rV9GAgyB+PTfdxbOIviWlcLhyx+cn4f3
oVpgyPwZrWiWKdLnr+qPW0+/ESSYSQG2GLYvV/K8KwRMAkSlgFhIUPaA3TBoWpkYrNAzfn6ty7M7
NFybqpcqwVhqY1SkH2+/EFVSGUoM8v68sMIarctT1bb4eIqeEvTKPE+FVa1FyhFa5C7CXnZm9lxB
vyX/Wy/wck1gNVBpYNs4EADC/bEKlXaILE3RoPJYTC2ubb7Fw12d2EvpkNryohBf4qRUios4h6F+
1FAJsWEAvOGBmWQN665nQVLBBsAy20t+VTGYSzao9xbpw6CGBhrD9PzW/umtpDls06ujELQMDc7v
x1tZxU0slGEqMFHwvG2YRQ/xCNpuESM5kVOnK5mMZN5BEHJY3rSSXRtvjJ+qnOi+cSHu/uMXRF3K
Jrv0ElT1j54lIlV8WCNoiEZyWOfgaiP4qptxkVjMpjmzg8KXqyWa6SkFd8P8MyT8zuV4MbMg5qBM
uO2fv6iP/UMLAx8FCp0xer2w25hcfLxJaSwPsAcDEN00WvnqEJWImaPTOQczs4GwsqzE08jzFUY5
3zx8posG9vMX8cdTtjQxOQnypV82nssSBNuGXUB9zL13+ZxlNlwpH2nD1v+l3OwWS+jXzy97Xk5+
X1RpRZFRAn4QkiMrz2Xjsi2t0RoUPUQoBBqowTQQjvjWZMTB4aMWgYLbo+hmSq+dhRcdOXuoR7Uk
4XEpYgP9C5HqgPoO0DB5iyvblGRM39DdqXKrXp67n04YoYfASbzoQTrYiuXpl1UuNnkO35/GLkHY
Q/YgABr+RbIfEdrYvPDNj1fv3/TP3/jHeQMf+oJdZHWXLQVSFvXfxw8djpIRE0pZeVm0wFY46y/7
/S8VmpThLf3pkN2LutQsM9Hihw9p8mHTPFsgz6/lH3HV/zdlHJyfkv+ZiL4TL9n0AYi+PFW/Ug7s
f3EScHTulbbk8iy9mHccugkMfdn3AG+y8ltI9f4fDV23/kWuHggJGsiIFfi+/jcN3fiXTjObESh2
VOaMHG3+z398mPO0F7/+fe5zsfHzvdNAddDA5/VR856Hmr9t/KWBNZI9RF3CuYdDYskvprNkzQpV
285qQhCuoUT/8GwmLxgURhecUdk5SPH5+CAmdJ0d9IWkF6OEPxWjFiuuyHGluzy7DVZ3pcvFX8r6
P7713GKU7fRTkLhwYy8De9i6Sth4NSJQi3N4FOY9WF5ZUX82RUYsWzcbe1QzzJQwwZDXmHWFRFwB
yUKuwHZwS04CYEKnJ2gvUYvOLUY5X09abXyrOWoPvoHcMXLruVJV0HBaAVSoJ2hcN6X+q1Ur0Rrt
prIXGNIa3zHJYf3LYnq5ovP2OEnR+F/ouXSvL+7pLKmVIgbEVBgIowN6OrFjDar9VjPGm2bQhyvN
QhmdlGF99/mycrmMU5wuywlzUtply9P08dOs00bpwTLOFEqqOKJtJxELSdBPMo7Y6ilSkuQvn+Uf
p2yZlh8cWeY5fKcQ3C6nqN8e2qaI2w4iUItANguuZ53wGpdSbY/iw8ALFjj2MU9r68TMu9rjP1zK
lbFF1NrZrbSWRDkoeAk0spo+vxWXpzc+AkVbxoTn879qXdwKoBh4RUa5A0Sijje0XscbrEf4bBs5
AdL3+cWWT/T3bWy5mE6TkomjStvLvvjEnSkwy7JVul+m04guMswTnO67z69z+aYUFbWCShLKmcvM
bf94s6ee7jXfKY5CcmtrK3mS4mzVlFHfeWpegmT4/HKXDzKXU3mOVI1FDpmpsyxYv322xaTEBfMk
ZIcKCns3HmNI+4irIlCRAamZbtZCOHGxAarRup1Fa/mfvwBF/+MlLL0Rtm6mVufpz/Lff3sJMXhK
gBkCCuIs6u4xIhROWiV4pUzsK1J4stpWJyuvDSt861GbPgfQzvB1hzW50pya5dnHkFVSwunxfM1g
uAzcoLBsoqLU1ER5aSMo9QKh6aWnM+sBHiZYP5AOwzWUxKzO25F0bnxI6IZLjwgD4oomuVTlLTkV
EorbTigjaI4lhMDo8Tr7fWcRssQ5oyxPqsgxlhbwbxMvl8b221LOx4eiS2P1esZ0UPns9hO5wZmQ
xU02ILJDN4oO9n5OSwrkqmKNcRmOAmEQtPcin/xU7jwcjyJfj/AZcQcPEBPdEvpfukoR0B5qS7Nu
Q2fid2uDZoPbDBr+Fp0VT9kA1JJHTwD6TzwVANrIjRTYezXBR8m6Fr4g46twICeKvUffDvlGF1Z3
RBrkvMlahBSXexy36yFwpnrfkVkbPBbOEqvZRFH0AHBvvrWkSZg7ScWEQIxTACNZLYwwO8ZNFSab
zOrj7ChsaZy3EfG93U8j00Erl07E0X9MaJ/vprKn5G07A6kdX6dE8UtibXLMkzY/h9CqpCDnti4m
V3fKEUQdAzWaVmdahcwquJHGhHsZ1AY/mExEaBrLTFB1c1CIyYaQDu4C5mIn3o8lBJo1oroJsEAx
jvKWUwudVErT3HRFXDMH6ZypqlcIovgJXazzaaBhb5HswvNDtxzGsbO15yXgsoks3rTVxlwdoSwv
djbbLvGGHDvcDfHP1XNL7LC9UqsxeB45/qxjGvyPKsNqX01kPd9P0lBfB0IU+QopduCiN7FfgnS8
ahPChBhzJNO1gvIx4QuYTNJeNRIuOQ5JT9h50uuoM4mr1e3RelNAiNxOYcowjTaibvhQfOZsP2E5
+du2d1G+qJQvHK0o5ll2KU0Vaqvfv6qOmaaVBvORYWqsjkjRbAus5cg6hYENt5FSR9f4qLmBny8S
l4svxxXkSFTSpqZSTlxWE+pQy1lgDyp2hCUvNZRUHoQSC9TN59e53FwVeMJ4YfinxiXJnv34/uwK
Jy+zHwHu0E4OmgK8hS9vkdzniE+fe1Cbyl+Wv2U5/31bIRaEYlXhwjYhW+rlFbE2671ISgB9mmQ9
kCyR/0Qq2oAjShwjR3xmEZmQzbJsHwLMy0+Cr+Hb52/6jx2HdiA96SUWzOCAtiQB/f6hDnyLxjy1
5yVb0WH6HgyVD2j2p3MGn39+rT8eIK5lcI+ZKxPVwJzk47WiLiz0RrdmshnK9Ds5pQRZ6ri1ZvCq
ZeVajT2+ov39K678/3ddugIImsDCIhO5uC42NFUqyJF28UEQmntOq4tL6xZpichdzZhec5qSfyXw
m5cPLl1XnYMGuRQaJaOuXTxQ7EWF2eIxpyQR2UmW23Y/6XIDJGfKimql6qX5Glvp+GbEpfJqSKIn
+zGx25eWibVYSfZUvwIraSCUwX4+pCJOJr9i8H5r5b12X5G+dySeFVZ3jMjhwUmc5CXngI/4M7AJ
jUjKGfMbRgyzwo1YDb4a9v1LFtvR5CexMwJ6cgyCpAdneiH2p609KZHq5MiiCd+tNsvvgwikejMr
6rjD1FrYN6NisYtMcRPGT6Vj50J4kV7bjuaakpVrgKkc9o+O/RpqAQf7HMVybgU7gZeSI68qWB3a
wJ6r/VDOuuW3ZtFL2wJ3ACnCOkYbmqKYqFxdr1nx0Dfz+8W4hBpKGuX+Va4ks32j9xM/AdV2XFzL
2FC/pFaoDMKdByHnexDKib1qbVE5m7zD8nuS1DbnZxZRqbKfOfNN2GozqT1M7Z8hyXClLO37q7oH
FLCO50VWVjCLOLV94nwdI+zNWHubmYjEcH5F5JoQZwLS+tQaueCNdEPmR6hviCLHbgOfINNrUHqq
Rhe1f8syzShcEzca+/EEVcVrLdahY2tg2oX+AJ8A1W3HjLkqJsczJSN4hPtQWGsa5c52pGH11Fbx
8GDYbPi+LZlGtZewNx2KJqSzMkWJHa8Kx243TbIEMQrOudtuZNzpxSVx694EuBY+DkihBgHYbPkO
tly4BMtSbQQW704eAik92nnEuo5oqGifSQBePqozVKnCyjFv3/88Mlo7PMixYdnHWDS2fkSalj6N
Rqn54KPGaiuAoZBCl7XSs9Q25h3DlxRirY7L6ptGugQHJqnMQaVLsAsF1Sd+McdYDxNRlOvMWaZc
tHW64ApwVZCt8Y20QOegqOONHWDxeBk8MAU3KM5hjwM9D7M4e8IXZg8q1UKEFW55oBfQAtjRXEur
Itlt+I5gODt/uEkTa7NXmU3pHMppHDefr3O09pb+zu8r+zJwoSvKGZjljny1i71S1fO0waqGzRmL
0HxfEblX7JhhVNz8IHE6v+8Jezmi+K2q6wREBJbRAf+oC7ejqA9JIRnNXiNvrFlrPQjVVdBaVHI0
vOJ5Rzh8s6o4SLyC5FcCP0lhyVLlRU65TsiqkJ/BWMjatnKautrLVCqYZ7UEebu1BEGnaRpoB7Kf
MJIklVo9QpGaXqUe07g34/kiYkV2ajew2v6ph+fQrwdqa/TiTjQ0N8kkV1/NJEkDvx+q2dyzybGK
Gm0WaLtsdvQnAytNSMa0uSwz2CZAxzJuWfzrbLwjjENMVC4BGiwUNMYX76UzpRSrY4oSxVfmJrYO
UQ+0IfMXMzne1KbRh50I8jH/0pIrgR8SrveGlLTuNoGfcFLD0I4Ah+jyM/7cWzqBBGNIczhcVXFb
rFHV96Zr4hZ6you81V0DUmZ5EwxWma+zbAFUtxodupUYtC47yqy2qkswwZhslEhJnwelMB/R8AUr
FipT94wqr57tym5OMu65712rx60Ldc4O/Pftqxxip/IUi5Hqd7ls82Gl18zn3EyLosS1oTdDxJVy
VdnK4AdUt9EiB5leXhk0Y+UU+OSEcwidmvaVMY1lrLUi0yovMEOBB0cXq5klB8DiEsfY3cTT1Pd4
pW2uGWAqfpaNMvLMeqIxzwRPTxEgWvM+iUV5nbatpO+BT8d3ll4q8ZqsE1KdpzZIfjAErW3AA4BA
celkVOcjBzNgLvOsyxXOBtwxmxlo6Rzh4Z214ESCQj+82hz4FW1PKzspIFqEs1ztMV7n5VqAIySA
po6T9iaXSxZbxp3tDVR6Pvter4GuiRg4FDnaVsxpiktPuI2aIChSjCkIf29S9FvpTc3uk24Cgu7A
XKr4+ijwUcbwtBi53N6ONUdFjpBTCRrQHxAODzdyDRfxnmC4KDsaPPY8hSahl7T3WTg6Guy/fpOi
Pu63sAeIP45kh58czCNLlt9g5281kqNhVsEJJ/Grn/3YKZgoGClQ9W86rZf/iqerLDOSHpsaM9Bm
jnqeZi2eq2cCezkaSfXAGjsNHe+6YAlMvJBj320BDokzLPtu+4xyRy/8wIxLn29KafgU12JcdVNI
XGnR6/x9qWuEvKGhrqT3PSaACWffOCWe3pVZ8mCJqElvQEZV+Z2IyxxEWR6zbrwvjYnjxLGfmEl7
F+ugIXY19ofJrydK/R+sYYnlKw32qw2scfMVUXr8ljWK80VgdTaeI1wVbtKVCkdwRdmnqdKs2Qnt
Bz5yoS6Yn+FnGDlim+OEoW8HodTNGlUQ2O046aGr1XrTmal17KeiQGogK8MN7jPpC+nDEUdLSQ29
iKzqctWnmTR+tfGAI4wYZvl+mdG5FifTxB0JntuZc6i+cMLNt5My6KifbPhzqZjXg5EOT0ZHVKzL
1zP1+DpnDwPe0B342covaMgz7anz4eCoWr8JipI6Jot6O6fWCLqrghPTboKNBStG156IYdSEW2OQ
fMmqQfpGNWvb/mgZe2uUsrVAZzu5XYcg0+eAd2vIjfVi2CSF1K0DBjdi1r0ZG9AYdDSNAk2qEtk3
c9wD/gVJk8eEsAor9RZ9zjHsNANf4CjuJ3nuN1NEHDfIDvkutKgHULOEXmfU1abQo/yki2iheMXj
LtYa/cqk5g33jpTC8jcQr3hSWsQ7qXK+Y9YYB1enZiw8UK8gw1DPgvQL5+HWsUdycXiuVyBab5Vm
pgcABIXMS9EKAKTwNV4GMfPYS5WVM1Ece0BeM0oyN6n7elUhQtn0oFa3Q2EmvOwA9kg3hnaJ5Xjg
NK2b4ZODuoNKcW7Z/GE7VH6kdum+CcbqDgGk8uJggfrmYJ02PdNqHPB1U3XkqZxOTVsVfpkZ9pNl
F8pen9PiJQraRoFfMNHvyZNUrKZKcruxCf3QMtIt+tMAVx/QvGTF82bftVUnIQRNmL1B1NSlVTs4
5YrU4PgqClOgsNjFQgQxfcsRXShbrIfWtwqT86osiWsgclRjCaIqXJvYw06d4ryAKstWdijpGrKa
Mks3ihKW5ncjdYRydAR/DQZEGMpEijIA4Kntq01l9oSDi870wlmK8HOE45tTx6rvQPmvcelJ8aNh
V7BmKZZxsTZlGvqAsFr6VOhf45UONLSnTMbq5apyRgeDj9F+lJNMXCM4HzoStSPZXhdyKt+GSC8G
Hy4Wb1qlpPPDBLN8Dvad7bxqrA3OSM1tsQqf4BC0m0AdrO+O3KdbyBLy3obSgkw81FZNK2BX0wfE
wj7m0OM4JXIkiLParWUTvLVwjFtU123hTqi+fJP00PoKc0DMwKu3atx8bbU2mrT+WqPy2XJi70fP
DkplJ8ej6lcK8AXk52H/Q7GNaaO1ifJUoybJ/G7Gp0l04BjBWsm6aBuWif7Udma/SnMcruuwl5wW
jGIsP1iDs6kdA3l3XhMJrTf5DlbECC9ForYhXoXAnHDQr4g+s/YhHdSvtEweYxY67Py9wjywb7cp
5pnrGPOQJwoaUk6rbIwQIIffoBm+a/Ccr1i+CxzGReXN9ThsEFdot1Dd461uduVW1GrCt7HM1oHF
AoGPGNAES+3Bqkk7gs3nsJFm/U40HYinODVve+q42wLDBF7JqjoKw3iDh5DtKkhHo1vbfUBbG3LL
KsktWptOGSpXIPjlPY2m+TpSkcX7kpPE8ooWQv6jtts2XyUQuXZQPIrreXTWXdkEGxCPRUrN27V8
tTWRWl/Ix2D3Ds0k2CiQyn2b4N3vU9ZGTzIeSQZQaHB2zDSdgJmK4vhjldmuI+WkyDYm9hErl72x
GqKfU9q3iOfg+G6A5TT7KaJgtU0TlM4w6DThjOGWpaeL3TaKjU0kE4Lh2lHTbWelzza9NOP9rtq4
8Zm9E0fdxohJsxT3LfZRLP+a1HucNSCstXJyEGEi1rk6aM8ORXT5Uy8Dk2xEYTrdoTdncUpZdh8q
BLT6uspNOBaZLlU4b2nnfLX72r7S4O+xVWb9FyaEMmoAyRo2cgBvLrJHUu3brJMg6OpziWpdbse7
gSZjzxfajt7MXOaRJldc/RaihvU41YSs3czzvRosxbDupEyJvX6QnU1VhDZSjZHdoq/Zh2qO39+r
Qa2StZNGfeQ1pjqezEGCR5eGdtxsTWFkA5iLsLQO7WzcZmJexKOpUzabpm+sPWb4/G6RXSIby9t9
l2rjvsgzSJOlnZBNl/yoaqHU/iyU/miUjiR5XKq+lcZp2CcGkEynAcSoxjB5UjkNOReFA8Gpekte
sNazqJdSrZTE6E6ElXQBXJhVX5dBeIr4+EOU2KbNGZJOlgupCPasXufxRiWYGQN9qGyZAb60wOm+
xKbI0vUwIHclqcISng7x7GogDGEnWKmPgOIjr+vjhwAE5IFVXTmQ4Gxc93GjMF4y9Y1j1+q674zg
SmcVP2HitVYq6WHrgOSNe2OoCw+TQbQqJzW66hmZ+m2i6T9svNGPhim3R9y1/a0UyOmGdOb7RMvq
nTxp6dEw8uK+GUGJz9UYr2A8txtJL8ptoEIKX7MGVX5adDUaEBnDcQVx94oQIgiCEzrrVQljgXkm
TzOsRhanevwy96O5MQqZM3xcgsWiAxC03cHgsLKKprr36csoFSTowNig6APpWPQaM7sokNbL9Hpv
F6ZIPb4y0paypFxr6OeQR3N5Lho7MWJ83J/AxErjAV2q7gUFZ7ok5FvbGUJlE585Pw/QrxYcb7oB
SrJwmExznXMuBShcWA+oDec3KOGoC4UszydC708cTlrHq3m1KwfVJTVIpvRuWkupNwpIoIcAxTHI
LFHKB9sGcSMnts6nVcVeEzfzFwGCyxdApZ1NNkjpDdS4Hlu7HgJVlwXZmhgggJ5y7FaifYfpbPQa
UgZWADeENwRZ/FrTl1rlnV6tJ7D+zZoIw0isixqal1caHPop0Y3yMFgDZ/iKYwuDmsLawecnz9nM
eg86izihsNS/m1NnfIVgO++ztjVJkOsWaE4MAJ/hGUgXN6R4jd2oIRlxRWJX6o+qFj4uLPpnIwvp
9Ta69kVZHLnGFAY7xE7xvqhQdLgNUdl33dAq9GSKUZ88BjbOm8FSdIcl4CeeeHbdnnw4cBRtr2H1
aRyDvlCgPqLoxaGrJpX2g9af5WuCDY4yIONsM0KfAV6UVoeIuJVd28T9mlzjOgdPaoermpBkT4oT
KsewFeWaK0deGis5/v4A5EDTab6EUueRzS3ftUOjXXfzKLYNAT3Ihx1qwF2mZfFdDpz8miZ57faV
mLnn9sHiw9gHSZOua20aFRDnaYdumJWd7QH48mvWZu26Xxi+P4hsxN4Iv5CPc7K+x3BJ9pVRVZsE
4tJObhwknvifl05YmmIgIX55uBUN3SSqaisfd12vGF9na1gQRKooHkXPRw34LNWOQyrTpuJ8Rlo3
y555SCda/Os5E47sMzlLN2od1QBwBPk7iUplvkKsaH7LlDAjEPHcDmTjbBnzTonItiTEz8oaGY31
faignB1TY5gtzyYsU9tBNy1eMsr7F1nK53smxnPqjqXkYBAfqEZduYqk5mrQC6AS0M1z/YA9a1hD
zokeI5JdapedkxlTQ535RknW8nhakQppKJZiTEbgyKDR8MUatRxX0jigSBfGEB6sWAseyYW8Y9eW
2S+GtnwdOkuOvKpwalCA6dS+pBh39sO5xRicOyYGYUlE5MhV8YPdoI92gyRZt7am9BUcU7O5j8ni
oScSaUnk1Rzit3NUz+CeYmLdJHsGEanIwx1JWBa0MhStaMaN0Dl2lZ3tk0whl7nhN15EVXJWNaRg
kXMGvcTxFcmulu06pGKPvanmxpqULxo2krA4bKZTNIYrhXksClmh0SId35NQWcs5+UZoTzDlKWBE
9Ix9pSE/BKyRU9DeeO8rqo1BhJ5dpGHt1YUhfScRiFrf6KkwlDSrnkUkBYeirQhVcKUEONcKlxs/
pDLYmaAT1nK/zipLp6Cf2mylw3O4RxQ8e2xI/DG+ihpPr9Mjag8J7aOzf/795NzKIFClekbKru1s
O9yHYRFOrpOYaraLF2ErMZpDwybtmkHeyRW8tE6Zt1lLICEcxRCg5ikPE24GeVezvCg/TKSgwLoB
7bnVNNDJ0KBUzmsrL1PJZWAZtjfmuRk+OSCJCt3gjlWaw48Y7IB/gmlHf4vSRC7vNZUYS9sNCW68
b86j+EbAjwM407H5SAm95YzxH3FYV8RAIPvMC4t+Wh7QtPvVHaAlwk3izE13ocsbxq8RvWCDo6IV
lCugM0OylQeJmahpdDApxqCunmHu8APep4vv7QKNUX9+gKHFAHRoiZFfmVXImzO1kVvsQM9MV+3Z
JDAZ8yJTHBqHG9UhTGHmfJ65Cj4nmnmoUGm8K6h+XHo3iDHrpkY/nGE/ZFWugrm8l/H+jbeskoyM
W3QoQBX0hocSqB7vNJ9gSBreZCddeq2w9uRHqKXdI/V+Kx4Kcwyae6Wlfb8eSjyD7GMhUMiOASaE
T5t82au8nZERNkNpZNcoFHlVmPI7xtYWCCmy5MTksZO3xXXStDTve17DeLCJ1XVolRADvIHnGOje
IGHjXZFXwlscMwzJLgiZYaQuasINyTZA41o9P8L9E27TjPpDDLCJwykho7mhrNMCbekdNP7BdP9d
VhEYjGguXGBqhgUhF+4Wexxw+ZM+ENCzs8vWeP68H/3nHAp3LWHQMpIzU0EG93HuVtAFdjBTAOd0
+CBcFrVUui1FNRffzxf6R0rDuzLn//+x/J0fZcWsPYzEWSP337/63yRGdOjs/89axE38vXnJxEvz
ux5x+SvvckTJ+BeubKZonCkQSDPxRN7yrkdc/pOJoIogZ1NbVEwyU8kCJUb0n/+mmf/C6k+ph1Jd
o5ZYhrKLYu7Xf5KxKNIjM2wSMtAQXggQPxMk8hB8fDZQ3hBwpTD0xpWCJwU7zMdnI0DBlkC7e1NQ
ae3mXXWXf1GeiE910MePbuWbq9d0n+/p+B6VbcfBfjNs0q11cA7TT+PYvwJLu2mvi7tsJ52y1+SV
wcw2u6NEt34MD4J67aVdyV6xIwZg5WxVr9qFW33lHOZd/xpB/mMS4IX7zK9v6735Et3ob/G2vDKO
6ouDmjcDKeiqD82dOLZ7aU3FeqIvsS58mKW79EG9rY7gKW+TnbYuvzChWGU306q+hV9Vdr59l684
ouN8Xxen8na4H6hEUdbczkd7Mx67B4iZX6ST9kPdc7RaDxtxxFd3bazrTeCLLeL1vbWmkf6W3JR7
XuW1drC2wUP+BaOC88N+k0okF37Ue+G2MyE5U5ui1/DtfY0t0nNYDE7O2tjK9+F4qveVc/O9u4r3
5Hnsw+voZto7p+mBW3jkPbypq2Id7MCo701PXjHaO1mu5Vbr7Gtwp+7KDS/Qa7273LNWkJCP8l47
smB58jq6tu+CfbFOV+ibfNgpm+FnEaybbhU9Gdtyr6ydtbQS2+4quG0SipZD8M3aphv965z5qKsz
ahUXMZALsbYSXszkTgZLsu2iKw5D4fdMOWiFNxyMXeeZXrEeDxqvazzSiMo9+1l8BZeusUaaLkCO
Y76Nb6tDjTvRTXb11vBNj6yqnXAzbkuyi3bWOt+Wm/Cg7ou79hu9qSv7his8OmslcEmh4rTm2tz2
dBNvTN/6om3r1k1eQxAPj+mhPw0b+226asBvPjpfQnd81A7ia3OyTVeJmE24urwltRlCq7SVr+O1
spL9akPe/bp7sffTHg4titBVflBOpEw+0Otk0nqK8621Vtzyir/vg+5zw7V5yBhdr5EmxJvMR9Hj
Km5929+gWIiEq11z0/4vdWey3DiWZulXSas9wjAPi9pgIkiRmqh5A5NccszzcAE8fX30iO52j+yM
6DQra+veeKZbRIgQiOHe85/znar2TH+hOYq1s688UJGS1qFUhXLmtUdmZryG3eqDBKff7SihQfQ/
3Vaeq3vNfR4ySw6tqPwMx4ckcc0nFZZ3fhI2p+mtAZnp2gGoZm8I1EDyZouj6N6q03ZVh+NNA6ee
3QI/4jPnMkKQ2S+Wqys3Zpe4RX1kH5cwRg8V8+VHrGz8LqmWuzrfy/jKoDTa8BYN09tpdG+/DaHl
LUtQR52v+/HgQ8LWHue79Ww8VkyqarclIyR7RMNLmGKlN3ybfJxIjwihigfdL6CteoU3yaVYHqvO
r5E7Ifig8l/wvs4B+PK4RvK3RQeIzKUrB/GOdoT1vTtszzUAb+fAnsdXvDw/xN+ah+mWPFlaB+bM
b3Ho9nVQWO/lIbsxHrrvmWpGq3WOry0eS/SRHeqjvhtDTf4yHrtARQy4mc5o/XTfauFwM59WKK3u
djKe9FDxkCZ9bM+gEOuwUUKaOd38ohOxR9d9iSlZbrlauqe6guZlPPvm9qAzrp132kN/4A52TRYs
3sUD2iDg+dZIj3fp2pabn5pb/RNbtxksISWB6qHLwnTZW+WpfM/O0t7cOWpIZWa3W75L/kpJfPDc
NB6xGISvOyngnt4j7xps57V3zq/8AlFQ1Z9NZsVe9dX2z1JQ6H6xa1cwwExV0B2RRU6IOvWHkCjL
iCzHKzO8r1dL5aJoe7Q+B+K+82z6nn0zxc0UORtELkw2LhtSkw2/8rxWBjC4NyQdpfYK4Zfxtzgr
Qy3UztPGMAe3hzvOBzUonthaK6/6laWe6scOpv3z9Mw8gDiha0eQD+TeRU07QfD13ixzZ6H6PRVp
aJpPIy3M8vNASDcCrw6zTs5glvsyBOOXyfGNbdeYXsHk5Z1zvZ4p+7YjcRZn64lryqu5uK/He3mm
KgxJwu0P413hn609KhwlCoQN7XAVn6l9TJy7RPLF8/As38mQ1KAoBhNqosuSUPIibfLrR+nWvh+i
T4fOBzZYfukOLSvOd+sk08M6vXQ3U4EQCO9InJTkvg61G+C8i+HWb9b0OFWQEzprp5p0x8207HzD
WIHK5DKf2lNk7o1+di+CFQ4jFcan3O+4kB/4OS9wne9SixUfQiEEVF9KD9QatCfVOZkflcuP9fOA
DgtewDw2IKh7jJsxQLraDl5IoDCSWNHeXfskKt3n8VZ1wMh96ak03eoVVc4cwZWdshe5flFu+vFN
SfaIb1NyHL7DW3a79pvRPzo3BqO4Q+UcdXnnd8HkclPhQ1i8xzkIqE0fAhPiGHeii2agP+N0oXq8
HN22Vf2E52TQnmbb49kOn85daEnZoZEnd1M45tjw58J0IZ7f8sLC7PJtsN3Nrp/0TA+J+jxLTMlO
9eQX55iG+ha/V1DvJDCbh2kv/NajUOfevkYHzvzx1BW4NF31gz/GE1bGY3xjeJVPOtI19nwUX2rr
mUF5tAt3YC4atXuKqfb6W7qfPtrOFVfTh3YrIv3K0F0BAMB0i9vmaENKehHGrRKZPiGEkN9V0E4e
WsuO/5PqrhzhNQD2SM1oWKcR1yqSVza5lgCqGFjFjglhnh1iJlCI/sazAMf3Oe3jnhIWz4JxWx2w
JhRL2Fi7Q3rgIuNqnk865ghyzFHmv9sRQEmlCU1Yn5Ryj7dycygFspv/KfeerP/uQ/nvXo7vvprr
9+pr+POa/ZclPMvKPz7Xfx/ff/kLywHkn7vpq1/vv4ap/H25n3w1l3/z//Qf/uPrx095WNuv//yP
b81Uj5eflmRN/fPSWmUl/K9X4+5XmWRT9ef/4Pe1uPkbkQmWzCaoAvBN+CB/X4irv+E8V8BXyURQ
yQ1eXHp/rMMN5TfCOnANLkQrFt0Wi+M/1uG6Q9BII3pAfBeTH5vTf2cdfjEC/uQWki8oQ9AnODDt
H7uByyL9JxM8lPMFdherlsKAlB2L2kd/eJ5K/Sqe+zEE+PE3DqXLefvnTzTJqDHX0gl1/OkTsyZp
BLIuZOxOfdSV4j1LUQ+l/GGIp7PqTHd2O6GzCFZmk/FN1vr7PGs/1orVWC9pLC8NMifGEcw/RpPh
pdHWMhhmM0GVsf8GCMfX86eDZW5IPph9ikk6C3rY5fT9dHowQTDtiWN8MolA7YG97w5mV1zjWGWE
xndah6ae5tFoj+pDrxfb3UVD7NNe7PJte8QVwsI8wac/a3HGMLwfXI3yYogJ6nCNJ+fVyOrWxZW+
egN1IW/2BD1epwzMhOCsTal62OybBBZLABQ3HMSiMyhHf5mnZH6sa6H5hOdXTJdZRAwrn4M4WT8W
dbxeZt1yUR0Tl8an3sc8LXlqTwH4IC33at9S8tlr+Csd1OFeXZKjaHFiyJMJWN1q3qrN5gG9XeT5
IVVKHzcp+w0jV+66cZbukjgxQ0etM3p+Wy2aNpum+s2ikm2SA0hs1ziq7TCuunT2cZRrX3EhFV9D
o+fhlEiLP6rb4howQWQbOQTh+zzYfRmmVf2cjrqzxyL9sunt2eAhy5xn9EDIFYdCx12fI2jumMRs
R7aWzj4X8ZNCLYErLw7vm4UTJDtJj0NdlXZTn7Wh3GD2Y3J7cObuEbOtzPykFRQXzXWgSLN0KkSp
fjj6hP1m1XZ8f07UNc0ER6RjrzfXximr9D11GZ8ik6pbajaZyNTypPg1YNMdcQFstVVa7PIWYD/1
s4WPEGXsDSdG/5ecWL+yoWC4Ge6lcwfWM2hwFHhdmgdjLlE4plLLQQmZyx2oo7FWu3wtnD2Rqnc6
kStfaZTNW2uH+gIV2z5tpbfGlvEeH7f6Ao7kdZr2zbUhsSSaSXYAq4UaPFPSwmCIl3258qat7fh7
bqbJJxyv9+HS+DDDJM3ZdaVj1JpVc0dCOferBKVJMrlCc1tpfCBDmgctK/chMiYhXvJvSErZu2pL
TyIttRsI5cURZvawU1tJu0qV5N3amvKlMwf5XKz9hQBvMSaiFnlAg0z0E1MEWoYtByncICji1VZb
Y81orx05bt+6JaZwCaevW9tJ5Q+VVeylDE8GUBEq+fqMZuDWvEmJKuE1snJODrMIZuSW13ZNfh3H
YxsWpWN8WNlWYn9aDeJgSx8y1L9FjAPha5DryKlbjnj2JY+dvNzTrJ1zgyY4PtkxlE0MtpdkNiZN
4fdA//24b8sgSdKoB/Ie2FTy3Ze6yn59ao2dWuvNtSQ72+uqWuJ12mL9rlyVPhB9WlFaMKfxTqU4
y7Wcu6FmTgdaAJUdrt2JpjJ94r1v+yXu/904kflzNWn6KBfjxgQyR2VlH8hjikyurnhQrUd91T51
bdCPTi2s3dDYU2AwIhgY+Yzj3QxTy9Oklomere9kU9h4mSzSjtCehmDI9MwvpqX7nBfJoYpDN1/j
eHiq1jGL8P5gv8xaiqWgc2EaEXHzpNfTOy2F7TXcLj2yevM519T8EaLOcAciK74mmZaceAShVM+D
EjBWBmQMtemmHmlE7hmW3trbYr+tUp3vMq7Vu7bDdoB7urzF9jYDyUs7rIPGypC4KKhqqRVPjdv3
XFTDrsmb8XucdrjMVyu5MfQWLm1mTZ5QxwbTRvqGLY9zOY33AIeUXUq54lVlsGmdJPmG9pcHYkLP
iyE/0XRXmYwA2+RUlF0aFRe1F8f7rNxflOODATp/b9hMdTEPL1/KUltXsLHiCNDNhFbUKj2KaVtR
jzHnibKvrI4rcZ6yK9xv8epbeNiYRrfc10M1g1IaOi0CiL/uulxCtu3ItLEMZ5500xIbAhC/dK3f
dO30ao09ZsgynnSqFdN0KjwahuQHHIULZ7a/wHimKtpI6gayElv5EcP5brRiHzp7+amOq+pnnd1c
gYFrMBPqCCAOmI0PA4tQqEkZZlnHSVVgVArb4FHrD4nRKx4loBcKfWKcbPy5d3FfFjd6Wa5RQsXl
PoHZQrfYpH7bsuxChKdi5mEAf82qNCWMQu+puIanlx4oMqvvknxSAi7rPbnCvPBw4Gjwj/o1lOSG
NWu64J1hxNoEFZkxv3II2o0YPm5xinSXM1Yeplz4dcsUs0qh+mkOu6s5VfNT0ZI76SAp3kKiIM90
CQFt3DWhPEmILmqO8U3VV2x/DW3weI+2koFTnH4X0uA8Nf3gBBLv+PdxtporddIFwVEMIFfUbRTt
dTuZ7Q7cceVbdDCV/lbN1Q0ldvqHtOKDiiGGRYs+n9Wujg/pSpdaAoyCPrCcohhn+kqrpLwelqoJ
TFgD4VCKQ2+BWM+1YrwdVCrv8ek/91ir2AogWfM2aNJozdhcXlph/Xqx8xM1Wgn4wNnkMbFSi26U
jnzXwMUMikVCTylsm9KJFoOny99fDUSYkuSZN5VO6FTdTTps2XUBEHc/F/HR5g10YmXATmXBeeCW
My9JQNAF9OZSnDHVtURjM1H49rwN17FT3I+VvnjcEDHDbkd71lh3eCj09Y1hd3rEmDuq5qJPvXwU
axqMkpxGjcCE35Wasi90Jf4+WRj+bN4YV9KQ9pGit30E2u57RpR0n1FYcdUppfOUgfAXPLKlBV7C
MK1df5Dzdl7uM7kvgfAl8nggLmpH60i3lAe0raQgatDDbaOsahvM5YSFtHNV8zv2dMInabPRG0r+
dsUPdunvIiaKweJECR9VCKXqYF/DRycByHP1YuKt1hromXChrkVvdD7Om/Zly5Y4ojm4iQZdxFcp
051jMi/5cwLYNRxau/MKXn9XFBKNhds5E31WXZ8f6kVqP3S0jytRmMOXtMT4AEWVNAF2L3GimsPc
kRGgcMlkPi0mkh11chaDUu9n1RYe1mZ159CI49FmRhxDGLKvFeoY2Tx+gikZOx9yY37VYFS/sQUC
hz1q+hHAzHAAkTPuNsO6zWJMAuXSkJ2wiy9D7+LQkAo5stI6ongyCydCLWzsS8er+5UbUFkbf9LE
6gnabqMZR/y1spTPxWxkx1SP77e6tx5EZQwej5f6oM/qZ90wvB/0Ef2u0p7aeR7vkpkRZcrHNnL/
2SfEfqjVYpZLPzQ+H5bvaX5nSbMeMBqe7iZ7GnixbbZ9zZs0f5onXp6DljQ8HbvuamT3ncsiOdaM
Rb9iDW1kWHr1KcsS59ke45iVAnZUTPX24rd5bd6mai1u4QldOiEvMO2NsBvCOzZnArF5e2U4+E2b
LH+x+pjFo0pKBqAzvgit7K8V4JdBIpU5z26s+AoTsgEJWlUQBZcuN3baZBwoXMzORWsiRYPIMGiD
HC2JcKi2vuRDSnTTdMp9rkxz2OBO83AyhkZrnXnSUUFhZU5gWLzJ5hSCbT9tPru8z2Iy3yHwPdC7
e0d9nHUqC/tba2rvqzDTBwKqVAon6qmwq4eWRTZQ3/SFwmHiyBwZ9m+KFmRhA26RSlaTFRefGIYk
LLpZIA5AeWHIDfWjNNjwx6MRVitU3iZXC4xLS3uzVdu5b2o7ZGp2SXcuyP2JcgkQ3/JNYq9d+1ML
5eeesFPqrZQX3+gTvQ8Y3j4lE02oHRAbZpabq41viaE8ZRNyknsdLzA3H1cY+HQBI6EO7YOpF+mx
MGNpZ5hFCNnNJTaNEQm34Kk0yooO22Zwt+miVDBMZzFqq7cyxkY311M9FD/yaNsYJYolwrwVdkgh
lnEvlvYTLqTKGH5EnNcsb5RzZBaDmZEwtQNV2vI1dDVKIqpNC6zEemM0PkRLny03epUdclFSCZPb
yNmtjkpe4385rvDEwHuy4Rp6ZEnqIvGdKHdlwzOyMXXf0iX92PZadZtif3SVUU3cHBfsYVgsWsGk
omyeMa6j7mbbsVgW+xNL7vNW1h9ytwlf69jguBrOFFeo8vyRFJe1r6WVZ3VMaEEvbZULdTH6qG57
m5a4iZFyQ2Ohv5YQDYmXa4AojGRiCOYwY5CiS1MaLid5glBR5QK7Kz2PLvy07+RnjADCLo/jjE5h
bxshJaiztPr9IL92w3cB73Q/V7ZdMvpdXoWYiV6mqvNNKrbNH/tGeA0rJILi6Oe4jJeQhpZqlxn6
/VDRy6a3GvVmzkfdy+dyTJODTs+ci9UauROBPEvzMVKZR74stcnkgC35UpmPoEcaVxjZW1V267V8
edJZDlpemsfLDo7xFFSVblcehJVqdVnqN0enUvb22pZerlq1T/HZJwbU6lzgj6WzwpB3uL5uSm4+
nzfLRpenUexFNSFEZxwZ/akHjunVXJ/KNVlDxts3bNbVe/xgO2GWpEWgDd9TP1uFNJMNrwCP2SXb
ibmb4oIqeYoRXD2/bDUXJLTRUZhr0NvhcXwIvOJymmxu2Lbtcx97Y8WNxy8Q9El+IAMAM8RiQZTm
xc5ZWALLy1GoWLAG9uGeFd+TOgK3X8e8shzcIKZqPlJDycBw5Eunk/aYbexcN5lJns1zcZsl/Uyh
n/TEmns6zpq57okTxd8sWhk90y6nA4g9f4NU/9wX0wHzLQPUJkUNdgjHUflo49wS7YEYRquSXGvl
xyGb2x3uPem0oW/sx1lhINM3BnnEKv3atLX9tmk9rrG8W90f0th/tzj4L2f1v8z3/z+SEBWHQfu/
1hBZ7Y5T8l7+LCL++E/+mOgzmreJoDu0Y1gX7ewCC/pjoq8pv6lYo3VCs3DpAXn8TyFRV3/D0sHb
hJDXj1H/TwN9+TdZg80DC5D5O2FB+98REn8NlPMJoFrUC8oSGr9jKvJFSftJKRNNXbKgyS1aOQvr
Os237G4e4i7E/cjkuSa14LbEXdyuLrITOlN6/ulc3f4uWf5MOFJ/leo4AF0BXQIviYIWDuPPUWtB
VLROEfIQ1hXpURpGyR0nVedTa554PZOLtlnRs/RxyK7h0lkty+neCTZ7RqZpJGm7WgyzZTfMrjhr
mfp0iyYe1CSft53UlsYcIjME9UIP+F8f+p+4gJdDt0n2sDe6RLbx5v7JJdOZawN9oKEq2VwX8kVy
ppjhkLW8x1ZEhZe1w64UOhRi8TvFm5rtG40s1hXotuHvwKgXGtVP+uyPg1HxfgEZooMDPuCfJE+y
e0OVpNrlPbCILXBmaDquvk6FHC7U233AqTRCC03I9mPaNhlYDPMcR71TjfJuaVm1HBqjmddQJU68
eqVEYCSgPaNzdoQVs+FKlYXo/L8+hb+yXDhoMvaaCjoBajXEavNPZ5A04lB26sL00TBoVqL8SzEj
+GbYx9um4NVe1HQgeEqSOcIviAQ03l8fwD+5WWAisY+0gRBzu3Ec3Oo/X//gcwpTwQPndQblznSd
UWTlVRdRsiCBIaGPNk6eHuRYn6XbSl8dXBvz1CzJSOOnSY5cLQVTWL2UzEBTKNLEiNhl49O/f5hc
biZIPINjhEvw62HaTmZmxKEnjzupWNx6sKczXICCxmu2oRROdSMuTXVq1Ig2LDW9brcFO9pCbDAm
BbShBQws9cnd1B3A0mzQhPo3XErtn+5kxh3QAkkxX/xGpNt+PUYuc3WlgYBVdWMk/Q1NJ0RB83Qk
jzKxVt58o12bsJodPQustWJ/xitwDnXJVq2onthxuAkjhsNGBP1jSAVV9O1SiKvOKD9y9Biq2ygC
uG8MQqceqCvAlXUnSbrfS/SRB2vvEEOYTGrabnpB+/GuV1UzfgRJLx6t2CjJEU6YUX1zquzkby5k
5eJ6+l8DGa5k8nxACx3QnBwuRvJff3lrK1UaCiz02QRYs4eOnbDIk+WY+buMEdRt4q5UPZIueSBW
VX5O7Vk79mOfIPQ0JqBkMkHq39GSrB/EiJ+Py+LJiiWMi8cw6OX5QVP66fneOexgbYQWfOBNyRQc
P+ZeYM3OfUc0Xf2Rq1VPU3Wc1RMGlnFPa1yTB7nQYkBp9i1VXDS4KnT67q22JE4+46nK+/5pkifx
AKLwxakNbU8Bn8hco5oUJPGqtYIBWyMJt5r17CWjYKl4ZhQd73iGs/vQg4HYaXKfB3Zjo5nN9Wdd
x2SPrfKRAlnzeu0vNl55XfNAijGRGLKovJj6o1W2vEbRRwQRTYR9uX6fO7zoBLLeFrlf6bSrKHIR
EiGsoGrx9qhAgHzV6qur3mZ1ZUuyTG5g3PAbg4H8LHoAxu7ccbxcqhYQCHnBWCGRKz45pJzClWC1
p1rTdCD1f8/SztglAN4iQiHtGRboedhahcJvVY5KAGcnnbkclDriyGGVEMFsaTN9l7qSKXmipaeY
1lVfRRN741l+GAhksqI2nWht5CQyarU+LB07rDmxkMaWUSGCVBoJ6J4yUY3nzkwWr7Ck85Z3CL5w
JfYUjCU7sAFVWGVWTz4Xv7s1CnGPWfvRibviRm2JIimXwMyKru7BzdhJWX1cE8l6QReX3nr6RlOu
1ZxdnZyPm3wwhCmMA/ie6WuZuu6zGivPWC5VTkOxG8qlvJVsssadHVfnNh3fMtWhhHKqvzRyK1ju
OoKd9PYOGvko2aQqV+nzD7lXSC0u2zgbXivi/PswDtZnB4/h1tEn87lfYhvnCoXq5PIZwpu4u6/1
nO1IO0DYPUNImPYmbcNR2jQM9uX6SjYGZ98q1NJ5Ft9DAF5BA24Ot8ynO4jNtplkd4LE2T7Z+niv
NaA9dgJ8zvUMt9lVLLPXSRzPO3MWzV4bbJOBRVvvVEqUn+i33SX1pl3lSSwwlgv9kBSphDRPxzi5
yLRm9Z2U0ba2eIaA2TWPbTd/m0ErTHxpdf9OTUP/oQoNYuok9C20M7U+G6OTM0grkUsFK5uCOtMm
fSckvu6mlBrOjPytaw/t+CxZlurxWqSWF0Ir7x1mY3LjzVSG3uJKxm1AqtAmFVEypTCp0s65k4p6
CIuFeCwxhiXbTYDR6H7KXhKc22ebuEUgzWv3wYO1iISudm8UvJe3aBGUkcgxs9E1n/EyQ7hyK8YJ
hHwk2MIJGuZqmUWQ2nrqy1ADcVGQeHw0spk+7B6Dvmn+8HsXSryvuqk4rkW3nZJeITdrkGVQ0wwF
QZpcJ9WdqCZ6daXNsL+zBRNDJ7BhgPB4VKhwYeqEif4gMrMPZ3uAklbp5aGMxS0Fdq/jpM/hItv9
3lnt1PDgThkBMGHx2lC6fkeUPPZoxVbubKGn98kwS3uVVkp/Ndd611eWEw0i7R8W1PzBZ0ylR6yq
bvlb9pTLdR4V1mygRs2StU8yLXkoLWv5mCUzf0EpialKH3C5VVbbXK8zNnaFJHmkLGkPIjZe+0/g
WuRIrTyvX8dinan+UkuXk7RGcb9gFhkhn+kuSOzysdiWOw0N+2bBB/7hbLh4unX8qHTjy+moc3Zb
TcKG1cvlueqZXU+MPb7DWpBZ+2o5CSc9cXZxLqXRYG9mpIJX6PGPCFv48QJMMuY994ih/bPPsulF
h6t4XylYkvRSsw+ZdJnxbZeTsHAevyFHbHsLao5XyGxXfFSwKljydaSuMB4ubw993SX0VgYKLoeI
KvJscbc5E10wdGP9pCJa3hRGuqGQVMtRawYzUigyOlyGQsoYz3c1fvKDMbTLjroJKzSRO6/7heqE
Fi6mN9X98ERcNj6WpCr2WPjXJ9h74y06XnEzjHya4N9OglnLmNrO9HTPyxpYcVnuEhr6PFZg4jkr
6vG66KvZ2JkJ0kIYl4O5heiN3Y29sJXJejFehnhJ8iVnqHVui4smL6rsmjzydiXMkbkDayj+1wmX
rYQ/ZM6nyq7rICNJcwssGCLMbNveANDETbr1qa3H2jfw5pMeXsyXC1Aq1GPuZwJy8UBbUywaj0Sq
JgFxwtxvz/NdAonyRFInvVeE2u/zJsZGxiADRZKOimyPeCE/dWzMjpeup2PT8dZLY1K8Lh+t7koq
IoPeyKxIgUTyrbfmr8xp1H1M8+OBtfO6uObMH1bME80FJwXUFH01GlZW1Fj7m6AYxj6k9EF9aBdS
vW496Z/SoDlHO62gJOrjNN9kkxquGS4HqZ0eh6om5DzL5kNL3i4cl3bak25T3yynCmHptJyWcVO+
jJYYIhST+jbWE9gfZNdel6ndrluqUa8zA9UER86wN1tIMPjMLt7KssUinG3rDQafLprHTse3wPCN
J4BGE9ScPM5L+zxDhjhIWoIXTFhrc2xjHXJDWsI+oaHsCg1SuBvXCUgjgf5da3NULTMRxRi1iWWH
+tWaujhLVKyE+uXZYsMo9exusR+w+NAo0c+luROLCjPA1pszd3Z5tXU9BdV9XySezQrcJVu/XgZR
erA2hvQ0Mvq/zprCeiXJZUVJFzOr02Jw02u8MOeYC3ZinTLbD3Lc9E9dImsvklh4ylsQJL+YFFu3
Zr3ZBHOrCSfMMtI1xt38rs76ubIzDNa8hBZrdM6w/vq3aS6T84y96Ds9JsVX4rTpXZbFRUh7jRnZ
Q0wwKmaS4xatPeM8ZUSyN80Rv2qbfo7mlu6Lwug5QhnfHMAZHwJQcRov35kKmwTza827qsjaLMoB
ubtFzi2irXJ3brJmYGehs7pYQIPu8mVTPG1emNdoc5bckYltsJIbRfapoF1c4ZNhsNMCJfrWytl2
jrV51InPxeuTmFvpLm1Z4APcqYTiUuuDE1yQ3KnWqjjPmtE9d0224giu7E9o2DImZ03nCaCnoCEW
EjC3RtMObLWrVjuA7bBvpIwsJM28JM48bqzSpxqlYIpCNdmRKVhzT6WdrPiOvH6Sjq0zF0ZBr4YG
/sxXFbCn5cpKw58s/2zcTbElu5nm5DGjdT5SM3rS5ITal+UAJDO3n4ymrkOFXl7emOA0udsFcWuH
h3Zf6QJtGdAJC9aVf9AvTefczVm7rhpXKBXRUZfMvM7jTm3NiHqW9Zaro0iOTrYmyOYdmXhfyOts
hGpm8sBJVLuJpmF0HpV0qj5VGDvRzGbve9KZLFYnUY00XW/JbbXh2bDnidRFn28rbnDZmWIvtcwG
P2Fdn1JramovVZzPWr40HeXazJInsbpX3rzpsbUUOZKzHH5IvkC/umSjmJLLw8h7Q6UPfhfj6uAt
Bh/rCKy8k7w+n3SvGFnf+Lx5mteqS6yF0F8dP5q9PTDwhYXTgpwoG4Ez6WIRsShqZrDszOXnKDT7
sexATiyi5wdPTYeJl9SB9B7z2io9lpgMYXPbSh6KRY/f5c22FnfVpGrXx5f5WWl39qPIClHvpqG0
XiEOFYO3SNo47hRndXqfph/CjhBSrXcnH3u/Kh9YEZpvZiZRsFNZI/FKkEvFtTSlFMqvkoEXvV7U
1A5pQmvuFxbbrEnAO+Pvl1J8yILJAJyuTE2PJcbe67mhRtu7vK5LbxWZEIciru1HpdMWY7cVjqFc
SdPUSl4xFU7+VjOopXG8rKWDLEvTuGN5MG24h4xGDZBMqskDzdOXVyLdCAF0QkBpmWgrf8oIAatu
U8kzZCjGnNYF+GhrrN07o/EU2ZAAQ9YtjXIa65bsSpMr68mw0Df8C7UxC/DoGRRgdzaL41pUFG/F
DXQ7b5FL605vlex6FaIMwPvwbVFQlWOnwWHoGkzST9K02K9pzzDbjydAQbVZm/fNthwS+i9uOzlW
D62aS+9qqlQD44+NE5aX8EQ8eAAkHGFw72bK289G3PNqqEzEeaXXned2yqmXb8yuCppl7a+mKdHe
Fx7e1w3FQt8dtEj8c4vURGoKzeYO35TOGKmq2HNOvSrwFZvjNMK123IJF/G0GiGHrpkhJgDwT9Ig
1SBpUgPH8l/rMtqvrkgUI4OmW5VSW+NS9arpF3n15+01gIZhjpXBtUjMSd7GcM3JEtImRe60O6fK
Fxscp+RovGJz833ONw1qiChBgZuzyvjLKseEgEa8SXqg2AYxDTCixhgIwAm80LJxep3UpTTB9Ijq
Sl6TluEZuCjmpFz+OLkxHKjeLHflQZQgLHY8WpyVndoEh0FO6dVwu3Hs4st6oTC8rIIP+/tc4Bdo
/c8S7j9paLRqI20j36m2ajD0uJykn09CnVmNzB7a3Zo8+QZOn6DLDBfqaxVWQhB5wu6vtcpdkk4s
+HmhM202N+yBo1EoJ2DH+Y1SZjpXbaYvf+MF/SeRloOzYXGjptvYcvHm/npwcmeLsWXWycukyx+T
WGHjBwPaybkCu2o+isQGP6wvpAzGLYctaJUdjA9q+9ib/fXVclEzf9FibFlVLdvRSayiel/GCj+f
p+Qyoc3nmVHkCjwCduRVhSshwGIzhluRG39zcf4Kar2omfjObH5lULiaosl/+s312hkgK8kVU1eM
NNLSPo0m2eeGGfj7X/9i/9tPooOZMtYLl+/iev75F8M7IYGuXyt0Eyf1MgAYh67CJDg6s77/8VH/
14ZQ/y9a1Dmd/3q8xLahzt7/8V5//iP66revpMFMx/fzu/t9//mf/3Fxpv8+a1Kc37j9YAPzJWDR
5rr/H6MmxfgN47mu0LXMdYcp+qdRk/FfzJ3JcuxIlmT/pfdIMczAohbt88B5JjcQ8pHPMAOGwQDD
19fxyOqsyJTMRUpLidQuFi9IujscsKtX9ShLKD+m+ZMlFIroJez7/zzrWN35brvU9YR0JJI1/3dW
TcEfhP3//gKEDkchLvsQ12IsAgT3f7hOPGsB9Bu42FezRj+CC+ne7EnWh9FOurNnjYDDVFDAjULH
rg6zqPpzM7vBr2QMQ5BmsdO9yUkEv9AbujcFQodkk8D+4Xaxi9JoCveo/EDRXpq0RqxSXzIUTPhV
P/MRitgmTC0x7EWMQNsNU8yv6LjDroKSKlVc4khZqyrmodK1fXMTLQVdd203s9gpkyui4gX0I1iW
z6ED4xYoqYJ52fTuLpn65SpUJZgWI7oDmfzhy6B97rtg6vczklFHRv5Q1MKuQc1PAY/Ogo0y8tmw
dtvSO/XFoMymr6mFXGHyLOU6GEx0nXK3woC61KRqgV8eVOdX24rXyg6MJcGOEqfi1k3H9DMAtUmI
LpPNcWJGPDc1Uy1vgK5vp3IWLo4zx//tDRY/j8oHuExVgiFTcmy/xSuBiDOCfPyJAv3RYoEE+XZy
CuwU23hhGVSw+HsOgt67xyIIbMUtDCLI6MibfLDtm3xSHeSDOdpPgMVWmZwqlv2YXImKVqb51fgx
B57en1xQf5ICW4h0CdJEpbBy+dmU3hTeuOgVgQvqlwNG+lLOHIpxLjDP1Giuq0ZPql0VDvPsKFS/
CWWE0Fg7RlOFRPQhXdkQZE5KJj1KpdpUaZ/LjT9A8mgbWwBtyfeWHXdPpPe8dQb8815YXZiu/TGM
7rsw5LAs0jQ6x60cr+0QrjJrnF0wMtGsWPjLx0S35aM9tybbxBlKeJGUyToPNbMQi6o900S+gXWM
l7Jx7bt2MuLWzXHTM8/r18yR83UYEbVTZuaPzWT+6bpdf+1gJNiqtrTuMFYuwO96zppp4aTbeeYQ
ldJtdKDTUR27osSsm+T9s+PpmcN8nhEVCvWCS8zYKJW2qyZ0Y1XfdXmAPZXn6ZWm34sQF18rfL3V
1SAivImzexWKAP9Eh0srHM0xqTDxcT4d5CoRPa/XtYgjrBzbm36GIeUyKhf/Edchulg31z8UAtin
JU+XfYhOwI4wag8idRUrBVc/WOiJO+A1JctXqCNYw9ytzy6y3zjwPe59kyV0qib8sL5hd+NOMn6p
kUGurV6UmzBzQJ45sUxeBrtQN1wR8UfYtNZdGlu8bjXNO21n+Y/BERiv8ziHlS99OEIzX5BVrovo
1lZlyoZJI+2UbvK7RSP5mMuKvKbJlb1xs/RbaG8hySnacF9MNm0I4wU83coghDnovy4YqsAb1gc/
1dmeguNsm9v2TxY1uI40eisXf128WW5THGUTedjoArLL3VKcIVTEK9N5naAvLxMK1yuXZOEV2Z7I
S4tVB6zHKsBesgKXtndtY+1nVAacOyNAqaGB1Thq/MdKu8cZjw0kqUrfJxaCWmvpcGdBnsIY2F8x
lnT7PpH1Vc3B9+zg8F5Xrss3yLLrbcP2Aafv8GSnTrhlwiODXabdme63wccU58jNwOh0Vmlpb8s4
tTZ9J98yHb85aWx2lVWMb0Egxgfuwt01WB+z9pPW2/RNZf8AhSDYVjvzYzb2xTOTpjlH/tL+cpeU
ZHNLKYMpycdVZtEPXpy7JyIpxDN8XMcrd7I00dhhQTISVfCghiZ8GDx6FaIR52LcZxMkgaZurhbW
hl84o7xT2/ExbcY+ZEblMQDKJc3sNwxA3t6SJCOcZuxviJe+j1hdz9M8wUrF3bnj0iRzXmPB8wo3
2ABk3caDsA4ZsORtHMmPOeoRQ2MT3pXODFkuJ+068XfycfRvZda+409qN7HphyuppssNoLK4RWXL
ejJmODagCe/Qlbyjtp3stfM7vam61NnmYcpsojArOCUnfoBLT8byhp29ECJIaol7Wuhx65ix2rUW
8PR4jIPjHInhugcveNCiXa5AUv8M0NqI5lZ2jKlQXEEvogi+CT/MEGMGxakkTjYgfiCLlsuFwC4v
kcPIbgjwEkC7nheukNLKKD1Fom7PbUckk2bzYWMhT0IrHrEc6x6kpsK8tBl9qMFioTC2XQQuplKK
XaL1tO/9gKVyP9DiQGXozjWkTspEyjs6NU5+UqCtQiBlyGrdnVLgndlE1SuZlF/20uPra2FDzLbB
P1zPh963HmHRD1dda88X8+wpSsLmmMkelIsfx5vaXFQ6F+vgaDfpPbtv8iBxHNywdRyBdPYD9qgs
Vduizq19nJFGS/zjZNnlYUqzn7iOB1B0RIXnWZWHMvF8qFVhiU5clHZ0LP3BO6ERtKdhEOYmb2w0
g7iXEzg9zv7oY7j5JW51qYWE+ehLtDoSKlNqnHv+t4faBPY1dgSSta209pOtc1CIAU3jhU3ss6VG
rmLaTwkYtxPeX5dLtg9K67YpcLWkegzv8T1GiIp5+0q5II9i1gE5xH9iykTk5GFCVNp17tK8ekGj
z7CEn9MhSw7cQ6ItYGvrVJIN4/wRoD6sWm3iw9IQuo/5ouy4f7XflgrCO0fMRMZbh0jamlIsSGVp
0ONQt+Yrz6n617xHlFK1iG6yxKAtegGZBSSsV1GY8C2eqX0feq186FE4AD0Trac8vshvqdlhA+hI
rQiskA6hsnVeMmptU3cUlJR4U7pNe172SFRxLxMdHUND5KxevBMtB1CFKKepr+HV57dy5IX4IbC3
OmCVVfbNEq6Unpv3YMbhi7464S4ckT50yjzNliw8YZ6DwDQwNceJmB65Hr0jWyWoViYuXoMxQSZu
lwN4weUVIV/u+sCq07VlwRusEyPeR24LD5MzkgRyJAi63lvioyOKed/MYKJ7yReVy/+RgoMHu7D0
VuK2/S6aAs3JXoJfxuk+MxshJsOlys0+CAlkoZkfa4qCruvCUtdDwjy5McCYrqfAGs9pfWmuUGHY
IxPxByZDBJgQmtVL6vWg8zMxHJYyrRuON8GyLvMoZlaseUKU5E6adZBMpt0utVc8V8vo7nTeVt7q
j39b5G72LfGZswIeh36LiBXCte5Ka5vZk39lAuIxQ8xviWSqYXNdig51H2tuF+SKsHS0RIfsPGZj
2LVmAwA2fI7KsE4vSkYIm2gom57sUY781YT6muqGYoup0l138hAXIS3j5RA0V6Jpus9KTQv8I9ik
z1VQFuuh5BnbDHMtTwWkw27flJCheeDP+qEaCo3YSqspG/lQfyQOmn2KA+wcy7rC92U64JxC5Rcb
ODy7wQSX8Hj50mcozjUr/ixXP1D6N1Xk/wIjrHjsjDyHiW3UHQioXnrt9aKKk7CWtRr6ncPxt+6S
e2V5x2LivBP24zrPnPdK6m+ZKo6+jhetq9xRhzgL6+1i7Hc/FRhNx+a4uKAz0lJ3QI/Jo8dyfsF7
kR/yUA5HsVTOm5s70dVYNs0uC0L7Eh6p9ybq2VZMCr2Yrljneqxqb90zAJ2tfLFBDGqBe01M91Uz
R92qHY29yaI2VatBLG9g+Tt7U4RNxx0WiyrqvZ/i2YN7j5E7DyvYuyFnf1ZVKW1AmRlte4tFaKh2
9JvJCCtx32z/Rwbxf+Xz/Dsz6L+0jP4vnNaZjv/1sP5/y69PpvU/T+f8+78O5479F3oNmcp9FNc/
IuV/G87jvzgUUODlJG4e2lHIQP9fgXJ8oHQcE7vGZEiJHH7Qvw3nLsM+qxYc51T8+aiQzr8znP+D
D5PZPLq4PwFMCcb0i6nx7zUcU44zTbhgiAD1nWnp+hH1wDOC8kcgpid/SF7JbKp17gpSwu4FXpm9
2YVNKDV/IKdAcbzVAFrIh6cQKGfuBUR4Led2mJePP72j/8QxGgZ/b3XkT40xmAnWDagV9Au6F53t
T3rjwgwTo/6n6zqt3inUMtuaO+8bBbEBy6Qq/jAh4YJJ5Ac3NpqZnnX9u4eavY4qPw9WGNnjGzGr
8Hooh49iFlDs/YGbSZ7AqlPaeqwXqaC7tR3VbRH7Gh47cGPzb1Z36taPl/BoSW7OJ+o/8Sn5He9B
W0ymWk+wqFddsYz7SQqn2CTMSQcmObLG9LkUFDRzo0rmTD7NOV4HVrTpbxUWAFMc51l3hYZvEvOe
k4yj0N5l+U3TW1nvYQxWzxqBn2k0nvtdlcz2e8aK5EoJG4Ek6NJzFESPHp7TXZ1p0ph22eI7GV3J
Tr6rDJDzmjSPdMqMUk2ttwP7Lk6CiMVtoppNNgoIzq43HKj0ezF5T3RkVC6hjSZx/GdX9cHOl351
NnryP0F2gz2WgiXh1An1MPM8vks9b7yzmV5YS5h4ZXtLRUkUEQeiAPmVwcW5Mpgx37thDmDneM6X
zqqvbGyLXwXiLIdgRvsHUJoptXpFPF9planrMhwD7q6R+jCYQJNlzl76ISLbbLluux0Lx7zHgx+e
i4gu8FXu+4alhnhHRoDp1NIawvGkgy8Ze97irbvFt0+czyx54P6a3PjZ7Ec7GmlGJiD04/dQ1smx
v2ym94gQ88pzCUWOWPGZzn3lXAuVIa8g2GytqnaTDcbSfm0XxrsCF8jjUixeBle+iLCbDAAEQ+of
0lUy58V35s+tJHFLJLTIuuY+yS+tKZKwWLFqOM6uRTQUEefIBN9p12Jy6pqoue4Q3weeHZn/aDKR
PfRzYoNWCvgVq8ky+1DHiCmjYuvl2fQdKOZNfwyoj2AfSn60ZknLhBndtEKU+7pvsk+UAHkIhzT8
yWZXfTTK8T+YUUcuBcGTLesCs+Do6Ti5e1benvFU8IfxfK5RVyJrVw1l6p6gSZJy8mXtvkh3jJtV
1ClJ90OY3UPc50Dj+BDZ1R7pgJfd4K4gmtLNZxWMDk0/cn61et8lP6qdHSNYv0mNIFneIHdIx4h+
FQczLXyZCK/apePcz30SlRz4dv+VVh67U8/obRYSK19H1qgfchvfi2eb4RxkQ38TRPV0T0gqilfa
46xuNe0Np5jrDM1tX3hWurVZ0K+62l7wM/o4hexizwYSt3mgmoL9fTkRzZpHHd5krJMgI3FKykRw
Qn6J1rrmpDLhiev4IqjhWDVDtmHtFryjExQ3Qs5PrYyjvcdC7sDGioqTcrwqizrKN7nvVa9zOjmv
S2OyB9S7bosjNnqZJwVqJnTGQxoQdd1ZSwO2TZC/zJxKBQAZsdZlXoxnc4nbnwZt5il1lHVtNVZ3
Lv0Obwqrvn6PpsrYJV39xW5DHyH2EUDlNwTJWoS+XnuUZulXlrPYxO3WxV/J3wk0dAiqcG3ceWB7
GM2sAp3wyaOUgXB9Ub1ZjsKW65SMRrE/4XuR1UOdh/mDGHFZYaTMv51u6lZh2XoPsYfU26voMU8b
7G6iyd4qgAjNuvLiHqyesG2uluDQh3O9EwJL44TJl8cg40ZijceSFp8N1xhVpmo55sSaV1ykW+qx
NswaN0Vdn9OBupjJUyScWP6taLQpQPzyZd1jKAIMTqdNjo90MvugdM+dBxoZzx1krNK0ByZt7DFR
gFwoUE+zFIwuUJVybRF2uGOQu4QRe3FmoV7u9EyIqxuztzZvhzOTenSZvXrqmlD15hwsnk7MM1rG
tCZ8Pq9HctoYVUE555z87MI1a+zPr0kPKykFUQ2Hg+oWK3DSc0/B+SGeJmyD6WhOrtdKhu6ehL7w
yau2Jc0h2vMu+xSit4pqVOYHdYeIczdV6jAFR7xhWETbJTwsyYjG6VHI4BffYwaCYEBAg/Zg5MJR
uKWXNNuHjdlghfppGtq7ZoSMVRfHN5VdcNofp4OG2LvWXnRPNGM/YtzGRrSshp7ba9NU8TrB4bvJ
R2ljD8RdpQZrN4eEMWKvQv5YSvwPBHS3w8RtPot47BZWNhzyccg0xEMS+zUqyLZcgvyU1651ro3p
PugOAY815yPRq/QuL+JX6l8fmiaCPc00DcWKm1HhhbSVqfY1UiXzUNMT04zF0SzpT5wzY+QzBhqs
VuNtEZvqkNMssIO7UjJ32y6OATs/spO1zz1Fbhht6niH89EhnOEpVF0reoqltLcYgwBthFlXkBsB
kHCXylbScRcue7t0/FUq8unsIhVdV9WoftmuYekFAeMbPgq47D7MqEqNiqNyql9caPFZLMXGTjWW
MNSJcwVPnPY7rtRLFdui7uzO3BrhnqN2fozD7sYXJQDFno4Bq0wh9NWAjK8s5IIkaLNNl1rkUIv4
VnvpravYtRrPueWcxNrfD4GOc3vbSLQ+bIjt2TgFlpBCiDXX+JbtyUteCZpAcYquM509AT/5hnq8
jTqXhcmCVXihDnmNU6nbopA8+gYnFr1TEqS4lWGUgOHWt7HadTqcrnQTvbq1d0Vt21MIxRqHQMZs
wmNnqpKPpo6/MTMtifu82JBjkvay6bZXIoi3vdT4kKqz73YTXCs1Hvoar7weZloayiDdB8H82gv3
OyTynlkzIOdl4Pji5v2xzMRVHUFXyXxOUxRZY7BT9lNcB9dUFAVjulX4Jrxk2Fbe8oHiwNNiPHJZ
3NHohZNZM1ZBCq7WlS2h21j+jVdeLLyoRhuqTfYW1TG0ojp3ISolRRPt1k6aHSq9t3PESPBDXR7j
ecnBavCs1Qw9DmTMc0/x09rzOm6wFI0kSMnVxXefNB9dH6S8CD7QJF8+hl58UFMD8LPP3oPYyxF7
OTL3MXY2tLJdWIU8fHviOui/1tFHEyL5oPytNZVctcbDcXcpAozGGiCdZ9E+XFnJLvG95pw2PPFk
cCVboPdJa33nc3D5sYDV1PxW4FkzaQMVrxp7sxrhrJWZ6+EOj76smC8vOqC87svg0+tjkFImGte+
ch08ypyU2uAljGgs9FLruQ/pvnDkO208H7aTgvBT9S60aH0I20vMHiMjp6U1cfdLkGbcirStV8wx
6yJCrIyiojz4gSSDqYbNXAcvUwfeRUs6Pee6vxkrCIE+549NkURQcyJBD535ygkWBFQ1bxCGz9K0
YDVjgGkNTTJrz6FL3M2juzxK9LV2mwwEUZyPO6p5d27mf/gt99eRkgsk6w9RV/QJ+rPZ0ArDF2ho
s63xx+ynqiHZcth5LYXcS3rTKp5PE249kIlOgV65XFlJvem6Bfgonr0VaXaQh1JV64YQ65BMzyaV
z+kl142592EgYC7S6XcHYtpV+oY4GieI+TEB8b2Ky+VtqSJ3HVCARUQbJc13xo/Zjq5NZl3bmX32
U7kJXfOjHO/RWeKvIntCdUMPmS/2QTiryhe/alX8ZMSfl6XgOws7MqCbI5kQqlk9aBASqp6QhTin
ZIV4SvGYUdDccUhcjvNgHnKruqLL5Sl3DQl2ICc5pH+BCtXXeOokjQW40dJ1uJiHSCzE7K23XFoQ
0csrxeu2kvluEdPeuGpj3KGDBxGITTqkH9g7HMwqRPyxZOJoAZei4QSH9Y2u860/Z/eu4KCygPlZ
qj2nlg17CJQYBM2RsyOCmHHYu+kXW1QQ4Gfaa6oUxqcKHhK6plguLp/whm4onD62sYZ9iTs+jg7R
6N4g3N4ByGAxlMqzN/PlYWokDcJ7txCF2dtzPz8XEHG4PLX9NTokEEUwIj8WnqYDVTZz9vjvKyb/
f3LI34km/xyb/b9QMSEY9acJ/4L4+y/zwoUh+B//56bppk/zZ8nkj//hr6LJJSGLMyGM7eCSEPzD
nPDX8Kz3FyB6l/wrmgqmhT9T+EL+J9DZhNBcn9A6XoO/iSZ++JfYdkICr4Ds+LkwtP8dGjbqy58c
PQF/kIc8gUITIcJ4vvgH0QS/U9e5xlx4at1w2xaD6/KwrcK7YpIuJqLGbl5rv3O/CHRjoTRNcCGI
CXt55kQsn0AMVtAi/SK8tUi+4i+Ocpzgf3o3/4leQvbzYiz6b9/F5c8kYEy6NiJHG4ae9w/htMyt
+rgMQGqwHSvULofNYq+trnJeQS1Is7YrPKorG24LT/5FwjatMquosPlhMV47bRMPe4uKYbFq8PVc
/AAp6moJ7OOnHsMGzpDGcH5QmjjDOsPviciKDxJXHNIHnFiHNEk8ObjT3JEaGCjBmf05DF5K5Yas
HHNT0w0IDdtH4N1l9LkPO6ZUt4YS6KrmY4GnAo7IwUy+tVhqDVfYg6vwuyFo/xipkEBNRx/qdO/0
fYLXdIzDy3w3c+hMrBAKU2h1mDJ7apJY8g4ZJtk8KfEXd8rvxQp+f12vbFKyw8kaMtYj0uTBR5pA
U9pgpYlP4uJaYYbGYXZZUiafmVvCWSJLRh9JrH1ySzWVyIe69MiQmqQKIT/U7Li3tZk7c/J84HIk
myTCf+6nLoqQAcjh15ym1jaN9S5iMuenjaCjE4N5RBACLIgDJ6JUSYVcEFlsqDQPfP5lmZjiKVNT
/CNcB8fnxFFd7ucsxnuibCYBlu6+R1utIyi5W7kBWTQoIjBPSX4EWw8HWrkt6DChqAVI121MlYGz
s5l7HzO6445RztdwRbX2ah6tiWZZsigZHb8I6JM+U6Zw8b2maPt8Ocw72Wf9ZeCGfFZFPnNqjgKz
AQPJUTuZYiU2VtGWL/WEc5c3ue3NdWTlUXRw6lbJrRvRmrWxaLDA9FoGPKt88q3HSuf272TR3T6W
tjhWXhtVu6ahqmAdjLHYlt0CPVotEOC2XtXDuemos1A7LZoxv4HGlbOxzEajN6ZgiQBYJZ+Ts8dm
GUECmJY+paGyYKkNs9bHJrLKeN8PPe+xmSWrNMvMiGdhKqz5o50oQ9k1nKN8FsGR921HU3pBcOOd
p9OlWJpuua+qAmtOVg7Eqsgvz9UV7l+YFWy5ZXQWtNyavRB4VTFJqDIfbk00uxkd7ZZOyNFxgX9j
S7KqNyebZNuTH1cWoTwdREU47GmijMOvgP1o9CWRNwiCEKnpDMhv6YThqxyIkRwc3bX+1eQvo/VY
OXMS7ApHp0DMbTtrN1Wm6ZVdOaolycdTEQHRWvkm4f65Ao0o22W3cFaQeGVkh3tlTfVRUOwXtlXp
pySfiDQACmj5tmx9WQjOY9CqA59qKyUu7EUCroQVthS39hwvQK/ypfc1R9tpAhw5j/b8gjG1GrZj
588ChTnsukOix6qjT89JnVfLy/sSG0EKqUv7ffWrCRnOHjq3mdJxtyhvWVAOKJapf2OvMPk9aWBn
up7Z1lGePXk+hz5Wcxc+WMPKFNGtSzqrIRoDf7GGClIn8+Hy9e7XeYINWjAEjaxm8oF19bGP7fSt
qUlEtSCCxYi1CceRd1CDsAUBT8vrOLZMS+Y8WVMclRus+pZ/SgPte68APdv8gaKSMU23XEEeMyX9
gknUbpXnpNYjb7aADiqE099GSzVIbMp91XMTxT/l4LDCcCSomhLT4jY+dUxeiYeArmCD/ASrcUY5
ldGUHIagGNKboYp1++O5dWCucTxovL/uUJGWVBPWZxsaKcYTPlIS2dtqiqL8t5tEPXhN7ZpsOKZU
3suNQ/PvjXbmgSqoueHsGZNE8E5mGF3iVcjo0uFkSloouaUOCqvLvsoDu7iq2+kiCuepR7lZ6zXl
cA22qYuvqZ8M8c8zWiQxl4KJsTJNXRUHT/RG84HBTrMmptFhjscWVEthDwdYXGQgmsjv2cU1s2+u
AsGxfdcGNjYZr4wM+1/LZR4ufEAwTFFtPju/onDREj3TYRfoqUY+ohHbLzTilt+zHVTrpc/2iGsH
2hDTq0B+2V60dbl61xFpGGhIPXXWOUKawpLeOxK8+JKUTHZ03oxs5Cb1Sn/Oshdz151Ac9Lxlocz
AS5/Tp5ileJVS216cxn97F860ta+p0Bn+mwrNDZR4i7ZiZkYwYbmIlBM1NaFCR4cY9nHphEOU48O
3owspjdiN9OHQc+L6O+7iJ1xQh1Z6/c2+1Iupppc9gEnhtk2IdkDXBUW24FOV0zRy8RMHY7diz3U
wS0hk2EX4BDaADnL93RV6kNAK886KnXyUzU+oOxKdTvTdtMqYTNNY5E/H6kQ9459WJttFiU4Pugb
xULS5O2VdJdgB+xL/ZI2BrG641FjV/EsOMFf4FS56+5gGrY3S6LnHc+t+dek6vyEooxKDIDzKaYb
8QY7IcayZeLjnLTL+FTWjo/QpbC7+fCNyaCkujm2IFWPSJzte5WW4QEInrm2MGhtHfbyN4El9YCz
Rim5sQSxbB7NKgM/TmKIGzFfWOacmZkstcklg8saPt2I1Mcs3QloP06Skzcmy9G+POkpEo6PdiFd
69oHmVGtW1ZNv6c69E714Kcp23eugiHQJduWUPX9q/RpuVoSGQYbSgI7hGrW+dvW73i81olVL+zL
/eIt54nTwsnLRb6ZBkdfFDHhTO8iFf2Iu8x3+1Xvz8PrYvd42bzUpkXXNKQBt5ReFbcFoQ2SuSFb
qKCccDnmA3bDdRJNkUGmc9T4BNCL8xOtnyVSpZnyktZPoFoP1CQTBgDUWuY/qTWxS6k8br37pLf0
ON/IKXU5BGDrXCxKFupJvUV1OYgQRF9tcbMqEwxRrHgIf/gwuKCNZ31fHW2G0ve2E/A7IBoN3WEu
3TuCCfHWraG49i7QL0cb5O1UXVo9IGPRZBV91SUJpjT5HhPbPdbERFfzUrmrBp1lDymSYoU8qO6r
pFnW9Iinv2SSPtpDIG4ce5lW7lw6u2rhv5Zm7nO8jZa/xbgJ6NgH65qVWTyfwqHc+NrntyJX0jVw
0df2VLXphAIojzBdmaeYBdi1J22UuauJjes6CdlrEGGadu5A6G892lN+rzgYwv9Kra0PO+9sk6ss
i/JNFF71ksuwJOnE0/9iOWWjNMrQslbK86hEsDtaClp/6jFuzeoN3cbdzKlSL5gcxQXfNEB5k9SB
ZbZtX6tp8H66MSQXV/nRcpxqgiUbwCdm2Lq2L8Ynlm3w9VkPNyQDqH/eOvM40WRl0ig5iASKNtZD
cId+c2cQEDaO7312bmH73DRxEFW4cjZAqy8Rb0QSn8TvuiKgBCMutnHTVW7AkF6Ne2GDLLCcqtiC
vn6cDX1yy0IiBbvxuKX+OHnGy4VvhK96iZiH68aifYx2w7PxYHbNejwHQyYxT3W4Dd1uWWVJHayX
vL/uPPaWLsfqjUsqhBs4Fs8IeTTvq2YlCpxx2FLjQb3OISg00ds8ISVXq3Kj5KacqGCgcrEhVmZf
bp8i1d6XGor6iwJKVz8iZk2s+LjAOQAh6eZ7xy+QDvG01OO6ZQmlb/y8bQR1YcL5ZJyI0j3kwaTY
tD4kphUhQB8Hm3ZIPMaXbCAOLapUJ29i+BprrT5cHHYgnYOxvw/LoHUOcT131jMBHZ5tmrbmcp9E
dfLbQbnGepEA2Kbew3c+al55RsRfTZLeDtwYLCOGdNpGPptSaqMdEZ7UqMN1IDVK8DIM5VtN5fJV
LfJa7+cxHFD9F5qVQZxKzOHd5IXE8CDgrjgf+UwUUT38qLjgjYPeyfK2IyD97VF59jRlefZuJ0vQ
bhyZthiBWakQjE3G+b0QQ051DNwYf93NuOhuONWXah0CiBn3sMM0Z73eAbUZYUn88cci+ez8Np/g
/9E7vmM6qV8q1n6/GhmogQ4FEKEr1ynC4FWPdGBu9TLmZLEtrYcDzaHjQuIwozppJgqQ0kdJKOGB
05n1FRRS3sLWU/cJKxLsxkkDRhIaSwPRhhTVkbPc8tsbJ1gOk8GzfeDLgaXSa3xDz449XB4XCXV9
NzZRwvGgg27swN8OSLFd6zrzNq36AGdRINsfuSQhTsKAOy7eQd84W6q0QhJX8Yg2mHlD4VFY1Xk0
ITkdEaUe+DD3Dlz9HxiIK7mdE0zCJ4eEVX8KDCredSj7GYHK4vxExXFX/iyV7btcSfjxboE9RSAF
UmrBISLMNfS70qppeIELOG4s6COfCagPauQEfYxrb7LLV/jIwa3ogAQgOsvl8oiU6bKWrZfigfUd
ZHt3aky41lHCasyRZhlXDlopZigHY/zRVoiAGw8/eQcEk1XpSce1+VViDLWxCuUeZZ5zUr46S1Gd
oGoPv1XhFNejmCVlToCDf/ig4lvVul2+bkUzs0GyloA4Xlo1lBk3XncjXM69JxH0pAQwz7ZffZmR
KeZ0zSqrlZwYsNrlJCAy7UJSnTUWUhT9iONROdq8UpmArRCXMOxl2XSZK/OK/ZqHb8/pB3Ukwhy7
6zYqe04rML5vKpaJem/yiOWe38wlgj4LYUD99QILo+6aFziOi7dSIBl5gaMd3PmYKuCu1Bk0GEwr
LFf5rLx9yj0NxAaMA7ly2qyn/0Vpr6E6KQlmPKGRq4sPUhIDPwxHb3ApWx7FCjBj9Tjqwl3Wdgh3
YT3ZFYfPKUtwpA1gaS6rllzRLzCF3SdQZTNvlelTJiEz/CdlZ7YkN65l2R8S20iCBEmztnrwKeY5
FNMLLSZxJkFwxtfXYt6sqlTottT1UlaZVyl3p8OBg3P2Xrt9BRNVV0CWZPtJQ7S4ntuaZGmnsh0A
QAXXL0I0vfPF7bgndLVlduWsHHSmTZVH95FOJPQUn0prn/hN9RLoviU2sV6c04X7+bipEgs5OToM
ImbnUQVoW1oiawb8f/ZORl183QNT64/qTKs7j1vO1TJIIhBareA5Jm6dFbthrqs31JCCf2EyhgZx
PLM0rdq+rpvMxoA9tc+2KN3Papz0BU3/6jFNXJzgKYCqo7CiY7fNw7a4MKWHsHJGl0HHdnG9+zxn
QExZFzeXhqm5gGbZdy6IBwhI/Hi0E11wuBc3PcG653oMfQTJcOJ/2L2l7ksUSp+9Cr33VoUxSnkM
IzHYn0y+9togAUVkUmMUDkV7b/dzk0EjyUGh1nVOxIuUXAUpJprbEMG3d8zQFiEK4pHM3woRyAu+
o/R9omF8Z0VefO6jUCUZLEI+C1U1nrG20L5/mPJEf/engS3KiyY2fhe18gdXABZ8z7UfAGnrFo86
EARrGpt/Bp9RP2gLGclxxvD+wlFlNu4RBFOUqKCmyzTGDGIR+U8P85ytwUQxZftaFg23KEbjH33p
u0+6lfn91HEd35s8ip3bMJpa5N+ydO9nnTNJtyS6J1kUDEO563LS5bFNzWJgs3Gkz3O3c1g69j4b
EvpJYvSIngursCxPtDUaMusY4DbnqSW9HOlnKphS1a2XX2Q1yOATvwyZJ84zvhb6JNVwkcAJQSXh
EDYskgQciFW5aXUSo5vGezWJ4RwcWMSwVOHzoGhEzIDO2Eqqk8FvnU/k5M1ryxkR7iZhDzmklsF6
AwQumYnZBMJ24XovaGKQCOSkCppZ6dr3EI2h5LCgzX7vFzTQIzeiT4ejmuAjn7jNjWO5TOyIgs1f
wVgt3Gjopx4iiX1/0ziCWrriEMY/64wYe0aOvTNpfM/j09rsuNWCWabmt+7ho2YitilXWPKGzuD4
wCyHf01VDODDZIv3iQSANLmstMcX8OPWRx+EJoDwozVxbUYHZEchdlfnUubBE7RwQjpLcjE+B8FZ
uqN2F1edDIZ3bMTduZIB4w1BEfniKCD+XQ5jfm8CuOwYBMj6ookbAsmxku9Eqc9cyETgQjr2RvhB
XKxDDGO9uCtptNT0atGtbQrE1sO2xdVlkenbCHiwVgjrIFoIhUiCUZYnEjwXu2O2hPK8iykFQAfJ
kvtRN4MCqKvGeSHDaq5vcD+xYwe2a52lIFrAb2OBF8eLJzB2Rq4JOFXqtPgceHbtDjO3+1pBP1en
wlrvzz56HtZVSavzCoNQq5n5oZzdJqEEvlXjoMP3LKV7oYOC35Je6v5HIXTjHCmkj9fAhBryu1kj
8IWr2Hk11IY9rZK8fqHGUA+S53iuw96z7+FNB+QkDfQGmAC2ct6ZOtWKRemCvghHvzp1kpQRojVo
5y5p8/BZOXnL1I2O7nVvmQzBVzqJ404MfEwcBhdFLeTbGplyMxd58Dqp1ao1UYJ8MobzXlplaCO0
1qSfubPwN8k6NPalaTndaqXSK61XoGxCxki+R+YCbc/qu8q/r5ooaCFgx6C1QD8rbCCLl1+FBH5c
aYJLPCZdzRo1yc8PloyaEaMAOmtSMlkA2iA8tJnRMiN/MU1FHNbQ+6o46zEe8fYWjkbqjZxCWYn2
RymijJAYAito2sqJnG1R5Jq7Qt3E0wldv+6mHOeg3gT9gnYYHgCXM7VYDYvWb+wbuwZDwCnGJPjA
sQZ7Le0tAqzb0U257BQWo7U4hYkMKKx4kyrnxhsqZed7PbuKwWSadt5xIRjI87UMzcLeHuV3livr
aNN7OnoO4jpb2I0H6xlzS8HYoC8HlKNeIpkpuE4/7pzSW15FC/qKPtQ0XEhPLs+O5c0jLQPFfQmu
zPTAaFZfa0e1d4XvhZCQkcRtHLdpOlKGelnuRmvOnkuf9rynqQNYf0IGNGnZTTfd4NQfiWorwrvc
nKrKgc9Jz9wzJaS6MSSlvBEBdX8j7qtJ28v5YjzkbCpQpN/hN22TE9+q7Gdj4SbH458tT8jtuNyZ
OfDf6UBEGYp0GwSaCicmDiPk3n6PO3Ve+RVAx6CMC83QNaOFMTdd9p0+Y3qbB7YCKLrWDnS5JeNK
/P0dRqMRXortDPkTK68lUM6yR2RqpcPAgYAL7LHraAcOdzBhntAJMOldpFmfG9sdk6fFH/EzLAUb
Jsx2C5J4H3bmkstihhsVKyjKMotZB9AidEcBLm8ux6w4vLBtNgGBaTuGolzsspus7ukYQJTJ7mQB
tYWMk1RyDhlAGdQSAu8MAHukPk6WLRfdFMR3nH20WQCAzscjp9AI3JNrzKahu/extGYduopqOTUL
Id5bh8eCDoka81wyFHH3YZFAORF1dCS42vAVVGqAC+TZ7TbrqlVBWSgyr0KQy9Oebzp4peG9JkvU
EtjGPAB0Z7LEi9CLC6+0DNW4rdu6uh3o/2ZbScTDo1ka8zpn8/i0mHZctsRlUzHSDSxJK0gT/SpN
NN2CR4ebBOmNkXaa+BOD7RDR6GYBkvGQRUMK1Ct08oMDhuaDpGMu0FXqiZaLDtdIGlW5vqPZBdhh
gnOCJCceOd1bgB5XedKv1AFEeiVE8JajhVIAchRjxxZ5aSGuDFAZZxMGdX+aB6LA6kZVA6Rtmc+c
BEoYJwXxQz7+S8Dw6F63Iqvwj0Sri4Bskqy8BH/m36WxFzwMQ8XekeIqAcgAnxvIegutY4xX5UAz
kvizLVurBl8Vzmscbhy5F+lccT6z0B2CVeJKo1hotK43mJTAcmPDw/nVdXWTHqXJwCCRwtlYxwg+
8zuQtLQWc6oUXFGic47QxcGM12bqrnSr5nrrcMIj/RtdWtIqy27Css5scv9ogO/Q19Q3DSq4DwE7
j/D01JXPnRLpWw5XEgZwEED9miWSGOqP6D5vxuC7UXVYoHRkx//Bz57DfUj9BTDGQuHACDYRD91A
3YeAk++XnoLsiJ7opuLV5TsG9F7P/H04uDRk9xlEHzvbHKJRWdbSa4QW1m+sLpqfcxp4MRCrueHc
xA9Tbr0xqUihku11FgVNd439EP2Xqua0OI5TgSAKYQmpaOi/o6OQ7AoyPZt6eFhpVUeUsRWDFBOH
JGJ5cXAf5y3AxBLPuUJz7/okhQCtAmQ/zNQnJHjTUO/9CIR7QUmHi9C/wMcMj46wKLfdIwhlCQeo
0LxdKcfsUqR98qOPNFOZkvAtkm71hF6L10XsMcAioO3YTOFn7fuVj/oX+PJ+TCUynzAaBlRyEzTo
ssqG02QIQBUOleBSzX5ofc9LupYbky/o/jRiQJesEp1fVL6c33p7kneE1cDcquyJIQu2qXDtKlf0
qaH0Afzhc92mBN88wlidkoMns3I8wZsZuXsMdoS10vZG38XNz78IpigN9gOxQ89OZbEisfyaae9A
FkKibVnzjzr3ivwEKYjDHdLVayStws24LfXENu5lFlETiv2FxLwpMvORalT8DBykYpqhs3dLKnK5
BDMQcczskKbr7JApxiSLmmETF+xPO2O1jTp0HAz3XL07TK3+qMCHKU5AoEaC04pL7qdkrkjonZ96
RPuaHPmVkyfFanc3DqkmrlU+aXJL3nLiy64LkNFkXptcPsYx28PejR0K7to1fLvFYPHeO/Lk8MsV
uDE3zMbo6GppR1foofLrvkuwGClhI7Txqb9QpeY1suHArluWS1whYxema99ZxdObZougd12vuzWi
8+6u9xB2HQrAflepIN6E7Ml5KaxTAI3ZRykWl50r4Q9tJqlhuxZD3X/I1HPp+DhR/1Lhaov3HgJ1
EA+gEIjPAfb3ljCh7kGLju6tKCdx0QLQ/NEr1xCx6pCnA79BLq85cH25z0xQ380ODda9F3vzlRXU
oFkZcqIf80XCT9WuYeQxdlVVf9pnEAwpfTvyZKQaaL3RXfI9fnIZXuAkYP9Pl7Hd9WCCiBPuIgCo
oxzFcCgK1bfnFRUbiS6pJqumFfm5Seblc0aJSG+y6DD4pzHowDjtgisxJ1WPkq7i/aZFvaqNxuoB
kiwbGfO64gafFWRmqezu0Uqb8o2BsfdiIvZ1FEcMPhxLZy/2FDXwaLvWPfP1xMlQVgOJDRHAKPA5
jGixaoGd5HwQQuwcHSHrL0OtMPsP2LxvdWKn3XaiaXDidp39oaxw8Y4VBN1sIyvlv4ZR2ahtbzEf
zcag+kGrcyLTpyq6HcJBPPDOLMjuM8Pkf0ytzSXaLO7Z6PuoD6U7sSxHZzZPOHszigFrcm5ry/Kf
PRpT31NNMMpmyIbqiUMAmxoH4fREpiFILt+G3AFfMUf10TbSv7eSdvgUmSq/c+FUd3MYOqe9Xy7l
iWJY9iMjDybdLUDAsDhmtbiFXey+0rFy3z04xMw7bZIYNy188Hofc43e9RSyJITZaV4dW3UW3Rmm
Lfama0GUb40WZcN2OCf+wXMQrrIB6WFJSfBKZ7NJJx+YRxXq4A6rI7a9du5wQdL1bRyUKWNBMV9W
BEebbCg+bASiNveUpGsQCWLb3xZzxIUR+wE/FNd2K+tAMyy7SjxB6GO4hNED6hS6un2YrWw5JqDj
JihCfi4NdCgyZd2+z7aox+vqKBkWRnxNH/jHadjwrmezksedEcEqZKCkPV86SXhFRGnLeCh250f6
v96PuScSaK+tCnIncACZHTtMxehhymZiaDEkaoewNj8Ns0D5G4xP1hnHM8KTaujDEBsqGOhd4xnG
9elaMW47x8ZUSb3fhqcMMwHhVd38GRq3+h5QtnFn6JR5EG1o2nN2HnqWw+Sqm45RUUtsl10eah7Z
++BWvtqGkw4ZardAXwcjiOHDShZRyAYrnKEXCJ/2XeUEVyUqx72uK/9HYiX0GUmIipqdR4cEgWQA
5GrToJN4wkYXT9uyaLn+tToInwfOevowUzw0216lqCfTXs/RVkElghvedLA2Z1v1N6otvacIRfh5
bNnoMxRck3WVDENH8ZJS5Zi6A+Vo3EWWh9iTMR0DJDtw6TLsRsdCe821EsJ69/EpuzTliuSp6gKC
y+uCYW4/Fd5b5dbFfcXMDkW0bnzm5K4goEmnaY/piNHTD+5PacTyneQtd0UkUtzLvWtgEDPbs19o
aj2/tLm0rCV6aU8tDmVUWT9qRu0fgDAtroDBZP/ouPzm+7Z2qbdmxM+AmkVLKlRAE/7JFtbUQd2I
WNF4vOJj2m0GIAqo0+rKwKJF9mHo2hypoeQr4dgJrkemWNVx1RjnZnTo8LNC5+61i0Pw65CM9ZMl
sua9c+BJsQQzQiNF6HwPK+M3B90F+t516UhvpWWi6xCXcAhcYEZ6jlCd8oj7OTFqScLO1qVNVnM7
FowjHIsIvu1cGyqDWsbyTTl+zyWsW1PjnIARPl1tGT7aGUk92zZy8oshiPnGZk8sd0Y1YE5CXYj2
wGoEEJJoWra3zNyjY24zHh/HOm0qnV+ifeDyYIV5mT1z3aOp6o1egaTWkrd13cMfowfvII2XAqba
bIJxPgnGmkWVaOikO1Elw0PTFtldPzuouMRidLcW2Tn5UINp2pO8T+fphiwhPmLFMJiP1VNoJHmB
G55hq+guSLmkmKThzbRTYO+1twZ8Z3IY4PSGm4BWL8VwzuEWUBClJ0tNf/zgy5ppWtgaJz92szVe
ZshwopPtlHsEN1RZf+cO83CjmsC2OQy0c5kGjn/TsJoTrIJuQvmLi5TKfZyqdyvParXtWq/+zjAr
frdmVtaG5VL0W2jF5W04FPJubEssarwYzqUqt/Ud8oOk3jNBSx5tsDo22D3fexO6XfTBsNw5PyTd
vOMkLWL/2O69AZpDuNRweloX7X8uGxcZeRxQnLpA5GcQHHWSnLAjzCMTQjP3RF1Z1W00OPZpzQ4N
hAkZj4ccMTOgykzJMbKUFX3ENs56i4mzH5U7R8wqOwRDmNGvXk0hGwJJg7OpDruZix5svU3PO3pM
VCq/g9whytGqlgSVRFjkN4HHyGWLIIWUr8F2i6e58+l+1UnGbQs7gHwrolCmhz6iTbTGF7QxbN8B
uotH0ZIcBZVVs4lbcaGZBASaxuWEpn8HMpcyUFoO61/pRZ5LReTdRnW5u+YBLgmKicRTpPTh+3DP
HH7h4ZHNJPHJRmFoNl3v6KcO0dp+gINPjJmaaUGPlpqxfoRksWy4fJOFjjOF2IK5TG5BaNgoDItZ
rBQmjeO0cmAmbAOZp2/jwnBjz69keos5QQI04KEDtLK3u4+UAerzGBXmVQ0uFVZg9xJ5AnLEY9+f
mKJInuf3tm3INc78gXihEfv4ruJyT5YY3axpizKlE1vUdjG/XDtL0FS1yfBjMKi/cPwMvr/LigGP
5SDZGnEsJZxz4SiXbl9I1360TLLSP2NRA3JMBNAErinJwFC+8nGkoDGjnrU9Ejv7KSkvmDAPwclM
T+UqgdBaHZAajVyKusLccr/Pl5e8VsWj49LcxVcbyiQ6cw0Ojz3/N/aOGP5SWRVMhotDpzv/Hlcc
Vxw6DR7/WrvVLnTa8GiwOnYfLBdyYuhlWFnCgb+0Qdw6POmsGD8iHGl4KJZwech1PC8bKKl19wCX
Iw8RQPnLLTMYvnagSak+cothFPQoBqe9pE0fhifVIuRlRX4FPnw8mWSV5hrOI/1SedUtK2skDRNT
7ZkCDuABjNOqQx6oBKKZn3GJilvOYYZaPW04jLX0brBBjvWhBe817hjOjx+uVkmOUWIIPha21jvL
Ev5RihyLq2QQA4hMY2v2riavRHZKV4cWe4fc2pwD7Vusg6jomtK7GWhfCfLF1n5Mbs5g6npM/5HF
P0wxqmXkigCitoIy+l34Y4Tv1e6iT0vLMdxPkhBbrkq6ugGXxdPV9Woh7qsZjGua1xY33hpJymVT
uPwlrmvXiLraQHOqp5V9AZ4XEo2ma4KoBWgj/SFlr2lqncGCtRHszGpf9p2pdvSV2suJjhhT2IWL
GGMci9TFbiAyCI0Jl+mj1ExRTKBpOvbb2fPJ5Qj5sdPhT4R/S9BrqfZ+x/RTIFHiVWO3oEGLzBwJ
NtUNGj67tI8ELhiumnNkPatiCMadxibYY+AV+jxesqkmElSlGHaWyfIOVpAyJcGLxQWsMG15Ey6M
XGicNgUCicSaLsgRaOVRlq5fIVPZVnH09NlDBTIFb19Z5s+cR7inYbf1P8DT0eZjD8VDVOJahfXE
PBgtgFeAbCFGY/6ownF+ALjDjGkkGyY5WKYoJhoEbruc5l1YTKeDR0f+kMAAYhiCguaO1J+aVDEa
1UwZlMuNi8mfrM+ZMqDQK1KZXAIQmU6J+p2Q6VStuG1jipi+DZB4OBhgMJUzskzhANkcUknbq0eJ
+FUfhO6Ny4x69p5zCZ8YZq5tPdaIZNFPjDEsWTMlvndFyM8S7tBE+xU6j9SDnKOdLKKEDDEgkp0d
loe8i/VLS9Iwlq8pl7dDYHBBzbzazGoCkeHtG0tZ2Vk/6ZlJcVUmx8rrGASZntvrxjgqtfdw3kNx
PA4gyW6BJLdiS25yRrkoynDcISxlmY4CAc9xg+C9PwNLuMIyLHIkmOh5/Q9uUzgBCSNpOYHBT289
LjPORTUal5UWMSjbfyM6t6vZ0xHVFjXIdOzYySYly63dWgPn0+FbP7iR5c+m2/a+SQgQCcigAA5u
xhMMZgzAiImZT5tpJK6S8cuQ72SRDUzfVaJv2zaqvn+rChcQUr4Ch+pipj3lLt6FNQ0SZvMIYeUb
Ox4NUUTzW4xjYbttyjx5MaGLTJ3KEJeU7GtRH+aBlun2W63IXkefEm2pIN1zXMQTmel6Hh5Gk+j2
8K2CbU0zDSFbBvPVPYQ9WRVHyBkSl+oAOsl2KlJCo3PfhdCjhpAYPvx5nPoBTcXsQBbNSLqf5CQ7
yf3YE0ffAos5cdqH8bZMcgpWl+6D3qA4dp9ad6aj+m1AUgroq093OUCl6QALbrKPEbNhY+L5qptv
OH40G3GFnsIncmuTjkp92pacPFot6Ep2Ds+TSYaANXzoQvBclF4Z3IE6CfTpNw09yx61GGh9GVTt
sQpwJA7clKCNRx/fyG4gazwYAu7KDuxvPug2d5he0yT1rNvGC1mE37i6+nTOVoUIIQCkWgeMM0un
4IvUxtfLrmQegVaYvB2SoQff2rKKeqzi1gS7ScU+tCofFxfjL0ZW/Oe1/dlUmLGgdNGgqtoGNpAz
B9ZlDB+h23wLbTgvbjUV+2jR/knD3R234pSPzz4wHXfzzaYqbvreineoF/pHKhGjjkAONFdGMork
/K5m/lg2DetsDQt11OeAaZQNe5Hbao5aQiM8Qhkz4f51Xet6FjLsGXs75QMQiP5VT7J/GSE4XWZJ
nPib3kqx+nbkEW08j9SFbVDZ1gscTAsBJJrVeoN+xLvxplo/064Mpw0IyVWUnLqNxJopsx9kUws0
+U4z6B0VQLAV+Qiuk0Nivu4Y5MY76kL91NMZXljfehztToMVgmGLcl01eXY/p155i+CuO0MJPFdH
C7wxj8+JrEElY7cQ5bhKNPsRUQRBwjSjtt9WtYI9MM/cSz+sqHvKiIeA7de/N+kCCaiUAYYLtyaP
TKP4vERjig++s+PgFNWfOrEnp/6++JZ5w7VgXr1+QjollYcM5luEK4k2PXTFZhLWjqZY0GxSd8y/
p9WEaj8eVo+11gJreQ7xoMNDYqhSEdhG010PnEWgoQirW6x3XY4DYmLfHlFThtt+FNOlG04C3y4n
7m00OkhB6NKJdRAZBzGzaCsaT3uXhKV9a0yQ7TzLZZktYJYeh1557gXXHnlXul7GRCDS+vZb3fVh
bYVZcqhta3n2rXygFDcSu97MBYa3WnCj/ZbgYUJjl9WHRUJ+gxdeWyhpUu89jtPserQi/eAmhXWr
54AOPl/4e+h65Al9wyjkmBxX78GJijWXhzgG9jdb1bskytw/eJ1Wv9U/jU6RG3kusymfJ+UHDIf4
3/9BhsEej2pZ9YAUkUj1uxQqBg0FVeAKxztrMp6i41W7VoqUC2rOhRsnZcTc8feWqy/QaUmWIorL
ACC2E0Xkbjlf3kdKHtZSBlWyy2szgAQH7AoIjFKacaibtu8jnXybHA+2K8rGRJ2FjL6YycKe8f70
Xr561Nb3EjHOd0lh9R3/a3RckFbMgWqR4LNlWLjFN7KqUdxMLMg9Ao2soEIpR93ThS/gs7vmHNxe
M6AaGTr71PhIy07h/cNG6FHn3To1Ea/MGVqm5r9/aj+HAfLQvJALqwQSDHM45Ebw85eXuq7CapcN
2yxuAppNVea/kRdQ5JiwMl0dJge42BZTvjVSeKZWfvj96//6rfnOauiz4V843gpS/vkN5IwG4jrC
tuzYfQuCd2bMSxFTzs+qQeUG+1K7xLWajOqnHsnyZjRYjHhOc2tJ/vBm3NWT99NSDqUtfeHZBCN7
kqbEz2+mymbCHDh0d7QxifSxiWiLdm7ecZiRbbPiC6BZIrlZQOdse81QBZkozYuxGp3L2rUY3UaO
FccsOyLddgE9fu5nXeNf5ACGXlsj6UuG3VLfh02Si61AieOA7TTBQ9eNHMcFiOIHHyJm8ofv2V3f
+s8fLVhDMWzhO9IhdfSLHbFvsyCXYD53Doyy8agxdioPxBbGBkBJh9cDfwbGlyEpks8wzZdXu6Aa
Jd3Di+8AsxCL4ufQg7dplrH1ck0s8ctb9BOxJAbdOywLt9mXtqxR6WSjfuFaR6Mz7gZs479fMr/s
N3CoSDx0uJzbABa+LtlQ4e8jFmrZOa6m2+nMSBY3eKqtF0YCDAStTrE+DKgLpp0yrD4xO1CF/v5N
OD/zsPjhhGHoe4JaTrjrO/nyPMfMgbWNm2aXApp4HGAEFVtEtamzmTrdfu/6mUmeqd2O2/M0h29a
WdPjZFxG4gYVSL+N6WnTHuQa9wK7LBUY2s2q8Y3o2tDBSKyPP7zjX1dAGOF4cmVgS5a4s+5Z/9yn
SUbJqXj6HSq1Kd15sVXddT2BHpSMdfRi8nl+76OiffIyBr8b8DgdvhJqu6012d3NH97Nz8GVfz0/
mOkeh6tn29iIvrwb0hkgtgin2025gxt/iWv/sfac5R3ZFiAJvQzjBUMJ5sn4ypB7cXKW92AnCE76
wztxf/llrDu146EaRj+J7eTn51JrioSaI2OHdJxNJlgBvDCVWvjdQ4HodOLmBCkiIEgB5ESnLRDf
2gUyHRM9NVasMGI2EFP+4X39uswx4vhIxFnhvmOHXxZYnDUZphEYKXUgzRujzc7e4r5OHiq7k842
JmKFzPKIO+S27sfpbSgGx/3fr/IInJrNSmfBk1v89dkIxABwiTS9zsSh5hli9Mikzif0W8MxYYpX
TPAYcfNddWKqc8T+Y/QajAmX+pFJF6ET2L6yrddU6j31lH7Ave3d4WqmCsyXNbvzr29zddgnn831
v3a07i/7+DuyPk3XpP/yj/9xpT7ru15/fvYXr+r/rv/pf//R//j5H/kv//6bV4f8T/+wr/usX26G
T73cfnZD2f+XZX39k/+//+Pfnvv7ReG5f2+YzK5/W5I19T+t9xFf7f8bb3j0qavXevn6H/wdPuCT
Sx2FQYQ6CFzh+v38y6nv/5+QggynfoDBkaW97k9/4w19/huOALYBolMcl2io/3bqe8EaSxCEgaAR
QFlAysF/feyfHv3/fBX/zCj5eYsM8Gi6MmQb5G0FEBjFlxVsEKwo0VMAxgs2rmTTyZphce+RhAVN
a/b1BRb6+d2BPnLyjyf09zv55yv/XNX89cr8cNiXfd+XbHbrT/4fW11Axz1H0ppt8VNVULtS235r
ZR8D5RZqQVAxrSjWAfLbZwfk70/u/y9Fzfr6bLM0UzAPBTKyxZeqimE9mdgyR0kUkNKCOqP0BDPD
rjlqEH8ir3XKT89dahejtnG2KPud5ghEjXf0++ew/jz/59D/631IbwU2UJ2DbHS/PAfy3iYzWsQ5
FhVZyvdhTA/IL8gvvOgFGGxCcP35+vcv+XPl+9dLAotcK0k+P1L+L4HE9NXJYqWw3ua58c9sUaRP
Hq220yGdcfb9/rV+XWDsbhiuIpfjbMVx/vw1d/PEfNZGvsYhhTtJdbNfnJT9iAKrB190pKGXqMvA
dPbb71/4331IDxI76U7rvUN8Oby6WhK3pzA5WHWs5aWc8zg/FWRIkNBJpvv//mPyO+b3w1COl/O/
PFI19CIkZgMZF3qrMzyXxT4ZHZt42vyj0k50UqyP+vefcH10X1YOe4rLeYhXiiv2lxU8G1oHcBHw
adq+/eY7DV9ezn7xh5f59Ye6nv6kgXNyRbb3y2pZsmqYC70iwkv/DHf2R+4NPc7zGTHy6BQHi1kg
gVZTXf9hi/j1K/RsOiVUkkifye35UurXooNWomhsTj7bA+dW2sGIH8wH7SGuXb9/mn/dPX9+nHxx
vAxqTvbe8OuGQDpAgXuBmO4x9/KHgKqBwHPHHo5QTXJXnRUqxx18xxRKxiCoJaa+71ew02ztGQ/5
q6YRA+kf3tavz4DbOruk67Bhha7z5fdThHZChubSrIgmsZzZcbVQS0TFdJFlafSHvejfvZjg5sHG
wKXY+/piZrE9FJoQ5CI1+We4a7IjPxGITDtvUs+/f96/rt71cEPnRcODVeVzwv1z/2cq4jHrZcA8
ZQMK1nxi9VZoy9Qf6qNfly+XZ8FlcS0gOW2+PMA+djDD1AkX5Kke4aBZ5RGmEH9XGgaZKNOi5B2a
RXUPtJOR7+8/4697Oxc6XpLAITZaz/+yB/V1B0hD8RlTcrDfmC8ZELAGXgW6iHy1mymXo+f3r/lv
nmvg0ognHjsIf/3RtA6YqRqEAQI6M19bcHcf2HnD3e9f5ZdtHcYQJQ2nFnuDy//787c3BDkzaz4x
ZhHHuoY6G1/Ebeid0p+PGSyFZIDz4736/Ys64uuOxwYUBBS56w+VV/1S6jbMjSwxzgPe/SiNzmLB
xL2s0Lww0DLhsVUSSn5E1Ek5wSdEFcTAXCYfiIvq484e4djnyELFMTZDIHl/eG+/PHe+6JUoJELh
er/WM3Agoh5tEZxBkKJHDBjy8ShHe0sCjzuibsAXfgbpPb2OK1wzS27qky4fE37GBkpZELXj1p/9
ttmTC5f96Xf9y48AshM3YHKs1j1Ofr0/jXNGmCrTzG2PkvMR/m6FAi905F4uZXZjmELaFxm2/mS7
gpKIHzS4FvaLoctaUyA++gFDPZdRX7CLktE9DYJ4WjXlQ0D3h/nIslPoDpnv+fSb9zofSDIZSAbP
Gch4WFAIDy8+Gs1i2o5ugWVnmcN+Okx15aqtsjwKQE8ttH2Bw9qEAszhJyiHNREjZpRwgMIEPFO5
IX/OBZUc7AkkKE8h0gzZIVl/W7AZE/Ic0GJjrRn625nJ2bUt4vrgVhmtZe735XvglMvWnsgpx+Ba
YUr0eCbxhrzL+ZphpMUwexbhmZusHdpRkT65g1MTFozt8vkys8Xc7/+wav51iP3j2AE5CsQccK0k
f4wQMu/L/pTPg0Z1nDJeI303fbVcesarupRUAddehY8IbQDeoNzcGztXPfADcR1njIdjGxgqWgkt
ziX6vktZJ2v3WEbptenMAQnNObnz1sZzJc3+acq91cAU32J5NS3QFWxv+IJNvzV1VR65U+UiQoih
ziH/ezEu2mNa56irScuT+0aBQMhmZb9O3XLczC0qK7JZyYKIi+mOTFQSXSmBQhiGIWPsVLkEGa0t
7p1s25t1q8oODHC84zgO1HVr3HA8z1ArbLFeSg1shlEfMsGUPTkZYnHK73S14HnYo+IgqEl9yIrJ
3qPcICJEaUxJ+P3cwrLlgXh4MgjiyGrVEVAlolLSZT54ga/xww2OeRRJdqI8hcKcS5Wz9ZARurs2
ncvuyBJwqjcdJ4I+WGU13ttOEKG2GbrtGse9GSAl3CDCFzATeBfL3mmlJY8jExJSWpkG213Z3cT2
om5bLyjuSDKsPr1ugCgUpW0XrBOMzsG4TNgH1LCrIYL7caRX6SqKjS76oZUDFFKhJX2Kx3qGX+0Y
HBaZmAPkgXiwNjqYh2sbcOKN449Y1lgn53Ub+zC5xEHqKCQOZRZnPHz7sl6YGivPyo+ycECUYiEn
0/sEJ2N/TLfpP5k7kx7HlSsL/yIanIPc9EISqTlTyjlzQ+RUnBmcg+Sv70+v24BtwAZ614bxNuVX
5VJSwRvnnvOd3ySaP7QsIbJCM63/Bi0qw1ru1CtJNy7EyJQ8QKEM673XG2MHz4cK7CJ6cSplXlrd
6FYseH+wy7HgTMmVrLwFjznk4HEO/bbw4QvYwjzPpZsdy9JxHmrfUIAFhxjE9ZixbeUPa/9Ms5Ae
SR2G1S3oACO/K6L6WyTuY8p2foUnGS7xOJWLtbLRCIsV/LaXWuVVvIXrZIZ1VutXk2AUkR1noqe3
Ro5Ol+9WISoODvjYbgRAVgPYfBBF3QdF7jfbyC+JG3DHkVskSI/WEMG3idOEdHU+8AlmmuYGnab1
B9oc+5L4Tx5FVPK14smIM2jSUR8fuEwU+7zVrWRTkgnYmn7tEN/s5+K1Q4jjk8ydIixv3q4OdEsB
lkwOFBBrrDUm2EqDYS/neHCnA9dfly93+j5aCVE9IjARBXmrHu5CQ4kJmuVLmzkvGbfHFZ8qVDat
InIRTYHi/YrkRerFTBQVeFqZhySdDSdYRt/5MTN/aaDY9EYBiaSa7mtJFyuOUmwJU47SQ0JnIe6F
WZ7KgDbAkGRfkwaDmIfxFtEzttajkzyTdDD2wo8f66ZvrsPcpD/J6OK5l6A/+u7JvxkD3dLkEXU+
62n5zPHtUdld5eMHhSi3hr8RONfQPFPwRyhYkv3Oa2uLZzNFUqQTx89GXKa9p090uAGPwsneG6vG
n/XrDF4IS3FM3qqyrARgsigySmHc/JwQNwfER0msg4OAJpTJoIpK+ldSWIeIgq0e1Vu9km/yqZZn
XckOgJDyWGxFnItQCeWtiBOxjHepRe9A6mxFY+wjbOErLlHfi5Z8ON00UEHdLidT6d56gOYGN97w
giU3fcLlQN+q8o0D7iOnh+UpFyaJbc4TRfchbw1ZJ5AqhhRi1bAEpe4XQdaW2WEYp2ldVAvW3qqu
7Dtd4J/LRh3Rw8n9TYPFaJ82Uf0kLM/HydsMKw1CDWlVuzo1Zv8btQLjgutx8Hhudc9p3Wx0J+Go
FJMKwSxj4aQmeFXQ7bujty0PsP1Oe1+v5R58nncDR4PMiHWD9OBER6HZu90Ot1USsN6nvj3VL6O3
eJs+SszNjOK4LmTCkp6rLx4s3skbibuPv0Re87JJGxb1CSEIwMFt7n2bs0E+o5WkVHzc57LzW5D+
i9qWnaYf5FCCyZplfWpzn/rxbHzDsOau+8ymdqor6QgiW0DJC6Z87LmbvHPLp2ouyUVJFm+VKf0w
0zso33RKAs5fXr3CnHf17OMbWqpm3kLvs96novfecl6moQlxsAl1PysvN3fpLx5V78TXKFtXaVK9
jKAIgxxTHY5AwPwBk8o4bkElYbBlxVRsoDrAOCAL063xylzVrIHpKnOtjPaUUQl9TbS4P+tzKr8W
gu9ry5c6leyYtc2unM6+25FhbGfhv6KRem+w+JITyKvlnlbbvdHjoHURp/hiG8ZVAZwMHQDAd2mr
mwfDnPjzYiysFuPDj+hNGP2uAxa4BdgV6jPwC0LiGmDgrDDem9wGjT3Y8W7wSIhzYXyb+Z6sC7/+
uvVu3gzu8tWbMG0ug1edC7+U9NZr+hrIOEUeaDPAHFy1mcek+8IF0m3Bw3DCW63/lDS9WOMI5xm3
SX4F8ImyxwmX0FU5uPtBK2C37ck6TpSH3vUYbsAjV6MX1oQuIRv35cEd6wXLjHOsgVs76wikzRkB
Ln+hJ9wOB6smWT63fKWTwVzIouBc22NYcl99lh87l6Rwvqaow/4eylvBGtCUV9RDPJXeXNpERlkE
7U1RYCUEePlCInZXD2I6E1O397U0prON+5Cs/lCSMh3KZgM5H/weQ/ADSRZj3TlILDzaBP+x28fO
fqjiozW347GMvHe4Cxh8ZymOokUUxwPUkVuKtT3NG12zahzqFZpibh9x32Bvyg19OmnzHAUV9s91
M0wfVCnYW451JoK+JR69YjamjLBioiJNkmS88XnU9OtAV0IEaLlts43g6YZbkdSaDOvF6F9ladmf
KT/XbpV2E+AvuosTyoWzLGIZZBn6clcThjAfsn7EsUg2Q0bbqVn6u0pT8UuqNZhYpRaz9CunSWPA
MCPun0ba29ohmhiM1zHInh/GXeelt0ZtJ2PTP3oG5lVsZSklOMkSl2JDmwpsV2j9uodH0mm0vbSK
IgBDk2NgyzLL2WQZ1Jm6ig7sjeXBBp3X4G6Ar7aCUNw8gd2kfCoRA4WZaQefROdzZMPm71vdDW4V
7ofY79NppcSQvRDXuIIexDnFtCYhiNxwRx6+rbUFg2UjiuWKv1WFMP/cX3rBRso9lz8LLRpYu22B
a7nEAuKuuEtk93mfNgGdPXkwYh+GAxjF29lIsl0Vlxq/tUGLgeYAObCnRqwZzfcm/qP7smnswPN1
5lHlP/V44cPcty4a4/16mBlQo9pNA14U3RYHabRWE3a0rMN75VfLS54m2SYm9RTW2uzzYTbRsTeJ
Rvix/1RZ3s4vzOpggrRZLYX/klRO+YPLW2yF30crBEcoBQKAu7UUMpAeLg1zwqo3WmMaGsQzKR+L
T1D04ezhATlyA4dTDQTKfiW1Vx8tJ/oTu5RqeD3Mp1hJZPeisUMZL48O1WMBvjkRJlbRbBIWplvW
XVD9EsFkSqUfhsjbiNhGmyoDcBXMXXZgAnahgFDWSpLAUBdqeasvl8KCSzPexqCMxz9kQGAGIXLt
AuFqyjv67qPxYNx491QRdi7h5XQmtK4Za8AVH2h72rrhiLmOOajq2nMuM/kXPmedF4dujPM5g5dK
jrPznuYhbuMtMcT6nspZE3+kMk3wS22Ea5koxrbnnUEKt1HjDicpv93iJ9/Cv2UyepAOYdXzwqGe
BUO9jPOjU8/VWbJzoGcwS6MNoBLrMUlc4xnxBs6p5en7hPq58YHkVMIlKc0Me5vqoNYCbNnLtV9E
QaVAO4oz9IVsVxTk7DZs4ecD0pK2j6h53kM/hFkZG4qpydDmIgB6mY0Xz5Lts+FmM9QnO70n3Gkd
I2nCG1i8TxKJ+Lo4b4BI4hmsV7XvVKu0WQb4951hHCAAjFtRe+2FXWQNrwCyhYknZTNpTGUVx0+J
xWXbC6M/YCTB+g5vajzJNk/u6ww3v6eyT+Kw6lUy/X7kcVY9t5r9Z4hQ7H1Hujvq7Qh3Ejs+GBwA
6xQk6Zc5ZNnJwBNDQZQQxZ0zOM/lVDHFALDngpFa3KSWUnWMhIyloLz8toRtWCTFg91Y9ncLqIyT
nnpWgwoFAnRKHwIZDYNLRmGM7fVELfxwlFgQPeDBVAlhyptreCr1AggJvoLoJaT/ydbEVeosiP3V
QMmQs5vbdnIJEnn2VpuUQ59zn/mfiz7OFCHWS4IdrPPiOjoYSdrK/S2GT5udzp30YPRGav/2vRrH
Eyo3vaFuuVTtR8bvqd4skj/WnQHPOv6i2jGdTvrSu+le4QmKAx2Z4qUr+79UDjL6AUahSltlpleT
2R4xalNJQb6SW6lubJsmspw9fkZX3rM/jtNHne6er5i2rgtxsYUior/kibbJOwK7rjbbW7+sut2g
p7UHrSLlu0TkU1C0DaKXNGNf8o4AfYALB0St2k0jySjyUhP7ik3bCC07JOY04yueB2bqdWdO9nRQ
LbGSO6uxp0sx03IYWoNu7ZIRc+C6dZJIrAfuS9zD23LWv8qmxIpZ6p787bG42vfz6NolftfSdpDe
HOA69DxqU9hOcmh2DKjluJ4SV9eotoDPukLr1nDDjrWfHzzT7XDI24y+sL42ZCuDLCpf3BgxPfZg
CAmxtUgIwQ6JokfgmyscXd84PLndkJCnBgjTFsdQX6sLV81mN3Ivvi7cETe1tGB/cooVanlK4Ld5
vb4ENGYu7x3ZFNvjCiU0MqvLOKNygVOiWzpvYe33k3I3c+o8YauRNGMS7/DYlM1lIBMHmSbujNAc
WZyuwHYymrc/AJK43E8/LBf0u0QjwEWtUhhTOn2vu5r9mKdl8gSwwHtxu8k7u/pgPtb62I/ABExx
wM1QPdgUkQ9BB7VMYyE/+n6xtfVeuldVFB6tMoBtV/HUuvMW5I2HHbyeJ74IblNap4EU8xdw3ZjR
I0tH+0C8jjTcqriJtCFnTaZ29JbN0Ro7TOttqqS/OUqExQhADGwYAsBU/parAW1daUNyPwAy5fj4
z7G7BxbufHGs0hvuhORfRXmik+Dftkb4QUfBaO/cRxD83B1N1poIKJDytxHI4PxsjOT9j6rWLbn3
VU1bkoGNdqHpref/txA3KCA7LrRbdkD0L8imN/Pb3DvFTz2ZWAv+JE6Z0B01/kkaC51MB4Tbb6wa
+hDmnYiZ1I/6kIOnS8LEsWsIk5GHXZ3jTVqnkmZh6zG3VGscqUPrip2eFova0XiX1zAz/joMRi8b
yo/RdZv0YndWVp4JYAjohGroavw+ddzBM3ex8jLT12a643cmVxm1CYip3sP2a7UNqdcWSoQJuuUA
niz5BrXV3fOwgrtsR6vXAov1hnqBrQwmtCW3BSsv6XalVnPQF0MdXXK9bndsn9VNkSJD3Rnkx+qO
b4dC84zhNdwtcZXuUQr/kFJ59SBGr3qzdY7g7uZ7L47x6tvukdm74KXnu1uWHLd9kYLEYDn9tjTl
EuCgoRhGa20Q676Jed0GgNNBmmpvkv0M9d2mZGSwfgYv00KU9ugtwiRlQH+zEyKfKdGOTrHvw0vG
nLqjsAyFdWz7+VS1NWxeN+VZcDqrORbCgn6UFC7sOkrjCPAR2FoGOOyrxamiIJL5nHEVJu62Kruq
e7qJPuFAo/Eb90nMdoxG1Xej5XMwtM4phi/wNUH6vtLPZ15Bx6h0SzqiXQtCVPtF1x8JcbEpdPQ0
ZKnDlaQpBEzAooNg2PhdqMWDeUg5Cxp6jimQhSrwW8TgZnM/ah7N1jSN9a0ogL/JDGd1ku2Hzw/t
MUHc+bi57UDR+90Gy10Fe8IBIaFTtLhwb65joPYqelpa3d4tnUWlMCzHC+5+dYG7T6RjrF/bv1b8
zkg9dPsr3cH84q4qUPe435H0sufnHDX4JckteaUx+c3Cmb5RRukF5TRGV2m7rYsq0o1PuTdfNKN2
tgAKgQ6bVX2m/wT2pew9Sp4GFZGG42emzwUDX5f54DraPt56NCR9Kbw02xon/slQ1MrQ60zbAort
BmyjuXITDZm9SV4MHRy0qIevNqewGGPCXqTRdJqnxt3wjujv/F5YBxaUxGn5yX9Sp8XgZDTmzEla
QQ9DXx9liO5pBQXZwXRDaaf9JQG5Uut1I6dTAdvQyJrfWl9zBeyAzsdMwW7TTCiqWXrx0RnfZn9y
OIj5bc4WFcP3A9EUWk4S0ziwOzD9DX7znOFS6GGnVeOP7TTdtVqS7qK1wyHDc6mx11Bi1/u4EMh9
WFjODboAknUuF+s9aRZUqNlrAkvO1V1nx5Tnjulr0soI0I+yx3IzdCmZwkwvAmPQDjULk09dXxLa
EFwvhGugU3KDCk90MPEvOqH3YG7G4dX2yIqWSEwA3EzIKLl5XJLF3RpYym4sSVOtVe3o2iYDtsx9
NPEfBxKcmxkfyJY8jxUHGnZNfiQLjNqh3CcAQR8z6VP0oyrQ9IRbgNGN7ZeYM+uOYNBvYbvNHQ7S
lv2He8y79gUVQq6EjAizWqWm7+GaTfvGnVtgGb5DRh7DIwwuZ2s3KtW4oEX2dTKFeschw6cLbWM+
m77uPFSxYgZpa8bWpfIo7UFJy2W0G51lF0dLGnY6eK1anx7YNmlPs1v117aB3lbS6RbyHWHx4utZ
2DBbv3aGk7KYiRxrHzv8tVbTJAW3cWQljxKpvd+O/q7OhmhHxt1HSMQk7+nywNd6n1fJ8s6efgms
uOkCPXPbq2bTTkWkXIFs6rL8cbCU8aYcM75zcvAEo2Umz7J0zXtCNS+5q5NlNBATtoNjAEuUbEdY
9ANzy33inXFn7hCurG2U5MNlISfOzEEiDMXV/7VU1P2UefVbZJVat0ToP8fMFHeNtBvgKQPeFtEN
/DkgGpDrwawi6hPjMpNb72lxIOAQMm6PK+T50G7I8kYVTYQujaRicg4EyW+Z/7QmcTu/Q6DNAlZU
z1QpfDu03HPgoFPOKCZOpZ+k43MvHRecCDRE39LVLk1/hllCey1vww4sS2rjyTxPRjedcpkJgBpT
wghuVEfifA8jM/Tolam7kV0K9WswWA5h6DnISee5dUgG7bgZz/TxwbwKfSi9R8S1nh8E5yZWWF7S
Jd5j0HuPi67kJuegDUZFDV6hOpa0uh/Eg/0k9OyrZBONyIVnvLdVwCBmPPcGzRAAcw6lP3/UndEF
Hp/NryZ5Z6WWAtoGMv958WplrGpyOQT9uwVZLZ285KAtpf8alVGZrnQxIwunRsZBOlIsuwGUUG8G
ODDALpxKO5KuNjZyVNoTeZf+YCIWHGNe4as2GXKqustkw4avu6eY0SN7Tw4asZv22JxyzwQLyJ1X
1EbAxfo0256+NeAjUcqFH7vyLDwFPtyqDGzaU6prLELRsoKqKB0CL6wubWzDAVK02NRtCz3ScM1Q
6mSYKHwhLdoJ/9jTlINrNXYeSNTMp2VGN3ciqT7LrM3fNBexaSbMP5PT3oyZlKfW1NZ6336kg1Ne
SBlDcgQfezANx9g1rdY9g0oyjm2jeycZN83PVIz6EQ0oPhoG2FUsn4jLcabfszvWosADbLVtfYXs
WIJZxuBeoqwiD/neba68kQamiW7zuaAdkCgUgEU7d/rL4FbanUdC8Bi3rvFUc0m8RHhZgoL2nJ0Z
gz9bj3MhH3Sz/vSsrjp1Ba/MsJtHuRO1BG1D2nrdT3P/5ffsKQrsWhAXXE7u0jy6E5cw8KTR9ACs
HaGX4hD0OohH/kEb2Rbcxko4mHIMosagWFgX03YaO+MgVIEN+CZwgegfyC1aFUjjousOtKf6cHpB
7h4kahCjiyE/Zk6aace32n9sZV5QlwiZClm9oxAOUU3u5onrapkWfYAnFk1B3PjkFURE4shti+rN
GAom1/Opk6Atr1slg6EfgWTbVIJZmbm2hkY827Gp/0m82d/1LXMbjHhbf64dt7sq29aeq3QAAlmJ
9kBe8zUDFnyeuGxdrcxp6ZV15QPxfZgcdVxae1c0ZMTgoy50fY6xD1t8rBCtpxk6ggOxnisikZYO
3Me+cGGb3K45RnLWwUTYZF3jdu26PWKtdOrqG5x1MgSwLKNnBN/8j5VH4DSUxrvA88gq973OY9P5
I0DZKqVjiKxZmj2ZgD1t1H+qvTepbHCBk5U59rDntxxozHWFs7DF5gapMBMJI4QqLwgfLVhEXDmt
83mQF/oYEg+eIKefO7NzXwN19+6bOhHIcIvRGi/2JDB1QAeIDx4VQmvu5q5FWY6aV3oNBGIF/dQp
NqAQ4aURf6QJ2LCH+BfIN1Akk9wMJMr8YFqV8WWhyh16f+F8cG6rjAgKUe1r3DmLEQ0IngFc6OUr
mSpv7ThQ2nOHc0xRKp3nYrqzJj0PBVkBWCvu7b5syx/bU/teryOWV9lZiuE95SF3VhSUmOtUJtBE
UgdG5mTnXH7quoS9VXTVvcPONw5Yo3PqMZHvjEgjCwjmgiSRlYHsRaDdGjFlfCvyZeBFDFeDoq0B
QRtd8V0zjIdtU22Rr1WA+b07Fxk9xeAz9DW3B6CBxExWuoHalLWOHyZzW+5NLhZriyiaT3pyo7Bp
bMsGeTnTjHjvyygmid837W4wTSpZo9TcJApH/dxM8YXPm00ojoJjPmUTrhYlx3DB4huiIgIYgTVW
aQlBs6X3U+0Iyqt8GiX3UxaFQBf4xeq82MZy8fwaJFwzx9py4FwVqB2Jl0B4GuH7DWtKquA58/B5
AXVV2R76BnM8v6YHHYf0SgfMB7NsSKIVl5Z4N7ookRtHV2MQo/CFqgGyua6U/aAKflo4GAdGXJs1
8uR8EG1GGDCYgtY59v4dt7D+DdqX2hk0IDM40I8MeF2r36zBcQqec1u8tY6G20GAljj3kZMdlQ5U
eIXvK9qQJtzQZq2PG23UL3zaHM6dzPgZUmS1TyOkgv9sG/mXpBAXEOvm79J1XOAe92PvX4xlKJu9
Pbakvv4y6i1eO09rVQLaJfJYhcgyjAicWbebaS+i/ay8/hOYj2BZ3HcwFHufm/JORRHrtmaqsM5w
Gk4XPycXDrJlgiS99NaAjFL0ifZb9nPpbfKBrrb/cSb9n7IAT7Lkv//s+v/n9MB/ndPvVnbyT/8f
/1f/rkTwn+IF/z/yBCZ2x3+fJ1j9Fp/t0P1jnuD2L/xv9Z/5NxKcxAmQnbFV4x76e6DAtP5Gjhan
ro1Ji5vUzar790CByy8Zfw8a/HP1n/E3hCmLchpbWLdE1P+p+s/kcf4Xlx7OGgsGv+9jubQMHJ78
+j84+xsO1iTlz+Er7zYQk1KYAGnPYtONnFLsSJrOZ8K9TMmOgaMKW6R7jngBnEkX6ic8XXTwFSXU
rrnqrt64sFqx/HGvwb7fxEmEtgzLKjouc9q9VVrGtNUsrXvVicAflEhZgZd1a19vmgUnDHu21VhW
ddASdQjYlUQ7m+KQMxNzfckRHn67Ev2HgjOrvXdHP/ucsiY9IaaKS0LS/7Pt2+yExPFmIIVTmSrQ
+IA2bC1FcW42Qe+H1wSWZxzQOCdwSZsJNk7NCNOfhkHQW4EDtkEnaHkNZIuEtCWTef4x4/7iFR49
TrkD8SOhhiJvofkpR5on0bUPFNjc69TFsUSkrjMu8mPEPZ67gEQqVY4f1JAMj9TfQPdQOZ3GnL75
xcta8YikS/xIOeAUBn0Zk8ucL9xQwVXXxYl3QvoitJpNwjwV9QNgColk2WW8rDk2x2da5IC+1Cm7
46RyVfeo408qNh7hNHq67ds8bMbZFlZCNAeU981QlBfnu4pUsmOdVx1J7oL+NbzlIaOplxV42jqP
Nbf0x5i7+XFoteIUm8uV7lXJS0Sa1BobrrWNXdCpoGMSJ6T/OnqrgCD8kBXIfjR9mHfMOfOR2RGj
CA8Rq3FXVMUuyxPKI0pEX2BbolB3QIyMjO3nclAxdYjbnDC4gV2Ay8fGaezk1qiX8kKzeqd6BbE3
PQOuc0+JGI2tWdBHryqn+QQbhvcbVgs/r4KINxIRahW/r5zN9ZgzlwaDjUCH9mJKCLwLq38uYy24
ymQ4InmNguXlDGUEeSUNKvBpRAald080I272EQWdFX7JKD9nmfuuSYf7jaPXgxfafV381pD7fq2q
WHYaisISxMXg23QqjlRcKJfUst72xVEHjncBV08nSeLbZ6Hn9db1TGtNzW90Stk7/SZTT20ZO6Hk
Rvfy5FtJ8xgZUkcHj230j1or6+fFdUsu7tPYhLK3dAw0jQTnmpcdjiS2ptGu6qzlAEMm8Xhn0q64
wX7C1lGPTHZgyL30VjN3wPJEF3O0b9OVzTaWGeCL6la0ttGiOgn5Yum/dlvLT7bqx4q369HE27NO
YNHhfyzzF3K8xY5dm3uTuW9cfG0E+b9Y9h3v+o4NczX9mahf2EhgVJucZ3tdd6kRcPbdVkGyMVHi
I+ZNfEdzKKwpv7cnd3m2U0fck9UbIZ8mNjt3ehvXIOtmkDQQoRWa9SeGsPi5NTtEstj3N2KiwsXO
zehCE818N9QCb2IKi/PJaZf03FBMT7VAorUXWnPafdnUw6UZIpNGc0M8ZgVkv6StbHfVeEUZLgxN
LLgzgEWRzZfYdfRtydY7FPZczNzGOrYiuNkg8I3RzWuSy3lvmxjaClMjD2rXxkPuZkiuw7LXTPqU
EZ9jXBhRcTQFFiFtGPd1WTkFLhQ2Xpxu1dqc53Nqa+tJYKsj7XRnYspltjLu3IT+Cb0DuBPdVsCl
ui9EdqlNylQ6g77x2PorSemTw8Kv/py5A5uONP4o2C+tbb/KHtx5Wo5LmlYb2rlwTzXcWlZNb8Ou
7UGnl2VxkUYpkNtm+wXOVxSOvS+PVWzOhwIdlMhIA/tp5aCf/6q29N5vWyw2DGlaX+MBLuSm66AY
btgsnWZhs+eHfsIOuVtwPzWO9QUxg+IUmsOhgmrejo/Dj3dG2cQpwrZ0Mb8oC9gX+TrwMVVi78F3
9VeIaQHQ//TNrKBcpbgIDgRdQfH1KWtG6mj/RNlNEHMa+j+oRMqMx8hUI0JIkzQflFoABR6AUT1b
7Ab2M2cztdclDzdf9pkcGTsjbGc0udxloA6BzZIUp68rp2mLXctW+ni+Lawe4JKWgdosKPmBkir+
k3rsQyGFagykdlxZlwHV9S1j1/1W+HnPB+kS9if7rrBT2Yv1iEkH1tjQIc0ANb7pLSCUIPtJyNq0
qg/5lutpSUeB722XUhg/DguCrWUWCIqysLA+ET78rlmmdNUogBJzkNGelxffMCEeYeHH9IuAFOIW
kuAD9TQjKG0hAogMw5NGfeR7Zsj4w6ohokyZD+YlGW33SeVM5WvexmD7+PerV6fQtK/JMz51hUOf
yAUr+1mjehoShNGvLTWaoZ3W7p71IY6jSQ3Udake1Kcj6WvwEtu/Ez7Jq1We1uZGoI8eBjVBiRo6
GgorbTTCihLIX6lyOM5lXNwDOUrPSSzmtVnHaKy34oV9jelrtzCT3Kl2WLagjgyssXKbcvMOO9CC
D3NikB8m7Ry2nA1rfK6fDkxePOSZs+Wrz7ccPONrBZx6vj0w9UcOfWaPMdTD4dUONysGbPBydMMx
mtm06XOJgAoKbdSBWEhW4SaIuhJelP8aS7rk9kgFFtXpOF3ou3Vfi6Vvj7xo3GpTjxGejkiOJtDk
lJUfdkV5xiBHU+zSqHXiR9Qp4Lh6p+kD7aoD+OSiQa9pdYEYtlC1fEdLM3khdhdEUDCWvqOEcCwk
kYUJgQY27pJAi6qTaKbhT2y1Q3WA2uTD2IK4PdI78qpML3pr+8S+YktOuemBUw3pAqxWeMQoIsFH
SOK4ei/nfFwPNzNXICxZXWcqd/Q1ugvbYkXTBglSvQ09q+KtQ2NTMgaTfcMQmtHgJo81sJgrdR0W
PUdArmaljICDBkk9SehjLy32HE5i+h9mZ9f7vqFMtRBU0W7a3rC+FdyxmG8Lx8l6ZPva47Ju4ISO
bOtz+hxc8V76g8c6s4qNcg/WZAm0yNFJflJ3NngSgm3Vh0VSb6uKL7rWjv2hGKgCs11EPD2V60ZN
fOjD2Yjzx3yJHhdu2JBiFJYyeG35LvXopm3mdgl8HFK7Vi/vKZdB34rpOPPUTEKcURkpw9mWfAJW
DpmSgptFk1c07Ws3cXWmCqjDobmy6CzDbZd/06o57wo/fjIVMEzH+rhh8m0QiG6nngRr/Bx9YlR5
2KKJUVOQnUSLb1jqr3ljpXydky866veoza89v+nNRBr6JCBXqrQpGaQFGIuEio7o1Y81FST0TYG8
ykZxgeZHbZaHQcfoYQKqZWMT8geDxetiZmA26g8w0DtyvZt8Ub+qA1uVMZAKp/q2XXVYouWRckTe
5MX3zC2SlxawNq9/crV3CrSPlM0+EkANDa3OmjMlH3UY8aMd8A43+HEK/kPnq0V8BA8Yni+8cFO+
6URzaAqv2fDN5Wc1W+lyLQhdYkCVyI1EBQ5ydNJAZARo4ipX+A4W/+r1ubmGbfpwIzOz/jgTKvCP
fDOjEGnKR+jzK3fHHuFelJZzNmzBaGcSKzoLgLS4l8DMu1q081p31+vFrskZ8dHYkGEd7SnH2js7
48DzOUYvUFJUEOPYD5xc2uCYtQNLyPKo8djqpbnG+3fAD/4Mr+gBbpN1Bb3v3eMENTfDQK6GU02F
JfUYARVf30uKeNPINuZeg5fty6WGkoU9wG0mzfrGgl6IJvChJZPBCWyhBVFeuTZiQTk5baM//kxt
SkMLgQnXMogKBBgKBLgQ1TpVWiVH/2sK9m6lrPq9s2kohsS3wW8c0LOA9OM0b1nMsrsU+QbJ8hU4
HvESanQWERIQvzQV75+b72JbqCFw4OyCL+FJMKcHS7+x/YoDgdI1utheOPWwMZ20OjkUov62S06L
bOOlB6Ymn+otU4XQYbNHA3N4gGBGTsiWHcXYbAACq0HzZoiq18qfh1B4hnjF14NF1XPmSzzHIqDR
7aE3lLF1saSYM49d4z/UMWPRX8Ws7o3PbVGKTPeM4SDhOYKFPp4NFt3zb52ZYT7wjW5BSehDdJ/H
+OMtQjMl58ENUrrPbJacaakVL/zjnMfyB3zLfVJSIUGp88kos7DykyDri3cH8kI6xwSNiDxBiwYM
f658/09kjVxC9K98rlzSODXVrt09rU1nPB93Hb74RjhBG5u7tOX4Bq4Y9jAPVq6NtTOd3+2yfKcP
7jGpvG97gKgolNi67K88of12Dc+BN2ndxmTDaE3lcJ9rN6svRUnTqFPsFB8b8gxrI2OHUfhT6Mdg
/LF3BwtlcXzMyXDumpkuGKO95nPDjqq/z4TGbhEOpCb8h9GjwahrsKoLPNd00z7qszo3bc4jYDQx
HrD+hZ9gfVSt7Q4rsKVkFOrsjqvW05hb8PhsChMyi/WDbzYEsFwyPmRDmPAKTGvQU5/pUulfltYf
74QiiL8quSDcaUToGMPmPcR4uS1j/ZTWzUjqCwJbVtdhFc3dzu6oTozEuOIBAa/nqU86jjykQjDi
1cI7qsOt/mjKsnqxerc9ODj5bqmSbIfJ0fpv6s5jR3bs3NKv0rjjZoHc3HSDOwnHcBnpzTkTIk8a
uk2z6cl5P1m/WH9RktClglDCnVx0TyQIqsrIjAhus/61vrWJWcN/ug0zCu2YJTujqDaMFaabfFDj
Ohs9vSVXd4nTZDqBKKM4Tw8P/rjcWvlH3Yj0CGo1pbE2eKZcVEE5DOzhAd4QU8estV48rRGXabL3
n6tuMIHHNkS8eoV7GafUujCHI8vIuI2cSIVaNtEa0e3dx7W4ZxSfUbhYfrodcmmTeXgQgdxxS282
gO79PZvmZqrlh+pGnpYZi6wRFUevBlCTUtNH1ZoxvKCGZ3eGN2+w8JprYVsfwAZIjaXRKc9TfY7T
cn7rI+j+VKEbW0931dvkzRCrsyubTEfdD88oYQs61caeluG4qOiWuiKOwksnfGfjMfrfxBKDUDb7
J3ew73N5bZmOocYGyc5qJjDBWXNJfO6HBctj4ZdP9pLc0L5D84ofQko+AKn/GoLqs/aTp9YdnqUE
metYoc/oKe8CsHftSmToQsTNS2pFVz5xOIagndoqw122omop5sjLJxePOatQIB4zvTj7TAKeRM18
p88A62PW9VsBy+aRzkWTY9MoN43wvi0MOSEmfEpQ4p5G1IaMTEIAYp2gAm2kVf78/R5r9aSvcjhN
K8NID0vhfJqkCOC5Rsap8+K7ztHoAgUwXNd9ifLlPssodoRZirbS6aPNavzc+MP39Y57D2+aCzIM
+XZHdjP/sIQhb8y2QLuZxCODvG+uzmdYoA9JZp5bGrVXc8soFxxkup2sslyjwdE9Uxgwp81yl13P
4HzVKpIok5p/gNhPvo1xatYOZcg7JavlQpx84t0wOWPAtNzSwPWYgL1gCGka99XiRJtgqs0HWtGN
kxGY3x6XfhoCHD4LwThYjpxV+munD7lCZC1PqPQpr4f81gi4C2MjmRjmzZH15jr9szuPuFsayTWd
dL19nCp/OWJSsOBb4hpEg+tPUdx7xwR3JUC6/li1rwy6j7jz2xscIFCxAY4Cza/POInMH46ylzAY
+8t8hZM6itOnokbNSJ9zzLTOJMcLA5ufAQZhvJLP7tAlTzZsfA5n1gabx4ufl4fSVTRd2u6urT22
OTQeCnmLK9Q8q8Ka2+2V9gvzQ9QlmF1pX1J/sTdFTmzOJUdj4dq7Vry1a5oP3RPlJhYVoqPBpYXR
uWnY0S7pqp2bzzdkJT/abHpureIFvwa9SGTR10ZRnJmd3gWVF5bYqNyac2Rg+rBGaT6iu9JwmR52
xQW/fKjEdGg4e6+ZVFg4AqpjSh+vZizrEL7sg4fAzZPX2cQ2F4md3bb2wxLTreHEePzqtMZgMi/G
jrHorypZBHrgBECZfPVPpTlcQ7H8Gff5G8V1n8AfvwyrIXPgLzRXtDztgTGHse7e61Sx3XeMrTLe
74kMTmWly4NjUdwrLSEZ8Vr0tzvffqOHo03Sh641s1m1Df8ocahXrBYXzKibTKp977i7pFluHMsW
OxCUzc3g51+z7REWGB+9ZGDYGBA5FS57C1sbvmet4t1QdP0GT9JAuICQVWKwu6tCoKX4XDIUqkrW
l49YdBQxROcJWtVTx/Iiatc8xml+fdadZ7iq940zvOXEE7eLY18c0ilKKGphldURUPTyMuwshn6U
hF2KmuViTR2SxdxZZ1vBmHpjcenbpZ14Bv2U7gqN7z0vOF8AvgYcl0+PttN/kvO8Qr4Faa05CTOu
oWscAzgOR7SYX9fcTkJlznqR1TMXJvEgZUIrYFvxLaaT4Npwqg+xmH4i+EOavk63VZkceqwwv3wn
nnZUCmWnutEdndwZFcU6gJw7oP5YyYK24HLenMxXii/qTYU6fr2m9EcZPVPTNqz9gkGyz50YJbs1
bqbRn09KeS/ZIvnmsf7Rj+hIAjtcpo4mxcwQihf4g1NurInocn3KmK5FS3dXNCU1JMCyT4nO+mO6
tMkRXw/CWI8Nlq8AzZgppdu2kxfnqTd/At3u8JTnL97EujvJT5jtT1fwN1ri+GJXek8ow1+315qF
GMfSTrXOtZtCG8WFtEu8wXZO8tAHpN6XIiUB4XMaJpaw0dcuUNqKvhnE8c2jqLK4KoLluKdU/Rhc
DRgEVEjAew/krdqzX3ughTxIk5jnHlRWe2v/Kp+VPPsbOBjYFii49jkPNVb8zlT4AqnzQHXfcJu4
pFq7Au702naag5dY7xMVPOsRB8R6rurqTA6ty0J7iZpPbxTzppAGcRPivUqBbAOq5pz6dK7PuCi9
rbats3e9PnGutSicYlGNzIe8njy2dTViUsQQS1gHLLACmBwCNcSHYQ4tnSPa288gm2iOG9y1ssS3
Lxfv2DUuzVySswa1a8QRu4n9oWIakE+OPCbwDwVd2VO+6+HjI9sEzUdsl/kjDMfmzNs17QZyN/0K
O5iHrDsXt7aMnAepcwMuLk3Mouyg9y8RmN5KXzVNiPtMyMFO5NjSSPOngtUyGifXPfcIyvFRFKWh
TvYgIUsNy6xuOxMvGCvYtWQIYXymagm3Beb4xh0BtyGPtskWHsCj1dk46V9jpw8LZHjSAPA00M7w
Ze5F2zzN0YCUjUvWY0CNAfzTNMnUkeot2IZVylc2o95CzAd7QlMatEQYrDbMzoE+Uc3iztuK1kny
LBRX1MmhtK2Xckl/pZg7y17ucuvhGquk15s8ZM61elphpULgmU4gDp9kYAAm9/dWPB4z4ayhqobA
YCiPUK8UD6CR4MnQDpieuKD6u6l3RmltJtESoba3QykfK6KaqqYqw6r2o2GcORPeUz52dIPsjbLb
N88ItkGQbfBNEuOT4WIPW8Umo3u8856/JTVFLaA+iFQka+oHWG1M1kmx8mbvUiYOQF9YvwrZs2p5
FkZ6czXGFLe71vR1cDteu0YBHCYJPF2V1W9FH2E1QG7H0m+Y6aY0i4JA6LCZqnyvoZNzdV3bRRvi
Xt8HfhQasbwD5XJ0i6tthtGP4b+q2sEsV2GS9tZFjlmHw4Ex9Tj4/U3EZdvBIjQOEWWndfYRoUU0
bkHmCwPekj13WB/RRpGo5XSvJMVYq+5aJ8zdgBSqcvwnUUiu86NumrcSxCdFNRmuPZuhoisneZMj
gT1Tnc6YyilQyxkqxd4OOgNWYVoKE+LGbSLCXDYcaXCxYPRl4Zv0JTFxxuAOyDz3zD3jJA29Y+cN
beJ2NNK66yUmv9OPH1EZ7JULBREs0Y7qY8xT0NfRvGzS40ePklmXZj/NBcwC0xgi7MdPCScw7ii6
1cnTdTunFb1NDswREijBV6kIu03CTUEx8toSwHPueMIoyeW3tlrjaWggAySFeq+uomBpp90p8fwM
igPA7U8b0sVGjnJn26k6qaU2z2aK9yFfPiw9/1BQGdJ28MLJ13DyC3sT1NTxRNGXY7FUUXx1YTsu
121O42qdAvAIjPYr9dNua0XsvjJdXmBmP3QKAYfRWH+aijq6VY2n7+yyo2uLNRGL1YHB2S2UpIuS
xXnu+NX9iE9ZCep9u6SqQ+7gp9IITjrPOVqk88YZi0ObO0eU2s2Mj3vlugoAtC/Q6skH5Kr8KeVy
GguPpaAVK3amG5aazzmYPwYgrassNfYDVOt8boNV59CLbY2mXieWZgUTlnkD3XmfG3KTedmB5GG3
hlx5i7oSbSKHJBhoen2aEsg1in1IdfXMKY6LOxUqwyhcFu8rFprJBrAq4szc6gwVkZemuKuODwJ0
xcoLVHvop/EJoyRllL288AU19sZM/oe4BesXyw36OmVFzB7WfWvcgw9NudOMp8wsJz5tWnUaHMFf
mTPbm4GCh6AivVdwKAw69VpbRugOtOq0VZI+xmW/L/nu7Ko+Cou63CZuH+zUJAN6Lbzq2FlXfxeI
qkkj3yuSEroKnOPgYFkZgayHZkH7l0feYY0BmhGfZd9Sf8t+6bpvzZw8Xucz2PBjdCR8viRodzl+
F4YN1VlS9pPU7WcEFYgxE2hyC3kaebv7MS45XedR8xFIRqKQ6Ncl2s+cpN9dkv1QFCwwF/mZGcLa
YAnKzn1tkjq0YoFcQG924Qab2PMf7HLJ1lEzEdgQxiZPUzpWGsbIi6/VJsjpzBvS8rbr1UapoLti
RkJMLPu45VxG2hNfEJP4SJqPXtXsJnZNZom3+Aqw+sZi5zk9YGDqQOACNCTANAXzbGdb0AqnOe83
UnuPwvLA7zITEUzMGcvFj6Suf7h0mCELPNi+/87M+TvyzZvMmG671nu1E+THaCxCaokuJtVLZtJ8
RLlyNsmsTHyHRcW2P8KTtqNtnWYvtpM8zKJ4wPeIrjLF+5QLZUjLABczI4CzurxyNkhuCzIXy+A/
WPPobBPHwQ3hWO9E4w28/GS4YnqUOZf0ZKS5EFspEV3Y3nObixcwZ/PdVeX7kgxYGfpGtD1lRinC
ZXajmxbq4I4FpDEPKXOshxGb2X3r6vjFWILuB5bP8c7vp4YpbCk5NLlVGrJgUegAtjE6UlrK9jna
qUXfLHnglKkNnb00Sy2jlYSNo/v6umtmSehA0fddziN1fd9aRPXoNhlycdfpwWQGlzP/CIO61joE
TGa0vwLZG8i84ygxkLLMbDJ0WxWmQWmPexMLDJNoTTA57qAYOKpeL22QZEzw025NuCp7j2IjONLk
K7bOnE0fUTswmqtsZXoXjLVlvYFh4O0YKjkPyi4w8nZlCeHB5wk7T6mjGZpRE3/uqpRjL+HGnM2Q
FhhWMNNnoM/3q1lnJLjeI/B0IQY3+Pg2PPpl1zNqiDbsBAYR25hSidci73RYynlowyhq3tyIGP/a
woh+HIxYtbu+5jlK+MtCv/VIfXHWm96YNYJntQWCKl0u3K/6meAlD3dGxQoGcOOYBGUst7yx8yN+
NhRrbiMl8YOK80lCP+I+VlAmRjVNO6yOwKW4fXAMH29nIjDBVqOsPwG0p5TKHNXT4saMbuTY7ZGX
zP3iVctJ6EncBrUEP02vd7IDX3KNbyPk3QTMzzeD8obHchIjBQnEklhw8nxvNJZud4vfzg9upmi+
crVujiO24OamJZfBzrwEGEht41r1lmUNO2ZBJVBa+BPlUjmxkntJmuJY+Nb8y/b5/Dekke2LuUj1
TnWRJ3GxGvLQ0quLf3Uyl7seuNCh9INhF6T0ZplggGnDdSxO+02t+7sJMtmt0Y71tMHeOs/7Ro7G
e02TU7+maIbaY9+duFIj9LWnLPcaWsdiwLarIgiqsCxsGDcUZTAoNbRcPpEXuUFHipKhse7j98JK
LfAqee2LnVNw2IXLLOMjZW3XtuIiju+Gua1u+KvYOnKLsMiuHhz/nSsVpOeS2vYNPUDzLz4Xc2TU
0BX3LU89UArh48PJRsp366ZtnF0NL+5Wm4oACuPFG2sJvtJ5Tg89rQ4kmLD5yhlpaE2CL6NNkFKX
Vz91+wIncBM88lYVpw6a461FBweXuKGC7TzoGgaXlLO4SYkOvOsUggElXJiMXbCa5XpiXXBW9tQ3
v1ozCIhc+2ItPNchmTLJk4D3TI2q1z9yG21SOC1OuQecE53/p2n2qRFQs731WsFktZpq62etdPD+
uznuv81E+P+gP9DG0fkX/sBexe9Nytv09TsC+fD5n/9x/Tf+ZhAU/m+uif2PfkMHBnuAoe/vxGEh
frM9C8qYg7LvwLoCoPd3g6CUv7GpuXj3ILIFpriSgFtspMl//ofEICgFUoHAd+ozMnb/K8ThqzX1
D7wzflJgmrYnnQBJUyL6/7M7sOCRKcXQYxNx7Z++GTzkKQcQ3+vOf3hH7v72E//IF0Zk+hOSj72Z
v8i3bTC3cADcP/cW6NmZ6b4dRxpUGChpb0j3S1ynl3mSbCn2OO/lgLUpcUAbrKkrpq3XpkxGRkH7
mMz2bW+BGuQYxWnEIvsH1SxKy5sg7ZybxVLlSw5Q/guJsTDWfa6QODMpjw0Wb8rKmva5qxyObtHJ
pBQmbDvaZQ34a2sRDdHTMHAZ1B1peWP0hoQBM3ILGInhiPdbviFGUx2jqWKMRsm24y/zSfq6P1n5
+KDHqOCmXnnMD/prMzyFu9w3pykKYRh9x37mbvBT0Hiaez56fUe2LkDrA+jAJr2dS2u+icz6wWFN
2xoKrH3s19Fmmtvh1RZd9qyL1n2zKQ1bMzv53ReWd5+NZ8yfSQYkdgV3xkWE4JCPChgD86uqlrE6
HVsrYpTM0wq7OSW+6R+E1eR3euy9ABLNWJ+73mInnbLlvhUKUrssv3hfli3mAn0jZ5shnk1FpK4D
2usNTApiSIb76KqeC9zHl8XN6iaECJAe7TbJUExKP1SNGrbuzCU3dSdC9x3bS7TgeuqOBlsY0Jc8
2gBRtTfNMpFfyb+iiTFl0VZr39DfQZXjuAh+BYnZnGSXuPuY/gR6jZntGW6GyliADsW9wwEhyrNz
1pKWgSDHJQaeVz5++aaydkFRiwNxgGt0gRPnEBXX2njF9wclb1upZFrPQtno3u2LD5J9NUzNfZcz
4u6VmZ5H0R61cN4kgZB16RjnIEgPEx3tbqCf8kIHm2J2nYMddaA1PI7JIB/g7Zenbg4IAaacxImY
lonIV0KnVjgL40RYdt3WpdhiJGEM2Dib2oxeOGjLs5hSFM2uurWTuQ4JQZO0rfx7nctzoggXVEX9
0kiuopxH73Mvfy0cIgtCqwufDHM9xNB16alnQujhYPNXBuC1eOXgo7VxOnlV9yasg5v69i1UmWat
C/k55h9BgYdxkPWb39FJtgKR8z7Ny3B1Hk7BWsTFobYB1HvKeLHH7lVFnOpn6/r9tzx5toMjBVKr
jI7NdcukexWxAzd9fe0JbL/HIrJI/0wfXqY+8ZLA35LkENK4u8wJgRP+Yz92dnAZE7AZhe+fFvrA
CEQulzaW+AHiOmyxipRW/DbNGfau/KkoFWYXaFB46fHEFfEPXoAclFneRB5SWJSnexhiEDlK9Os0
+UbDlCsLHj/UIyw97oCUPSpcBLntv2G7oOxn/iKuz3UquH4ZHDL8ztKh+3v0ZanlmRKzFxLMyOXo
d8TjnbCN40dhGru+HG6xKz9X0LVoSQVAFOUY9uCfEbIPcZLso8G31vbcPgPbuc8s59trhuzAV9tB
NhzuhuDo05m7Bl2wqjDv6EE+YRNG8vYDxvvJiQZKb505FOLOZXo/1VmYoFDVDPtRqB9AWP50IytM
02mnPUQe/BYX7VlvVdfcZjp/WpgRYFO2dqagms8zfwWT4r0S9ps7m/Z6IfZPJSWcwMIjgltFOzHf
Ezi8U8F8aWzBFXa4nfrlNRKLGbqjZe66aF8wiwmKLvSbmFD8IJe9OzUnwtLEQY6xzRe9nEMzNu/N
KNiNiXueM7VX/nwm21CT7PEOrKf3sjHjfXQ9mNnePvIn6ub777GaCEupdtsu6tFph+Ic0Ux99sVx
zl/aJfsexXRK4m7ky603I57xW2l1T0VlQPTOEWknwcNCRensbmH23LsGhzfUkK2Ih1uQZt2q4QWw
769rNFgcxlttuXILcNJeWQ598C3PFyHkeTM3I3mm4t3zMXrrzgoxX641BEPpmJemsXY28xz4eBSW
SXlHGeVV1oRVxOJ7pgH0J3SDsDCiM9zLM3sZ6N+FBSO33W2CTWKNKTDbqQimqZfXet2KFgha7TGM
/zZJ0JpJHqYQ0oyAgHY0qpVV5gd7wMLCM1Qvd2CVH+covfGTa2ow4Ye2/T5nzIDxJHgLJv+Q49HQ
KRNpJPUHf3Zv6KA4KAfYVC774CScW0c7xzTWu37OH5F105t64nwZzUeYycZqCNwLh+VddRXKhEnY
esYrERSy2dt9fZl5LDe5L92t02dIXLPx6ZlxvEcQem4sD9lyjD8VxaVb+rxZcIsmfq1xXAJhmwFB
9W8JBIxtNamf2mlhvMZ9H0peFtQsrgXnV09Yh8tmV4S5A3/J0e691JO5Rbcw6KjJQzElYCdiO/SN
oD/2hXWUmVXus8oNTZU/9W57w63vp71gch/950LOTLLS4YMR77uEk9sp7yY1kw9Mlx9JDrytygso
gMHzkJpPowfWxirA0tuJr7au334EtXruxv5H5GBMnLCCcUgw4Nno+J0k4huZ+JG2pbJb1fWs1qKb
j8Ta5pBCWdp1K7WbZFPuJ0qVt0skPoGu4mOFDrQbJXo0bjkmS2mKquXjbPdauY9lte10nqynigOP
MkuElwHHnjwbTvBiNPSmMbO3Noh+V4kPyz495fct3kxmZNY6N8iy541Uu26E/1hkMloPdec8oocB
R/OqCwiVzyXtDpNXy3ORFUMoW4CWttm+xYP9aOf5M0lkRjN6OpVR/Cyd+qtM9J0Mlu8K2DlfSbcO
+V8vgTW0RwuJ5sjgCq8SDhWUU6QsmX8ZXnpPuvJnN6iXZup+IRj7fKdmTHJY0rG5RaGHfng35YJa
t4IBKE2du85d+OYFUbzj6sR3pmarcItnEiSQc+cB/ykCQ2h0SOOLtL9TC8CXyvydYOPZez6DlNIi
EdJilGsIKayHqC+e/Hi85C0jCEh5KEC2e3UVxmEGqHYdjOzheHX0WvvYhMDxZXf4U6MDB7XqvWMW
QTOdrR8yrqTog/Pyhn+BJzFvu21iDgrTY4oWGPnZBaciSwE00m3Z6/JQtLq7tG4WmjO+Abwnlv6R
OqN1R252RLyP3FBT5RpGtA+uJw2MJ3eKLbvoBXq52rbkMQlDO1fSqN99B47CBqnHYJ3WCLidY8Wo
5o0OJ8eDIaA4yi4CmRV/kdq5ovaOVQOqZ2Sids9ho+Mb6AzQ4Lp2C7POeaQY7EXT6YV1J4XlPIAA
G5h/JeBOSyqjJ3O8dXEAmfhD+y2wJGvfk/pmSe2WE/BJscVrurwNwtuIAHzqCF4LigOZt/vRjb07
t3P840hEHX2kLO6GuBA70zWOPZC9exkwIhvnkbcxsa/mZMLlduUiT/iYK9eKPnEwaemx0P6ZY08R
Dhr9Bm8iBZLorw0dt61JSDOrDcL0rmAaB7xrbRqtCm2Xo7xZXhPFPVPRxuMvkkp8m1Q/klxCbBRc
XcJUNAr9QOCDzzy4s/gj97Sof7sVKaVWWoQ1p26annqCxERWjAv37ngTwaP2eoft0yycmzZYQMxJ
ghCBESVPA52C/UAkKLJAbSmZ3edm98I4CXoZZi3HmcazXqLdUuLxMyz3OLd2u9O6uKWrMkKu5myo
fPcjqPQGiMl5kUH2YXWBvJ/10pxanR8LGxYz8Ik+5Hhc7h1beyEVWhyldeH9aNrAXNeK+axc9Jsx
jz5De91855H1jSt9CTFGF4SkW/smc7r2PLTNHWeS5r5u8NkMTHmO+KfBUCxLdCnNmaPlNNBfF/VM
6a2kiw9TPt3YSVSchT2VayLIQLupPw2tuZjOw4LFYTJ9E5+ttHYDJqcsYoKON8L1bxzoFVv4wdme
aBXb4Lwwkdi02CQLIKT2uIT9LGhTlvYUtHc9MMwwndLk9/NbaWxlIMef8WIUxCkr66lq437bSWjQ
fny1nHj2OC07FFD1MCsjnnnSyTbzbNs4DNMRL0JQInNqipBfcgUUm2jREix4yo3mB1Ii3WgSdUQT
uO70m6UN94B9pjnwxiOyVbjmgPBYit+POuBCwsvFbtTrwn2DrBlx8ObpDpsA6MFDUo/Y0XVSwEAB
A9id8HWBn+WK2SLy2KP01loU/jkaB/gNdmU71dHKhp7zTmZmFFoa0Z3KS84btoQKOjJte0+6UW+l
hp53o6KWmshotLx7CfU0jIRsTsbk2S9ZmRnvJADjaGVXQf2Q66ndtE0X730mMR6urLn/YU1N0u9k
PtRsEr4JymqMi488mVjWUfYzdz1aY7ys0cs1RwKmM8wPXRYNOgzGPbyHhqbPuBIypHYtvhBY6w/T
PKi7pjMcvTYny1xC4TZ03QV1Ib8BHOJXqKF4vGY8fJQ/Zx0e+KYgDbgVDUAJimKDAvOO9puvXBR5
RPqmuUKjyzR6js1mvh/aPDAubRbExV7rJE5v6KUsvO1oeMIJZzkGwUpDTNn3uSlB9vBL8MHmtsBK
IIK70SMhebKU2xiUAiclyHFpG8MuSrnmfuTtKAnhYM8oGHe5S34y/EUgNtrXhrDF7O51Mxrbrins
EuGucs/KR80bZaSh/po9fDCjqDD/FHNgXUx3UUQdx/RsdDRJ7hQz6nib8nsSyRag63a1lcIU4fSI
w1+IuyLrxmcKmM2PxCSJwH2dFHHfzqd5gKsWDCnjiIjT6KMTpP0xFrJe2wkF7Ft8fj9m24roLR4e
/amCxTD1yJ1b3XHkm0d73kRVHfyCKVedtTXHSQgGGYiSLP38VHrk7yCB4xTRJCkYdWKgeqMbIw92
gXKheNkcCLRquBlh7PdqBd82SeydmdrYUWDZxhWaQ9Rg73Ske4/mvhgbGxUAcpQ96O/OdCHCq3zu
mFXXEVNa9q6q3QQ9SfAdAy5XbaLU4IrVeNaH4knnVum+cqK+ZqCgF6Bcjh0MOo1hgMPr1saKcc6W
Wr7KKaHjhTevqbepk7Rs79L8JprfnwPsFhh2Mwx8PjePJbOZQ3nFC82hV4BoMjNrT5+DqDo1Ds2L
vNJQH9oiz7e8IcQCuEm5mNhBK+Ly0bizbXQDTADDWZeA/UCqH1qj987KkuLIBpj0HP2dj4xm9l/R
YJs3FNcn+8zsyrc0SAWxuNq8ZOXVM9zz6+dx+9Bkg7HOUiQUvoqoihnx72quDlBTwXb1DrSbWpoh
Ibf+EjM3wkTeLXcLKPGjr73oo5O58ZjwJk60YGYDAZmII/wqrQh/gsJcw1SbVyhsZMZkh2WIe+Gq
tTuPhCefAc55hi1Tc5YxdImGHuKfuTXOW9ucmzAyxvJQp9X1jmS2J6bFjwlP2hVdVRAJJZoJxUa3
DpwUhKWjjUqyivBq+BROk7SwgGdHPrU8N8GQF/tWXz0GVkQSBp+/0DvZemInZNu9eMpl5FhmWMPq
ns8p4jAEK0/Mr6gPzcOSmlvoU92N7N1mX9sCoBXLMIm3jDwIYF8uK1U5FHcU+nm/WgniFDE7TU+L
DYUandxrmel5xdFQkM+gtfIbkfpkK6Fz/SQ6AaAc70nJgXIBdjQSGlVO/+WpIdtA94y3qtHBncww
c9SGnw98KpVz7HXj3Iu6DXYtF7rNaCtMKaCfHueaeqnMGNJn4Vrli9vXDM9FbN0mPkMVdmyHa2c6
HHXZI0KJgWEmGsQMxNrxeZuDMgluglm2+yXIqnttXc1XTp3f1BhYw5jx3UZydz8jNIifdADAUWjc
5tdg1aAk6INfwYjGmA5QeziNKZZ2BrddAVuFvjcA6rBllVuRQ+PI3N5Zcbf8iLuGbI0PEXZRxIKq
GNL4VMl5h/HLicNx8ae1L4oKDFVH8qhk7vkVt9iw6r5gQtFY7neu/Z4UOa8ei6bfRIwRt2jfPPJj
o/RXNd/qHBtVM1uYh5x+ZE5sbGegvVRYXzGPhdM3l140/srtRoyuOrd2sWGJoxN3KDlZ4RkbE9wO
nN3FzjC9ddmXN/jvESaD2c4pjuddwtppchGkiL6fGDCC9DQPdqcPkoovjFDjebRy60ZUtn3IvNyn
MHq037No6G/HEgZa4OHdjcD4fro58dxAQykvqKCN0vZpMaBvbMqeC0dHyQGkxuzgRkKDA8s9fc3e
iNcuYK32m0mfXMxZOy5x1ldaNy4sx8VadoJKFWCF5XTsjaTGFIJtgENkviPavuwTAOXdehjTFGqS
B9C9NHBLDB5GrpUT5OA90T8/48RqKGeunszGZTvOdPVuUxGzHgXVKUtWECCBR3Ww4cGGSSPip9pt
Yh4GNB+bxjPb9VjEjenVFP7VgGYWpoNjxffP/AP08bjuFJQrAzSu9bf+nf+2GdA/NVD+fwSS8Bhy
+PQh+RbMhevYxv9LssT//l/qvfz8H4f2+l//BJj4lz/o7wMl6zdb0IsWmC7uEUHZ9T8GSlbwm2XT
4sjJArARGUxGMH8fKLnmby7/jseQkNVYXrES/xgoOcFvjimF73n0vPODXfFfGSj9Xib8h4kSbj7b
ATHvWby8iRr1p4mSEaD/MK2wN0Rst4To1noNhfC0MFU6qNP8saxRMUP5oF/nE9Cky1/Pma49ZX/1
6lcaxh9oF41G0KtH7FQyjI5IIHs7dHdN2O7/+mV+L9v9q9fh7fzj68wcsPzRUzYIsyrkYrtRLseJ
Dj7ccEM33CpOnsm8rcY5VavGIcCgPxLfAIgHIIk89r/5bf7M+Li+5wyrHN+FQeMzSfzn36ZsxQhj
GFd8dq7Pzq4N/U27c2/NDXDhrf+3Z5tHLv76R1/sH0d5f65R+9uLQeRjCGnh0fsT7aZfYgYOaWtv
av9Xkfv3bg+EgM7qtjn+9Z/1717oWqP1h88SSMlU+P3IDQ5D2NzK0B/6bxd/QEbvw1+/1L/62njm
//2brv//H1/KHYdZmnxpE1S0gOjzgKi2I+bQttaqgx0hsn/TnvYv/zjOsdfKNp5J50+VbTknyP9D
2pUtt61ryy9iFcGZryQ4SLJsx2OSF1bsOJznmV9/mz7nWDKsEHX3fnaVlwAsNBbX0N0WRiNTOEeq
up2K2AAqPPGP7YV9EWl7P60zO8wmNrou1KBUlqno6Texn7nKj3VuFBHUrqSzn74gKOGYvOiNZyaZ
zazMrMoiBUtrHeLq7jpBbKHrdEcc0cecUM27ixx7GsNwIy4q2r0xlgx7kB+y9AMkKiiI/j3Iurzp
dHt10nqz2Zuvn1a3ou+5qwj4UkJ2CavTjuoNigEUdMFX0JHYFTems3javeSC4OAHVDAcxRV97Vr4
Ie+2f8O6gVs/Yd2QM29tiwxT9gGa2QqM+9VqeKxqKGKg6xQfgoob69/EqbwB6difbbMXQe986Qzo
jSqYPzAcjV5VYg00+IPWM0ewo2eQCENz3AJjDhVoyRE8XS/C1mLXtoKzxZYlQaO+WKMJ0zyC16eO
oN7dIq09YgqBg2xfVIiZy2IynpsYRVd0MnA0Q7+1Kd5F3X4Au2FwO0w2mINpJlyPvMP8QtD02agq
Mu5bj2jPiCbAnOkjp7XL3MFXnfwKg4nYTZXjvtuwo4qs97YG6MRm3BVBvwGJWB7eK8qdVnOQm7OR
iIQ+H1ovZwQ03Ti0DLypE/Eb7WoSbzF2GKgYGIZyRdDaucbRVZRWV/i7q6Bl/bPVLAogIzfBKrr3
/YEuFBkIOlmCjeSdjyzsQbk3j4tTuhCbuhVp4oTYX/l2+5YwHTXv8c/pkiCy+vwjhr4r21kaMAdK
/qjj64QUXck5RLINAKrIPMFinEiYJBARY91UOw1tLdbkF8+WfN04xFZt6Hn5hYMR/ZdvvNvI85/1
72e3sdPw/vYyHkqhqqy+/FZ1oaWHbo1Pne1thHD69mEyD6SIukYsmdOK6sVOsnGUbrNTEE9GFO9J
Z6Ej2zPuK2dwMJdgFcf0GbJbONH5bvuH8JyKeUCRaB1WnQdElPmbaBwhhrX9/98D4i2vZUCHTOit
h57gulDD0+za027z7xhxQJQ8yZxd5Rl7v7hn51fGkyBrSDXS+Gl2IFy0ByGMh+KyHe15wLZuzNd1
aTI+RzC7jS+iz64C3SZxCtGuCbak3F6m3xjVTZA67H9BGgjjQdu7eNkvT8bWUzxblwwNWdDcdTId
h/GqII/KrHoRKNWW/v+r6PsfuD5ZYu5eLqR5RRTAdW9cCwH6iDKeyPRljztZYO4YhEHQO5wTBNjB
vlLBeM/txeOcDHO1SKL3kN/EM6cMV+jf0PWjYvxB21xo+E18i9EbWTwUCxqiOQB9+Up/LGxtajw/
pBa8xBJICGRaV09L+h10LnXA8QPO3q1tmOcmUN5GR0oO9J1BEDB/R7/btp9xnFpmzgbzexgPHbGE
xXxM2tFGs5iMua/eQ4ePBdaBbWt/iQ1OO8acVA9m+SwUwUCPuWFnBb/hBb17lrovXURaz9vWeMfD
IF2o6kUDaW482iOa2A4DormG89XDMfHeI3p2TasyL8Py/eHSRxv08Q8VWhR6teLEjAwaIAmjScig
SKIiKzryJAyk9uCFNgmUNKgGanewRJa3QYV2Fef/tV+sFZ0J3NBrI0atPitgIkGPUIjKcOBkYf1z
2wrj0V+ssBHbkKuxECigpMHoT3wzmJygl7NXOhOqYbatk0lboqapgasdvHZNl+wDqXBAY0s4zw8T
t3xZC/MkZLg7TRHLEhX3qpvdxN7sJj4a/fztLWMu6Rcz65aeeRkEBsoaHZuIqBv9phvekuiu1aKb
RBRpZc73eR1wgI39yv5ikYEdkI+j2R58nu+fvKZbe0t2DNzwNrDAuPizLXYmB8OZi/TFIINDVVej
hblDHCYVt+Jjj0rMonCgjud4DPZA0Azf8CmwRzMydNcqexCKuNsHxTPBIA44pzH3G1WIlTV/pdUf
OI7A2yUGB9Ioi7RZWTBq2Dp1emjIflI4CUfOEgwGBIwwyhKQL6CbN8J8lXinahyU4fmWwQBACCUK
KBnAm1Fzd9XDcgCT4LF7Ty4Unnor/LszMRg8ELQ6QYsBwrYR1XrU0ndKq3FMcI7FYGAAI1jgeI/h
WRN5StPD2l89cnbtnXP7LPpkL4jBYAApwGOctgDnfEmgZz6i279Dk/kvrVD26gjGpUz2ulZEjfDW
jH5hduMKqo7fkriHxET8Bqr8+7FO/QQlwR7Nfor6axp66NmApnRIf4Ty7CiiQfuY3PVtB613dLCX
qXjbY8w47nVHwpxup5re0jz1sgAmFEwmgw/TEhEl6Gh+CjUUpuXrTNZsVQocYUyh2FGA5zw1FdTt
y+cSsnsYFbzqFfI2CdWjKOAjCz8Zfe9Q5NAhXfMH4iXo78k9k+CHgJQU3MyYi5p/B+NsK3oOfiJj
RofC7ID71E6zskMRTj/qmY5+8sSOVfUVzdIYMQ1o2r2qaPutmtsWCI1xzhxzqBi4GqcSFMqoGwvg
D1vU7AraUhXnSViB6us5aZqC+RO0jbNfCd2s52EA2hOq17u2u0FFL5F8LT1uAw25/CTosmQQAwpu
bFwIwm1VkSLEhRAhwWdW7MdOflx5W5wO4iVXsyvbjV08LoLVPtecaITNm/3XF0/G1z04e48iCLw0
FZQnqOAXO/Rd3mMkha48Kq65r57AvuJkNiYLt5d8eWNPRhn4rrp+6MQG2DqEdwXqE9ENGgPnlrO2
y1f5ZIVBcINg/CXBCDtNxd1oPknJlVn82l4IzwQD4kKU62Jj5qC1imhX5zScn1JuuuEyjH+sQ2Fg
POqhCZQU2K2oOaIjr+45z8Tl0/iISFmJgAl9+xUhgLwgw9jE7VBex+MTGs23t2o906+X6WSFcTRD
D3oxUPAVDFbSedLB8Gmn6YMSOBCi2rZ0+VBOlhjvKgrSj5VZqLTPQCOVovRlEf1p28Zf7s3JCONc
5TCDeFbCcshNsYv94l4NkeOCrNQ1mmz24BW4hVIXZwt5B8V4G6jnJoz1AIWh6HrsIXCRgEZtbLO9
lDxwlsc5LZPxuaWPwG2DGjLVxhfoSlGIv7pQC7OaDt0E5rSDEAddQM5H8sKOpW86QoB8Qn+UIkh7
aQQ5F0S/OmPytn8W71cx4Uasx+Ay0pDvmsvUbZf0qkp+E0naYVLQIl3ublu7jMsfR2wy0YY0dZ0C
jU6kBIYflfmWzahNqa2thBl64dASk/MSmBzHNZnYA4I+EEtSEa/1GtXC+yCULXz00u1VsflvNvow
meijgphuIOq4HorX7dJ9QDExcqWhHMR7W3intS737GnJuq6DhmCkQnfoBXPkpvpTMz2l+iYnnK8B
zqebyUBLh4sBwnaUvRQv9GU/9UYXHCuevtveOc71M9f1nq0ngXRUlLbASfBul6BJB00KJhmGjFek
5O0bAy2FMUCNvIWX15BwWyeQdEyf3qMvbe2nc7bXxGZxvngDgymqBGk2AwRoH1kcKM/RYT850Kr2
efE7xxph60lqOvUEXCsy7dzRgcacg1mGO3Rhe50X3qj/6rwIW09q19FmUK0rtOp2RNUxmofJop+G
xsHKbe8DW9JntxgKCQOdBGFGF+wTBcOQDSWZo4CjQIpQ/AAv6X+lcP7a5cCzyOCE3ChVqQdQgdQh
sNXpkp0o0BcCE/2YGb6ogPm3+qnX/zBO/R8eErZ6lBliNZER1yx8aq5iXz6AizCjEQUPDzo6XtdY
sUN9R/htPpj+tptuIyNhi0olZtaWrEacpVWvehnfFctg1aBQ2bayffGIyOBIU01xWiKnRcH6F7Uq
lUYay4cmbJw0GThvOc/W+vczMMFi8m4BlxGFXKgbBQ8NeVRBdD9JGILjVDy3cYuIDJ7UGC2FtiHw
JECcmhA6RjQtNLCScOJtnh0GSnpJJ3G7lv4H9SWrfC37hazdP8ybnKJhZuPGQC+hGIpMcA2hg9L8
M/VXUu9uO8LllZxsMDsWgM1TRl8napihtAMrqttAAwtCOzKEspXv27b+goknY8y2dRgnTNGBvXbB
LC54B/zcbl3VC218TtCA43bkst99WFOZwK7OCaqzWvq/hpQBOCw5xIfs7U+MC3QOeJws4Va7mzhv
NGdL2Tawfq5rM9LgHFrgiDGkrO/KyNNbTkL6Lwmp0/IYMO7VCcKCJrxD8YqHyp38xm9mG+z0NogP
7eQRPETbx3cZmT4MshmwvpjUwuxwj83IMrOHtD5OyvO/M8GsqaoEqUeeU6W10IOYDDkSTFhqUc0J
DDknxGa+FFXpZrkEvE/xTwhwIhVEK8z0CK//bjVM+Jk2KtgfQoQAYYdhSnRAtD+bkYN46/38+q15
OhQm8oR7i6G60hhEpoTBKvnHLEBDvR+TIzS5b5pexqAM4aRxeNu3/v0M0JM0w+Ds+jrWaHAM/VZ6
C3q3bznX6LKDoxFH1yQTPbM6C39DBCW0RkO0QUcn9TO6iBa5G11ig8j0G5qqeS1sFwHjzCCDhWKn
61WPGTM6gBJyBn+dDJGa8Q7s5RQUGtu+cfnb5MwYg4VVifTupEgSbQPwQxZuk2Cc0U/BWKk8ixjz
T47NzMHfixf4ZJJNkg8DJpySAgVnGSS+q7y9q6ech3F16S/ueGaC+WwNI2ippGB7prEEjr+VZ8/s
OTB00fvOTDAYkWJuEzxZCOML2W51DDd9jwqn70OOmcuP1ZkdJvScSRhK4Olcn4+BggiZmomNcVRb
cnM3RsMfZ+dWmqHNrWPQQk4MEDkOtULFb7MNCTmKzhA7oeii3IEnnkKFWrQgpuBt+yHPJxj8gITz
Ap5ZKN9qnUGNBdJ4erRrqpbj7pyrZTCQMUChKZ918KMR9RF8D6nZeq2+y4vUazAjvr0k3kYyuNEN
2lAHYG2hmJeyBvUKHMH2Mt6Q4m7bztrHv3liDF70GD1TcohUUHAN2IJV3e8i+ppfPYMk3RJ9+QfH
HG8PGcTQclkfC5CtUZBiFujBWnbE169X3yB3kNWVnWhvONlOPBicw+NsKJshK3CH1SVAhKupz5MC
1qHpMMQgSOJ+dq0r2EAPk0EPMECXEPfUlXfEN55qLz12FvJ+tLOlh/g42cSePGEXv1SvvGI15x6w
GbA4x8ggZK3wVqchpD3AyxhOPqgh6fYh8swwoNLFE9jGunDtGX7swAiepm7AayDhIReb9jK1roTY
iYKagyu7IMC+F2zhiezJ2so2WrxBBK65dc1n4UA+GMFs1sgKGEfwrjrhPjsstmGBbdBG1yUnqudt
IAMkSRepaQVJA0gQke9DiDGtMXdVSdhtnxPP5RkM6dOuDFDuxZcK6HoE0zeVlfHUySQO6vOWw0BI
IoPHMgTpEI17gzYEAmpFskNm1NteDi+WYluqMelOpLzBl9eaNyzc4aDehVcYxbT7XUoLGwwc2wa3
989gs19g8pYX6MSotK1S8G9Cv8MRpMchut82sw2JBpv3mhNI+GUdIuy4DB0CHl+E9Rhz7z0jrXwB
SeVtc9uAb7D5L3AiVFG0Vkmb4AiGICvnzYnwto2FBzTmiEaLtHjYvpWmTpv0KYJqtwV93IxzQtue
Z7ApLojCknSpEewWxmIFqOaooKWpOH63uu/fAd1gk1lNnIG6GqPpVJauxPK+HY8J9D504X4anbjj
fDDwVsRAA0l1gsZaBIY5eVgUf4Dui6pybPztIoEUEkN1YH5knihj0PWgGsGHvk7VRHZ/HHxptwaF
EoXYj6s/bHvcXxz8w5z0GVsbBYVdHYxHoPbSrQzkUU2Yu/OiHwxiuobW+dvmLudMVHxy/Xd5jANm
UiJAExd5QXKf7YYH4lcuUmjgUbQaZ3L+s0Y07LsmZ51/cZQPu+vNO3tDDCMvlq6o4PjAi9x4brBE
zGAftNq4i9rFSvqK4/9/i7c/TDLhlAzF3mWRMEYT6DZxCY33C9i0n8Pjsofy5RXCKeR4BbrwWi3+
4qb/s8tGU5NWIy2wtt8GTXRXQOrIAEVTmn3nnOTqiBeu3ocZxlH12YxVKAKqtKFgbb+WX1C2t8IH
9SnaLz+2bf0FtT5MMU46EbT0GRFWpBUHqcAH7Z9ZvSKE81RyfFN5r1Of+QgUCtEGt458BT+hHlXs
dHfxdQcEAuIOTCnUfNQsfQ/RCwfTbdsL3PZOXI3P3qnMo2KmUq3SuQ93CdQJamCLAbYeQ1gwmBhl
30Oic2xub6ryvhtnqx0yjEmawppinm9ljJBOL4tBo4ET53BugfLesXNmRiFCCj28tUxFxz/4ynXX
cR0w89loyMl3BtpCh+N44EVxl2ENE7KSBHIroqx35MyqmI1TMUICC7x1Th1CrDmkNbHEErIK5p/t
s1uv8dd7cDLFnB2onkJQDyHBrUMIbUluhMxroay38lNCfFwP3mTyvG3xcsPEyiT839Wtqz9bXV7F
WiBnAO31jZj3op365TE/Br+jX+a3dRpxFYv3to1eRpWTzdWFz2xmNUkh/Ihv0aS4EeGo5m8j+kfX
/GRi3ekzE3FWKqImof1Bq9PHWCVHRX6MMsiMZ7zC/eU468MSm7kfG2GJ5RmN40p+yJPXLuJ4Pcf9
2Ay9JJiFNIGaCM16O1mD7DyUH39U3dM4cvqD/5IiOK2EgUZ1GXQTDCDQ8NgHXr1/v1iW8NOwAmsd
Cg9swlna5Ra7k/OtDAPnpxT0ZhPkYY+Oy6bxkEr/GRajF8vFUR9/4S+iFYsYciYQ241RsE2DH6H0
uxibQ6WBlaKbkutRmB2I5uy1UeeVLC5j2mk3mFd+LkMNgyF4co3H3jEtYA3EHCmeXdDXW4KXY3KM
n+G6DN4nowzWmE0JKRSI4dJlaqy6RvdoDW47EP/k3yewsvCav9jZrv+0GZwdAAM4gjaFsioikyB9
m6hik4N5jZbXXXQQfd6l5+0nAzTQIDYbVQDQ5HG1S0j/pPQQtJA1a1kEZxtf/hL4nraRARhJTjWt
XgeAQVDrQPPbWeNC6BBZk1PS2OW9ELylMWAj1jWYYEU89lBsDYO3FozWynOQ+/9uVezQeqlKhpxL
azJ5cjX0o0Igh+bllWn3dKYtxGc8XsKVg23s4HqgyxrpKowMjC2ivztxodtLki4Hfh8HBR6RTwCw
DMDkUHlvPAmvwf54BO/HXWgpTukZhU08YkeH6RjSyMu8zBEoUkLbv4Bz4TQGgeYGfSJZX6IktfI3
hNfd9JorkLsaLFm4jbity5yXT2NAJZmLtp8yrBdFlJwcoHpdhZwi2+UzA92/SGQVLA3i5y0liWGm
Qw5nHDQQg5XJdS6P7vamXV7FyQRzaoKojM0MziraKU40/BHB5hg//SsT7LkMRpXq6MZH9iJ6HEC5
D+U7lTfqcfllRUxnQGhAglbl550yIL+VTiM0giDdYuvgghbvxtLEpw4dwYC2vZ7LfnayxRz81ILf
F/qSWI8BfmZ4F3hshptxAqc42J3+bBu77AInY8wrkkZ9nEAuVqF1otuL1rlhvXA+cC67wMnEColn
8VU6zGCNNRCpQorCzifw7k7lHyVE78f2Uv7yQp0MMc9GmaU1GJXBwWuAeFq7rRR77FRQhvlgwFXj
p1HfTQaF3DPni5vnG8wLMoLFswwXpG5XtT3RLB6hVOGAMIdOSb8bZp1zoy5WWE0Q8cAFVA1DDcyt
XbW5zAj6RDRZyG+x1P0IjIQGqH9McLaZzXWTZtdCoT9MSsYjsrmYEz+3zVznEZo0SSnik3itXSMF
T+M3iDBQye089Qevbn3JN01TVE1FQd5GlZnzjFA0AfEkJJsVJKRqBbKGC8dlLrnmuQXm6MCCBllR
FaUndB6noxOC3tz4xvHKdUvYD7VzG8yLT0LIolW1ignLfe+sFDmQRERzkIzmIH5/+cU7cGaNdQ6p
78xqqJGZRKH6AQSMkIiFeELdgVdV6L6VYeYA5+/GFpLoTde4vc7LJa+3eWO5rORLJShNojZ4U6YQ
XJO2KIKkpvoxa8Tb3tfLRwemHKi9iCKGez6jigjJWSEyUcmogPodSM6vRMJLil662RDV/rDBuAcm
pJqxNZA1LF6l2VozCO2jYMd25Sy2el2A/Utxoc2oWLwA+OL31bllxmk6LZIisUbDXwyFkN0a44TH
lekMU5870a1voz3vsl0+t4+1vhOvnaF0t+R9NbwTq0Gcu+5BSwlNz0DBc1pw8JJzcu+B3pklMLUH
czgbaAjIQckN/RQpFZ2Gh8q89TBItaBFqZ4yJLQzMbjtw86Tqgkc4eGhNjreFV9f/68+f9o7JjoY
+hB6ssZKW9LXh042rozhXi6NYzwOEJcwbJkooLOEzCWUd0IF1UoT14PjrLxdZaKGIojEamyRy1On
zg7HI/SQMDBKty8db1PXH3F2dCCnzcWgw+Wu5+EIpsD7cNQgLQGxV9BEbZtimbDevzfProC0/pYz
WxArLooqwGs+75sdBufsFmXlN+gIHhZ/OGi0pQo6VgChj+VNcF15kScexLvtH8HbVAZkQig+lEOM
j0Po5Zop9DEhXcHBMd5VlxiQ0WpZ6NQW1wHycLuFtvZyaF5S0DDkD2vD4/gscRbFO0QGW2RQ0ucx
Aba08a5UVChFYfZtnwj+9t6t/2bjUijMBWxjaQJhPyL/lS5J9jt/dCOf/915ORw6gbTCXD7ZKHQt
LZFQjrS7TvPK4m4pnshkLaITzVTLjgU4S7eXdjG7fOabLNHEIKillmYIg9Sb6gHe4eeeeIte+sAX
vq08dKDJbX1zxxu+4Lgjm16uO1XEZByuRD3eTb1+JywPgWpygITjHgpz74ZgKCuDAMyM7E/W7yXE
szNmswpOCpFnhrlac24IiSCg67Z5lcI/YbCPh+uJ18/+l3DoA5kV5nKZeYiMfL4eFCjlhl3rDf6E
HEjkS9xZKd7hMNcqz9UGlItID1SGN6QPBUTnpV/bfsfZMzZ/HK9jpC0EGiFs4I/TcQzBDo8ewfCf
lPLO3JvNI4OCUGuGAC5QtPt03sflDWa9t5dyObb/OBiVQQct6Ws1CPGRWxi+Fv6eof28bYCHq18S
xlq6rBIYeKscED+DJzJ/6w7JM7R/KTTR/AAagRyTvONhnmA0Vi5alq19c2ADTyFNNV1J0N/K7zkr
u5QJOx0PNBc+v4xCaDaptta2Vtqe9WUM9+IOGsbuzB33Wu/HVxDH9Dy4bvT1u+KzKYjmGPoUoJu3
JgUNkhRaI8TrqyexmKncjW7W8kY2L1+jk0UGfvQ+VEB7Pr/H9R1Bhjlz9YQDcZfj+pMNBnugYdM0
LdgmaWs8t9MvGWwIofmrjF5qHg8rbzUM/uRj3Y8CBBooRCmdRi52Y9i8NBBw4bgEb0UM+JTBsKC6
tJIrlVYXW80Ojdcv5JpAoRvKRhak4tBFKeVoXQNxA49M7y9X7WM/35/os1ANPWUB6cRMoVBEAmEp
seY3yIxhZiOwpmtUg655Y9Rci8wVaA0UWeUC+1p9X/X3rhUnoQYVa6qjWg7BJD/zck4a6zJinRbJ
IJaRyI1mBqjtLgbIdPEkdgNvWRxvYbOMoAMZ+kFDnyj0DAAcqfk2So/bnsIzwWCUINYrQqGMpmXe
BJoXwdNFTuDHM7H+/cwbKugOzGWAapgCgfTCksjTLHFMcNz9PT47M5EKmBwLNGQtDcXVBujRQ6Oi
7CA0PaL6zQEL3nIYsFhSzDKWMmzNEKgyZAPisSXt0Oi9fTCXw+WTezFIsZAZih0lmAFq9bte+YpS
W20J/ZLUKsHloc9Wl/OyX5ffq5NJBjRIHqvSTMBfZHZ2lNkVMtnpYOcyL1zm7CCbWmh7FRLcayOt
CnqBEWTtKgQV5eft/ftLqPexGjatoBUxJEnzQAIjifrUTT2d2sGGXtQt5ngfVLHzOh1qFsjjNE3s
R8ULxzxvkQw8AAzEUozgJh0daPFbNSzim071J4ltArLU4ij8Hg+8mZGL1UtQ8f/vfX7/iD67CESF
GnmzcpEtr2vbXuwMB+NKA/t24qNtj8uWzLXHwMeotmKXJzjK5Ub51lxBy9jOjyKGKv8EN+Bd81se
JHJ89J3H9WyBadaM0MlBspto/iT8ansM+fxQ5rft0+MdHhN0SKVWYSQGycQguRczX8t/4Cn9dyYY
GAlFUxjGEf4Bro1hhAqkONPM4KEIbyEMipToTo4UCQltaMgY0b6dvtcR7+uAg1QSAxvGMOjlIgsS
BHgflDGHpqiT6DttgpB8iholSJ/EmRPfcJbFFio1tRFQE8OyhpoWyyseXzV4+lfnIzMRRQg5QwM6
ZSg2QC1XIZDbPPQQ99s2wgMpmUUJZQ77RsRCevW7UTmtaGeZrUK0cXiDYmqm7TU0+cWzxLHL2z8m
RwJ2iAIKlRjPWBpHzBw5g4its700TnjEsq9CdFiWpilGR299UzV3ZsSNMi9/9nxgnbwu8gwK2nAx
YpAEoiBupLRerDH/ZSo3kCyfhxqyZbauXCeGXUBTa3tlvM1jwAFy6W2ro9ub9qEbwPTw08SDuW2D
6xgMPJRpuGAwA7MtHUWpZrf4EIWzdA8Brscj1eJAqsxghJhpS5SXMGUO91JveJMiWpUQwSvuOIvi
IIXMIEWwoB9NJ/gg1qBVsh/QsAue7fu1D3OtooBP7lrcdc5KRY/eQQ7evheANj5d2UpYWFTNEsQK
YsQspUllXNX4zGtIBNF2uYTs84MIVrsO1y2I830cNKWlSQTDkKmV6pOfGPN+ip6jPuD0XPCeULZA
VkKcrtMa1ANnkAWoLnKHduEP2I2VMt7kUvJz7iWbhu3LUB2qpgV0mvNNi9KfJHMy9X/Jhn5cTDYD
mzZlDTVaNGAoXrNLnfBdl6f0Kr/9Lt2ImCCYoZWH68q5lxw/ZpOwdZlAIFFClgoCfda0vCTldVZ6
Cm/kZ70OW37Ewk5pyJG5FgFX5eNp1g8mGtE6U7KhTulXrfpWTiHnU3O97FsmGcSBRJiEzDmirApZ
g0y8qrTKUgLFyWWrTyLOReFtI4M8UaQ3EfrqJKqPSBOg+LfU+wKT1KT7wYEDkbMsBnjGsFwFLZGR
U1SowfWVI04PEV4kRan8bmy8qkR+qQwgv65wTHMgXGGAaMrBIijOiCLLobeme7XsrIHTBLr+i40z
Y3OzZd51TUFQGlPa3lahVmlA+Dp2Ceq3kW+W1oz63/Z+chbFZmmTSY3LcSU3U+XXShveShB31pCP
/HdWJKz77NUFm3HbFwa2zgwAUU33gNMBhyH5tW3m/SNwa/+YEEWH8vfSzsgayPeLi5yV8z63smZr
UTeiyk7+BsUdtz9U3yGITP9Zoe8DwtQVRc9WWRqajnoOXipdgcj1PHsGcCTs3rYXyXuTVAZL5KAO
wHuEi61BGxDyld8JTR2UJL51zuKkULi2A8hq5Tcm7TkBBs9ZGEgRc6nTjA4LVMXGqlrtJg9fiFRw
ngIOcLGyU2EAlcu8XWtHUvqnTXflaE1ZsY/z9FCXKWdJPGMMnCRxtJLTIS4j4JBNRk/H/Lg03acN
aJg5GMnbPQY/QJ+hgtANPGTgZsiKY5H6hsDBfF5cwLbsppBP7JUQnTslmj20fdy60vLY1V4IBe3B
gZ54VDrJstORWTXcbb/kLI/t3VVqaE8nFT55w/YqqWlm3k48Ag2eCQZGJnz7NkEF/0Pvx26oJ6dR
Cjp0vPbqyw1qp4QI2wxaRslSgC/5Pw1qio0P0g5qLhh7R69A6JYv2xvHNcfgBhh2InzSgSBxtNem
+NYmotUdGqfeLY8ChI05kG9yghFt3eZznGrnLDdmfKXmfUNrpb5Xmv4RAi94SjMKGegbKIw7QfJk
KPNrl0uevoRX2fTYC/2xFWU4T0mzOaKmLvhiJ8fWnPh9SfOX6grzrJZCxrs4MqDEqkPtHC+XIX1L
o+qhLttHbYpdSL0/zXVzhdFkS1p0L2mt6q1SVSsp3wZoj8bpZCtdaRkqZJCEwIrD4lVUIG4lKtdj
md4VwbIgFK/+dMXip7JpxYuy07tfaq4iizDipYwPoUpeIJ8MgppnISCe0JvO2IU06ypqmPVRD/EJ
0T0LOiTtu5lGYHbrkwD8nvo+1peDTvALxsiOpPKlDqMf0TDTpa9a0H8sr5HW2WahUVVVH6sEXOej
Yc1jvIticqjKorfSwHDVbrYUSfsujPPPSiA/+iZ5A5nID4xyuhLh0ZRxogaNgeURyChqNTAsXlWS
aQ4t2dYvlftmfFTTfczTsFrdceOR1ZhYz6y6pqlDNEVF6ktpRPdh3nPCBZ4FBpQXXdBJO6JFIQ5H
ezCrW4Urv8GDEgaMM3nUYyVH+VOVZ6vsQ6+fddrK4j9aiUHA3K3rmqEyZjDKGogNUte0T/ajgOlu
HkfC5ffrwwAL+ODfzZVOASTKoegbeuSQbKHLAlJ03bAloXb+EVad7DEZrmCE6He4BsEqpFMFa80W
Gzsk/72VJ5SXZLiAjKiFqFB8hXYoZMrYmqDURIbRkJH8V7MCz5erXveu6aFnC+R022v7eo0+G2OW
poxgOl4ahMIZCNAJeo1UjzjJnter9fVT6bMZ5hFTAq0RBK1BNVddRS79JAF3v2Cj0ZCD819d/LMh
JhhOMCWk54OAuVWBKsZNbbgSL1/HM8G8XMlSD7hHa2dMnFvT9JKZh7H/s30sF2Kaz+tYf8TZc9Vq
S50kbSVBSc68EcH7hB5WfMriPTb/NN7o86oFF1IRnw0yeKpKit6qJTauouF1AL2z1sPgkydfi99X
9qIKvC3FkWeVt5UMqsZxPQiNtibETWRXkeu4D7hEJ1+/nT8vjMHVaUmDVIixsFy1tMnTyI9J85Tl
e43cp05GtJc6Sqdx3JDn7wwENrImjsIAgqSgk2gDCWIwW1uj3N9iLmnHcZWvD8enBbJFwhzaWnMd
m4RKiS8EdtP5S3iXavuwu9Ikt15utcHpyZshUl39TuJXjvn1Rn1+GT+bZxBk6pdK09oU+dbXwS12
lbvmKMXfCiYcFbfiElFfBCwN0lEQhoCgBishZSClPEUtVpuaohvPdkCMXahAH802YwyvWurESzte
dKCTRX39+9lVNHGSiZACuyB0vAdTjg+9kR04mym3JnnxOpxZYrbSIIM8iJFBwIY62ytRU2kPz9ou
tlddsRh8qKnLY/LimWSAeSqVvs6rUKJE96ceb3XravrDP3GRs3UxoKz3UQ9mjQEDsB4Y8p38G2qf
kKdd7MAavs0+r033wrg9XPLMHoPQy6wXRbdO563fFmtjcOTqd/Vjm1iLB1lKsF4NgxM+c1bJ28r1
72d+AvEaMUkSCIKJnuGBV/aAlnXPvIvBEBj53TEDaksc9YrLscLZShnUbvRKHyM0nUKJIb5G8eNg
PEg3I10T4sbd/58g6PO2Mmg9ydLQGB1a2kx8YXRWVYM+ROEI0XFXxMC1DhKWPm11gtsmuwWtMaz6
On9X3MYz6XK7fWS8E2NQuh9iHQo6A3r0+galS9USILodo5z4T8xAQkdVJVRt2GksM4F+n5IjQTfO
84G08TEoIDtQRfa2mcsxA+a9/meH2bphEBdTIqAW6ChxpV+tHexAUtbS8LaxoBk4WubvbYvSig5f
sP/MIrOB6HA05jarJTQ1CDdHTBn49R06OHPb+D26qNI7s18Dvsp11t2KKXdk6vJj8LFitlI1KYLe
jnII/Q1N9uS0sPXxGUrYtt7i+3oU7aoOHVXg9edffNxPq2brUJCa1Ioowz1Q6hTEugpMvc6RFwS8
1OPX75z1wp2Wx4BzM6VkXhaNUN3wxoHWwe9m2au9X3FbfjkHyRai+imdQk1CejXaFTvMTu1Tu3d1
8HAjl8vn4V7fsQ23YetP8UIMg4QxyKPCozQeQ4VOxQ0hmSWhW6uOaSf81rqnYqLb7nqhVPx5PxmE
Hsg8pOra2Bwc/0Nqg6nTHSSm4Ka8OTSejzDALMstCTCpiydvoILpNt0v6HnV+Y6zIp6HMJBcp7oR
igaEG5MrXHroAkD5PbuZLGnXrHnxB9kevAacVSrn5l/Ix3/eSgZrujhRMSKMh2cdD6huM7c7tF4g
W/JR3mtu8s1EB1XiFN7wY3vF6//dch0GcbosBGlxiVYG5Euu/o+061qOG9e2X8QqZhCvjN2tLFmS
5ReWNbaZc+bX3wV5jpsH5jTO9VRNeFCVtgBu7LzXytbEUScQMxthgMrmwVpS3wJ412WRgjvm+1Mp
bNy09PBIY5PerFLu14AX1swmUA0SrHEfXBbHk4hjfeu/rpbvTtExLlfVwDd9We8WBDCgSD9Ongz8
3yJg4Kdv6W1o5xh28UWd/31/+Mve8KsFTWeCG75nbcbwOscs8nyLiPDy6QQWm98tqPrcKiMJoRm6
mbdGdF9pyqfceCy6/G6MRrB4FNohz4XY2rtJytmS8l0qOa5XOqSoqWCeovPYNEX9VKDPPmLVzwdx
hy96/zuoO//9FTlb0/eRVY0ErrEB5JPuaAfJZv9PvMpZH8GBfTVcA+XbA9KmyJiLviJneqx5KSd9
HBW3Kr1+fS+LJy3/evkr/kOUdtYUzu6QOor7vkIWFh9rpHzzIboubcYzwJjeRXiyKovXLzx6gzM2
tJKTyZRQJig/BvTd1M3fJZvA6OkncHm4BEH2ChATlnd27uohHTSd0BG1Ov8hwCIGUXRqGga/06Fq
vaRVzQz2r7v0GAYMCXG0Q1+9+4l482fP8SyO+5BlOlbjZCG6maXWQRk+6NbEji1RPWv/ds9iuG8Z
6mSYI2kB7rzefJbBz25GQuSFfY9/lsF9wSIC0nzao0iQHlUHs6/BZkjrcFk39831WRTnIeZOL4nM
uIwXtG16RQ+6MT0o4Xwo+8QtS9Eszc5CBXvov+Tx5VpCuxFIIMig1YfqYNg1ds4jD/jKXxtX9nPA
5f1LtfiIcjZ5ZoWVfiUbkbVohW/p1B670p7U4+Vb/IcXfj4WF3uqekSl1IQVGT+PLhu2khyQSb1g
KQvgC8Lmo+Cjfby8zZlKmfags9UUV7rqfjSwzghCU3d8N1FHsgYb8xOJHTmYtnOEKPv7oe/5oOx5
bETXRldPmgFDPQH0kwFzVI51XAM2MyGmchedk/MK0VgqalghLFyi/LbH7uZaoyqAznQ331np6As+
4r7bO5+NsyAJWcxxWv9uJbC2Rezmr38NruK1wXD4s3T6LI0zJItUUBMrMqgETq9Rljjl8KLpqXv5
TPve7SyEsyTabMZpUuNIqRLZZfua9496LZAh+kqcCdGsYqZWAn+jZtRJI5eYn5rVdCwjSHTB3Ifg
OHzxtk3DZDBSlMbSxVf7t3LFEppgPkIkgqsqDsDCSWsTXb84eZT7t7ADmN/z5Y8iuLCPOsHmDQHk
qW5yCS0RSu6M9UdFruVltpvwQV1FQDoiUUzlN6LCusVAcTejyraW9tycpLW3aZU7SfYpHTtB6C9w
jR+ByUZYGY6LNoaDAlN7F4axLesCZyX6NuznGwHdXMZqO0CbR/W6xM6manglfbn8cXZlEPANEp3I
mkW4G9NkZQb3IGTU6L1poBjQYzcVAaIxS/JbiLYRwllRtZBX1ZJhRaXmkMzA0IRPGu1xHAX5w35t
dyOIuzGrVLpeXzuGn2kF3WPm9a89/IN6ZIFfHwAc+uGPauQbkZwVrUalycsWHSST3ubZgx49Nn9C
LoMwYiOEM55pD9oTa8I+0rBED10V/1Wli20uphcO4bNchnaZaI6WLI9RN3p9RexFIcIK4q6+b/4I
zrjOpWatelWobn7NfGHxELsGIziU4AwZy00eRO+XlXP3ORNd1zX8q6p8LS0NLVr1E2qWsuTp9XNW
f1G7Gz0P+lowZbqvoGdBXDwDCrbMSGfoTZl2d0pNT02sBcUgvwCN+O3ymf5BR8+yuBdH5K4dLF2B
2Xia/zJPBVZso+fprX0PfeWBPli+/Joo3mWhzCf9/gDPMrkHSEBPqec1Oo71SO3W/FbTyZ6GYKic
xvxm9G+paLp736ycBXIPUY6Hv3u3svUUG8oxi0HfLqKz3lfIsxDu6eUo3o7ZhLxBxuYjXStn6P/E
O24UkHt341I3M+mggGpx1WWZbaXPimgSWKR73LMqwdVA+gq6V+l+nxjOQnO7HUDRI2gHiR4TF7eY
ckr0IoQRLos3YE7bsznYU/xIi9MkjNiZDl/QN74qNkRDnkVtqLggiMTO/HzoAuteu0FsiWmB9jlR
BK5YcDa+KjaZq2mVKyoOVfZaVV+zAVTKQYmNsykRuJj9r0UsgpdvySaf0MkWrde5IeAKJalDrUOZ
N05Xsk2fH5ef7H4RlZwlcZFZMRIrrgpDcVtQeyWHDv1eC0M4lWMesYSIhGd4osf6RtQ13L/Ks1jO
FGb9ZOSJhX5U0qR22xzamNpW+6pMwF386/IR943EWRRnCfOpWCoz7FEnQjwYwgopb2sqsHz7Gfjm
GjnTV1UJKOwI2iTFj9XH/OUDSAhBbaCjEaqhxCa5sSBoF344zvZ1lSX1Vg1lZCvLGNTChysVJyd2
+Cn0OzwBNhg2xb72pn27fKH7Zv58oZxBrKc6UQBwCYN4ig7KB933/4IN9bHz/fvzPsvhzGK7WErd
1zC8k5MfQa4wgyuV+DJozQCMaKdAeta+EBAwOi0I1GVXPQjvmBnFS38BZzR1NgixaglDf2TUsBhg
vcWwKcDMsBDlY0YNhUbpUxuUN0AwN0UqJXoivCXNWoAWJ2hvtJ+rwwjETjmQ7nQMYa2vWE0HpAAw
Q4MK61ki1jGB8eHzwaZWDTUdJtWNp+JQZqVHMK4cWcP1RESDhvu+9dcn5tf+F9IoRh/ijFrzeaA/
OhHk3X4J6fwu+axwWmep03QFhcWi+gYsAWDBxQ4de4Delb1DWhAY6iP1i/lbNc0q2g3NaUwSwTDq
x/rsBT3iF/2HdDSlRMUxSVi8DrHqTCYD5FEdcN48mMazHuYOWTJH0Xs7Ds0gXsrPg6F8qondp6dG
CgNVem114zTGmWfE5gO2XY7l+KaHoytb+Q3SgSihuiPTz/WIIQ/gdw8xCsNVEoSJdVuoL4DAEGGF
7rcXNnfL2by1kea+qOGk9PCFzrmXsb9TG45R86UPV19pHxN5OWS9FUggZFB12RvM6kufDEd9Be/s
INuD1R7Syni8bJ8EBp9HHWhqOZTHFq821v6aqsRBiBDopqgxvmsbKArwVLWIqvNbaclKwzEtYfFD
czhKERLNHryfFaIdLbuqwvc4pP7lc+3H9BT1VENFSGB9uIRNpl5gX7Iaa6xqMlDF6RFTRXbqhy7W
TxckSM2xBfv7LCp27U9lbqTyRlDT5ZyMiOhad/VZb34GgZ92CF0NE8HxQTlJQY9K3uWz7n7DjVDO
+C1llHWygaMSGhjLDZi5pM69LGK/lXKWwds5StDaqFi9gNyxhkAXpE8WfDbbeZ2/l44hkLd3JCor
VFNUTaeKxX6++XrTEkpaGFUgrEwPZXVsW7+NjoIj7dnTrQzONYcSKkUYFkQGD7hizQdiXm9nX0JX
evlZmigRG4tW+0Xn4tx0NkiYE24QhUdEuVLN4QZcXSetEEIxi+RwejgYktlMOu5Pv1l99sGKU4wx
z+h6cEM7tau7xBXNBu+qyPY+OTWMiKb3UToAlsYHLMZ0i6aRQwBe4M8/GFKknDqiRuNuJLkRSblR
T4DcGlKXwXrpQXqPmqxPHa1Dyx31Jazal2g+iOofAqXhCU4nOdMyEmN9Xp4GB/3We8mUBFNuu2Mv
21Nx8f60xIMcVShHsFkNNvgSnerDT4QEQ/QI2O/ive1WFhfwyy0lKdInvGJfthxGyFU4ChYznAbM
D5gHQVAseHbsN16SyG5487TXtumw0Igkaji11z8bVWOEQc/BNf3MN+5F2dNuWAM8P80kKjD8DH6E
YcCqphbrGM3Xg+wWVdWn9op+Yb1v2U4fFMHH2394Z2Hc6WS5/nsPIDE+VwXQgms70wUfTSSD/Xxz
g8B7Hpt6Zk6mcTGmns93rag8vK/m52NwtrGeZxDSZAhrW2O6kjJyE+aCOE/4WThTCGQgrOgoMFHh
M+If8JZljV0fFqQK5YOYdXY3HthqAWcRSaEYplXnCG69MGAd7dClQHRigwgsc++fqZu9ClRd9KE4
i1i2udbkFEdUFDt7YYMXsT9MDnXaH8uddmKQJ/otACMEYvff9K+Px69bAeusN2YLL0y5GzwDjg1o
6tfZsTn2znL4o9QLoMSqRnGDumpxh4zUOJvlAtZqau0VEzOl21+zGW7WVB+wzePktxgw84Z3UUnr
I+b4zZKcJfPWvyn1PqnLFD2MQ3ktB9nipJ+yQ+pnwXLXBJbLIi4MLD6RYEDiKVqR2v24G+lcMajv
l4haLE+ZLDehsa3WJ4MIpquZUl464W+eoALXZCwrgBoy7GTydIyyxG9ydROSm6JyBXrDvtTv0gzM
RiiarJr8TvugDXQdU+R/kyM7PwcuzclhLXaD2KbLCJXmAESGbLEImH2i77kfQECJ/iOfe6J9K5uW
Oi9slHwB5Ub2wMoWhte5IBbzo9j+/xMBWB9K+x95nObiYSJ7TxCwhNgRtm5S7OCWfiJ/FVzr7nM8
H4t/joa5GNYwwsUup/G6xj4KiG4wrqDamT/Zokvc15hfd8gvuIMzvAvNCcsvgDa2Sf8QpkGtEJvK
d5pm66agSbP7BlTVQKOSEKpRLnpokZonMqt+1BizTKfVQ55n67VoSXBXMTdiOKc6LWWSKg2ewX8A
1jOsKrWBqJYjOg37+cavNlkK2oJ6hf6Zn4fiaxcetfKPop/NUTjHisKF1qw6bFaVd7YZogighw6R
AQeTr85UInjNws8l2rBaEaOCnfpj9toY88NlnRRdKOd79bLrtBxVFvQNrZNyMI9aEB8K/99eKPeg
9RwHlSR8t1jyMVTdTCdq/VEYsblQ7hHnmomce4SPnf3ilvU1kmu2p9SCUCAPhDnO7lv+JU3nWdG7
ajLHhOLi4NHH6wKTY5kjP7Fl3x7LXn8yOUY30jgXo8gSSaMcw9Nd/yhLiZ2VPhWtI+57UdWgliYb
Cva/OSE6mxwzEkSTo1+DlUG9NUEwD8JJuG9gB3npo+SY14u/ooJL3/7wQs/SOQ9XrfKaWgWWLhkl
IRC1ThOAVBCTmR+riIto1vajGfSbj9uclrNYWqGgg1TgjZf9CSxz4Xo3zO9N/WL2d92onVaQKwiH
mdkNXpLJmy9Zr+o6xQ2zfG7xOjs5qVhjYEcU5XP7Jux8nZwJQ6KzGoaF15BKX/TZTpunSRS4Mwt1
6TScBVvTua4zCV46JsemdOsmMMorMxEZyv2Xdj4Jb6LqcJyUDJfGdgJVRJWM2DE8yH7pJb7o2kRn
4gxVAfprIjNiXCU1jouMfhQ2j7Mov66I6lw2vbu9KLrRQM5g9QaRpjBSMSXsKz7bFWCsRysC1cTR
QO0YOYUP0z+9iozJbmSgokdKZRVsajyYaTwoXZyXGNkk7akdnYh8sky77G8l8LVnjSCW3NfDX8J4
GFMUgYEkh7lsdzYmp9ZvIu07MQU3KZLBGa7FjFRassmyWontvMycePVUEVgRe5u/a/v5IJx9Agpw
15IYBTu18IzpL7UR5Ij7mnf+/Zw9WvQYG2M6sghDhoKnpqfoTwh2TkqjPF9WPNFJOCuEXGWKwhVl
kCSaPY12hyxMvMsi9nVbUy1Dp8Bq1in3aOMwTrS2h/kZ2ZCBmz/1sk1updsaO9iTOx3BkJY66i2a
MI+XJe8GNJqpUpkSyOfRgkYg34TVjLBKDxgsRhYYICwTR4j7RYuNHM74SWqezipgmt0lee1AL6CZ
3jx/X7FdQHIgtJwisGVOQURtJRSccFfbN5K5qyUzgDIWNuolT244WHZT3RlCWP79FGwjhTOEs1rS
amjkn6BSIz7hasP9u7VXHUsvu9P/YAAGIJK/PhtnC7tmTZrSgpFPCQjSEPV25rtudrYWfk86ke8X
3CCPCzCm1VrHOZpQFNC2ZvcCOqWvWVMKUnaRFM4qqWrYmTiTAnLuATyVr3HzAjT2y9ouksEZpXQq
VNADw5Qb9CTPjlJczZnAgAseFD+EqrTEnGQmIj1i0CVgODNsakBURNldnttoAOGsEsr3UjZmmNUc
/Sq3B0DnhoHmvicevbWui+vsHggqqh9e/Q87DOyWfjPtZ+Uj7JY36d5oSaE66jFqnNTurw3wmGPL
m0Le7DFWZVGMIbIdhLMdcpOp0WzAOOoBW2hDgA3adBeclZPLKu2tiH1wvzuyOSBnMpQwJ3PUKGii
PdM74k/PkWe65CG/YphBgDL/Lorm9/WSAgqJ6gSdO86ZaYAWp3G/oPfSOmb9JZ+OVMhztevGtLMM
TmEsIyQzok8Fe3rR7eKxFIx4WLQ81J7qYwUktUU6uuuiNxI5Pal0Ms6jCSMlWWh4olRsaX6xXqEc
KnjW+zXqjSROQ/RYycigo0Y9OYO3BD8n9YBhhwRsdrprtgUimpX+B6083yenJOGoDLRkYSEr+rFO
YQr8KlCAYMtanJ6IrpJzL6rZpnE3QkHU7FDWJ3251WanEHGmiFSE8yqTRptmBaId5li8KAEqomgQ
UHAMHsag661OKQYW3TYHSXuJZMmZTbshpUghWP/ydxP16+Pw09altCbdyNq4me4r9NmIr8b8YY6C
2XxTx0DuPtNRNConOhvnW8xmicqlQoJc/GgOk2MF1MfcxLf4fbmb0SkxnOIpcte3yw7tH9zA+aCc
5QCUfZRVPcJsHcWHzIv9KUDxNxhP1tE6sn0B02/QszbehsMo6pcIrBaPbtAaZMrHHC1dXHIYHWL5
Ta5fL59vv8hyftk6Z0NIly3NnCL2APQjSCKR0XqJZzzOV+ZRR5FFCbAOi9VD6s5v7Y3I84gOyJmV
OF/UNaVwdIt20ohfrt4smpgWieCsiB5KVlomoBXpqnuj8QrgzY+CSp/gVfMEh21T1WnPuuIVuUrS
+3b5dPkbiY7AWY1Zn9Ii7TBFM/aNH5GnZlQDWURCL3hd/BR2ErXxaJhsG6Z+6YubJn+kmh8Ngia0
SAoXg5aDLKlDxXqd9W0VHU3jvU+cRLjaJXq1PP6AVve0BzgIJhLvGM4iOg7xk4o2w9Nyvzqzh1wF
uHfm8wQ0m8TVRPGN4IPxfX2t6+o4xoqOu6ad08u6YwzSs5qED5f1QuQheSwChMJVUrEGZwdkgPXI
Fk5HW31i0QZ9+7f+mAfOXnupUawOlmLBGC0jcwzd5b66Zqi+1KWCNyW6Qs4yWJEqVynGWdxRsTtM
4q23hR4Irk/gw/iuIi5ujDSKXcMBjMIlifwYrALzYvqWhZGkAua86IGq0E2nfsoeBcJ3i15nu8sj
EVR0tvpqQcDRpLMXZZpdWOS9A/1XP2SnqcvtObVu41k7jl1ybWaFXdRARUeAF5nEBnewp0Q5WFf0
1g5NWZD8isI9Hne1UKRGjtkcx+j3x+oFvSCPta21QD5WFbwC0uKT8NX8Q4r/y9Xy7ci6rLpSobgS
ps4hViUQ8WEoocvBFstqJvESCAHldvXsJ8+1KlNT5gwSvjSRKEmQav01ePLXISicMXSUWxSpWZXm
tXjthf35XSO4kckFMvlare2gYwrCNF0A+pfkU0wdOgjiJdHJuMBllQCrTCt8w8Z66vXEzYlP58+X
tVgkg0t5JiWu6qFnE1NFUGFxh94JIbJ2nevmstifsMmFh1CbgX+EVniiAmqa1O5iHC4fYt+MbkRw
tiavwmSsCtxU71cvCXYhoOlfPtBrvUEI57Q7iEs30riARKrnIupLSKNPbJZhupEiW7tt0RREus1g
ssIIb98mR+GrZl/8t5h9I5nLcZrc0Maxg+T4WF2xpVfG2EkfzdjOPiHtPommGETawcUtFuaA0mTF
p8v0womw+qGWd6MIVFPwmPgdK4lOtFBTJCKVcgp1W5avShXA/YLdPpGO8FAZtZJldBxwdxUD5sDC
k9cfZAajG92zYSkRloTg6j7+nI3Wm/mkzHOEqyvm8XNcxcchzoD3TgZBTXA//D/rxIdN3gjKqk7O
SAWnDg76r/XRxPgZI49N3RClVQU7OaszOnWOHZXci/xRuH0geN4flaKN/HRpzWRakdQxmx8D3Cic
bAxq4Cm0tzqrrXn/fw5ZzNboJvp3FmpBlId9rZslNrCIB600r/r5UTUFKK/7n+7X7+eLuUViqQCV
xe9Pw9PcX43VbdYKIpddtMTNGQjntSK1B33I+lGwiw7DM0BJHdkHOKivpnbk1eBXb64Vp3KnKwsl
6/sR69ZCa8Ls1O/W5HxOzouB4iGRu4wFny2MVQamgiOLEsz7DPCQz8YtuTHt4cjANmdBTr6vM2fJ
nGcbVd3UCJv4r7VvS/ilkpzLDmF3ZW17vZxbG4kCrr4WAhpvQvO/8AD5A6fAxhWlr9Kt4ZEv2qn0
pGNYutl7/CAJgl/RATmfp47ROswNRg9WctTVp6z+M493vkHO4yFZXbq0xbcjT4pPMVqtfzJtNmyK
4ZQbUXtX9CA4h9cU2t+zNmF2GulDSZ+oaDn0H8zz+UCca+tK5HtFNoM9pfxG4FoNJ9ZeLMmu0ZlH
ybIFZLZsZ1pkg8v3srLs+5+zZM7JDYVMMNWKq6xLMOrKlaP2gUYdIUCj4LlZLJnZGMpyzauqM0sM
RtWRgzafbL5P4yFMHw3RFqzge1mccQnrJVv7AS4hsj6DpVJq7pNWcGn7of7ZCFuc8ciwL4yGKeav
WgDMtm/rQb5n+94Fy8YRiUj+5Y/EPv8FW2VxFqOpJaJpK+LUGiowAXF7emi7x7YK2snJ5sfLwtgX
vySMsx5dYoV0aVDjYK3m7JQFk89yCVHxf3dxb2Ol+E0kIOWoYTvjUOgSLc7iDUH1PTuF2H0aXBJ0
R0DtO5oDSEL3X75oizMfGBLplZaZ/qhiBS9rcPL4T7yoIcuabpmWqfG0lYasYXeuDVGPV/RvYUwP
dRLedKMIC2DfcJzl8AXzsS7/BoleTmHw09CzIb3Ulu1SOKS3q4YbYdzLypKFtG2NUem4PWiYQ8ew
P8au6Ld5PrQiaOFde7GRxb0wCi7sroo0rB7VN1iYBRAKMuoq+ZLIgre1ay42gri3VRYLSecQbZoo
cQCoai/RY4RndflN7XrEjRDuTWljPdGBwF6M9KtqHpXVu/z7hXrATrkxr526dsUECFHEoWFQut1N
f1Cf2OJPexM6yetlaaIr495P3cUWpTVqrVR6UDOgkTyAMumyiP0SzubGOK9LpnAp8wQFtOSHfkqu
wADwPX0vrid3OMb2c3SX+UKDJFI5zgkv+tyucYY6tUkc9WY4lUfip3cStkoS4q0PbECufI4w/kqO
gsPuVvI2h+WcsGqOaquxsnJRqPYU6Q5m2exKsa4GM3mhcnEHsCdnAVb6lFmCWpngW/J1c9lqpjbV
0NIj9U0RIW83bUX5o+zzfD4esoSmZj0PMgyuDL5a2WN8tUC4XU+s7wrAsnfBdbIn+5sH24jjbEc3
dWGfTIg/Gfy7yeYBbtU34jDdkQ8ayqL/9nycDRkUo1ZzFOfQhELlD9QYrJCd/2DbFfReFAyIvhhn
S8yxTTMrQpnRxBxMS4iTkttJE6ikSAj7+caemBIGXnuKBN5op2M1d44mZw9zuPxL7eMsiVKnq9Uz
yEmJ3gzhY4KmpAhXcH/pc6MNnCXJJCOZ4hRdSLa0xcpjgEvEPKiXn8SjL6Jr40xIKOcpiZJIBc/c
vTnbCD/n/N9FFnxtW280XV3Z0kvR5o4CZBWsO4zTQfCE9m2hhvUTQKjgv9z3H+QumTEzgUY8tcvc
0U9ITbzQjWNn+msE/in2gP0euXFzEHG/iCRzKjE0So/VWYTvc3hTpC+xcsokbGkdc9FQyAcCw+9m
4nxGTjGMqEraSoGOswl5UF74g2eeumB9nQEp3tj5Owz/cbpWD9K3K/WGurWzsvmlo2gln53o97/D
pFjCUkxN5ifC8NKM1tIYwkyj2aX+TNTWtaIrxVDsy19VJIizHKoSFbPZ4MB99RCWIUgRiR8Wy7Vl
5q+XJf3DozufidMfkiijlUoQNSxeKWdHWpXOlK5eqAGkpwI9IjXdJmkWR5qxpqmIkD7352WNs3xO
i+JJDTOtg0dF5uytbu0zjlzlKkUWjZUL5ncWYBRheV6E1rOvvmfBnFJFFHszygr6WlOdjzk2N+vC
vFpAJhSu7cHI05fLF70fkp/FcQan1UY1lBr0AKUhWKmvja6pOL3yqVEP4ygyCvt+9SyMC1OaXq7H
LEP8n14bd+1RwzRwWNqDz+JM+RAiaLp8uH+Ian8J5IsGkQHw3ARQiQBstfOjeRqAlk28idoAuPwf
oOoF74OvHGhrmM+ZDDgwGES/nxO7X1snJiBsGQWfbX9b5qyffAFBojROOlaPz4rIDpVjTT/lhTul
V1lSOHl6OwDJRZ0E73/fO52vkwtTpEgjnVRiUL0Y8c9TGh0rYSgkUEiLszGlWuQp2DCQ6fw1+xEG
XEEucFUEa6De155+x8AWlgP5lMh25Qm0RaCefEEh1i0GNgnPIZ+WF3KIPLCAuBUKyZqngnNHE8yC
7N6miQxfJaj06PwI2UDKpalU1jzMTsMaaN2jtQgKqexB/eYZUAwGNJWpUUvmHlxbD9oss1WdsYjR
Ubaj9GiMod2AsC9GrC7lXk8+X77F3TdwFsn3oyzG1mdNCGWbImiGa6u87iggvnrB02ZqcOFkH/5j
E1+C/E+r1gT56mLW6Atdy9qPy+fYtx2bg3BJgKnTrkvYQNAIwLYVHOmh2x7IzQeJs3DcQyiNe1p9
x1qFPb4Uhi2uVWwdFdheLI6G0waRL8oA9r3r5mzcI5ti2tdtDE3vfQtD3U1Qv6pPzK3Fp1ZkND7W
ly59Ks6VRxpc9MciTQymh8KrAgO4S+YbRWNtxspd7vav6Wt21LBeVTrdlfatxypeD9yH3MsDMTXL
/vD15vBMgzeqsw5G02YZrJieoW5oIjJFYchBmv51dspbzQH7jcCy7L/0X8/wI9jYSNRBc9MlEl66
AtzoYjpqwG6cBDKEGsR58rqU5XYcEQWyTiJEYWredPMXbF4dQk8RpHf7LaLNJXKWRW4Vg4IKlGWs
+TF6GbEICKbzh/GQAOIhvEacXxxZY9i8XWvESX9Gt0jPf8BHY3dzp5GiT9MgYTGwl1e/BSPpPKUn
tWgELm+/jrSRw9Us6dpGQ50ybfmYf51f24N1xGwosCs0RIER9ugc0Wrbbgy4kcmZHiMCX0QsAxRz
1J/bFPTngNiLrmPdsIdI9DwFusmD+sVTnynxilpHOyvXWkyCflquGpUGAnO661w3Z+JMTiatWL5p
AUjQeeQzA4QKk2DwGYekekjctnf/aMV9I5AdfKMgCiKxbF3giFLMD+MlhJU9Y+T88rH2b4+gCE80
Aig7LlqP69iMugXaMZMjBUyOmfpFI7q6fZd6FsK9bDLrHdIhrNDJp+SgHQDTX7+Pr4mT3i4uwB7f
FewDaPf1n2nGWSz3xFMzpK0R42yr4ZnRczodIhHklOBkfHweajmKlgumz3J6zMZjp/9VVtcDFZTX
2B/6uwP6dRA+LE9pHqdNi4pHNN6ty31uHBZaerLhta3haJH/rwVy73cNZ9KOCz7YQOY79DzsNSuc
FAttVKqdbgSwrQKMIfJwWRdFl8mFEFYWtmGcItkZsXgzBo3yvdZuMVh5WYpA4/n4vIvm1pxSGH6j
O3YFaDCcWLjpwO7n0gfjnq7UaNpEWXjSAi+WzeNrxGbkr+QEdNzvopRD3ze3Z/3gAoLMrGmls4Jo
nktH0kfvUTZj8RoUnPF0a/SThwa3J5u1T8cfi0oqG7DPrpSMt0r0LFeg52wKmyjmoYraz22D0I0+
DEZ/ZQ2I4YrlBZvQ11MX+22n1Ta2OK9yvbGTpfmrKbXUafXOJWWPUETqnZYCFmr4HqavcV95cZSB
MyW/7w3DrsLcVvLOi+fZqecR2iTVKHtMTixJr5e/8L7LQ7JgsMajYvKjuWtcteHSySiqpu2pan50
uuZ1IOfUsve+L68SYhwrvfekUnanqvzUtliR0F9XsIg0QsgskbpxBjZJK3kpFEThGeAZcq9rP/ep
oIa8m3ECgu5vG25x5rUgRVRGLQIniuZ4nqaHtQ7dFVCoiqQ/oGt+06zNp8tXvJ+9nEVyplUNNSBP
GHC6EyD/EfY/hvHsXxax/xXPx+IxuEoyyqoa4VhqwBY3EzBQJDe6q9sfSAZ38bMkBpoUXCWPwWhh
Zz6kFoY0ltam+QdSVfe9fG+9AdAv5luDsi8Qx07ma3RXCYy8wPpRzubWSREuVIUrsUrsfEfVfQVd
NOfGidbVuXy1AnvxG7ZSk681ysxAxgPWxqo9h13iK8BrWNbKTYo6uCztH/KVX8pCuchplaI6BZzT
z8A+Q0Vkfu2v2IybhFpI7EmGI9oW3R9P2egOZ4CtKYqaScFUYrbY6Qcv4XiIMBN5+DnKET0JAfl2
fTSRTUMmCkwOv4aFnT1qTSok6sF4LB6iL0Dd8CyXoDeBvpuGBKIPyqB4L660t+oguOHd9inRZcs0
GUACPwSaYtEs1gZ8zArWlVSY5vB6oI1EHqhUTAAlKDDPxR+BetONVO67Ftk6RiWWdFzSe4n0mMRe
NchIm9bGHq6sz0nIZrbkvPcun3bXohIMZQFHjgKRgU9oeiXPDYLgJCNuVV+Xhaemgqnaff3ZyOAe
Y4ydEXD54UJbpPK6l6P3g+K1Z9of1ZMnUTa6+yA34rjIJy/VfBzZSGtSfJ/kz0v/FnXHMvdI8Xj5
7vbf4kYS981mooNFOsXlLSF6PYgIIqAwTAoGPntP99WDdSu9icbIhbfJvUZlAN2ytiAdZJk9smxM
rWdOfdW5rIWG6tAnwSH3n8NZQ7h4iJYxVbUVh+zH0snK2NbS1Y2ANd9dd8ktrjnO7vVEIJXd3G8x
3+ZmOUevjkOmr9YKoQRgwWvra5HlXj6YSATn6JUFnbKoQ08pLF+UBgOfmSAC36/BbA7B+XVTnuup
ZXB40qF4AdzJVRKod6YtBQa6DaIptH2T+esz8Q5+lbsy7ZmDZ5WJLsgCBhUnLl4Jbo336QloolUg
ESP77HrbSMvryDIELWmRCM5crFandSmbtzDCU9xHdi8ibhM9od9ctllFvUWh0nIAbqWXn72n5a7F
CpnbO2UgxL/eLXecNYF32rFKlzyMP+apGN1H7puTnb8y92mi3JF+j14v6/b+Ws1GIGckskwi9ZD8
LMiBNuiIXYKr+VVyAET8aXELn50zFRK67UZd51SBpw+wJmMdpRlPKqKvWfxDkTU7lx0sHdiXj7fr
tM5y+CmjpsvHRGIMG+tQfioBxjTp2bFcP12Wst/13YjhfGNMu9UaTKjJ5Ewe4jtsgfSHKqjvQCTk
Tj6bEJ9KO30Wot/tEjOzBs1/ci7uCdDJwvpfD8lYhHzJfoSOYesnHalv4Sz31FvtGN0Htm4PHh7A
k3agvC7EE2yia+YcadJKchZpGHVhkBP54FQv1W3t65NdX62IE8DvDUiyyBWNbAi0iN/jban8f6Rd
x3Lcyg79IlYxhy3jROVgecOyHJhz5te/09J9HrpFs++1vXXVQGADaDTCORz41gCNOkd4XPN2kHBm
0nmSeL99vqt5wuIjUz6iBR03tTMusIo7RShZlxhB3QEAbR7224JY35G6QdNgkOt+gKAJe6JCagat
U0WMJGs1/C+UoS7Mchp5X1XwLBhLPAKMfRMXZh6cjB54TZpvJuKXjknbTenF86oEaDhVEg2AUgo6
naX3NWCm4wi09vmJc1tbxaQaAXmZD4lVO5ON5w/zlqND9weZ1LeUxpZPEgEyW8zXBLvM8ffyQwNS
L8kSj4bNekdSd9EHcdRn7eeSbzFYQjheH1HfmnN72zToFPKDACoLGcphHIUaJLK6/Kngr1FrMPyD
mNhpdB1ipwbZnd6ZTXP2sQSZiCclZjyUqTc6LZ8GV9J5gDVUIGq2RRnsoqLyja+eZ/DzJPltImkv
XF/8t9j9QSB1gDUXFdVQQGAUWiL3nU+tun9hfFTqun2XIUoiISbhdYWuSipAKYsFzByS1c4n4VQB
daiy1Wu07rHSMx1ZqRed6H2QR0USBdgvrYQJobeLQsamdoDHagOw2cINXNYDgPL0D8KoD9j1vSSH
ClHOTwAG8C2LrhT+8xS61XiUE8tghUkaPeKDQMoHlKLVMl4lgBtf8xPhJASK02F6yc7pqw8egOKG
oEYodu7Jdw2TBZ7cdIuHwLtwSVJ4wFCKkkqDR4i1X45NOBN/970SsMGzYWPQZJ860075Bgg6hums
OvxCHvn/RZ+ozfXBb4oaQzvvDb4dufUTS78nb1X1ztj/1+rKBw0p40H5aKwCQB6AAkY9DB4w4+3I
ap3m5JutxdksKD86q/kgj7KfCZMF8kAgYLA8jrwmtLCU85ghtwCO8CHZRw8EUIrPzP/KqfNBMGVH
ncBhYFFF6E7rXd4TKFAHU8Db57d6JV2Oj4ap44PJiAGrAk/0AcQvT8CIuIpYrRU6u6Y1oYNmXfJ9
WVWIYfxBcet7/YX/xr80NtmCTDC10A5YAdVOzDDDsE0amE7otDgBZhbAe7CICbh/N7S1q8jCYump
BnRL+GiwSmHEFja8j25oNnC/ogvwOcFtfidDIlovEOvKDy0u+NoCtZsamIqtMorw9EDBhy9MXYtt
wwdVnpDUAps0d5xJwC8SC4h48I4GAMOZJZtVhOI11ro8zR6eWfj8xBi3NCdReBEHmtBv9HxEHFCH
wE7nUzK7aTGiYXOvT3fbNvsbcwIWn6KLqsjTbOi+HrQT8EolUl9VPaJsU5mJlx+1O10gK+dfCAla
7IUsGrR1g7oIpkJPVg5J2+UtjjdzGuCWK9OnbdVYAqhYM/eKkM9EQDc7QnLmWfxZjN+XqN8vxjLG
8BKyJ644jzwI62PGVB7dN/nHEH9+IokKWk0sz2US9RhR2BOk3Opxfg0qs34vfd+Kz9qLesV0u/VL
7yKUsn6YHK/MhPFsuG2Bs9l5oZs+9wcgGWHaMfS2z2jdx38K+5DFJ1WljTF8XIg/T+kxUSZTDzy1
URlX63povsihzkqeqxw4H5CTxc9B4KZ9Z07Sl21d1r32IoM6rRaIx10gQUaKVkGkn2pRNkfjNPPH
njUPsZ70ST9lqdTrWG/6doQHkdjoe6oVu+qNj9llkieA+PLbtmIMQ1fJ/y/CURUXVRbrMMNQf9SN
HyB62v79dW1kiQytaJKOytGvAoR0yrS6gacSiDBCL9ab7SHbB+D5DVxmzrNq4AtplC34bddMc0L2
tg/FXQ6qldJJ9rxbgw4isrNnhm6rz4GFNMoqyrGQ85BIq+0RPG3kLtFvAlC7xLvaGnasCYJVI1yI
o7xX4RRZ7MlrIB+FVy75NNXiVZjvuD5y4oTVN2IJo+4pTvWFFoPDku2XtZ2Cs7uqNVtInZlTTYNZ
x2RIoyd0usZoZ2QECEwH/0zwhhNgYAG2CZMMGggEsxuQ5djhd6BtsogtV189l49K96lEIdTTkdCE
EmoZMgYe7dHwZNIErwaphRhiuAs/G5Oo4HQfzw1lAtk0UuBIGHdSx5pGW425CzFU7OiD0Ki7Ht6m
zruOuxukm6ncJxzj9iWG9iGHWUihgkbTKHXeqLD73J9uozJ+DGb5c00A1oQSYKhXcsYaJV4NUz8l
6jzlabk2pnMwQi+u3gUYSmOl99tWoPO0a/k5sBhE2N97k6P9pwPNOp5tM0dV7VcrSEs55gsiJq5C
Z1QP8+TwJdgeMivj7O3gxPhi9IB8XgjNKGC/346NwkowFzTprEbXthlgWeJXbWI+r7OcpDBDiU3g
6xhotE1oxhifqc5V/21bH4YwGlo67eZAn0YZNqft0V83s+JVUURLF7CkNR6T/NO2OMZJvZFUL/w1
ioRG8DWIq7vcqcJvUVI7oZp87cogB0h4+ifPy4t9S9Qt2fN1DYAEcILUoOGcvETbd8zxA4aN0zlt
mw/BBJofUvEAPbqTAGHdAI8vgIxe8dpCh0o02++GPd+EB+YLc/um1OlsN8lSMJc3RPanDllAcgBc
904GFg5vq/8C2n0t2uqCqEiaqIDOR6XcuSp4jD+mePhUs4OVZ3MWZDPWDIaLrZnkUgrlzXHUT7w2
I1GTgQdiVJYS73TjKVFyT/RNv44YJrl2fgtxNOKVkkxDLPV4pU8HQnGh7lsHS4pMwBOWGMqrFT2o
mkzHhSh69b7zMGr/diEyYQzWUrWlOtSNGFdTZXAy+Xqe5IJnArehG2EIp70KDwqG+Wdz26MZNkGv
r/bJLM4hubR07KNr8UOmvuoZ44jWosZSJxKUF1EDO3maJEyIiPzk34kDdhylFMv9bfysqq/qEDGq
GSxxVNQQi7CI1Bq1BN0/gcLeMrRbv63MOTzPk7f99Vb7I7pgyNgHIKyW9EPBbwa+VkiuOwEboQLR
mr7vLf0keZwHcASUaLflrat2EUepJszBoLYj8iW/0o9VLVtCK5r5GF6pSmsZfWNti6NRft6e40v1
qIdDWIdxLw34lIRtSjqldr8j9NX6wwxkbvSAautH+FnOTBYAL40MSAumvVrls1EscrhBCcJ42SJ9
J38X56Zwl316h6qMHYUz1at4b+wCm5V5ryWMC71piLsynP24IoE5i56nYS8kn6roMULI3P6+a9nI
Ugzl7EFZt7OQQMtC+VTzYMrJGO9MGquP/o409pQm5+IA4EbYZ21OuNyKs6xYGFK/128qm4z2FXvf
JDtKZDkexODPw44FmLceYX7aLN0dwijTDLZD/AmlfFfqnznhMOgMNVfbeosPSS+PavnIxxyPS+Ad
MySGG4bP5CLFXhv2oGJrZuRdjA8L7rBfY1qb4y7lgLRqd9boAm7mnZtVPxCiCL00vwZeDN4WsMpj
HOQxP/yLNcJtGzV46lEz+CAUDWrYaONIbgmoZHA3v6Dz9pU7ZzfYeralwVQemFik69f7/4/T4Klg
XgZFX4MPl/C0TakpW0CdB+xXeqyPgzuDpg3UekcZUzZoNLrb3rIa/EQRjW8B87hYHKc++awPs0h6
RVoHPOpTJjtl4qWZ1bIY1FiCPpxtIyV12ih2VFktIeDZqyMQfMK7TpWcbZ1WD3GhE3WIBrK0Yh5Q
eAcrYRZ8izFqwt0Vk70tZTXOLKRQZ1bzOUbI/FyxJT+1jEnDUGHQPmzLWHXzhQzqamrnBk0Egr+k
1WgZJo4ilxa2fP5OCPmci0xC67IyLFt8rqR2RcNKOt5MC1ZKxPpaxDwWQsopTP1Mi1GbE79PIt44
rFuVGvF8D8qXT0UX/4qo5JIswSPUP5OUlQNZKgF8Fo+sbHI1aV0Ioj6XxEVNjVSLJK3tnrBV/Tsw
QMbR022rKUq6vgCaHmF/45OvXBmRNtVfnbxGwtLiUAQuq+Omw9ul7My+DU3F/x7+R/6wD+dCvVzk
ocmafEartgIIdg1OGbP+j3R1tAi6oicoyjiHCikOqGaWADviZLDSX3q//IMMKk5GGB+atAAgJsNB
tDDLdci8rwQyiW1fq7MK+sXAaCAMP5HFbJ4Rklvsik0HnqwhA6+LFCpx/ZHrIHO7XYAqM3KL3bZF
MEInndpU45wLRQLZfgd27dCQwF5QqV4cReBxKf7bkOw/31TFwL4gK0Dqp0wj8geIIxXEPr/O5c/j
xPj9dWV+/j5dl5KUqEi0FHaRzPssuk9iJwxvq2L/J5/sIoWyjFoXuVEid3ebuGls6nplK21mRnXA
OJvVHivprv7zvd76Hwt3lQ3fx14zHioVdsPdyRG/AG7S4pzpRjnzN+MhelF3xovAaB+uR+6LVOo2
lauxCw1Sna98gJ/KohMYrLba+pNooRl1l/Z5hUXFCi+++MQf1LPkctekU6/fGNbkJqf4agS4VuWC
R87bPrz1KHtRjrpggzYIAmXEtSQnP4LYGksvZS0fric+FxHUfcFzqV6lJMgm+Y2WnIbxwUgSS8Su
riz92SX4UxZd++JLkNWlM7k0DiCXQj+PcyTPOGQuC59xNWG9HJhE3Rx4YPViNUJQrXt9A8aT1mwi
J/Wfqw4teBb0JcORaejYuU/UXh1g+P3ociJ48b4JuiXPd9u2sH6x//x4NHBsjE2quiWjoJzh6UJh
1vpkAhZIbs+oH+0FMJdojPNiuBZNh56CubgsQhI68hdZ+6IKjMxu/cWPjVdF4kF8CeTdXy/4TKyj
RBnhu+FeR3+3vA6c/DU7q/uvhHkyd17CJ0ItlHpQjUXEsupaC9lUdOdnWUNWCdmqf5PG4LqMPzdS
xPiCNGrU+x1ykUKP0beBOo6zXCKFKYCaE2NYv3qpBNUsGuz3eMHktqnXYF5521RWRyr0hVgq6Mti
DpoK4tQyKpfgX8XGmZmDGcpsnewbINet1Kpi67/uMX3QlnpEaV2aq2EEsSMeUpNqKkJhVbxoCslB
SZxhmEwNnTHWMPt6JUDmweXNywJMiTrKKVZHOZOQwynXoiU6xmtwUO0Oy1ogwHRibOiwWORWW/n6
T4kCT7L9xVU3CmWCBjskcjsd6DrzrsZy2GzxmNdiQ1SuFxwX0qjTjMZyajXydiBLEmT2Nb5X9zXh
+LSjewPViD+xnoU86hhTsHp2oCF8H7sonhS38oJH1eY+qzbW8k/8rngVGfXb9QRWlgD2xQMmUaav
hkTDeObkI7PrAZAkOrGrILEEKQchThtZdGmrAXshjIo7Y6W3tRAglAa8bPfh7BrT6Eytftbq7p7x
McnHojvE+kIWZZxZ3+ZzlP2TLiNrQDmVrBKLmGEZdszOlrQtjb4k6kTl8raFtNJWPd7JbbKDrjmN
TQal2ci26/Htot2H+oyUlh3Xh3htJo1ZDNeRhmm+nap/b7jzXJ/K7FAOrNGW1ci9kEmZZx3I/Cz1
yMaqor6fY0CxDMG+TJ+2D44hhV6RidtS0WeZZLPoJmCUFjunHc/icljPLC+60BR3mQoKxIoUMXtA
7xEWHMzOmPNOu6oDM/vUnHJnOvKBKZ6n3cxInFfziYVoKvETY630U4kktZzLx/di7wzFjZ5oTgTM
zWKcTCFk0YuyRFJVllwYCmCqQqRf3Enpdz/3Uu025h+z7DZUboSaNWG6msAsVPzg55qvqhq8QQ3E
OzXm7apr99tmwhJBubfE5bHcdQJUEnLbMFQvilhos7+5bX7GRpqmztDDBAV9mCLwZUkjctwZd605
Wu0Tb7dn1mTGuuGrOnYGQVj0oUEdl40u1x0aFFUKIpN0OmTIHMamYSAlrn+4ixjqbJpRG9RQRgwe
g9LCq8COQ1b9iCWCOps5TNM0J3n5KDtT+JXXH7bP/jeX1k8d6GibFl0RVQ0+1WD1tnDKAbIVefMh
3InP3W5bFuNU6EA7x7k8KDFcB/R3nMkpgNmodM6SuNDcFrSelMsXpajwKg5NMkvhRHJH/yDtgs+k
vpOde/Oret0+kemz3FIdH2jcucWaI1wPEBfZ5Hpb5FV8ibg+kjFt/tDv42vAPwLzjZ2/rb55FyoS
w1mIwXrPPwtSU32Xy1h/Tm8lEPHN9wOL2ek3vnvRiJzrQlTVqUUMNEKSSxG6MeUIkMC9dEuABLpn
Fgb8el5zEUaFdFnJ1VQcYI+aYMq5LUdHI3DH/0jX857lL74eFcUn7NvPmoiqf4ddywR0pZUpshDE
mN+NCg+jNldjQahS0xPAnM7JuUGnSXSBhItNKNY4KSNQ0EvVPNav+DaHRoHUHNIEbAfTH209Acv2
/2GVnmXmuloEkhVaourn0SaZWXRonyXPvyaPhuR6MP8sTboIpIxcTss+0DK83qVqjwQpijHVbG/H
ClYAVCnrVova8CWJ9HnHK009R9Jzp58EcR+iCypaLbZXjBe/ZKTUjFCoUlbedzkPwCjUZevynEtm
XbbADnv+S80oIx+UCPC+wK+w2wC4IzII2eYr8MKOwEmND6wyH/M7Utae5o2Y+TzOak4lyxjA+Di1
lq8BaRfH2JiJNptG8jzpSQ664HPDHLr7TR5/MRbqqtSkvtXmEQepmLMrAS6W9I3A6LRjqco4PHrI
QwMQIM+F+K5Nl6IbYtfNq8oqebNkUO9lfMegjMiIxSDJZpG05qAGO2P2/6R+f/Fojbooe40feCVH
dhnxtw1QtvLRbEpTrRnrw6xQSI9rRUERY60DxtHjZAhfZuiqe80hBY7W01hv4/Xa0U+1jLf/X9xY
SdnVXRzCFMjShXGt4fU/YdvusXGrE9lbNB5Cj/vGcLf1d+v/7c946y0shPpyqmPyHSUOck2STY+w
AVoxIcYisxShJz0wBK72YxdaUv4dK77QRGSNJZo/pwAFHO9l/rvCHebuS+8/FbIVjx5D5LZZGm9v
wYWOfIZ5FRGMEah2lqB4LLxJMsPWDIHWNoGHN3Qy3hwlkzW28pvy0eXbUr5tBAIquTpqkPL5bZ//
ENpCZvpvRQhQBw4m69nFiCbGW4q50FSbOY7zc3Kastsau8IfTWChx+13fzoq0lWKVglahdufdzv3
Md7WHRcy806L2p7cCkGO7SrFFjjFVHS7ZGU/xDA+1nN+fs23IaGFnETGUlIU4sFXjbLNhaqTRr6V
BbjDs8Lt5fSvnkmAgfo1f0RfoRYMwqpWSYnTVZWr9TIjwJBEYEsj8v8LjWQ54fU8w2kZsxsXh7Z6
/LuTIX6x+P0JSCNpV+P3kx9p4ynZXgBbJXNGiUTbLS2orMAPm0HMQnjXYOlkr/xQH1NTIwBNZCxq
/3cqUdGjSIO8y4hKWuIG4X6U9mlxowYlw6ZZrmtQSglBmPcDWb4krJUhioeBE3mqTQCuMjewWaOm
vylH/TRug9JLrLqu90ka0KYW1hhuSuyN8fvAy68zT7P8zjQgF6xPgJT0ne1Put4+vkRkg8qBhl6X
DSXHNcffjhj/DK3oEDyWsSVfv7OUGy+hl56YPQuG3dDNA56b9Z6LkCz0bnQ3eMA6saP9bNW4eMBm
+bKt5FaQMnj8+9UVEDzEGWPy6BsMx1Ldg7zEbIVdXeUMw2HJoTKgrhvlym8URA2lOIbpqQpFN9Ve
uuq/QeK8PwWxWwCLkVQV9Oq/6lMlShQ3Cl5pivQ1C9x8fIqTXYDRQN7j6sTkQkbNcvUKXcijbAT0
T340TTgs1IxC7SU3nurK3j6i9Vz8IoOutGA4T8vTCT7wDuM67ny3eKM2xX64tS2LoY5MfT45zON6
6mDyYXwygEchfksTRmNl9bpSNUUQdYC18PS6WCpqSdURKJO5lp2s/8Kp+oH3D9p0iPWnbW0YokTq
cHgxjUqphqgh3QnDk4yaOaLHfBRChqDVz3bRSaK8yDeSTiw6XPWG5PiJo/b3mcKaLl4NCxcZNCgK
SJMAY9sjwgvXrU3WIctX2VS82cmAwsJaCmIoRENq5EqE1mbnI/SVhTVN6BRXt23K8J31dwRKEIYI
3lJBV6igwPFhIGRvg1tueer38y4BLRzQTx2yEfxHKi2Eke+7uPS1MVHziuzOBP0j2CStpLf8llVU
Wf1uCyFUciSCmy0sNBjCoDagweZNTurNYPy6bdfMD0clSMYcasCOhZgMUCTiYwDcGACrgn02DDHt
UR1G3gs4Wwe2oZywnmOrydlFRXoGo9DDWZsqyC6K2Cylzz6rQklizIe8aSGAOqioN7ROI+GuUI58
cmMUz5PiyB2rFv+Wf2/Joc9KELRpTBDryHZxd5ZOhAMmsqpPIapgOTbgCEo2OJC/l18xO3Bk/gGs
D0kd4iAPfBhNJVI2+U427grVY1gJeUZtKEg/0/tBBvUT6QTJGLydzsGBrPaB6P5F+Qymcac/w8n2
tafF5uQJf+nbdARRqjKKYxm1iMYZbdJl9veK07xXCPaqs60qw2ToWeY87tDskmVkF8FoDqJi+sVe
mXcjc6KQ2MTWJyV/yCKIgMkrUpoGNtPac2FqLoAhj5P7PhYQHwKb+XBdjfoXZzBIwFkInFUNnCkl
BAL+54fiRofIA80pHue5E7lMaasX5kIapV4u5MoEgO737B6O8UZ7pez63Xgg+X3q8ah3/wu5LC3J
37XQks9CvhYFaEkstcXQFS4C7M0AThnDFqyHGcNYPqT1Re4LPAdjUdMfjdEAbagwQ3G05nFimOW2
hxtvYXyh1hAliJO4E+x6vu/yLwHHHDRa1wVrjToyAx78Bb9+OLH0i6kokRQogV3v8Tg6Dq3N3xBs
xMAqMP8ZWIAV9IRvf+JvF7HUeaW81HWahLs0q91pfszlcywfuOJuW8r6Y1P/KYau2iTpqA9hhxjS
uiCJd8CJ/N1w2sNg83Zz3e14Rma6XmhcyKPMv53Cf5CLwMNR7pGhHpVjbJfPwCOOHvTd9FpcB8yU
m3GEEnXdhUKnT3KoYQQ1ONcNctNnnzsODUs3kkt9iFyonaqyKuuAR6TF+IUw+gIuAzLX0YCny3+I
TuQa4HcBc2Nz1Z8XwqirFagdcZMRYQT8XSTr7HeYf0P5HoC1j6wR/FUvWwijfKDPNTEKNPgAz+8F
8VpkjbmugufpCwFUDI4COZ4aMLUgOo02IIH3vEXAchIAKxeFybukUtrtCCTZtv2vWsZCLmWO8qQV
udIiKkagHU+9TLGMZC+ygv76EuFCDOXMc1GgzhHgyRxUoTlmyU5IK7OdpGNTGJ6ccJWlTb47VCOo
XrJPup5bMzhLsERfnSclM3shN7N0Msv0vpMjSygA4Cv4+q4OpmuxZFFhkG/9ezNW30LGIqRi5J1X
J1IllzOvl/fSvB+53fZnf/O4LRmUQfGyn8ZNiGnDcK96mokBKE92Ksu3lbd7icTZ0P36tdgXbu4l
pgQTIAShkSua9z8C+4+Sm5/no9Ltj1Ecg3ggwIMabv7Ra1Hv0l5HVhts29iw8ffrTTKDKCYFkguy
7tzJUVfrMDnOPWXxw/bHXS9mLLShrE2UfSDJk7GR3sDoENnRIVC+WPzdhQ7LgVjGQr3/MVSpaAbp
4YT+NZdgWeGpERlXPEPEG0H4wh5j8G4b4D/Hmv98FpOrOWrtSBWt7Y/GOBuROpsoHWskEqgkp+GX
KdiJoJAsMFXMMrT1Z+XlbETqbLgoG5qI9PUap3ki/SBxT5aHMfBi/gumIJZW1OnkqqJ0PSmajK7g
EuSCAes5MWj0zK+zFb0oB8UKDyyQSaaOVO8pLA1hAgzTW0L9NrocuoaTnEjnMnBZ069vGcpGKKEL
Q3xfa1VX4CIkg9LhqcecRQPYDqJn/ayd4y+gEUetg99VRzamOolTG8JppJUgHyYjmlHbNcq9Gh5F
5rAoSz2V+pj1wBkzqtVEveqpukI34GAAQMa3e5P/Otlkn5QHVieIZlzDjp63vYJ1lHTnPu75qkqI
ueYnqTCRroFfpv+hmyCy9Nj2yjBXGo2Bz1IdNGGYBAuV2e591N78L+AG9tTa328rRtxs49w+tPFn
scHyHyTJqdOHp1y75TDL3OWmhgrPtijmN6QytUCKy0zy8eIbLMHlnTd4WccAxTGBAGSR9GwbpEb3
m1GQyPSQPNONai/7P9SeUXTYPiLtbVF0EYyDPojHsYcyUvBlKry81qzBN5WeVSVn6EG/S4DtMtcp
gV0wRGvmX4Xk7/SgO8d12cxpRl6oenrTqLlnhOcmqHdGzzr9dUUUVOFVcEEZOu2/vNEHqfHmv7xV
XZHtyNA2HOCmmxW4e5NrFqTKumn/FGjwv2YZU9l1eTkj1xzjzy04EvljWcZmmtxkLEIZ8qd/dKKL
JKq2LI1jUTUNkrh3CvnEe986Z80mr6/6GBc51LtKCRJfM0oEWTKcgnfVYQSxtea0jm/WJgisPY3Z
g10384tIymdztfX7wcDF+QaIh6Jlji5sq5ndCylEVe50bI5dbLHOjmEsNJ/NUKqjz/kwlig7DN2u
/jOrv6hFUq2F9+qjqPU5ObEsPmidV2oHLQvNiXUnswyDfN2FmL7AuoZM3qbpoDp1VO9idTK7ev4E
2F9T0ofrRr4rNBam/XqeeFGOSq1qRWr6qCGFGvEpFqRzq13Fc8l4ubCEUBmVpodxIRSwRVG31O4l
jKzAePmjC+OiCBUyBsUXxXjEa6T40dsEz6F+lrHa5pv9VeIyW/Cb8UL70J5WG61p1Bi9gB5MALmd
3ysx1pwzKwAUqPEjsxM7fpxv9DuWkayXnv7v1igeUJ9ynruujASoye3SvX7IMG7J3/S73ir26i65
Z6WlmycHcdRXjedxCAcCVwfqSrOUr/0wNUFebW4f3mbg0PgP2wF4qBQBAamtQ9vn7gzNyjXLyBkD
QqxvR/erxXwQESegDAZfMGCOcT3trtxh0fOBx4EF96xnHs2c9N70vxyWTMVgP8RmZIqFSwjkwTja
WNlVeSOALymzxlu8JW40S/2GAq9Fsm3URO91Rz0LrLjM+rpUWJ7HsJ1GsqaiZC95Bdqt8coXboyW
lX2w5JA4vQhget0CuEWDtsg87Q69gLraK6Ur1TrDXBjOR4OEG4aY9NrbWlt6r5RO2DmtfN2MRzD/
MiSt9+IWJ0gF5TZLCz5pURWYDvnDZFXOZIE18g3RoMJbSS7NDNQYtVl+1nfp4V9stLI+KhWfy2L4
By+ycjpntnO7AE4EAeBU7cYO7yDZArgoa2rrN+n3P9EUHkmFGTnLyswnOA6KCTIqLNJ238HIgSkx
8VSeWUGG+ZWpKNPOYsSNBaRxOxXAjolDKGuU5wzLtJozWsMJLZ5ziYVhstIQe38CFKxfDpleOMD7
E8KzGVdHFx35Obwuyz8Cz1mIoHwjbDklHVOUauPA4aa7MLMnFggLwyvoDQNdC8tZTZGc142jj6j/
Kq/R4Ar605x42+F6O7cEMy7lFWqfi3424j6vQQiAvo4VAOZMfAANODiUsfd0zYqkLHtUKTfAXLeu
JCOSo0Dw6sFNfHQ+6q9lcOqFQ1baeACbar5Xu4OSMXtZJEr/NmOHtpQvpNrc+rOObk8FphOCgZt4
/um9Y2zsWba4Pli4sBTKFyRj0BLfwLflS/R6MkdozXIHpAd7PBhoPo4oSJLOWY+qEIv7gyiyoShd
tyjChB+AhohEmrvpohCrrVcYQ+6Hvd5ZQsSYpWVkFnTZQuYGPk/JRmCXNiDD9oL5ho+cbUPdfBlo
PF2wKItOCzkRLjEVQK641VnZGMPl6EGGYVQFLpRV3Hjjtao8cMqBS6/S+Rr7DduKsD4WFT6mUZVD
g7ys+vFq1A5F8ZDqjOyI9a3In7C4vZVS1jmfYCyROn7/XLCMi6UCFTOmOa4BHIjfzwbR5nhTywpL
bvbb32lbCYHOjqeSDznUWfCGCu4C1Tby79u/v62EQKfDWSHPYHnD7wfJTpvuhnpXMBsRDBl0Mhyo
qSEZOYpF8X4+TefYDl3likzGqG7tKXvc9zb23Lf12jZkgc6MsyblxbxCZS+NPvc9th5ykwNnVZfo
Zvp5W9R2QiPQObEqhEC5JkFmaCSnbtXYHjK1MWWAO3JVyZi6ZQmjUl+Dr7OoJfZQ6FYS7ltxF4pe
OH/6O5Uo75zzocRYEcJAo5ZWl9htpZmFD7aG1205jFsQWGu/+mglVV04kWF6AjisH7BFjZeEdEbD
zy7PFSNA/6Yj9v8cUKBnbhMwTo2RSArLe3B746GZ74p9DFYU9jjRbwr2F1nU/S62hj8oZJW6BlQe
WtmuaNWn5kraFRYfm29zTGbv6Z8Ui9+lj6weI8vlqBt+rlTQiBOIxj684+MbLbgVBoaHsSyRutZT
QFBrHA9LrOLD+M1vrlUMTkXutoFs6wEU2F/tA5MNfqUWMMQRk0rzJ0M4lKzR5fVZlJ/5iUg3uuuh
l6sWUK92DVT+8oHw12SWAYjOYK+b2gEZusuCdWCpRftX3Edd00Jkldqa8nkSbfEvHzwi3czOOF7u
WhUyCFTx4EVO/aw/aHiah7v4UMv29kGtr3AsviIxl8VtG4V1K8YBxKlnMoWIdj4GNzjkd0Cc3kkH
ggwZMPljGfFDfBsoWUgdKj9X/VJDHe7W98Du6GWW76omiAf+BZ8CI36IdFelSQFooyrQURqPc/M8
+8dc7s0s3JXFZM6BpcqfxfRe0EPGx912NZHutkSTD8rqAFrq2pUYnv1+nxr3UsvwNcYjSKSbLdME
KtAQkeMN3J53CiwLGleB19jBTeHimXpmzROxjIZuv8R+0YAdFxIHK7oi3Kf6PnbzV9mOn2Y8vGQc
onTT/F1uINJrfFM5YsJPQj7C5YFlZJ86AUsETjrfti8MpyB+/Pv3h0hv8I144nFCD/1kb3hSrfmY
eemRu+pcwwusNDFTD7zD2zLXRBo8UPV0RZZFnh7Q5UJO4eQad5xYXI3xNSeytiPWjHEpgHJ0qR0S
8KkCPC94yq4MtzmLIDf1bemuRnplC1ZtDjphN/0TXPmlXOpC9XsZRN8aCg5RfmzGfeR/MVj7navh
ZCmDujaLiasCoUHTjOzcQZLjf8vBwUtG93wnYiQ/a5fAUhh1gSoxYAg5kqIq6p3W3NTgNGYN1G2L
+IBV18VS1cwGivqDUZpS8omPHieRVVJcrUJfFAGI26+hXzBALSwRrMjK8W+xXHKMvOhtdY9MIwQ2
qzu29qhfiqNygm6KmyQhHBxCeS6A7qkC57P/JqS7HHRp/cTwJ4ZNCDTufp7UYyNHsDtBMEsMpCWV
WWpmAzYF3Gn3nF08bzvw6hDkUj/i4Ys7LQrqIgTqLPmc2j0xQ/JgIiPi4Bkg9zdv4yr9Gh5Y6THD
WD4kDJGmySHpN/WiXdaqKeSZWbM4UVmfk55+i/uxj1SAj6HPJLgEnrJ9LXeK1+zJUH/CcDHiQnT8
XXxKOj0IMGzZlQRTiEy7C7sIrWk0JjxWa3o7JGK/6tcTEzKj6GPS6OTnQxSBDIYvzV68F2ZWzs06
IipkiG0+GaGOtN4Qf4ijnpp51ZrxZLCWq1g2+GHYTk/9EYkOYlPwJUKYl28a4SZpXqvxoZqsujPL
4go4OWptYN/eKfvbtn2No5uAdZuxzIUeyOurTmvIX4IMAebyQMbSK1v+hA6FlcsmCwxoNQVaGAw9
l1cB0qsbgH6MLsHgDF+Sg77HNOOBgFGER3TUbBYULSt40puToh5OBXZqYDve4LRIgUI7f8UWltns
ZUyqiazkh2FCImVCfRVyaguWHzuTD8hclSk3fQwTb8ew7SREoCv389BlekoyyThzRfGqYt1ra9Wd
xTHR5Xr+f6Rd13LkuLL8IkbQgO6Vvo1afoxeGGPpvefX34Rmz4oDcRt3Z982zpxQNUCgqlCVlVku
y5jRvLHMvKS1h3n0w/SlTDRQJXAKLhwXwtbpSwKE/6SilVIaBLxriZUosifUdqjehsJojXmES5jw
gg4nxrEVegLdaF0bXs/h+Lemanpbf1QuI9TBKDUK4rhyJz78kYD9dm+ZAzIrKGOLHUxTmM18N4N4
Rj9J4C4bBEs8FIfyQQaMyDIP/y3+vJuwMfLIIPVi4JWTWZriiZSf5PBfzuW7N3Ebhck4yHhIzfHk
CGMBWs/H6xauhwKZDW+kS4sx6ugiurOcWYP+Ic9Phco5H9fv17tn79zMEGwt6YOw9bTqudc4sLjr
TuLdQ9cYB9GY6SqkNigA2F1v5pQzJrO7BJ2IsiHKIhB8DD5N7XRhkg3kAQu6JXVs9erI2aR917ox
wealIikxIIw2F9XWq1GOUDOrU+3OmV0Q4h5ALZz/UYDemJR/zwTmQe7CaIDyjgC8omwXktfOwfUT
xl0WUwIu9EzRRwURg3JCEXc9jYHulgEtp2fwTBbvlb57pDdrYvLRLo7atkZe7Eh6IMaBntwnGGeN
vnOWxTNDz+Qm7Y3TCdwLWBj8juIVQf0YHqIfaBLa/RcZXN6lrTr5jcxDi3F3k/6sjdl0LWezowTb
FBcAgm2r8ysbs2+gO5Gd+J6XKvKOPfOK7bOiBgsuwomutU+GBv+t5Zzgu5+8bT4Yk46uehzWZovS
Mx0ITk457beA6NKi3WyUm63IyV3TUTGSzPmE9HS/S7ffDLNktVrUSGNb4QWxHH/V13/V4qhNPkp8
10dtjDG3e86WSFwpYC2pJi/PO2+EUgAo4t3ri+J8MI250Wk/GmZNX2NkfO6n74n8cP3v7xYVzc06
mOs8VCNEJTNc5/QwO//j+QFRktveGJy18LaMuckxqELUWsbBiPUgHIOhvvkz8oztcuhv2NynWFvS
umzpKxKTpID3eFTpowSZa+lmt7yUgfdxmMu7VJNJJGqMVElgNL0Hzhvn+vfhuCU2/ysmvW0zyvlF
RkdXzolyEepLziuf86wwV7av11nCLBiwA91LJkyWokZulWaXpcCk4PUFcQ6BwXigsicphsDReReU
GMoXF0P/Oiyc1jvPBrOc0CySIhHhy2Ol+EDW8klJIA8Fga3rS9mFWW0OG4uqX5JkHUqCtUA5oMW0
rXycHc1OXNDs+jUiItiYb1dbsUFKQxkmAh6Kh67jisNjQfZmD3mPRID9vMYcpyOL98P0WTS+VNlD
WH+9vljOETEZf6fWWSnItIveQFFDsKt+tHqQIsQ86OouXmezqab8+w0Oe32M1hgRUfbN8/Q6nl35
UmpHN+Ih/5gdKCuzfpAf4h88GVbOdTYZVwi6E73tKQ2Y1j2E+m2ece4y7+/Tf9/4piYZSE+gneKo
wBu00WTFPA/LOxCM92uTPCoqOihVLK42IQV8FDGVoKirVWN+X3+4fiQ4kV4lzIaJRZivIx3DST4Y
/nQp7sNDfZKfkL64+UP5EjkNZj1Le/6T58HfIQt9ht/3kSyDbqyUN61D30ub7XgV0AXjXO7dN/7G
CLOVmlDJS4ZGh7MYj0Lj5lVmp+JNXT9E8efr23j9o6ksLKBbTDUUKFAozB4hOGk1STAMjQc9sRri
SgPnEF73jSph/K88lsJUxBp4k5WfuWDn9Qeo2F1f0PVzrrJY10IYzKhLsCBpvRjV09Rw/v5+mWzz
bZgaQdHKpGookELGnL6AlLn2KJPI5FEyjA5FcR4Sm3MYWC0lUY+aXHvFcoU3JjJZjM1qNlEiK+R2
Mzibx1JlhUtj6BJdGx2EKFxadCluErt3CdBKxsX8zEtiOLupscyAqapGeTQixejcMcF0ZeODo7U4
i48AJztLUJ2EJx46gH6gfw5cGtuymUVpJTGdlqUiUXQ0fPBAAcNlfL5+szRWNXkFfhc6EwglWn9u
kgOi5DTcpMVPEfNAPJUETiKtsY0aVepj3F6syTDv5MGB6m20+kl9kZMP44smX0imWgUPn3f9Nmus
PLK5SIm4jFghUmq9fUQvSh95HVcacK99LMYThh0R67WCjWh4qNIfg/FpKb+k2aFU71Ktskh/Cc2b
MPUk0bvuR3inhKYkm3gpdiqZyPCaCVAqhjmIDt0B4gXBdTP7e6gDVmqaREc96HczzViGch6iw1ZO
Hw0jshTNKnmtXcYGUSRD1hEgJdXUFYL//N1GAVKfxtQS2akKV1x8kjzrw+H6Mtho/M4Gs13RXCbK
GBoSBiHbg3GzuO3nBBgK7Txj3BOUohb4HnzSWYnHy0N5q2Niyhyrah8PueyoXXqXK8utlK3Hqo45
rOeMa3y3QHrdN+cBRESd0cqtDMz60yR9L0eXs4M0h92c9HcGmLgyQ0oYPFGm9Np+oUMacyAfRE9x
l4AHS2ciCmuKVeY1wmWohhRbVkt3anhqq7sotxfxCNk6zqI4u2YwiXvUgZvapEh/Koyq2dIpRZT0
aQM5Po03yNE+8jrkrE7vu8UxN6oOhaiMKR8dCPdO6m0U6B+Nu+UmdjJbvzeP5kuNOJ05QMSXPxRO
csj4/He2mZwUzmpYiy6VAYdFwSnXXJKjftcDCgYMAuURsOq++8rZY87BMeg32JzMQsoyMU07GUEb
iwXGEoOLQO+1VnXLq3LxDg7jSYD1FTOF9keS0J1KnB1rbB8r4SWOH//jolh/MoVZvKYdXpfn9qAG
oCe2wEqEcZTE4TG1sX3Wd1+N8SB6uw6aNDfya81QfR1Y0oHheOWa5rITcK0xjqSAPklWFsiBf6ka
okjkgLzz3BxycCEI/64Y8W5pjFNpEyKPhVbKmPjEdE822FqCaUWDc+xfsVxXfBdbC1gWoo9mgx2M
5KeexH5Zlg9JCSZGM3InrZcteRWtUBPtue3dRljdsX0StOhlFMxLqCcWIXpkdfMK0IU++nJaBqEc
OXEC9vwlCnVrXIfW4pwweoKu/WbGNa21qgCIigBP8RHGS3k2jpSXIrOzs3hYj+oxPaVHbgmcSSvY
D8IWGOaYSNG64FzLYhkUUxKIKur6Evi+Z4ixkvZ7KK6ehCFFqxU/aqJqGXV6G6W1ExtQUQczxxiq
waJKplWu90nRfSD54AiF4g9CD7qeprWbcHQNsQpEMp518QVSZ85ColOuNE9hL2GGczwNZm6buuCo
07PeAe2ihYOThd/rXD1P0eQboXBREvOUh5NTq4/ZgIY8Zgfwka1Z0g5Qduqc6x9jN4ZrAI/oEDAA
iIpxYYaBQSktEmXHDI/dFLTz7Vp9uW6CFWf4tfMbG4zvkkVj7aQ+kp3+W1Hc9aUtQLfafMrIN6O8
6YzPYsOL6NTbvzthG4uMDxubqJiHRpHoTV8sSqZc2PJdCh4Ah76nwoeVcw/ZZ8C7NTKejIAUKlqg
Ae300DIkyucZkDDS3yrSk9b5yfBkRkGtpNbEG53avUublTI+rRGLtkI9EFBuM7JbwZEboMeFuzp8
uP4Rd+Prxg7jzkgUCys6gJKT1d/CdLD7GhAg1GFqABFIaAk8DBVvQ1lYcCWbVWLmWBiF4NCkLDpG
Z9GjySyv1cgCgtmPxwKCc6Iigw01CWEo9EGk6xZ2HSi6RZzFo5if9GUI5snifTv2Cf7OLpMwJUaR
pdBnkYG5W+hcuwWFdyf8LF3KD+qxwiN8EXlpIedmsNhgAWNdpllloFDCuGn8Gdyvp+xcHBS7tdub
yONVUDju5XWyf5MhobtghC0V2dUh0KU1BWCTRbAY//I9/G4jGQ8zC0tnygmCbR0/T9kpJyvectwa
jbjnVd5ec2yhODSbKM/aAXdccbPUV/EfQmUl/UnJjlJy6aNDVhyuXzte0GLc8yDo4KVsacpyDP3q
GB4GL7nLuXJgPDPM/kESYG66BrFRnR+b5qVE+hx+WzR/0R5m6bGJOeimXWey2UjGPRfjuGS5jO5m
LUr2OJzk8PsSXWLUrEcoFP9bOatfp2NjjvHNOnol4hjiFU7HvSKQszU34Xm1kagfF65S965D3hhj
HLJOJG2MItzpvDsuSADibzMEMVROvOE8B1gNkVKDZEoVwjvGRtA0XzSpAajoLofyWLbwXjm7LuPv
FSlsoVBMxMEgBrZvOS7uCl9M2e30B8Wvnprb0ua5DHqk38XujTkmOxwKYWll+rWaNQXHhnCHuPP9
+q3a9UobE4zfNfo6i6u6kp11mS3NVOxB6l1DLr3rZtieFnPwwFqKpW68X5FMeU00VC7Sg2xXVukV
PiqtHpgXbQipvogeBlxui0e7+cgxTBdwbQ8Zt9F14vjKBoyRQ3RBHTTsAHaWbHh9kBHy+me83WSc
h5BmwjAYKF0rUePlBO1wYfIw7uL+x0UxXkPL42nRJOzm4rdQk5BOmlPgGr+qSfxZ4NocEcZn9G2k
lKkIxzuLXied6+G20K3rC7ruKTA6w5wOM5pzCC2DAr28tEZQCQ8dMIhRfn/dDDtp+O4UMqlbK7Zj
a/Rw7tT9JeCGTr3wO/DFtgyBcYfWB6egGHhnn17TK0fw9VGwOfu9rISShlF1MOlPbnJSAtOdIGsT
2XLAc4bXo5fymkpuTKVC1xeRjp7d7BlH2lZIDoIvg3KTs5EcR/haX9jYSfK4E5pClpweI5s4gEFy
M9+Ld9GZagbXPlf4jUWJsV/u9d83BiWhbLWlx0PZuDF82V2D0UrQ7vqlTsVvd7HTw+/sMW5jCHWj
ESjGDz1kL/9EK4eSlTtqkHp9MB7XyyvhZwBops0vjXLcCDsIMrVdY5YFnLJU3aJWKQGgGfFg1f9Q
LtEBOULNX9beDeivZdbLMYrloo+jgjgWOrqNKghQ8Ch4ATMkzJZxC09pUY4AsKOkds0d3PiHQtTb
r2Dij14CpL7okuQot6G/OrmDHscNHRLp/jievhljglAXj+Ko5gVe+JNyrCvUXCoeImb/072ZYM7N
WM1ZkrYovjbAaMQfsyooe+f65dt3lm8m2CAD5v46y+FOJO1rsRwn4dso+3X770gV/roAb1aYECNm
RZmLPa2yGpc8cvo1t/vOqggX/0l35J13fHtOi4xPnsqmHJJ5laDNTKD1m93T8hfKUufJSTHxYTp/
VI58M8i6YyWTM73oBPguyTHT2wQFt4nTMWSJ5n/t3sYGk7mJmZk2horUNz73UKuAJ26s9lT50U31
TA6UBLzwBJ8K+cn3ya3ymU/zxdlW1kNnhqHXU4sqBaSFQVifWPHqXz+HLPjr3SKZ66RLS103JjzI
ENvGvWhjPOPySwAn9sqTepmB8XElezr0INltPD76a997vG0zO5wEki2zkUv8gvRgfqL90fmezp6r
mAvkq1fs57Aba0wilM6a3CcZ0vHStOQjsSUrdfpAae25t8Jz7yq2gYpahLFI8FXxCCW4a2VypKrW
m2WeCAp50PzxBx+O0l99/R70TSgE8QgSeJVKdkxJIHHdhSm2VuoaS8dXTGVrNma7lJG9F9ZUnKT6
Lk8+XD9T+xna2x6zUwlTO2SYxVJ+QaeXL0qQ/Ihu5odf4I/pY9X/P4DM+8nFxihzW7WlnjJThAtq
ne6DDI5ZPEouvZWc4weqPaR/v77I3SRtY46JeT0kbnqRFoHTg+rRJO0XXy/vxOzGiY0Z5nqa4HdS
6hU+iES6ZcqFk4IFsyO1vyrckYh9W0STFcMkpqIzV6Neuk6YafcqP4c+ADQ3lBaYkgMTi/II1L7h
ljcTb5TuHz7cm1nmTkBzdsoKMMq8tk/oeL/m6C+jq3lLkNtCEHM83j/cwTd7TKwKdehIFzier/j6
LJgDAuL3EK3c2i5tnloJzxrbIc+UPtOnHGkgeF3Qt87c2COH2hX83O2+8moNdKveh+G/l8Y2yZXV
MJu5jHDx5siZwfatVTeF4k6mJUgBmmZ/cgXerDFXYIxTGWxQKDOLxyRofA1jbXRWndfp+gcv9maH
uQN50ktTO9KHJexIJ8P5tng4jlxg/z/EhjdDNBxv3idykbRGXNMLAGI7iKjnt2FtgfkKhfPVnt3B
G6DkpAUAk6En8u8muf6Kw2+2mYRwqJY1EiIUYwchC8xBuu0KHlhjN62FntJf99tgssFEXTPMeoCX
oVrXS1SvVlV1X8dUPFw/FvtJy5sZxo2QpRW0WcexGFMIz8vd3dxEznUTvHPOuAxDDutJmnDOkxmT
TSam0gpAFiIN3NiVp5GvfSbwvAbHObIgeVLHA0kJEnb5vj2MqDs0fn9CE9UVnRF0AshWkOVyfRVn
L9l2eBvnw6hPeFnR4TvwenlSgD63B7BwMIP5NPLGz9d39h9i999fjwXIl10/RElOk97DCoGFzhfs
9CtSJKwVfMSQDRKDmfcY2l+lIaqmoRngR2DO/qSQLhEFWlckDw26ioRXMt8P1m8GmJMfikoDNwoD
eiXctppklXCJ2RzaWT17ffUlW9sA+i6cgti+49IlqG4bREYQZxyXuVZNmtR4fpm9XRVBpp0IuLHC
z7KWWSmA/51bCzzA9+451RG+JUPSCGFDAKSkB5QvsdS2kKxVOCfdTTKfG/GZc07oLX4XajZ2GOcf
zd3c99RXGi9TbtXO6NApOQlkVaOVTk7+AQQbjnmQT7yMaL+7ubHM7GpC6LiSCMwZ8c2guGh+eScF
RLHKYPqkHGk/fAiS24pTLds9oxur9N83sUFPWjNeshhxXIisWDnVCc/D8HaUuQVk1jo8DRDmyM38
qWot5RskBCFDivZpbuUn9SgCxAdGv3+r2/Yr9GyWxtyOdgkFMUuBmWiz1E7SxJoUAbyr2Sfoo336
j8eGbsJmG7VM/wvfI98vfn7IQBAMmUQbiLpn5V6/p2I4+X1uD7wKBe/zMRFDGvEQmidsbrfodqYI
qOvUHFznbnjdbCOTV06RKJaKhhtBlmAV7Dg5SAvnjHCOCBsOOmmeenVC6hp2BnA2mj1phT1iBKee
ErtOeBX93TCrG4qm6yZGzAmzolRcc9LmwAMKfezk61d5Cub8R6V8iTuPhM71o7H/hf42xg4nTMOw
tBktIQ3ZoxE9x5l7/e/voxPeVsOOJAiYc1tkBe+M2bTqb/2ZQDCsPkm+ehEySOIBcvKV66uoF3zv
Jd8WxXhJjcqsAx2GznpyBuGc2lZWnt+KHQAZIJNcP2XLJ1Xyx8ExW05Pem87DZBGUTC4BtFWxptE
2pjreWLAP+uPpHxWf3B2c29lhgw1Ol0x6aYyZ0MyTFCHVEgmO7c9ZNjK2cSU+eQA0HKjHrjNpb3L
BVk6TZVkGtrYQnfSD3rfRB1xmnC6V8T1VDUzWIK4PRF174ptDTFfrIC45IrRLIKB6ByaMfXtREJv
yYtLA1rOQjJuk3j9VoSao7Sj1xpSsIa9u1aaPUSapasQMhnXswZ9r3oR7EiPXVEBjlaNbjK5giSB
fszGxBbLGrpx6rHWh+c4aW6nCedCnx9JFftCLN9HZQKegNiTJehDlLPTKb0vNeR2DkHql5dWLYMJ
tahcA4r3TZVZTSkdZyB6urx0ukm3hxIXdFkvzVJZRSai/KPfNvJkDdNqyZjIwqCvvYC+xKrGOGir
pxm/cZ2f2xWEc01zm7bZEcx+hzyKQFFEgrASvxZ5e2oT9U4CuaHVLr1bx6IvZKXXF9olNsVDUzVO
ny1H0xDtDPjvMpKcVSdWIsreEHWfkK7Y+tQdokmyIqFwC+1LRFYH5U0w6DSWJo7+nKu5FQ/iDUSx
rM5EPl0D7BkXqaXLaBKRyW8y7aJ0pdXJP0UwJ9Vpix+KX10tmTfOBRZXWOpdE9ty7lamcjsYtVP0
wCca+D+FJD9iGCMgpuiJgmmFqe6HaxpIws+sFEtrngFe1BLgIdPbESuRI/kgDL2nrKrVFj+IJmAD
GwtTTc9l3EOJRI8yS1iJ00p4AoilI6WpOw0AmVahA+0wy5zr0yiEl3qe3LBXv5nw1gvYMlIhtac1
tPJkslB7fWmGeeZEit26g6EC86nIBCyGOnM/27Ge54XqmdMuKdVOKODsCPgYKEM87/G6eztVBd4G
hDOaySbwZg0ZX9SRMe0F7KhZHsTpcW44AORdh7axwWQpUSblylApiODJ5JeDfNvFcsBxajR1ZN21
sbFBncMmOwGNBchJF0KLNYurexS+JgKiRIVYwC9s8xQB6Te4Zo5JSrR+SHK1gjkMXqPRizK0T+fH
uK/IPaDXdlnMWVAySRzrOvyrgBIYTm8tnoGCHtfSXsawscQG8aUyjBSEMZQbGi9WK3QrtzwQV5Ls
RbG+6b6KMgoCbWDe8VAbu2XErWmm/ltnOmbIjILgwEsewfh65EbPvTXbxAPTn1d85ZwV3lKZQDFk
fTeuk0Dw8dK7GCUB0a096WuBUjfVo5Ps/qG8YMtPM080ZLevvV0q8wJStUxY+qmG4/Eqt4fWBgYs
HcPR8F0Ft8YTjL7VKbtVhg5K8l8XTi/q5pLEyZA3mYlIBHrP286tLgU05KQHmO6cxF+8BsUyyg+4
8soEHC+j0n/fGO7XqlPLAcvOB79VArX1BoXjAXgmGCczGw3kJfNIdYzpadadsHZnXiWJc+lfE5DN
KrK5E7OKMvTkB8ryGfl0PrVGd55zPun5u+JcVMa59Fobg2wNn+mv0tGtiplAXzlSV5b6I49jcH/n
kAyqEuTaAar4/eNkUGPuxxz5IOnP0hBZ6ur26Yfra9q/cm82mJOXThkUf4cYV448LKq9tjdTdqly
u9G+xyqnHrtbCAN1kAH8DSqmGltISaR6GdXqVaRrxHR2bFcXijwbrc5TF5uO0wl3wOVeX+HuLm6M
Mk7FHMa2KwwonuXZS18Fg/Ihnu3rJnYT3I0J5kMJSNzTsk1xLtrcMr6U4E5GLlMsXiVwLO275I0p
5nv1yzCq8aqhpn0svsg2wA5BAS7zTLZEp4dsE2+Ac7c0tP1mjIcoi7VYymgmjuxTf5y549fINR8o
OGxyAEB3Kg+Tsbwwvvuy3JplvEZVF0StU5A56wO6ulR7b/lsXhqneBoh7KuD+p43eb6f3m22lslU
zDxv1KmCSSqzJJ1BEu8mtu6vrmzFR17ti2uN8SWkmdc4EpCoGM+LHYKnILtpoPjgyl7v5ze8PgXd
rneea7M2Jl0BI1XX1DHy6qQdbAAwHDOLrVw+GfXj9avAuW1sOSWJcikEbShxQvOjRqxYux9qjhvm
3Da2nK50fV7XMrKEORGtPHwuhs6Oi5/EDBqekg7PY7ETYZ0yLmAjqAiy19CXfySA5caO7g6AjQQt
cF94kQz/8YqzMwRFr6TJrL2ew9GBQAdoFwoAfzRLBhh4CngPjd1HwNvRYDVd8WAEsF8zcRCXQxVD
AosXYjhnz2Q8yLh2hkChds6qBat5UBAnwQ9kJhy8O+/kMR4jFMokjXv4eaNIAjCyW5JePGpFxCla
88wwXqIP69EQpwIkddGD2n4sqw/d9CcNh23BhIknRhNnjVhheCQWvHgIqq62qxSlBtG5fll3iQG2
hphoEklN17YTPk3v0c5U+URx+9qh+wSIUu8uiCiVV9qoQil/EpQ3T2lmF2uxHKZx6ImjCIoVq4Wv
qotTFBJngbt4s+2TnfGyg1qNBLhzwBEyCHA0ix9r/c0sP3StnFpgornRZdFaBwGlmqi3DB1KHZN0
aGqQxsizlYpVZZlNdjHDT41WWEQoj1URP5vpTa9wW1u8e8L81kIuNUzkI4ulhI9JkD3QyerRhuQk
pl5NH+7GNj9z33i7Oe3m+jORQSk1UmD4BUUwFG9XH3OuXWsvRWZLq7eSB3ly8/FDm6nHcPx+/fRd
9+NQ9v09vcVzp86jGBc2bDyz9VNFsabyOY1iOwl5xEPX91ZnaWWSERAVYqJ0K8UPWn6R2sd2SMB9
weVU2MO0v+UtOksZgnx67ZUFNHxTAw4gzCJYJCxLK9FDS0nwv9Tit6mqrXUxXcmcXSE1P13f1X/I
ENEc1SVFk7Gq37dVzAcg+SM82mnBBdq7p1mCaJDi08QCQV9PAVi+bpL+xXfJBVrMECdRdV1SGXc1
SW2dSrTEk1a3I6ZWMKIgZ65mRhY0lC3J+JRM365b3F/kxiTjuMah1MxFxtmhiwTM0YEHudAnOi32
gAOO83LZPaobc0wIq4wB2I4ZxycmZ3BrF8JBjPwFo7R/Vi7bWGKiGKgWSawmMUVSaVAdQyG6hoRJ
ZA1ecVc9lv4KFgmOk9xPRTc2GWdcZl3TL7RmRsVFoLjrGAf5gAq82/um82+Z7F9bo4YhgTVABEka
WJZ+P5/TIkV106E1Gp+zHLl9jZEn+TB90+38NcOJuJn9bsh+s8jmpGJZVmWfEWiUL7Yguyrxx5xz
QPbfKxsbTKkskcwlqibMK7Zo2oN4zC4z23CIVX9pMR2cOKEL5Znrl0Ch9+rdvdvYZF62uYDnitIh
qR8X4hp99FAua2wr0mjpUecJ2WjFi/QpjX6oFf67GAEc1xD1wjTz1pGcpET5PhIZZFSZU4XnqhO8
VK6OObgPEv02FQu899TFndXST+WnYml/khk9DtAd1HN2lkEVrBaKFcnKh+vr2s9KMC+IXhgoB2S2
nDOSsAXQLqF19k/kSFV8oFXuhOfkTGfzaall8RPuOBd1Ge93880qE34NRa/NcsaMWrvOroiuEl6g
X6+vbNeNgC8BnTzoIGmseAWWlVeCiIIO5hetPPost5+M8lypD3nGK0nsn/k3U4wfIYMm5Lq6ojML
9aN6nJ12rnwUD3i+Y9f3mxIYrExZM0z2sdI3ZmRkNVoIEHr368maPYp3B5fOfCKH2c4vtQtVJGf+
kLv5jfhwfT93PxmqY6Zoimiaasyl61a9UQyqitQt3VGa83s06zixbXcfNyaYOyYnvVgWGItxhNQT
MUKrzd+VgtOG2c9SN0aYAJrIkQSY6UJrLHROAEQGiGoY+fnaBknvtO7kqCBFirwqqJzSRyWw+crF
te+ezc1voHu9qaGKLSXQwhwtHFh2oQO8VDsrvxXcb8qxdGdXhRPjPz73thdNUaReBuTOCNtSz8k8
Ff2Eq57Nmi/L7ZNoDnYlqO71g7KX/m3NsLchl+LajKlHaR4a/RzXP8fxqVs4l4G3GCaO1oKYFIuJ
4ziNX7u8shbhJPMAwrvBersUxk11sdJg3gL1OONmclX00wrbeIpePWPrI4W+vnG8JTHBOpVqxRQU
tLky8cYYD0J11xnedROcb8NKYZfdUrfZiHy1UXVQD2kgyvnZpjdlxbllewd8s3HvVLALFaQCFSrd
UXMHTn8rhY5N64rxGaL0nF3bLRttbTFeo42lVpxAvITiHjkCxwA4gS+464OkWrR1Znhgt/HXmmOW
t0LGjeRFn65CocKNzNBBEr9EGMRRDgQEJR2n1vI6t8AGy+0CGW8hN4Owini7A2RjPJjd9AN+0u7U
wl6H+tuqf9FMCdw2hZcmWgDuGZAMNwdBr+2sqoI8BI8iCXvPGEHirGquuSh21XVuDrkaERCMsj03
ENJL9cTWusdURWaYRbbRV9ZcqP4SaYe2BlBBjTyQslijgpH5GeJ+BSSfxB9q3gILEbqKIFhR0li5
qVtaUftVCr1UebTjLnYT0QRf72It6mqXpXJuE/mmyavDFFWWUBnuPIVnLa3w/tctUdZueyOzh244
zyjvi+vodPW9klWuOn0a58oThsybE+II2UcC/1mE5XFQgWnoW7CmppXTRLU9JhFnDnEv8G6/AL25
G3+dx7MqQ1ABbeHWEScr00/pcDfrj5J2lA0/lQSOC919cplE0xVRFQ0ZGfzvBptVN8Ikp7UilMcp
247ykRbIaVe0PU6Bwcmod93CxhxzhYwWAA5pwbaKceIsighAznBQy59ZsnJgXTxLzLUJG1kpl8JE
5APViKyOXlHnhzmufFGLeJu4l7FsN5G5N0aaVdCaRvsm+alhrHfwkxc8mC+D+ToOJGIX1e/X3euu
B9/sI3NOCrFLE31Y0GerKwCqUl/RQzupBv+6md0+0XZldJc35zFBF7mKJ6TPIb4VKjunpv6+1Pmn
Os1/zErpFGMYSK2GPArchyCaUwHglvPmopLVF3PRVeuBt9n0iLxzUqooaRoxoNDMVkJAslKhrh1R
+EL2RXSLYytaZoceS3dofZ04XLImjkEWqjFMaNhKPdKMYU59iLeWYuy0CbBZgJLGvfBlQtgJ549Z
VziSupxmwmNm3D1ebytm8Zg9tLlytUFZddQCA5p3Wca5K/uRbWOBuZZjtRSFuAI0qD6q8ATGsQjo
80y+W+/hms+9XT7zqOt3Z4gg4Py/78jWl/JEEYYRFGbARtSH2C7u20dgMw7mc3yBdoIVu9PHnhZH
HY1zgva3UwE9NOi9TO31obo5071RRa0244Hd5UFR36w6JyXZ9Tzq299ncjm1mmYxX7CZXXqIBT8Z
77XsxZD+ZPbeBAO0ToioaEAZ/n41G9kIy16iDRj5ZzR+lGO3kDg7RX/pu6u2McH4tTmuZakE/aij
tkAx4nLdDumLnt4tjZ0JznVXsxv5NrYYj5Z2RjzEOWzNXdAX90p4WtSvnfJTSL7p1UsSe9fN0T93
bWmMYzMjMuRag+pRUYMAjZSeNtRuNvPYW3fPwmZVzONhkMIMJV04qwrt4Pwkdy+T+qAMxLq+Gp4Z
5siZpTAvi4D3bL/Gx3ZFLFdlK1yIH40h50zsb5xiQoELA0g6S5k3ZuaaFh1gv2Ea3y+q0FhqDFYQ
UvLGXXfBWyZIuv9niXFKpSKCVxNiv85p9LRjeIweUILAqKEB5o6P5JZKE85ub3egN/YAWr2+o7tZ
98Y4c7uWqBDGckWLKRrjm0mfDyRO/aQSvURvLkLOM8fbVeamCUYdC0TBI1NBNROygcexNu15jDjx
fN8MGMnhLyQQDzEPP6Xt4zSbkV6abSCbH0BP3wycR8QuGbSJhPIvG2xdFnlJC24jjByKPvGRti4W
9C1uqGsH4vV58UAEZFFw1fxccgd0douMEJOBhKBsgmaVrcWlalMIiQHjdCgPNcbjeJLvdBDdetJx
OLR25AyB+WRcePMm+w/4jWHGnyih0Ws6dKkRPf+PtO9ajluHlv0iVjGC5CvTRIWRbAW/sByZwRy/
/jbkczwjiHtwrv22q1Tba0AsNBZW6FYC1hCr32s3gx9vWTvs39CYgWkC+TEkVwgGh99Df9TKSVPW
FqKyrDuaVHmUaPek2Zrwxcu8/ANKXhjijmCeZ2M+lxLygPvpewO12OKmQBo8ME+sOQ4E26KOlvXv
eGGRO3dxExURFGaYHEazG28SUBdvTVfbaxgbzX9W0fb6MV+94UCBS1TwAmnITL//kpUUgre3w4Ho
MV8w/hyaIE8DGt3o7W2/COKC1cNnKxp2Dk1y2DfOliGDUDhU0NVbf2sGt7CpOxpfr69n9SK4sMG5
4azPWttC8oCFiqG60cqtVP+QBR9t/dF4YYX7arG2TOMgozOOJg44Wv3ii+Sn36Sfv1mi8s+a4V5f
1ioaXxjk7rd5sdW87Nk419w7UdahK1PBy9wKyPJUztrn69ZWncKGMpOu6Kosv1VoLgJEKZmVOX/r
nWk6R6n3dZI5CyheJIeoxyUVZePWHlkgV1RMGQV7ICc/IYQaHUq7ITZtdONP4Y0WGNvYkyUH3Nw1
RoXeKM06pngkmrpaibkuDfNJOi0pG7kwsI9db3vqKPm2hvHe2fKhW7uV2vBlnH+ONo759e+74qTv
zHLwVVtj1U5qhlYvFNKhZuJEkdd0R6uZBIZE6+PgK7XReqGoeJdrje3Z6OrqDIzj/YyTbarsO7S6
6wImpJUj/m5lHHohfK0XeUbXVQxGcHTMoVdACtpmEsTKa2+nd3a4cCHXQL1opkjgYsb+qPqMkG54
bg6p6XT79Jbpl5qvw2t6M2/sT9f3bg2g35nmUMwkHVFTNriQTZjQfhjrW33wzfp7an5RQZtGwfrU
+1P6fex+XbfM1sTdRe8Mc9BmWQOKDQRtxo0tua0c3fV98XDdxPr2GezUvwVIHK5pnVXpiorYdp7r
R0mVPSPOD7IpGktY9/+zGQ7N6CBjtM1GdS2ihyL9Lnf7EbMsokHeteI1PtjZDBfsZeUctnLFWgA/
9z6I7iEFEnpgvW+DYkeCeG/shBMP7EB93KM/JnWu+ScEH9zv585voQWUvMAJkkBEIvclCI9c3601
1oDLBfKjjoo59XShyMdHoc9YOqI+MNtnefgk53dqFoQKyANEfZVrqRIdU/NIHaAPxyR8+klVoz7t
7RbaN+jnYhU181vJWF2/K/HbJAnNHAY0ogfC2p17aZfPQoEEdZGbCjxuBA8E8NqH92OK+8jNnyAv
jRpeY/rt//+c9juTHE6HZZQVyRt9v3VnfZ3ne9GQ+8pBeGeAw+eupqOmluDVVOddN0SOqj4baEin
vSPwlBW/fGeIw2XGCpmWk8FkAZRAObIZP+229VjrLf0pmu1aQZF3xjhwtjK5IhMFdRltthA8JcNj
v3y7viDRh+NAWNGo3IGaCm3E5adqcHXlQMmLrgiirrVrBisByRVInghU2zg8bIZxnPQJagrzKbxR
7qyN7qdBg+FIzJW+wixkTxmLRPss7KNfCfjeWeYgsta01kBnguJVttPsCoyokdSHzuTBOpI71sGK
quh99Tn9LErerW/eeckcaI5G1IMAoUMsJqHzgeSOlKKxUBJ1Z61cZpfre8t9XISYZpyFjdFihl9P
H+XpZSGCrRMsg8/SLAkYLCN9VlCmcuJphlrsfjRfrzvhWijwbhHc8Q2VCu1gswwvPDLXKDcZ7hZt
z6SexIICK0H5O2PcEa76Sk3qZcKlWVp7Y8Sot4VgDuWFxCKHZEk2baT7ggWKdok7yQkYY0keot2m
nl0wXbEBzWVrglZIuqGxW4G5BZzGO4FRthDuDn23UO5sFxXVMS6Js83uUDYokFm+hWdAxpjXGEOo
kG5Y5CxcZFUP47BoBR6m/bLN6qDDuJaIs2ItGHm3Kg5KUkhtLKaGA23JMS7Kubpd7P4EVeFNqGGY
POqedc3+pbX5Rmq+ZnX+3WhS8BuZ3Xaq4+/XP7FovRy46GExzWDlAQGivY+SU2dJjlmLgrz/uLD/
IAlPKUlQN9KrJMTlduqttyu7uEm/UaTDIEnjyVvlVRYUVwXr+sAmGS/2PEFr02us1kEp/zSQ+IZa
iSDHIMBmjQsLjB4Pj6Jmxx4k+pBIqjoU/qVTEwXZ+Ov6Tq3fc3++ocYhjGElobboA95TlhRkIQ5B
o23CgfiaJhSZZch+5dzxr/5WittZJQiwmKZb7Gan0EPEg3apDmTp1gvGxfz2gIr4/4FpUfRFOZxZ
ICCJgWzQKKtF/iCPmo9qj2P00b4ZMwdU6sG/fVUOYQiYD+esxAbaWuKghT0JMzefKq9P63+7hjQO
WbTOIKQo8E3N4aCovmbfz6LyrACjNQ5Yejuxh4EpPsWqcluM86+6qQVxsMgEhxeFnavFmON7TZ18
07e1pxr24/UtWT+6pqaaGt4WmsVtyZxinqBJWaSVYxuelsmzRBWvty/x0cHPNrjNWPJeXWIVQbA8
JGi6SZFfRYYpJcmtldPDPCp3WjLe1UXuTF3sLx1kpSLwb8QGaERqND45s2w5Ke1fm6VxJD3r3Aw5
nGxRv0+phUGTaSeTxM3rdnTkSfJQ1/H1EdeY1PkRXTaZdILhmz6uT2ERH/sJI1BSuTG6L2Wii0KT
1UtU0w3ZVFhylwcOs2CUsxF0gcxHazN8yj0k1CpQHIzecJv60Z1QSUpkkP39IqBLMijmTvLIJnj1
PdNUjj3Gljr5mP7EAK9oOGP9Pr1YIAcZczjRZUxYALkBr4Bf3ui7BpLYtVc9KW4OAVMq6pldx+Kz
+/AHDYyES9uCYXGoZldRAUxp6LTtNhLlydfR8GyIO26jbBs5nQAaPTlI8rdFeqmsYza4Rvjz+qET
rYjdCBd7Rks9bro8gkhveAzDbdlvQWAfCm7L/4gD/iyHr4eNSWTTMMV3Y7y2ioe+isfqG6PbsPf6
1ngtnq8vSoAk/BwtoSQN8wVtAXEejPG+aHZoWL1uYj0UP6+Iu5UXiDehj4ulQPCU1k/oS/To8LA0
IAaq3VrUhLDu6srZHHe0JisBwA/ov2l9fW8GGDL1wQV++k18bOwaTzgzvvoNVZnRgYGPEgIi7x1j
lnPwUYGmEocr3LO2uOJNgkPZ5LfaBhONXuLJonL36iVzYZM70LWWg25zRFBKjYdSOSZ/MxWqI7H5
Z1HcFQP2zUJNCQxET0tgBN0j09WTHpDsTBxjI0MhaNx2r7m4JrsKjaqu2LZqWIrCv0XLWgXFGrvb
lMcOKlyMxVBy7c+Ty97xSSBqLFrfvLM53jvlpK7NGU/fWZ09IoWfwrp8mPpEWLZhycwP9ylSgBqo
o1A95IvppSEvFE2FmrfoaFHxFkjDRIMzLaAAl3+E8Z1EXgpD1KnFfv0Vozya2AatiCXBNbtgCtgg
OXhnQdtgbPIH9SDqXllF4vMKeSyZKk2LtAkAGUlHyzyEBZiQZeJI9pEqmnsdVFbD7wtb3LZhwDFq
yhgXGuOuTvbNliWpK7Hko+gDcmcb9CtyGiZ4Xmt3ZJ9tmbRO5Yd34OHBNS0iNV/rYcGh++Mj/Bh+
bJRhOvYzK+1Jd4wkmO4gt7opUNhmc2RyUPxgZP+ZN0L5lgjeg6vbh3jSVFSMcILa7D2MTYmmVCg4
vylWJPXnFO2ZRu+G8QY3uHd990SmuDu7XEy6QBIeu5dty+yJVb1Q1sOwuXn6N0PcnY2B72LS6w5v
l/k+xKRhIgVJhaEul5r+dUurOHL+eoSrZchIWYAgHg7Z1De9FLsLWOk1Qbu34LN9aORIw8guqhg0
avRWp35aP/fm5z4NFvL/33ugY0bzf12BcKcLhWc8b+sB4Yf93IGqPTlIquCVJFoLd7BIVMtSJiGZ
H4X31NjryOoov4jkzvHz9Y1Zj6guFsNdlV1ix4PdINYmN/kOumZg3raOukNAllOAVl9UJV+9mS/M
cRdnm2ukinM22gryAE15VZN/9DTuYQZNIK3vQF7uJXqgYSYhyZ15+i74aKu4d34wfOiMmqliRC2u
xdHtfVZAinzpfyTF/g/U0+uH58/7i5eqwYsOV2aCJeW7bpftQ6Ty7rUH+0b3zA3LYvbf5MIR8k+s
u+DZKvv7RUAPbt+pIh2S91JauE1/KE3fWO6q/Hbo/+o8nS1xeEcRkmaZgsRUj+xwkSVBNWkBKUbn
H3eNg7sRLZg5dDh/J4PZDOF0SDaDa28woLITxr2C7/chgThGVdGpQAn9tHgE84rq6IbHbCffyWjb
g+rHZ+PTuMd3FRyA1YfY2Tf5jCLYFUKQk+L2iJSTnu3sZDt3L6Li9BuR54fQ6cIKd45lY7Qwf4Lr
sBzLjZSAqjQzPoEozxmyZhtZeueGZLlNwhBcM9I+RR6a9M0+qTPfCO29KUFLQINmWz3cUwI1g8Ty
wEbr00L2JF0JliR56iS0kw85ccF6uhur+NSnUMeQQSrSFkO80SRrr8Rg/alehsRypEj6qdrzY9p9
SU3pkKbGI8Sd7jN53loDm4qCarI6YNPzz2WmuHSpHqYUrJBd1nsqeZIbyLmVxXC0ptk3IiUImTaT
nAVSnPtdFx4VtIP0JrknXePUlf2ZxO1Gixa/nXSIZ07xjapAy5sa5eduyh9Iq+3bHkp4UD+ZWiI7
1WQc8L+/QDS68ee5R5+CiuMbm4LATwAVfI6wVdMosxQAU6VI7qTfsWl3MxOEQqvR5cXec8gwotQW
FRrCBnXD2hiHbR/UOxUz5/92XjUOF3Sr0bq8fGvlIo2j+vWGhXkgFwbbC16NQp6X9bvpDw5pHD5E
bd0uKhQF0XYanowg8SXTkVpn2bO3VfUz/tkeRExWApDgezyk2CxrTPdCED4KzE51KmWfhIG8fBtE
BJDrvRbnXeMbPKgykXAxgbLprrwF+ULsqK/Rpjgq+9ApvPFb6A4Bmi2u76HAH3UuVNJbpElTBoJ1
up/boLZ+xqoggSIywYVKvR1qEC5FMSzX0+3QTEe5SV0tFBWZ1+v3F9+PC5SWvi6mKMfR0jd662iP
LH3ClC/BA5Xc0EMEAQOPvk3b2Lu/0UdByPnHNXmq44m0NY0T5BtGF4JckFHzlmfJbXzG5jI9/FZO
zVPv+uaJnJMLpUiNsUwgN7IoylGqT8no97rtzUsQz4MAtwSXls5Bij4XaUd6rA+8dY49BIN8ouom
rYLrK1qjEXj3HTlI0fKx02IJYUbrF7fJ0/Ba+9ED3v0u2NJd+2tzCLf01+gpfraDOr0HOavX679g
vc5/sZMcyCjD0OgFAXjKm98CViFy29KN5jZu7IucVvBZ+T6ndtDBT6zj+C0Kuhj7YiNJhmcsX8DQ
L9hAwSnkx+rGUTfiiC1LTfeNCoWbU2ILNk9w7RgclsxZIesNOwOVdCJ67ukYgIjGTRjlbjxNuRMh
qACvogDBmEdcCXT49CXmobOmjCq8j4pDFX3T09tsoG4yuJr6PCf/6B0GBzKQpFMLCbLjYP6xv0db
CNuAWRkVIsXP95JweE/kHmxTL0J8eYAAXjRibVn13dKdEmSREGrtRY28a4Mkl6fOYL/jwk6qjegD
rdjO5S7ZG9vStXbNVgNqqo+6YzlM91n6IW1FhSTR+jhUyey2lE0DtyurzcbWKdEeosRr9OfrZ1pk
hgMVeH63yDbEj6qUOk3tJ2PtdpNXgijuuqH/eKz/uQYMDjxMXcK0B8s8xMfoK4u9QMLnhtQpjoy6
zPaEDZoC7+fzNvkYZpUlocwZGtlJG5+GKjtE/eyYxbLpJHK0p9aRe3k7VtIdSBL3dmbfTR11jBaj
ZRb4PdLFVfFgnUPR3gouJz7bo8/1MPcxPkVGRr/uX4kmQVBCvtWa/mfcVqJUMevDuAIDfM7HWnBY
VAXmTMgb7u0DS7vnM96O1jb7u6z7+Y4gXEiTW+UwJxOecN2gOMmYuXZ/Jxc7gTOt762JUR3w0ekG
z0s092m+xF2CVMzRQrjb3CVoCkxO6is4JaCEix5qxsplevNB1JG4unfohTRtRTVVTA2/x4O5LEHh
RlWwqU3PlYmAxvoUyzd2kjoKJEmuL1Nki7s1ci3pWysHLx1ILNqqh2cOnrXcx+j8NbX5b27Bi4Xx
GxcRjWYhNm6ab3NyypBJTf3r61lr1Nb1CxvcFVEpZtlSDWnOkW6KrxQyK+W2sG+0YUuAcpXlx+k3
gcnVm/fCJH9PKHZcFwx2Oia4tlserVMHYWr09FQObdDRA01qiA8womt714veEKId5G6P2uw02tYZ
auXKz3gMLM1JWr+ub2gviHfXY7OLdbJfcnFPjYvU22aKgJcl2pRt+Jo+I6RAJFht1MIR0fyJ1sVd
G3K+ZBNGi9HFV6bfiA79HTVxMlCLFpN5qIpQkB5fvaUuFsfdHZImJzEh2ESdlhiflj3oH7p164XT
InLRVbA8m+JHoeJKiySTFTB0EHi0Tu4VLhMc0NBJIeIfELgmT1nUVkWUxRJWJRc/qvRzB6Lh1vqp
0p1lQMzb8FpI2v3baTA5RGlpJiHFBH8E5/C4pzsV9WzkEXfLVr4vXphcJWtvs1kVePN3OZGLT8sh
DB2b2cSQ5W+tGMb7lwaZSz79Frk2RG0q65HbhTkObOLYiDFeg51Mj70P9uMgvqsO8SPGI3DmSw9l
qUA92N5fNV9emOUAh9ixEtYt60OLHqT5u20/9+PT9W1k/8SHC/3CBIcqSj/ZktKgtaPMHhfLIfGX
iAgG2ERQ/UYRdYEnNFSoJak2e7WDrviwbJstm+pM9+3f5EAuFsNBST0MnTwaNbZJ7TdoIXmU0s7r
ZFNghu32tW/GQUhfYWCtbLAto022xEBVPie769siOM+8cHVfz8MYDwylNqyuwsSJmKqLSN1ZAIYW
F4FUcjba8oB+YjL5cX6s7FOlnlTl4fpi1oZRL+9qi4OKXtfjvAPLJRzAil39CTw3iLFyVNdmr/IH
P39AYhHDFwKzgn2yOJBI7XAZ0ha+rYM3yGFzJnnnyLvmEP8y8TnjfdiiT1Vwe4o+KQcVRiFLdYaI
z1OX+sWozF1ttJs+lZ0SKfTrCxStj4MH2i95GFG86xopaPQvmmhuZf2ddT5PvGZ1quqgeSwAewNI
3zOILueKP6DfUfPVLfoPN4Ow/0VwZVpc6DHXckTUBH6vhrUjV7Jn0ewmjnRnTOhmnhL0iIa4cJIH
Ot2N1fQ3FbiL9XL4oSHpoC7s1BXzXS8flsqth+D6ngmiHb7Bp0lAZq/XOhqXYtkZ+6+WjCJYozmI
ZB2rFA0riy4uvrUnz1Utmtn3ZKoUwEScAck13dDL3PmuPYbOtJFBE92Ibsy3osRHjIQCsqHI0F7m
JxU6ktqRnaOebgz5a5Ij70CKrdF1+0Ya3TyMfy5l801rMmj9Ga5eo6rUdG5UmDstlr+E8oym3xjN
p1XtLzE9GoX0TY9tvMfGwWlI55f6dFDsPJDH1CUWOPvqCPMs5uQWCbQEpTy+T+TYp0r23JjStisX
XzOb2RlMlM0SaWuUIpHr9WP/Z718mVPT+kkzR3R2aMq3Uj5kLbquT+Eoen+vu8/ZDAfYJsEDXM9g
Jt/l99Sjd4zRPIb4mAThh0+M+D/FeHYUiNIM//EmOBvmIDxW457YC9L+bNoxdvNgeLaOv8MtEokp
O9bDkrM5HroBoLRukKBmgxMy9IRmHzJrDSpfaQ4ZxRKacm3tC+ek2CqueK3GgXe4zAWdE3itvsnv
iVtj+sz+qm2YPu28rYTjPCJzHIA3qjQqdMbTZwpCDLvROyTBd9pJ2nQb3XSEjWPr4Hr+qMyHL+Kw
Jix1vZLgPIwxnrWf6j/gph714oB4c8DU5VM3c3p/Qc9LdaM/XIe+9evqbJ7DdlovJCpnYFGZF/4M
Ce+UiDbwre/z2gZyCK6MUdqroYXzcYR461tBQ76J79h/Rfv8mTX0KK510DaDT/0KSde/Yd1FrHNe
JRccagkagGMZ1Vrry+wORw2p6zbIwQaKbwoaUu/6NxWdS75yOkNktlFZz358pLu3UPFg+NIXEqR+
6IuYdAQgx9dOGwXjmdCGwg7ObpltQLLloE8bTCPOP66KHZwLT5XxnK1sBnOdp+8XeChkG3BhFbs6
oDci2WEB1ugc1mRZWGp6GKHDxxz8aumDXlE3Ri8LFiX6eBy2FKRUW/BXIwtPX8Pi6wxSFky6/AVH
8qX78RVScNPmxaIR9H1VT5SeyhFS9otbmcIcPDtJV06azoFJr5R5XlTw8y7ofYIisPZM7pM9gf6k
GjAlAxt6o/GePPzVKPz5gPE10mkxlmZZoPQeyjfl6HfKpq+21/1PtFUciqRmBZXFty4s4hnjETQQ
c3IXPf+bEQ4orDEqbKnDFVealgveIKfrq4cEdG0mzTfXTa0X7c/f7EMBVM7VeUQjECjM0vsuqI71
r99lk6rylQ34JF/CRx2QQV1F8Aj7D0QGaxoaRXWb2Ny3LDrLoDPBG8LEgL8f/zAP1r1yO+zzAMQh
W5ZXxCRYgOIXJoz6rfs3oo4Mjv/Y5z5zrVNDCjt0s5Dwdu7Ak3WjTIIu1f9IcPyvjQ/6RGjVCslk
Imxou+q5tWavT0DyBAlTCTOXozVmXmbeysO0WVB8FsDKeqbgbJuLCLtJHayY1bbl/e9MwVtqBZ/y
ugutH4mzGQ6RQ4iNT2qPnHA2bQn9vCRul33ThcC/Ov/wZ7dMmcNiM1VnbURU5EHjPTS8tNmWxq2s
Wq5CD1A0RddbQf+K1+DCJgfMY2rMfS3jxW4ov5b5wQz9sBJc0+tXzPnrcYGergwgEm+Bypl6yuxf
OjKj0sO/bRCHx+aoJSqmBVHgme/VbNMqj+WwIZUASdhp/Yj654VwMVyPkWJSGShhS7JHi6DSHuYS
2kPD42S7dikMkNl2XzPHgUeM2Gbo0V/pWUbl1AO6LD+16VZWD1P+K5U7JzcClD8WPeiz2m1bAUKz
jb9mnYMOLaL2iMY7OCM9yJ3spEIefsGpegOWizgnNOq5nyoARzi7ahXY45FKED3+cd01lPXA/8+u
vf39wswcWnGloNLojU3iapN8iCmmRqbWA6kgGOgRIBTJiEaS/D6zocilKi+CH8DQ4cqXfItiL35A
X5dqMhUg2mh9OqCFMdnbrnqHUogLng2hPo/oq3IgUk10snsNb9V+ATHCg1m7FOH+FFxf1OpRMPCF
oAdnWTJPvWj0etqHJoA3sWzfNAtHswb0O+yzKSDS92wWbeLqN7ywxx3wCRU5G3P7LCXMnjbU6yD6
MiHYAt/QjTB3uvoNL6xxBz2DcNNsstWpX+w7xpu57HJ0+Zk+RqggITJ6yWsWiNLRok/KHXdCwrir
Ihw4rd5G6kaOUXlva6ftCfYxGBJBA+/q+b5YI3++K5KpdoU1juVtRZ9IKKgTrKL++d/n638aRnQn
WU6RxGghAppDXQmd1KiNO9cdcb2l9cIOFwJQaWkIafCAGd3myJ66jBi3/Zy5AzQXNHe4yRB6bQVG
1x3EUFRNBkWezlNbgGFljk0L0Nz63THZIiEEenc0D/rLJtmMQYtOaE1ybMEpeMvAfEAS42yW7ekF
ksR2ntDORtnfQE1uWxPTJ3J5ehPsiSe0TM6gR0RCMf3ey9VRViUHrHhO3JueYqPitNRBRGs/Nqyf
1mA/yVrmQaIxcuYmh+h3t1UW3CZmeaPokUt1CZxrIfrTa3y/Rq+/UFw3UxkZjrTcVOPJFnHIrLv/
eW1clDAoQzZM7EWgtFB/mUENWo37qIWwaDHekqRwciiuC7ZxHVXONjlUkUzNTIwGZ6D1lUBHb7ls
gHBp8BUU+9ObXsgxsHqjX+wfhyvF2NIafbNIeb0wewpYSbs9Bd8cxna9/iCqi68fwfPyOESpk7bv
jQRhq9mCZ8kYA9mMd02sba5/RpEZDkmQQEAz7YwQsoq+Dtqunw5dLTjlq3H++cN9SPQsi5RIFqY+
091yVLbddgzi7d9OWV3Y4cDEnmk4WyajGPpiOKOvBYx4YgpdtOO/aCjpJ56dOqIUzBrBtw76w/9F
E75Bvq2kNjNrQBi5WQLyhIYhJCUxRfurdIctFAo3wyaHlh95Btm24MMyj7uCKHz6B9TKpSmFKBrb
mquPjlZ0/qh9j4fQ7TRh1kTg/joHX1MWhjVlJclxTzZsdjfc2X64LY5MjRTaPN+u++V6Be/iu3KQ
0pWTnvcd5pPYXspf0+CTccuG5JWbaiOqvq9fp+c95KCkmlQl1BV8yLi8U/pfdP50fTFk9XF4sRgO
O+TIsBppQLRsZepBiZHWzbID5AsfzCb90k6g72vT+0X+kbbdzrLmbasVO61X3ClKQbFsMuzekLaC
olQSNIYMspHsNhu1YxrP931uQuJy2dd6iEjc3Nsp9ccU2np2tAF3+OAsEMNRINXWSz+bPHlCpvmY
EgVK0YU7pd2hKJs9JfGh1yG7V+b7mbYume4UEFhAo90Zx9yToIGZFz+VefRGS3dH/avSG5gjAJuL
He8hmPRNLqsEQlxdoBqNd/3jibycA8LKUqsR+U2oPLYxREQmPwfJAKN7L9TalapBFB4I7jKe0rRI
9dEuO1Y6nrM78J46OhhN69x0aRQdyvFbk6WHWUZsN0OAoXlph9bRDVAAhRiHrbejqdxHIZrsUiO4
/h3WE+ZnJ+JTYdKI8hlNcCIab3aZhmKNoQfjtthBL/QgylWuv7wurHFoqs+0kqQUn8EwN2H/0Cb3
2fhqGqrbGY+ysq+oV6NvWepP11cp+Pr8jACizv+ZrrDJDqzRveSbxibrXimkrPV6dK9bW68yG5Zh
QNYTCkq8ZjaEGcvJAi22p5tuBWbN1BsOOXL2mas7xSf1++yxVrDcFVY/2Of7iN1nwyy6uYgGTQzU
DxgjhOHKbXYaggnUtXNIeIBOJRBNkfzHZp6tce/KPMLjhIxYJiumF34cIESTvrBKEoqDInr69ZDi
bIy7KVLWlNUgH+b1yqcmP6nyr14Vyf38x2E4G+GuB2nqUWVvoOc8BKOvQkgUjxMTjwbGwGo9iNro
RUviLohFmvWiNxHf0qF20/FXnM+OTF+uO+M60J2XxF0S82JGVlyASGgId5VkeWoLbcP62DRygDaL
67bWqTguHJ+dwwv/m9FeUVuM36/uQ8NJQW9WZ9XPypJfpYncWX2yGxrZD83MVQocAZJstbAsnUSF
1l/cfGrsMnZGSIkoSrzFIPFWlpfbrC8E2C88n1x4Oic2SawZN7N+05uuimJNss82+r10ax2d7MiS
CMNtJ+wuE+w3n91qlipSq56Nzmfjg9Krjq3bW/ShCyCdnYQrIMBnt6zGHKwmhKZP1lMnK6a9ZlDB
M0lkgsOZbh5KQ2mQ9lxAT1nM+RHzSZvrvrQO2X/89i2Su3QlIvdxUsFv0VX7racR1DibI41DrynJ
prOlTZkvIr8QwOcbS9alTTNre7zH3qY5uqN9iPzB0VVU7n53BV1fIDvd17aJwxrb7js07IIR1qym
oLKSW1VvwBSpHDA7LriQRNvFAU1b9x2Eq+B4XUsfkjD2MJ8j8Ij1ktr56L+duYtvl3VVMnYUvRst
qp+F3+2SQ+IP2yxxrF2yU1zDTTGqlu+jYBbReom+JIc6Ld5nqPK28EZzG0cYl7Qep2mXzJnAP0Qu
ycFG0aRjRzqUFKIkdEZ0GI2afjfG6i5NM6cAR3iq0Kd/cpI3wL34qoXW0jBjHYcKdUheOGjiWqYX
WUQOIUAmnj6sKCUls1hYptFPVPNzpMWjTBCDCXbpbQb3Yil92NRRnDBGu3abxNumCep6PwsTKgx6
rhwrlQtK2sGUIM+DKzw/sqBk2hpoqLUc1WFju6K3suBgqezvF2tK29CY5A6Z9RJSh5qZP/ftIvAA
0dZwMIEsgDHKEYKEUEX7ZfQWJGTp63U3EwU+PJcMKJTrYqFAiPkEqtJ9jw5rxh7X7iBeHojk7USe
wIUkBuTLOims0KondTfWVAQgBtoVRuZOjUi072308Zo7cNjQNJaaa4ykPaH2naGlN1VD/Z7qz/1M
t43Vox3EjA5N/L1r610/WI7elj80qI1qZftVqaCCjJZlDPia47hVaiNzZCgkJ83XwkKAOKn3U2S5
6RB/HfPQkWTbZbJvI6hAqLNEGJ2LTeKoZevqcXZrF89FZARm/Es3itduzPyszD2qyndhSXU3wyOU
mq1HqeVSghhkyl+NXDkVs+Q1Mfkc5WpgmHnrFF3zNLbpba0OiCSmT32d4cVq7W1TFOGv+h4BqaBu
o/Ss8MpdNgkhQDehTWIsD/W4z2W3KAWYuv6IuLDBbRDRJWo2LTKSrd8/VUEcdHtU7N0IY+/k4bqX
r+L3hSkOv+sW4tLdgvdKAQGdJhjswFR3VfVDrjdmv7tua9XH/9iCwtV7ZEAhoErtFLd7OM7bLJU2
mHn0JilztflvBrguLLGg5gKDJrnS5dTG1ORgQKwE12ttuAt51JvH6ytaz51dGOKCvlGTy1kd8Pm0
x3kfbqog3Om7UXNY12sR5Dei2sb6mMSFQQ7K60jriMLqzfoGel2HCXRJtRuDF0HZ25tol99SH7OO
pnN9nde9RJU5TC9LSKIvPTJDaWzdaATU3RYYPaKHDt19kTkFfT8LYqfVW+RinRzEG1FHsgFCaV4Y
1Wh6T2/MPhc1SotWxfz1wktakBKNZo9qKR2Gp7k3XtrIyc3+lKKMEsmTEyLTVpBjXsZ36oAArkHt
jHTg/UPTpmb4YzakrmVDfbmmgu+90i0EjUVwl6JyBhlsiKS//2myBtmdeE7xaKx+6eiiRBd7upks
d0nuEuuBFCdFNMjx8XC+t8h9jIlmtdUaCHeG5FiC0En5KhlBMQumJ1ZIdd+b4e65yY4zpMI0Gf3F
o3+nu4lPZSc/zAEbXTqhTVzE0y5aF4elmDvI0dqFsktud84QVU4IZoPa03XB22wlXHi/Mg5JyTQM
9RIjKKlm4qu0d7MBJNXQqM3nCl1QE/OfA6jw3Gh5pHaM4Q4Rvn48M+9+wYe3tNzOZtrjqTYqrx05
WSKp5BW0e2+Ag1WKPJqsV/BKNqQnf2V8VrW37BVX2hee5KkCDHgLFd8HKu/tceg69z0k0yqC6VAP
TZz3NYhntC0ZHd2zN+D0adFigEqkh9Z7RLLtc7s37vqD6FeINpZ/datxFsWlhlWrG/MFrLtbyM14
5IWJhYsJ1j+GF++XzCGtrlDb0vVe9WxZChbzV9PZu7oTDuaKXIXDF8kkaqtOyByOyG93nwio4yNU
5seeDU6AxqD5KRzHFZnkAEZuxiHNSYyqboSGbR3SSoPz/0j7suW4eaTZJ2IEV4C85dLsRd3aLMn2
DcOWbe77zqc/Cc3MJxriNM7ov1aEqgEWCoWqrMw2sTM7e57dN5Y/R/TwYUfumv9wwaZoVIxPoBH0
NiHCUPYjuoTiSWPRN+NCDLTk69SI4aYT6HWqfQh6keLh+gUsMsEFFzrq2jRkMdI0Ba253usK9EJE
ulsCI/zDugwkaTAGGMF0C4TW9wnBGzHeXV+JIB7zz+rW6PqxZljUttkplauhpal5GLK8buXj1f7X
MeIf1sGiBWE3IBQWsXSYQsNdBszPhWADy0Jbjxco/Hy7blG0Li4x65tyKIISFs2pcRMTfMeL6s8J
BJwURbC4/xKHqWFYMjF1aF7/nR2A2UbN4taQcXrZIE4Bcn/JkwGSnl19Xwi5q7eX9m6Oi0mSPE6R
GaHxXkLQy/wVKcChz/dW/uP6DrLT+PG0vpvhYlKKqlGnjsD1GsNw14Rg4UowMt+blwxhIpdEBGeb
3o70yjJkHWnWh0GVKASUJgZYIsiOpXQINa8XPeQ2N057I0BWiKLL3KmN9aQFwx5K/yb5aiyhvXS9
Y2i7ShLOcLKb8MPeadQkAM9beNRykW5sUmu2NKRVLdAYxGETnCDbm9CmYZJPreg9sPmpMAQrg5EG
4ln8BEkHrkxdCU0IlTa1qyXRLlcUJx1/z+HsQdbaue4Ym18Kkm7QY9IoQXb4t7vnfZBIcgE8l943
jkyGXTtSlyby4bqZ7WO1ssP5uWyk4KGCQrBL9d436ewXQGyGRmw3YWgnSbenMT3OFsgrBrSdx8aP
MDNq5rFgHGJ7c9+Xy52D0FBTBVq3KArm00kDD5g1jlDt1h3Z6pwRGvPXly3aXebEq1dQH0F5tohw
e4Ft1pFRpCnNJwgjXzfCtu6Df662lvPPUmlAbzTDYQC5mKLK7ufn6wZEq+DuYMXUEq2NMPGjlotT
jLkfda8G+VwGvFoHd6KpAoKvTtZZ5J2gwpp7QAb41MOwMahvouMicAXBqvgbeQE6JaEjvo0+3db1
94W6pvDdsnlVvi+Jv5CXoga2yUKxCY1508eMSOlYl5o4qRM7yjEDZ1f0e/ihOfVjIUzQBK7OX9Oq
pUUpBFKB+S4usXkqh0OnljY1PV00ey1aJRdDqiGeAiPDRIKMSWH9hiT7YPSksoO3n2fhK3f7u5kK
ppkUBchv/qE0VrVRLxWbER4gFEPt2Wud5QVXQIfp0sCWv8yd/b8LkCDnwVDpf4yyO2J1kE2pHiVl
xhLNZF8mdzHEahQBWnk7RAJGrMiYbtNUHrJTFZocSBkW1mFR+YU48T051FCJVJzlDMoiwQtwM2y8
m+OBOL0REbWETddCx0I9dOP9J6LG6v9z38m0RgDtYvx/UtxV7SNVvxjCd89mErCywX2W2DByK6gR
Mub7zj2bs438GumabtevHbjom7cXl3QIRP2rDcg3/MFAdkNMw8In42Ju3zdQmkphmMF2LXA004cF
byAVrcdoL5/al+JMv3xmP99NclG4sfRECSWE+bbtbuYe4Mwl8XNop183s72l72a4KJzKDbCYSY5Y
NX2vqRNOgyOFf+joXzezeYoNE2NfJsgpLF4cz6TghycW5NjBMOaDRMWxJvOxG0VDv9sFhpUd7gaO
1QqcE5jMArAVQ7L7BFOPTPuRfAXJtROJmJY2V0UhgKhSWVUw8PN3mMgjJa6rTGZuwWZEMlfr7O5U
u2/jlUfGF1748sP1ndz8YCub3ArVTB2XUYHNOovsuqd2pN8OYDMZpafrht4gznyigTxR1i1TMyHB
x7lGFqUFGRsFU+GD5hKz8Cdp8AKDomI7nQE8dag1OmVW3aZ5hU4RJKWb1Aua3g6b6PcMGqhhuTRl
5xBa7KFNe8lD3IGD/FUxx8cmQCova81trYY3tToflflHk5i2pRVnicZOX1UnUA7uEaL3iQL5eZw9
VV28RZl+qeDEresaIovpZ9LW1ZL5ERLatpo0SLOMmAwsNkY7ImhlV159YKRjmS+qh23d2ZqFiwai
WirR3uQeV9dMY439GFGUw6K2+VksRm+3zXyWFPPOUPoe4gaV6Lhv3jprk1xYCQNZm7qqloFrR9bl
ZVDyql6oNzmSn+/an6bg1vkv9izNoBQqCTL/vo4DI0raZoS92GbSYS1UFV/pdzynGGgQPJ/XnXbr
dOigtlLRUaSWyT8TzSCmQV0ruOWSJ2W4DNLXofpldCLaiW0zFiEGBMzhg9x9UGm0VgZzQfV2qNw8
kZyU5i9dqDyYwWxfX9HmDuJ9CF4fYhjE4B+IeZLVUqjAVkWa362molmkHUFFdaunjaNmjWPSygdU
1A6GF5KTY1cXP63526d+BTHwalTRr337lStX1cAJK+dziIqCPbjdAZQ0bv5EPeWoodkQ34rmnTag
fgg82FuVsRlpFt+1McwuIwl75bzVx/3qgPzoSE/annEPZ6fx1ThiEM83vhVe7AoDO0sk+NC3ts4F
2SpeyGKkb9aR2tqaq+zJIbMVh+zyW2Faw1Kja9Y4b1IAllSjmL3oNBC1WZmtjjKosJ7zZUBMVb+H
tXI2JODG69abWyq4UDb7SLoFKBh2GTvNnxmM2RpNqi+ouX6NvqG0e0HxeodHGKZPCmfwQ6Gk2lYq
ujLIN1do2ch50rNnsnFDZd+QvwqcdSuu6hY7LbJKMVLFb2hadVYDVDbY7hXQZTA20Noxv5VgJzy+
qRacA2d5nPf013XDW/mAbmELcf8qBuWP6hKwIjkouoAGAdwdKrxVljomEeGIt8xgZbpGLGroOCB/
px2KRuo8NnEjGkFnh8VRo61jEcF7eaM9Dn9YWWFfcXXi4yiSpQX8rW6ctYchN3aJBErtNCXP+aze
GXN2KIwKQxfQ8QBpc9rRfdlOu1afbDACu8q42FM6CKgftj6soYC6GbVacEcbXMKlFmVcWSHC+2il
UImGmOFCcV5Gaj0WJHdVKXv537+ogXlLEwkQ5i55/rg20asmgCSnG2ImJaweh8T6Vs+xwGE3P+i7
FZ42blZTXMtLJ2OUx7bqxk6hXSRshG+dutVSeCXITs77bp5R6e7kO8N8aZJPOcxqFSyorhyGTDWN
NAmrAIlma49+6dejzbrR4x2jgarB0lyeplsRrfdmzr9eGHccIMCildGM49C50HBCFo5BUtwReAxi
RsgvBR7BEiQ+WK+tcceilsGXGGtYZV2AYwXyiNBEA4I/R4DRvkede93/thKNtTXO4UEiTvSatSfi
prMxT1nmP2Ltuc//jw7I3XfypE6R2iJgAnY2AA7T7cx4f30lm0d35R3s7yvvgILsGFXIxAASRtd5
3Cf9n5Ee4gEqXX8+YwlStTolqK7wmpmhKs1B1eHMasEhKd0ebHbWAxhUzDgSfB32AvrgC5qmEeS1
QLHx779WClTQQBMMN8U/Jh3ZrP6QRr9l41dU3JlzYKug6bi+tk1/QOAnaE+gV8DzPOZx2VQZoFKu
iSOWY/S6i+XXUf+jkj4VJJ4CUzzFYtZYOcwhc9eA9pB+pqrqpa+gPRGsaDP2va9I4+pGdVjWrR6g
sZxFT9ZgozNrm/87SxeuspUNLjLpgP/EiYV7Wav2quaNnQNd4VBUfBBtGBeH1CIZ0kyFNwzRg2Sc
I4qKlBMt/nUP2EzXDJ0qKEZBttjkUZOhEspJFUFAQT5Oqs3iXeIqoW3c519kt3yM3cxRBO/i7W/0
bpLFxNXZlZZAGaGmjbobkx49WLKTGiKU/SZCZb0udthWRuZMX8I4wd0+7GZvORg7yNDY8QMr8Q0/
w3MFcSTFQQKyi54iu3iu7yo/0oWsjZth6p/dRSr3968oe8Mq5BAVgMmyZ+B1KwLthjsMwfZgs7r+
JTf9xYBjygR0RyrPaDJGIyQyJOTdSuMlhaP1v7Phh6SIJtm3HWZlh/2O1cYqUorsLc8ZdEN2wj17
SMW/JcwKYpzWbm/ll8/dyCuLXKxXOyOcyhZtN93vn1n2HXuRG/3U8FjMMaArOhHs+H4IwytznHuW
yaIXJkVTkyUArV0egSvy0Y44zF/mvahmw+73j8Y0C91Tk7VsuVNelklYGGx03lCeY8xKfAbUgQHd
f/4/s7/6WlMJKGXVUGD+kQc2d0b8JQGsKPp93fc2qwprM1xiAcWCKLMy+HkDrmltB4p9t9kXe9BL
7pikzydd4n1ZnBMmFWaMsxLbpil2+6c6VLtpv6AkiH4fwfTjIOKyEn0mzgUlWYbSi45gPMWgHTUn
W51FW8jc6poncG43jJOe0wjw9dpSn6ErPSyaJ2XavtD0c5GNmHdHh2AMndm4V1JpZ7XVbgSOWjFR
sBitw1xC83MIdkkjasVsDEvhvsP7U0HPgph4i/7tQ1FQTImSY/H/mpxlY9fpfe4bDyRCMTzakz1o
JVzt13wSMcJudkrWprmrtgEzRy7LMK37yR1Tu8U8NLmrPAzU7dLbrLbVUyjW0NwOpe8L5g5lp2Rd
jPY+Rl1vVCcCZgO4DTf1GTsmiMzuoAQF1m0R2cm2i70b5U7qUBNjoBNyc03azeZzLBJy2Lx1V1+R
P6KGJKdZjneNFAWnXMntQNKfe1M0ZCTaO+5kGnU6kT7G9dDHkzsDmE3hoFMf7/ROOAG5Hanft4w7
lbWut9FIsWWsiri4ip1+H9DHfavJPAnvBdHKuANK+6JOkgapZYS5SzsxUQUqyKVQK0+PQAai5a9D
8DSBKxKZm9sE/dHMAPKh8f1k1fYY6rt6HB+vx93NF8Pqm3JJDnShktJMEd2Z0ESxS/0etDJiGOX2
m/jdzocSWxIVS5DgQPQMXuyALnZvHhgdc3knHjz+L5fJP5+VHwnGndjLefnvtkmA8czAVb8NADM3
dnEfXESXieDgvS1+dUWSdhwJWWBuZB16hUDcuRDlFCxifAzu70viIkqgtEs5LdjAaafsYmq3fuqn
h+CVKWbqEKD5xKzfXzH7LYtbLars6xjoaGSDZGgwkJX6slUJIAfsdF1bExdQ1CgPaY9ZTDcyG6+W
QEyC6ZYo7R8S9SUre++6q4u+EhdXwqg1k1LG6evlQ5Wfa1PQfRUcJb4nHwBji5FIZBRM0DQ+hv68
IzvobguWwTblw6ZBB8uE/iGD9nAha0mjTqEB3o75mB9ncMoEafbaWePD9d3aTCZWZrhYpVvSnMp1
L+Od4WXak5bsdeXUNQ9ZfqxMIZHH5rdZWePC0CDpNOzx3nMJWNMZkwf6Do7mLz7ry2VeuBMys2z6
HqEUA0/URDOL8z1rjMyiHDA7gqZaY4eZXNmKoduLGrulJJ1AtWjZfR5Ah8KaXKmOL4bWn4aKOg0G
n/UCvD7RmOSObumXvrQ+czBWP45zVVoOaF+ruJYgfKiQvZq9EsyYzC9a+nr9K28Qb+GUU0UxCIo3
Ctzp78xsxlSQDiJL1Egx0v2nONDdcur25Tlw5QN5LL9CoB4sY6Eb+dn5MxD+tW0uX8GYN+1A/CVj
dJl98vicgoTnUwLqf6+R+9RhYqpyRWGHqUYvLtIxt3SKvbzTME8ncqxNT15tKPfpEsmkccoKpIpW
eai+7KNOFzQdNtOIlQkuAsyj2moTq/jSMgAyF7pNCJuAKDuNGny57h8iU1wUaIBFb2qghF1Jg/CH
kR4hR3arK63dSsnjdVObAWe1Ki4ExFZv0IpVzU1fCu+y8gByAYPgOsCVIJL0fovFH4LouzFeX6vr
dBIUM+JNcmgvElRUUq/7qaIObIMtCYMk+W48NU+Afgj2c/s5sjLMvYRKYs2TCVIFGO4O/e8QRLjL
feqrB9CwgEgIAw0AJfy8vrPbydfKKPcGypuyIOHEulSLeUd0zBIQC7Rklz7VPItIX5okUO0+6DH6
mdq0LE/zrAmrPpup9upHcJFGSY0BhD84GAzKogIzybRj45v6wMK7kFBwM7yvrHGxpQnbYkz0Bks+
MuCrss9+Agplx75uTyC3nPeg9wNDlKhRvwkTQJproNivGhjn4r5vDb0sjaoDizUyZBEZG1Z5xlyg
Z1yCnfa92LOmfejkuziyp8IRKXRsJgcr89yX7qo2xnMGY68dKQ4LmL76PtoBHOJe96jNVGdlhvuW
Y6l3GF+BF8/H5tD7w4mJCOgnEen89kd830zuI1aqqg7LjDqa1WpuEtb+0pV7tah9Kakuydx8Bhu0
/njcRVFZFegnCNs9CLzmD4zIDKpSD0xvqDn3p089dFe7yF0V8ziHZt+id9K1XlPtewll5HAnoyZx
/WuJtpG7L/pIw1syhZ3CmGwjLPZmAvnvNDrE8bDraCSYvd6+M96/GndnTKNZg54B5ubkT2M+RtqR
jLFdWgIfFJnh7gsdjANLriGBG+ihG45U+z5GJyKE0G+HrX9Ww8OU5aKB7v3EEiQM5Rfucsqd7EXz
GUMa+AdEE82i+GFw8SPu8lTvUpgrvipf37KiJ93VbyVEkBywfQaLK3fsuUeh0PSptsq7Q/K0gWCL
aKxZZY3K+ism01P1ty6suAic0eBCh0TbJO0jXANsP3sfxX9PciynezEujHe4PUDlsrOtyhY90rdD
owmxCLRGkfFx/gIgsQaqNfQAQEDWGpdEPo/yz+sH7W2m4WNa8Y8NvspR63Osp3jHQPR+cSy5/BpW
iwsk0wEjbgj3g0dL8mLJgBkninmpzeaoJs3dUlmnQtIyVISiS2ChkdrO/d7QR1cdpNeoSlx9zJ7N
ShZB+QRbwpdJ6q7UcxDGwNlAbKoU+i5cILkcz4Jt2S7H0PdtYWdsVUowhxkPWfaWDJ5mJ/BR24/s
1De8f0mdZb9FanWb68LoGmjJqUaA9PzbnooSO1Ej3BusKW12X4L2frFq5/rH3sYjraxwcc4KgQE2
dVyCsk+Oylf2cpJaVLRMW6mc7FK6416/dF+FKeRmRDJ1tAI1HfMgPKhL7/qyxNvw3xGpA0NIc9J7
W99lx+IM7h3RNbW9m+/2uGuK9GBRM8cCLAul7EXgx21GautyJthPkRnuo7XaLKWdzvpYbWVjrsBX
e+JUtZAhaat8sto97qtJQ9bpM0sMh8wpc9AOQdk0Gu3rvvHGuvUhEKyscMEmgdRX0aLRivSzxCTN
tM+hUd0oTnXqoM/Wu4Hd2OUjfsEJ38+rT+ZD5Yugx2+VoCs/gr+6VFzDhs4qRUpkPC0BplP7NAIN
SkkyZyx+NlABHZL9pBeeHAErYoLFOAatF4kxcmH9KGr9UFbZa2mZv7UO9IBtMLpVUvlhXduFOu+S
4ZwsBhqCFiaHe9Q8UdDVkNUuskdGC2A71QuAaRj66HUpku9WUnudrtzG2Sg6ipt3yvtu85dm12vW
JJt44MdpYFsGpDjk+6T6MRB3FLG3bGYdK1NcKNPVYMwm4AHdLL6hxm+M7dtKtreqH9cdaPuBurLD
XZMkbOJgUvBkaz31mO4VNJC0n5E72PNtHeMJ8eY2MsAHovLi2x11zWu4pDvX0qoxA4S1DID81l5O
8b8LmcJ2CPtP1yyxiLC6FoaxKubOwGfD7Ln6XT+iBXuKz/M3/dHMAGyu/MCJX67vqyDIGFwsm8jQ
tWWH7KMsnjHLoIevreZdN7G5gURWZdx3CiGUHy2qY6WdZ5b/JupzRX5lwf1YfQ9UjBmXXpp9ASPg
OD8IbG6ti6DFilEw1LoUPquKUjki6cyi2k49zh5Buhi4A+YohszWIOVAPHH5TmSTc5QGE+T53GGd
Zem11bku953o6tlMh9frYr9h5SJBEmR9MmFdJHPL53ivQDve2pX+YI93wwlpo7d4yrl5emMZ8UWv
+c0VgqcJQ56ocZk82Dbq4yqIwXftpmVsozx1KmuIGAfL/fWvJzDDo221BSJQWsXQ4c24MyfTzwzp
BCFTER5267wBH4K8wcJ4j8wDtSrSzmkp4XlLb2vMhxk71kOav2W2gedM4s0n0YjnZuK3tshdtqQN
Q0miOYtiyq7aGbsU05HLg3or+ZCHGW2RBMHWRbC2x1278SQjgZjBoBYtEsZg2mcygPa5Nl0SY8gZ
mbngnt+6DQh2k6LeY5omj73JhomMYQrem5iczBLDiv4Y3GbD4RP+sbLCHbQkRWm0BsTfzbpzV77k
U2Tnn3lNr1fCHbSClrTJInaFyp4c7uP0ZiZHoRgj238+4q+tcOHXlOZo0piua2I9BXNlt8aAZ5Hh
ao1qUwkzxv0DYJOCxHITb7a2ymWWRk+ITBIkYxj5QnHZVuzyST/ENyxVh5T9SSzLu3miV1+M8/tl
xhNUpgEe0uQ2ji9F932ku+tOsfn8WK+K8/USYTG3tOwdulBPtgQpbsdY7JapsLrgcMdQerkTRWXB
6ngpGkObS0UesLosOEv6bbhcjEHQSxWZ4Mog1aKWdAxUSFXPhT0EpzT5TmpfsIMsV7vijbzozDjG
/WzJ8Pl06m2i7qLWnvJzUHwhyre2hZS65cpQZ1Ak3xBRK78xL1yzzeV3cRVXvTniSYxxshvdn73I
6X/nPt3XTnDH7jUNpKi29gxMqR95wYMINSiIXDoXU5QW8OkEY3xu8Luvb7TK70wXyfz/cYf5qFLV
gTQzRCmL/xQE2aYrPxo+RtQBf4p/fsYaKJPQ0AUY0uDngzHrP80Ki2HG7YQunwLQZewsR5ZJZr7o
EGxHFUMG+4hp4Ebl+/CZhhn4ucPa6OP4B4rpXoYqXb8LHvH+97K9+D3HgsYHl1kZ5IKKNaR60lGc
CTlKXVk/Rtb9DILehVxm/Vcguko3HcSAUjRqZYxDift0My4diRY1Pl0R2zMIv/vQraTH1vjMSV/Z
4a6ExQqzOoJ0kFuHOxJdwIwcy0/XHUO0FC7+Q3mmteoKWUGpgAPP/JbOLxiZsgfRq387JK/Wwn2h
IaKpOmdwidFZdkzDKtmB4RSn+YjO9tdyhyETR3nUfn1meZQBLDFg/IExbJqBDSoJ0seEYTcPKbhW
xscpFVjZzuUIhu8xXYxHBt/ZaqK56FPWRWBnWU3t+NjtY4cidVRtgrE/oYzn5h2wMsjC9yr3Xyo1
QqkCuX9UUD+VR4yexvh8pYC2dNM7Vma4SAwAnBVlASvVUPC5/Wrq2JHMkyqcK9l80iPT+GcDuZAb
60pJEkaPGtHwd9+Z90HX/bBkze+L1J6m9DbEiL2pTUhTHiktfy/69MXSXyWqvujNdCMVd7EQa7mZ
MCOLwFSqjs7Xh6I4HUigZDga7fi0FF9HUO6n2s8+P5SN4LbdfsrBO4kG90FNljuFXUj0RJVQG2ed
0e7riClYCtnI7tSEdn02XQWah7vkiKYKVD9d5ZsIY7QZPlf2ucMZRHnWGQ2OSW1aNyGFQJ9CkqOW
1p4lFadm0tyhjgW+te3C72vmcrSskiw9tLC9meZYwb0cP02i2WKBCR7JEKS6FNNJRQ3f8jXjVpV2
2vjteoBhjvnh4nnfOZ7xqKI1xeg7QnQynZL0PI376/9/s1pKGD8COD3A+8xXtA15SepwwMN0xPgY
+JRAvfWDIUSjR8MrnrNT785u5kWQp+9vyp3kGgcxOesmRn39I7iLKDMgWLYUKa5Xql2iCIJSoGYt
y+CXVpr2VElumhU7lTZ2EpHTUqiNO1U31aL/SrLwizJNaJdRu0+63dzNIpH3TdgIEhtVA7cLhZY9
F6RmADYgD4qHtHws0Zde9tVPmmKWFSN9NlDsZ+IFXi4AoW0emJVNPl6lehH0gM65TauApvumtkK7
AeMJaA4w2RwIXmmbkWhljfn5KtqD8q9dVJbxL815afwsPoztQW78ScSkvImGWe8l96G7YqystisZ
8zAmMQFEQZf/TneTS7Yf95YgAmzeLqtlcVEvjYqmMxcsS+lwZ0L51IWcwQ2CghfFgXv9HG2eU9Ca
UIXojMSLezQ1Bm0qKccHI9p9VB5b/en6/99ey/v/5y7kVgbztTmCf4d0r1X7kuT+NDwALGlfN7MZ
0VbL4Hy9oTQMAhW+Tjt/Uh0jug27x+smtpP3lQ3Ot6UsGHWzRCGic5cdVLn2KCmelvsJymedHz5K
u89AWUDNosgUY7IAB3E3gWFqMcrqqKpH8+Mgv0jkmPSoRkQ3IWkEJ2nzM72b4ts+XThFxOgxJwtR
vJI6Unkc6X5UBc6w+ZVWVjhn66JYp304gwVGRw9JiXyphppbXnmCL8Wc6sPls7LDOV3fksHsehyg
aSe9FtBgWO4XjAlqHqS0XRF8ajPkrYxxrhdNxqgFrCMhW3cKZpTqDMMn9612SYMfJBY+Idns5se1
6ShpGeBzIG8Z4yrmGUsvp3SEU9TD8AhtU382My+vZTuuIsgBgCIMKiyVGThRLiJE3b5zgSH/j20u
HZKMEWNRCWYW0JG7qD9SZPOMmKy/Yacg9fLfxGXXSw6YiXGn+olnHQZBXrHdKbEUXcHgH3r1fNei
VyComOoZE2kw9wPqV43xp4iR6NPanmIMTZmRQxNzV8zJi8CtmHt+2PqVaS4ABFEW90OILz2F1kWx
0p8hDR0kUye5hK6VAWFSgLtJR+xi0qDPqQrsb57RlXl2ulZfvlWNPkothOpWvx+1xyYunG4CrAe9
VMFCWWDhFwqUgAlGOBAFYrD3b0tUzSIdVCTAXpzB69zb5Q/dgSIiJn1AKv0HTUxf+g6as6PKBtIE
MWJrlSvbPBzGoHEdqaq2uIBg76Kw8ivzR7h0HvgxdteXuRWN1pa4aKR1ZpBrrFph9XhLqOAtG7rv
aiKMRqIV8dEIAhfEUEuwPj/1Hpvsg0DL7QBGNg1N0tnFeL2XCTm6NzOW9eq4sLREGQa/MLuCp/eI
QmHqKdQGfQTeS0iUfBFp0FYmtrbGHY1+YjSgjDQWhMn2LB0AX0rmA8WgtsA9NksKa0vcKSBhKclV
h/g3BoNTd5gFrXbF8thTvy1sOt0u4DIrbqMQmrVfu0GQmQmts2+9OoMhAo+WdAgB/1Jiwviv30A7
LbCZFL0lvFs2XRQPDJlYBLggPgNotCKRmxguGiq+Tp8x0bcUnzkF7yb4m19r0n6G4iYApeMLkLJT
fMiF3e2t+xgp4H+WwWMt4oh0Wh4C4Nx6k4uqnZM+EXDEMsg8du3L9WO96YorY9xxMxaSjT1Gp900
6N0ajhJCjcyIfqnQHKsGy7tuTfCF+OtIJn0ehWWF+VY1tsfUHlLQuovKEJup53oDueNldlFd52jY
u9Yjq1KnXnL7r0IaI5nOd2IiZqFF7pipFE23yUzYzEG4zwCSsc1f2Sm9GTwNQPgUaMub/13qF/0t
kLpT0HWahsJjICowgurViLNVtV6rH8v6npSH619rOyqubHDnF8wYsVaPOFDBd0jdoZndvZg3nTc9
d071JILFbAb+lTHmqatgUVqDbtbmgM6y9VSoyBCOQQP4lAiBvunwKzNcVmYZZFE1gqYeZKhcbcdY
DQO3vyAfA1xycvIvyR6EFdmTCCsmsstlCbPSmYmuYHk0vlnGy6jslPahmA+qiKtbYIjHOoBGiOaa
BsfI0p1snqLp16B+aTRIYAlCx2be876TPLtYoWRTOTaIU1YMJa/+Z6gZdr1cBsMl02UK72n8LPBH
dgt/yLRWFrlglQVx2FIL0Vf39T8W6CQYH/jopnf/EsARFUw2PdLCPaJTBvixuKQA8I4oCEy4v1w8
J6lpD8OrVMx2KjxnW68UUAnrOMUKiKX4TpAyx9DaydTFNc8Vhj2kCz3Xh/8f+uKt19faEHegiT6j
JfmGQSifa/U0kNcyeh51p1Zfxk8JT6yNcQcaXhjTZWQ51VKey2qxiwpDEZOoJrPlhmsz3IFWsrTu
QE8IFDjm6xGi9hB7xNNVhKXbRJ6v7XAHeCrLUpty2Mn/xDO4DGZPPRcH3Sv9Zt9CUqs4ZS/jXetS
qDvPN52DQTNBs3fLH1e/gE/21aqYasViWJ9svAxycQugrauT+jCAIlZw1LaSkLUtLt2vCW7pYcLD
okL5hunWp6jm+x1IPRrQg+Y/r5sTrYw72H0hFUh54CpTcJtnp2Z2ZcxcpoJy6+Y1vV4Ud6CHkY6J
bOATRofm0DxCsxOjH/Mt6Ep28im4NDvRujYz4LVFLhVpzbAMg75Aw7zz4718znbSZb7TUVcmmMW/
jYVEq5s9sLVFLhXR9HEOUFsHMCZDi3Q4aEggg0Nzmh6m4+Cxubho353xphEk+2wlfGxe2+VCi25V
StNRBMu+NXdZRsABrgiccit7BJc8SGvBg0Z1vj860DnMdeb/3QTBBP3J6HOfjIN73Rc32xRrM5wz
lsESgjMXO9i4mNa2m4N0q3vJI6o1gGFneLuku8B51uxY2I/dPAarBXL+yfRQF4ZTdHsaOLTPz0ag
HdC9t6P85foit5KE9Ro5v8whNtyhVQo+FmgqFfuxcMMotaXFmzMRdFz01TiHHAcSkUwFDsZQ/hRq
Z7cYdVa+Xl+OaOM45wuzqa7BxItkWCaOHjrS8kQBKNU/JU2y3jfuTpMp1MD7HIFq2AW+cgP9GkxW
xQcNzLcQ8WDaf/qFfEaObW2Uu+HkPknKIYXfR33kGaS3Eyo5mqnfJ9Swlyrx9OnP9f3cjlsrT+Qu
O6KNXZGxuIVxZcM2QcMtedVevzX82cXjHXO91w0KnIR/V8dJPJttgKw8Vb/p1Q85uB2EUNnNK+19
Tfy7usqHJe1a+DzDjqiO7hhQwaQO4xAZnujh+oI2kSqrj8ZP+oGcauos9s4AgbdHMInXojmF6YJ+
Z95OiMN4QjnSnZCMazMbWi2SCyFRJwclIADgiASv8CsF3p/NxQB5dh/cmjdVZjOsFoWaSuAxhJhg
0ey/f7gEVta5sKJ0NKWQnAFg/U98AQzUTY/NvvHywdYcxv1vOtcNityGiy00AzzeLBFR+uXcVG6f
f6tFKC32k68tiQstbQTuciNF+Ep06Swb4Ul42DaT8tWmcTFlaqA1QxvElIrsu9jTi9yOAJfsYy9X
90r37fqWCSK/wQWT3KJ6BhW2BUWKw5i8Wt3TTL/HyaGQ9tcNbXbU1yeAiyHmEBdD1KPK+YY5kL3C
HRD9E0RKyWepTwJeJWDIBUme4Cog7K21KiNAX37sdD1mxK/3FtA8YCSyJ3LXiPQWBX5BuARZroap
13rc1VFdnIKM2pIWCWoVoqVwiUgcmmU8WhLKL/Ne6vYmcm/gIojgVbHZI1p9J8KFjDkkuNMSXC8S
JmUb+UtYtnZhzZ4EGU5q1n4yzecxD3dKNHjXXYQ7vqhwagbkFpHNgUoZ06ucZRJGapYaQKeT+dZU
d0rWgmz+/roNPun/YIQ7wEbVScUo9dCzuWczGSEmXHKn2lfe4sw3qh15okIWv6EfLHIHWsuqqlCx
WndZwLeK+evxSLB95EtAfobQJgBphfAjcpcbb5N/GxaoQBZkajQcttnB5eYpe/1AwLWieLKQ8pFz
TN6Yym0p+FADC1gvDRjZnRx+qQywA6sOlV6vfzruiH0ww+2jYmZkMg18uTKOfDU290ZZuNdNCDxQ
46JhiJHNXp8WDRk3BAaeq9iRdQFZg8gdNC4OtulYjaBmYZ8GOtwH9mEYQBvsBofri+FzDn7DCL8a
BbXiWFahYjTbDP3HaNIKxsT0gn5a8Tx5TM40l/8faVeyHDeubL+IESQBTluOVaUqjZZkecPwyHme
+fXvQH2fVYLKxO3rRUcvHFEpgJmJHM+x5X/nqD7I5U4YLeOwABOFuKFW2ZqKoQjtfpIiNw8EB7z4
uSy2dW7CZ+g82+JQyFlZ1wsULyhRaVd20Sm+SX1zH+7CBwYqqyC2exEIZV7oLAL453RvQglT07MX
pVsKazQ73CrjUcegoRu70SOgbjzWHATH7v22PMEZCWdc0zKlmHmroC7lbTrEtmY69Sh4m9kH2TgS
HwpndczAgKGS/w6T8qOfoOCXwUSdhk1FYvCw/LlkhJPBbg6DvwpQf1FkiT1dxBN8IWHHdpEBviQQ
2lCi8HsCi5aEFCwdDHsa3RfAwUo2K+czzTfdKAgfAPNgk5/hvdDTfwym3kvmDG6w0rjrko4iyG/3
AF3wmXr0uxkDHgwJs7hhwLfDswjW7UJoxeRiYZLKGPU1eUy5ecmlfIjADCjfqTHQ/IpD7GO+7uvo
JQAwAZ7zf5GiXegGvRfK2UGFaaSkTQ2Guc3sgAF8k+v2FU8kD0RhHGcF+IzvhbF/PzM6OimhklmS
6qblixV+XrFJJpriuvzx3i6RM7RwbIdiirCjbHbHtsT30q5oaFfqYyZaj+BjkA+n4V6yqImnvup/
v84x8Nglr7cL0N7KOxE2xwXEwfd3x2klUFHiOlIA6NR5I/yxn8NBolF9wi6B0wMeS0cSWN1037rd
nWi866JmwtUbYCkCUvoHBsE2noZQb6GZ5skMiJvfGPfFCZsFmcNQqOdT5qY/B5E9sAOdubPX6z0T
ynP4mYm2ViBAJ66hP4IOt7V8Cej6qeab69GaP2/759fO6pY0LvJPI8sEwXRO3Vxf7BiAT1k03fWA
0ojleofpYhto7sdyAQ2O1R4azNWRMDpFYE9IrcxRzOUXKpt2EtW3NBtds41QqQ1rGzDaz6kB7Ihk
vR8TLegXLASl0j2tS1fS6H2sLHs9Du2cYt+87dx8BBekUdlNVwVTE/qR8rWKxi+6Edt9Vh6JCfDo
KfHqCCBU689s0Nw2yp0+fQba4I6uqrf2E/i5l69NGxFbbvuf+aR5yRp6zRw5YJMzaHKj6dNNL9d4
1+u7NQlPRgfOkVVdDGyKRJOtxc2NSsHzM2TXpQLHU+pOkX+JF+sY6o8LO3M2ZalN4sUfuvaWZRJl
VrqhntiFQXcymkJJlx1yaTwN1fxl+0NddFjnasHlT4qkN3KTSvQ/0NMdA0LydPcfOjARKuUlh3Uu
jMtluiyW47apNeBo2+n0M5H8lYhgxrj39IOecx54zAxj1jNwmPeRtFenxMlmdQekezeJBUEP+yVO
x1UdOyTgKQaYPBK09+43Il06JRoi/E4+SManJNNswce54H3fSeAcfLrm8ypVCEHUIAwGT9oxqkjG
SVA40iP9NDvNpxwL86KxiQuu4lws7yo62s007PCZLMUe49TTi/vRuIrmHyswWkzRoPWFOqoOcSB7
Bn0P0Cr4CGiIZaKUloY2XVBdF968q69CPwlWAGUz0IhC1LK+5H/fCeR8fzKkihZLMnWzqHywJDQu
CILULDzGHX1SJa1zmsl0JNQle2PYEz0CldoiOWZanDJtDXIlL1zBl2b+8KMuvd0Blx2o8jxWMXAD
sFVZoQ7zshaf86pztaXL3TLVXTVDeVCWHSl+rqY18QTiufCdGc35jfAFoUWLRnDe4ZlvPIZT2QTW
PbmmLiOhqAOS2iKIt1dMr43z8pUhLHsBRtzItdd8T7IZ+QpDqla89iRqSvO55X8OZ4HXAgO+pkk5
Oy30QTHjAlZkDBrIAlK7679m2eIT6alKv0/zzwLrNCMJBfi4F5wd7vRNLOeIpAEUZTlwn7HXvcvr
h7I+Vp0gpxSJ4EKmyoojQFMmGpaCGNda7crm7K1Z6G+rx2VH93YSzl4ygjd3jFGCmqPBTaz8oRob
wWX9wSZ/y9A4A+jWVI7GEtHfDJ4mpAglnujerq8Mp3xi60XJzfw4XYm4KgQXyKshLTEWIUUZcRc5
wGSasZziRXCyC+/RuRro/APbJGnflijQ9MnjNDuDEtsmmEQ1gZhLDzmGqxXLUEGBhuCK0wUgNsZr
S0aom6n8MuAuajm2ZTQVbSWWgqxQnhEd3VC9dfUYM7uldKRq+2tbUbiU+dXSzv8GTlGUlHR0IQlQ
UlF4yA5ZMPn/DZT2pSs9E8Nzo8VSuLYxUAOh9iAz7CVntPKAENWpsA63fSKRKO7rRYmelOtoYQKi
uLK6hx61BknzKWrm23IuvfTnR+J8VA2Q+zGTQuo2Sg72ZHoq+syu5M5t0satjPpxW9wF4AdGzv5b
W/h6TTbJ7ZKXLXULe3GIPz/UN+Gtvk99bNdZXge6o+Rzf0rvrL16nz6KcpFL1Yh34pldnmWuJNWk
YqAInWgwPaF2GYymb5zyKyOQj7ItudYxPk27/uW/AEwQfVH272ei8zkHj1QEe9Rs2UkwDFX8XG4H
QFQ5kwvewGDZNc/kk74IFOmSpzm/cM48zdwgg1rCNBrqV/nOqGfbxPb/9mcVCeHsz+oB2V8zX4NF
31H9CoB0Wv2ln+ErtetgdnraI1oLkXu9VnTmK+26/qX6hZseRI/3pafHYERw4CwGOwDfIc47MCRo
agOm6fV2ILeTFmzf2GVtePt9zu6wMGv0CLE1N0UvGEs3uyXEVFqT+WrZO9uiLj5x52dhZz3TvNpo
paLro39iHsYBpcm2cT06eLr9+iC53a4MRIThlzXi7Xycoc0MRmFecH+V4SLGdBaIM2aB2ok+EmdS
a9jSWI9RS9GX3ap8nSRBu1J0CM52hqYZCnPER5LTgxIfdeVnMz9tf5zL/vftnjjLUdessbA1TRCs
NTuygCUvDr2l1D/ltA/IsH7eFie6MS7aUfUQU5IZ6tdlIXnI+o9h3nvbIv4QEPw+Eh/TA/QmTIcG
mT1DytAdVuAK/cFdPayWuoqgQcruh4/nz3SbTxnrKlwUQ4EwrJc6y7AASaK/Skh+E+nVMQOmZz2b
37YPKDBdgysxybqJyFeC1g3jausZ4+ZC2eWlngTNUYFqGOp7s61mtTEXHdkw+dyVnjUtNioy6/DS
CfNS5my2LpFzRm1sFOAefE2KFKDUle6MiSKKtRbVx7b7Sb//uwvk/JHZK9WSLQUO1rh9G8gAe9bt
RfRgCFTd4DzQYoDbrF5hWVV1Gyc3VHK3T3ExlTxXPc776BIQYcMyRQx/SO6JGx0yZ/ou+xpGEP/9
RCCLmn6bFA8eMqYGwGfSRnOHAehmSXEwZpQHwyRQ2icpVwTfR+D2DM4nGVlTDV2BpLzAhJD8TbVu
1Ohl+/K2zdZ4jdPOniQUHIgW5ci6Qssbs2NaH9IIpnsEje5MH7ZlbdsrWjLv7WhYpyWPJaibUdqA
dV+SYOo9WZgHbRsRiJXei8mVeMpWDa51/N7oNvWSL9GJnJbcCW+II9v14ygirN3+ToC+ei9RIhb4
vBK8sal235X35XC0DIEzF9zd69z92XeyykKPBx0ljF4jdgnQGCCm74tFsUtd2m9/pgsz/OdKbryu
bJ/JykjZz1qCIHI46JptDHZ2PQWMCEsJVnCvAui73y23KIm5xMnc0hmDxCeC50R0Xs41dV1RAGgE
Nj1Gy3VaE8+oK2dC01LExiYSxHknSSpUa0hwsfCBKWCM0ys1O9aTAF1M8BYjRX+vIloL4Jragu73
7gyCR7TH/cIxTsyvi0llL+sjCl0UnorhgL0Xhi+6hEWJco3ZfO1KzJnvKdLWbS25WFQzgO7x/0K4
V5EASASAIshnGGXluE8ww8jKd/KVKAMQnYZ7FM1xTNa8Qb6RmoGJbsEqeWn6tH2ay1rwdhhO3QYt
rMGXhZ5BEnqT5krYf6+tBzh6Z1uO6CyctoVzbTVTTlQ3wuB1Hmt2ut5IONO2FOG34bStnzEcUZQr
UjR1xDDhU4kZNXqqsWufzU5dXRuDS/NMcLY/vMNvl8hF6dLSjRZp0fr+h6KkAqAYYA9nD6FLsIj6
0qKb5N7GUSFSQSuoX6HeKd11XQZ5+j9lHW/n4d4royiwlj1CRGg+p4ptFNcoyAu+FDPFjxHfbxl8
2Cy3qmm0xUTdqfil/YzSvWEFfYkpwqtRwfSMdV1gnyJv/vUaCvPwb1I5BzGmSq4qq45aq3SIzKep
fRYcixn/1rE450DBIhKaCcqqsz+7jFvFum6vOiQfuo+9EJEusA+xJY3zECRdprgtKFyRmdsr3c0F
1k+iXw297UuPajdZ8y9nMv9T53y7QM5fqHWxJGkhoZiz7jTVU+PrTJSQsp/YOhTnKmjZK+EwmtRt
pS9j/SCHAidxAXnlvRJwTmJa1KSW2vCfSRXJLgFXGt8uBwXbvqzDaDlVYGEeQSrc5bPiaICUiMT0
5yL953xGLXdGNzFFYeMyr7TYt/LNa7YTiCCwRFrCeYwhNhZqUJhaSUGIeNtML2nxQ8qu0MyXTVsm
IlBukTzOfVhFkql6AyaLXv5e5kciGU5l7rPxNtZrZ7Uw+FRLAhcscIo8CF+WxLLWd7jNcbTsdfQ1
/aWJvmzb9uWM4bfq8+heNJ7nWitRiwFCd5Y9YQw6orcrxtXlGhP5wbawP8RNb9I4RwLO9FI3Bpj2
dJg8TMf74269p7ZxoIDLFjUlBSZncn6k74i6KCDtccfw21ok9kxFL7PoA3F+YzCksZR7TWWzInaL
979ogbuz+8tL41xHPEZTp44RNM9V/PyF7EI3cbB3jsLzjXn97yGc3/kRk/MjQEmbajNH5UcFoRWg
CDHaARwjIdC46ONwnqIt26GkFbqpuQ6Y0qh5lKJK0E0VxU0m5yJANjyYlKX3mBvyAaB7I2m9K0nK
rgbTrhNrGNYFG7pGJIxNRYIUQWRXnLuoaDk0codZvrLVXFV3BoK+DAbT9Jc5vxWO9YmCtQ8ACD1W
7LsUSd7op7dDUAShrx0ql/VeRPtHomvlMRCURJ8nCsRNlxLrZimVK2lpvEp5xtYBGHwQHoLIiW3W
zyhOC0xBYHAW5z/SUU36dcatVovD9tAZrDn9gSgB2G1sTQ99ZVeUsAiSCR4RgSZWlS4KJm0HfL9o
finoc5xRJ+lmd/t0osNx3gTIATEm5lG8GeP7ld4001U6f9oWIToL50omk1ZKliGV7NadErpFdN+M
TiRC4+Bn8vl4yuJ8yCxVUSNXr8OYip++dEEIhIDiBF7rB922gsgpv5AX7cf22USPC09EsjbStJC4
ZE1I4jd3kdfv9GP+lSWxobPWgoBLeEjOu8go4IR1jZeTxToM7DF21Vs2INzbrbe4lVsBeWqXiWJx
pgUbgaTFORbAaFmaRGACQLRq7Qa67zIiWMmpvusKijjtder9nQlQmavBGXpCG4qJU3fUH0dYWnLT
LzfW4Ao+4Hb0SGUuj+kto0yAR44Hm0QPxjQ6c6/7ySr7XU5+LEZqF93kDUPynBXk11KIZie37Y/K
nHMxlXU1hkaBeGP01OznMqe+XIrg3EVSuKhElZa26AyYYDYQr5FHvzYGb6Gmv32Z7P38s5pQmanR
WdUviacpXE0Um0v9e1j2/hC7dbwzOsAPygKvLBLFOZUwN4e4GwimGkuv0hu7CH+2DHibOEkpioWY
pn04Fqb/KbgRdIBAcbcXUkCdF6xbbQJFS2+/p+GnPjvp0pdV2ceVExJnEO6/XzzfmUzuKqkEqH+p
RU1R6p0e8EmFh17OK9JhbdiMdm/1xqA+WaktsruLo5Rs2eH/j8tdbZRjpj2Z0GxB7RZ7Hox7grqo
2zrEyT3LFc3zXnwezsRxflshektyTPyAs+MHEu+kx2BRdIsPIfKdF43gTBC78jPtbC26DNqQYQmy
yex8bPEpCZYdvpZT6JnNj9BQ/ZJ2HlW+VQmQj8whqKZDKXdOHceiIP7y8MrbH8M/8INlyHHdok1n
PfR7+TH2h8cqQDkXW/JAzHpRv2Nh4UqN/UW8O37R452J5lSrSxCexmyAenJmlxz/2V80sCgXH+j9
tkO4tI+hnumSxemS0ZbdQFPU4FvX1Oz4BfP43gjyciSygwsUN096EenT5VDx7HycQiVyHlXEQlha
g5Uc5XLJfKCD26bHRfUBcA5WxU/LLKiGCXSLDwOUue+jtoBuSYCfGUZbq/1FNKh5sRjw+1zYwXqv
vyl2XeUkTaG/leLpfbZTNXOfz9rnUcbckfKlG2MnTpoHwSdkL9CfvZ/Ct43omtT1muMTYqgSA+TB
uOv89mrwpWAOxMww2xcJwrr3hywmWas1C34vMyt/rIr7NMMKw1T/2D4V0/GtQ3E2EBoFeGISmN9Q
XUvV8BKF+fO2BIEbVVRe9euxn6USKoHXdr+cUt+4l/faiS0Kx8j/hKTQIoE8B5RcqnFECfx2eez3
xrf5akCjyIluX+W9GEQ4gC34VvxM9FBPeTPDibqF7OTTcWq8UgoEt7j9Oig8udNIW8Uoa3woNteP
3srBNDx1rwSgO3NUO3pQbdi44ogKEqKjcR8vKTOsrJU5ppFAdlM7SXFfxP9La+DNnCnnpmpVCnWU
nNFhG8m+GLtdZgyBVn3dvsCLJQEVngDMTvQjrZ9ZthVRGyiFBnQQ7ZrQp7z43KAJYZSS3Yga59rF
ezsTx9lVHFIznpQJKwgN8vLI8k0L7FhJ9i2OCehzk0AvAfakVX4zJp6mVM6SKQEpqL9SM7Wp0p3W
uvdz2uzNLD5FfeF3oXEHWhA7nUv8h922ZnXMtnZI0h9KbTlgCtTrut63QtmfpdleNCNQl+8r8mYr
+24W7cmwVr9tdVtuzNpOxtZBwyS1l3yyKSMoH+Vo383aLgmtB3P+jK06u0/k1K7L8ZqYo23RZB9W
8YLdWsXWicgTiW6M0zSSxF3cT7ixNfKqGW+jEmC9TRD7XLSis8/C6ZqWmCUmxSgmkFWsnBlODIzn
4ZamgvqT6Cx8hFWDZhScy3DeiwPbiZTjUgtGR0Un4RLgUFlA4MWa+omy70C7WLUnrfxqEHfbbC7n
9Wc3xmW8SyrJ46IirwcEYb0vvNivr9rn8SD7uZd+Ee03Cy6OpyHsSa+2g55RV8L6X/hC6fc5Es31
Cm6OcuFDD741a0LU71a5ncwvtIeBTG6Fq9y+OpEcFk+chdmRQkmYgngGXZ+bojnmyadS2U25QNVE
H4h/fDICRCJtQC1XPw0ey1LM21l2KJsoARJwL5rPEZ2Kc2x9Ws5FOmK2Xi9uKeo6kfpDKrxQIQJL
vbRTrBpviscTCEm0iatOg+JJO/0QO6kP8LOgoK513wIT0gjYMpV5nZ8q4Ciq99uf7nLofCac3cLZ
tys1mgChFc0fYH1ie6YOmg5MCnREMznHEiwgXOTm2jJNJxpWKsjoRTbAOQ/ZiGb0e7ElIenfQQO1
q7F2WVuhIKAQfUfOf2jWUNbZgmbQmGDCygAbkrfme6MXdLhEh+Hch5lMRZ108OoJ6QNJzq+SpnE0
rI0JPhi7lA9x7NsH07gimWZVRRgB+AfhUb/XdsXJGvzxED/nNmu3Zr52231rnpXbIRJIvpiMnAnm
vEleTvLQVKgI0qDdd0gKCNjzCl+E7iYIX/jRfVTCZGluUe+cJR+M0lkJdtP2S25eD4igDVM0f8Ks
eOs6uewjHNakGTtEtHn2WGDJapl+bH8w0bVxbmSJjGYMVxSp2XIT46z+B9ZBVMMRXRtTzzM7Dsti
6EPsn2MibbekTxZBSOTpHfa5CNDmVVGKyD721rVxbqMvlGVVh9fJtNFlHfjooO6rfeViF0EQNV+u
KJwpHucmQqqFfSq9JgT9Pve1XeRlDvAdHBlgHKAdEU6liz4Z5zHQmYzHTIYKpnu26dO+wh7Lu78M
AfjdxTYfpaHumaZjdyA6hu2N1Dz+lfLxw/ypHhupNaKAEO/Ng7Lrr/5is+7tC/Gjg3pWSlieh/KN
/WHUgjntbCBfq4Ax2D6O6LXityK7OFfCRYcxWQp6cLqdNDZQEwYPGIUNfVb6wckXQdhxeeft7HCc
h4iKclLjBjLVYHYl7L1VuzRg7GsAcPZXdGGuGhcEEkclsILxGnBygkKTQBt1zoHQMsPO+YpvKEkE
xEL2+NwATxaDrWZ3o0/Pw5qJbpmdaMO4dc6XSE03amqO6rd2AyRWjJ0C8OdKt7sj9qydCFt221/1
4suJ1oGmqwCrI7w4JeqkZlQQaPUttpmiEAxtAEeoakEccIHDEyMHZ3I4nxWHbRjObPaU0ROgk2Y3
u3yvgbLxFHn1lXXSTuFDdmTc45VfO2Pqbh/zYhxyJp5zY10+Gp1WQI/CJLE77Ag1S2fH+c+06b79
nSTOfw1AXotkHfX1STkV8SGtvsuqVw+VSE8udknOTsQ09+zNiUeSaYRt76QktlPZ17ODljlje2zl
02Ie5Pq0iqYrX3HWPujmm0x+9LFVkialFmps65IFUTFdl2VjawV44s35Sq7nyVbN8nZen6w+ujYL
8ylfAeQLWi6CleYE6SNNyod6+mUYvT9b6LJMuV1I2efCAEmYVh9XUvvhWu76LPeSSjsUteFFbeyn
1je5qfZrA0yZJPJBA/F1DKXRHpPsrgulZ7VLQfVbfibL57Cq7DiJn6c1/y7RyTNpYdmSEp1QtbWp
bvphWTnybNkVATpM/LWy+pu2zx5pTl9i+Vdblo6Ukofc7DwpBK5Mi2R3ulFTtHxngry0jG7jqPuk
F+FN1IUCSD2BMfLrUWUeRmHWoxobgRCvdI3sNBR32+p5uWx59g3V93qDKMWYKg362buyIwMAf91J
10kwArw09/Kf2q1AHvu9LZ3hPHirlxm2RDUmb4QHf+XM3CO/Ckov8mPBe8Hc8ZYwzl0XiqZaXYiA
0pqedSnQckE55GL8f3Z5nHNuBmMKU5DHuEV739Wg+kHvoR+OygpjE12c6Cycx1TzxQSFIWTRIL1l
+B4hqgc2QUaqXoFjaiemzRaczuRcymgoOZ00xERheWukfqMf9Xa/SC6GZreV4uKr+naN/CTT0C6z
9Nq++Yfa4h/MgTYQheWXxzfO5HBZU6sTHb0MhEY0mI/ppwwURqEbHtPW7tzpqO4wgeAuOxEUj+Aa
+QEmWWk12RwxEpbHj5p8xDiTnTBwqLr3JuVx+yYvb/6cHZEzr94w0VlhnTBso4JZIvZIDdgkTd5X
ZbYGUQKkbLN2zbVxolK/robJniJgEa3kivafxlx+aa2HCMXDKhzuV81yMfPlT4nh5svcC54s0b3w
xjmSsl7YXviE0Sqpw9hHlbqVNtlR8WVYaoErEPhSvhWq15W0pAyuAHidS/LdAlS4iA9YdCDOQhVw
bmQpmw7qyiAmjzVmDZdjIqMoXokW0UWnYX/K2WuPZzdUVNZAk3OXpDezvANFyrYqCa2Fi1y6ZbH6
jGFjqQE2WTMv+iJrjnJd7JMXNmMYOtgI+SEKsC+mzmf6y/mcvh7lQW9wMBXTAaN8rKQfsh6MSGLU
9diT5+0zbl/jhyGnNI7SdaqxRZGBurNz2vAWY0DbIraVgvIllNio9Tpj1h+Vid0AkFDfhejNaFdZ
6WxLulyT/X13lGedaxu5NwE29c90GjhnPT3FrMrsxLsUbytCLoE8we1pnAEPkS4nioUKthq0x/XY
gSQC/CutMwIUFEOwgEPInVQENbatIJTHdR/rjNQFoOpdMrX3hNSettTXkUp9Oo+gEyf2konW8LeT
BcrXBlYat7nJMKdHM9DgPMl1FQZzJIglth9B7P29N2mznSSTyJDSVLfScB1KnkUGJwIf+3C9FIEp
qoUJFJOvE5hJYdWShWJzlj4MKfjFJESAsl2ue6m439YUgaJ8qBTIjco2h9GLt/bt6C/yk4aW4t/J
4B6+gcTjuBpQxnXtnRQbr/gfEY4rqpsBJQCa338kGlPJKjD4hhpOGGAmYzdi8JNNt9bIxUWAQgK9
43PxOdbqtWGYHHFypMC1BNZnlfqq8bJ9c4JcnOrcu1W3a94CwIKhTeuH0s3uTFfDnobkIfMCg1O3
T4Eenzsg5vajm0ZQURTpBveSJZmhN4QZVzUDJCFytKV0u/8JfeTNM/KA4TqpSmtWoIBFk5/aObXH
ST+lZivQQfb1/5xuUJ17vGYZu8hUQUSjd8d8+TYNghzgsosgAJwj1AA7FBe/rpmSLlWN3h5gKqn1
UOuGrQCEqGtdJfEb6dAoInjiP7wpbyKZQZwFGppCu2ZQENPIh1eSYrwmLvavTAdLoYiVhcvcoiNy
ZtytUhrGCNTdQTc8mj1JjelM7fyp1+7MpjxMWucvuSL4bhfIxFg16u2UnFkPSWlKeruyrt/q5z9e
k1I3qew1xWPGFg1ah8p27mCMbhXIvqz/b6LZv59dcJz3hWXpOPBavIDb4GadCNbKot22jYukcCZu
tXIOUiBghTVYilKh+Ot6A8qLbSGXmwNn18jZsmqFAEFjMOEj6kFhpB7GfnKA1osCYnhNwYporbM3
p/pdP8Wf83o91tjBaZsU4ym1K/hbmGJ+tMW3e+Wi16Sp61RedRUAzWy5PfdDV76V91ibRp9sFkUl
ly3/TRpn+aUhlRUqwRT8CldhuB+H/6kS9Pv3+UajaUbt1DK40xpUFE3f7nOz2Y2aqFh5OSZ4E8M5
mDnJqqkcoCZJ7CyWUy/JdQWdJ4Bi7kyRtgi+EB8Z96RKMBGMgkZ+jO6B3g2+Af0HgyvtHiSQ5mzr
g+hknF+p0hDTgAn6+iZFnFr96FonnGTPRFRsDS/bsi6/22+3yHkTPAATaL5K3GJrt4lrSJUdDo4C
vqNtOQKle50GO3MdxRA3saVT1VUxVqu2GCiZBTGpwG1onNvQO2XWxh4Q4Gp3nPJvDfZrRNSRosvi
fMY0rGsus8ZbbgbhDA6jOpjkW6WngssSyeH8wVTMVO9HYMoAiNzqdkPlV/PDKPKzfyinvn17zhE0
KrbkrAVjPqyvQZ0YfBC26Y7gSgXu8jfQJHh/pQN81rDUQwoiLRVZQ4gV3gWIRgJlFhgOnybIpgFD
LaHMdW7cdXS4KoZyX7aZ35q1Y8my4DyX07vf98enCrVsYkSwa/CEgIFMc1Lltpk/kah3TLKTZH/7
8i63E98eLB7+W1PiGiszMYay4m4f52FlD13i9gQMbkURKGvvJnAUFTDqHaJX1xSR4yoNbpmAoqoq
jnpR/MoWAOwU1ucsGp0QXZairW0pnffbf6lAe/m8I177IZcREbq5tR+sxtUAwFT1q6uj6bot6fIE
1NmdMJ9w5lUMLczCYcDsjH5afbZoNruqh06H2z+rgGt1chudl1MbOSmavTshqQNzxBvvNp+MyFOU
FeGCtHQ4sN3n0k3u5Jf+ddvT3AHYU5B+XO5inx2X8z9hPJBIUyKcTBuxkTFIN3EX2eu07qrVOhSZ
ZNoGUIV0M7lrgBu3fdkqcwdbp+W8EiHKWFYrCur9WuyqObTBLHTS63C1084CV4Jx1DrDJUp9Padt
sGD1r1fGz8WKflVy19fTzooxJhN1B13KHTAZ2w2w3RUsW5hrdWdgCFeSO59GX4lRnkIUTRrMilcW
3W0fY/shUl7v+Exl6qoxhwaAsKhwexr4Gtb457aAy7ibv7+S8roLfSZBo0NnVBO64GzQqnOALI3d
tp3kDD7jn1F3xm3+U8TyKDqV+t4QYlKgoMt6/ZjdVpTcnqdP26f6w8c3gZitEEN/zb3ODqUaWCdt
TBRYKbao5/EwZ37eeGMZkPZKijBaH4uGUP+Q6pPfItmZz0RmvamtS40qCaPMUn+NmB0zXTNxqxOj
CB3c4lPh1k6Igf7uOf8iLBn+wY39Fs9u5Ey8uhQk16AqWMLv7bh0jBVrEdlByXKBYf0hb9V1bNGp
CgYNOEl1r5htZCDeY2Rk1FHsJohd7WShqSm5IqgzkTTeAKRoTFUdm9YueRhB79AFkrdeT/7iFq60
F2JMXlbM32fjjcGUURWqE5QBWAuVVeYrp/42gm8yuX0tRPmLqNR7+VV+k8iZQkrzXAJrIipRlDpN
Xe2Njjh9GH2ezHpfTl+xsCF8h9hvvneNpoJYybJkfD9F5quuVKsXM6WA8li/EzwDcWnXzwzgmTj1
F8ltnrdt8ULu+k4cH0hpvVqb+oA8HMUUP09t46pyABLxVH2KnDZI3DbQ7wUiPz5170Vy2RbtEnkp
+wjt/acZsWJ2qL991+1jvCtuHoS9z4+f8L0w7hOOCXS0x3qZWyiY4pyqwi3AlWP2D2kInqKUgDEy
Ll9UJbpRC0Dn6kNQz7WDIRlUUYFpFamoMRlPYzh4TZ0J0oxXjd341nwcpg9AVJMz/HGd94ohFMw7
ZqtsJEDUYLrwlLy/CM4F9q1BTa1GKGM+qgdQjjvrc/JYMEax5simu4tvCcjofmx/64+u/r1QLqhK
dWtFZo3KyApMmulpjsF6902Zj4Y+gbfg3iozwZMsvFLmis9cLUpJarYiHWGpPD2AHwV0LBh9wZa7
C4xEQdT+0SO9Px4XROUj4P3GFt8vJT/kyl/1z393fUy5zw5TV10+J+2qujVFdKE5Xfncmb8ICGnN
nZF8HxJ3W57oPNzrobWkLCUdzyQSHWcY6123NCLrZ/2cDZ3nh6dMZaoifWGceuCya4J58bXh19z6
+rizCtRcWicVZqfMo2zJ5DwOlgtqQJ3iXCcVcRRjd/gPvYNocPzCi/hOI3jE5R6+DbPjaEpPyIMl
WFmKwUX6ykmFUrUoiBd4Up4nMNUWqi/KgPLbYUWvugv6K/NTcpxcxcMQ/ov1l8ZlMP0500fL6uQa
HOCMeU7xo6vsYHnqQ7ZnRJkYI9vWxQsJGa4SFX9VV1D1pyrnO0o9TWc9AaxDuh/B7pA9YjPeKYI+
wvCPjAjD2ldXNWjHSyd3yA+B8Is3eyaccyMksZSKaDip9lDu2bhWfDO8YHAFPAuxNwnTv48B4vuz
co7EDElsGKABcSOwFK5qdJdlJ0Xv/UIXTbKzW/tgCmcH41xKKA1WaOW4VWCTeUPV35Qg363LXlC4
vfzcnMnhXEnV0WiiJupOWWunR6xC7qlTuuZkm+DO88iBPTlALBVFbOyiNo5HuG6yWqSkpwW+29Ie
MzVo5jtVRwpvHSUAPGzriOAmeSqXLqIKTXQ4siHZ/x9p37XcRhIs+0UTMd68jgdAkASdlnqZkB3v
/Xz9zebeI0C9EOqc3Qc9IULF7qnOri6TKVm+ItV2sxIXAGWDi14gW2koS49ccbp6lfxal05OjTZS
JthJuDzT+bpJnQDXazEnvroZUh4yhVNXw4CzM/CSLTPUfZq1QsQ3+QpIGqVDWtrKJ/0xd4xgvRuc
Kij97ovspm7sbsRRpjyCrf9ifb1VGkkPDTxXX+wlaVABOgpzOE7fcyrXTq2SwwwT8oFWIkmyu4Kw
JYu+NDpGhEW0Cx3l7WuR7uqCaFr/wyHTIZkEXgbD4Ok8pDaOJQGdIW6JSgXLGe3TY/O1RVdp7ac+
aC/xj4p5rqR6GVadjXKXQNtYoBqckX7vMQDZO/mJMW5mb+2uQzcApr52t4/Z9V09m+O+X9wZW6H2
2NWuOamWB9JZuxLfp+I45r41n1oz9m4bvB5CXiyQ+45Na/SRgjfDBz+04begE9Xdcoco7EhtJtur
f8LVeXEc7mdZJnUDk8GVenTnvZkiNUdx/XSfDfwD7oURenGIUKP+bhJft9QR5oDYr6t3JTT2LBOc
3brEp8o1ZVLKaYRDdO7osRdd/xofQat5AsY7qUupkV890BfmOEzc5hq6qdaEYX8Inue7qdlbc2Wv
gzPSj3FqaRw4qoKhNmqPpVnhCG135OIdiAsiKyu6nSPsqNQbtTTuaK1VFS3rAqHbLdon0HQT9x3U
YotntUmc2x/t6qm62ETuVA2roiitAr+Q0fvyN7tKu1NDKh6+6n4XZvijJIyJoqboq0X+VcGMi+wZ
VDGDefA/jtCFCe4IpXEFlsYYETd0aew+2YujZaf1l6Lz5dyxuplCB+Zet+xxJyozR7Wapo8YePYS
RwuXQxx8w9ihnz+TAT61OPYZLy6vcjCFtBZNzLuetgc92FzIJjxsBxMcg+I3Ro1Vup0t2qlP5U2I
D8e/0lK1NJq8QFpILhN7brCzqlcpf912QsLd+TmPtbCiokUc6pqfl+EwilCOE+1x8Fq5Jtz9OqZD
t1pRRd1CNyq3kRo0WkVRxEt6djY/RQN84nYHqBbvxAOlW3UV08+m+BC0kaNaAKkCros+kKRXDewg
t7ft+rf5tRY+8IyjMq+MiE1ESPsqe9CsR0H4ftvElc4gXPIXi+BAFr05crQUmYqGv/ypAxfSU+Hi
9eUMpa3blS2BCi6ypxPUzalY8epb/cIyB7laZYGcUAZkCKEZQMY6NO+0QHMAt2RzBLWRHNyCpz6e
4xZwa/YgJ4lO7CU9UDyk1+OliwWxv+LiDMvTkmxzgkoyS8lLKCxmLjSlPB1UQipk05Td7U9HLYqD
3Lpr53TbEM9bqFVrYSW/1NST4Uo55Xfv4DA3F618rTdsXHEnO6oD1zg2fuIjZ+RrJ+keJR30jlVe
FUTgYT9o/2qFhmQgaldkUPn8vqG4/3U886DWoIBGTnpJTbumumr/8NHONjiUT6Eo3EwN6K4nP3ls
/BoySQ4i+F0Flo/1aSTFAv9w4M4GOYDCPN8ciy36tvRThyaK6rFyM9d4wqjT6LY75OLh/8IddpRC
Rnae/nmf/Y9hdC78vpuaoo51hMoVQhzpWxyCUNnBR0OuY3UHp3ygIl7mfrfMcak4KYL6aabAnLru
BGEvzHe69mRl3u1DQGynxROcVo0yFk1TMyJx0LM4vV0HGtTqnd7FcI9qiz6rGM2fVmiI/t/lMtnh
OG8oB2CiZQ2bOOHBueC90NqLuM8KYnnMGW5tIgdctW4oUT8in1mAHAAj9SAH0H0xpG6y6/fzeSUc
cg1W3OCfiMy5vLrT9q0X1u+t2oTDYu3WdCO6fClrHHBVIjp8e0EF6acOlYPCtkqvLk+JgEy3e9s7
rkPkeV0cgLQS9H/mDmVLSDR5kiYFbbPsq6mjSNmvR29nOxyI5LWI2ai+Y9X78UvvbGHlZy66JG1W
z8u+zv58l+2VxwLKQBRFC2Wag5N5rNZJq0uk3/L9GvtQMoQwlTPlngl9arP9bxvK14EhZdijaI+q
c4lWubWsUaWYEP5QVylz6xtu/xHkXdyk5RypC8iC0A2keY3yoJCzpoQLfmT3LwyoQyZWHdPjYxXm
9ml4kA7qbtvr7rI3vNXX/cxLwDitWsT+/eFC/eUpH9fRhWFz01VLX2B4dP5uOGfMDvm97IF50K1W
OwVBKzqPPAX3gHjQiJNH3HbWR5H4wnyrKkrSG7hRo8+YhPB7jIY/RmFxrwXtrvXXMK2JBRO3wEdi
68JgNdWqJBjIQjfJq1W/W81+USOnwRzE7ZN+vR5zBuOPYb8LQ2kKftR+QBo62yk+64fYgJaLU6Nm
wY7ebWsErnxcShfGxqWKW4s9Mpb1voGWxPhFpgITygQHKWWWNyN6E0F30O9BA+YIBRgDqQbbD7rT
WweNQ49lHhPNYrXiCSSi8rHaKRMYdA2/Ppo4CiBZ8FlIsoZeExoYAsoQ6ZHSC0Rc8nFkLjZTLdEN
JkPlEWnGbmf5W2goD5pn4CmQu+Ngq2pgvNz+fNQx4Klu5UXokySCs5hHxrIC1uB9GeSOFkhe+1A5
VL6YQBue4hbN7XNatqCaVwUvB2Vdmzi6+arntSuM4e2lEdcBz2+r5rI6FloCxoo2XIYTNNTBV5Ha
8SzbehnO/6o0cj51MgPyi28HvqxSjWNWuuvDDTxywn4g9XWoJXHBybyVQ9QWqCmw3gnppT9Gu+ZT
FQrH5G1z8kcm3bY8SI/Lo/TfTjkviKiP4gSVezToSKX2Vhu5o9bFvlW/3P5ixEGXuRhFiK1SAFEo
rlRLdPRl3JmC9HVqqdkVAohlDk8Grba2Rgd9CvhG7Am1GFkDp89zm/3135bDIUo0a1JhLMjSFd0u
Mt+E1VkovgHq+PKJF0tVJ7XCoAhQixVDpDB+Zcnayk5CMYy8VCTyMEQUzudhEku2dDn9UA1EcyZY
1f53xFbssNwAY4VLxfT5XCkquMXdIYnva0W6z+Xhv13HCvdkabU5HdIe8u6teJLW71nxY8p3K5lO
J3yaLwNCqKHNtgokS+L8ovf7dbgvcv+2n13vZztDj8LDgtVU3WIg/dF7USB/gVRJ70yxPfuKU7vp
s/opO/bUfUkcIoX9fgF3Uga+ZbNGe2djRHZm7UTlU5kWSCUFtxdH2eEwIWr1JdI3DAnE2b6EDJtU
os4IFvZVJQxRH4pDhSQvFE1JcTOJ5SGew3U+SDMVmV2933UoUutodJTkf0z5SsJkbAkyLIO7/pS9
eD/ZhZ3v2FAxI/ii8hxXl3RhjvtGIHUZs1RF3mGuv0/Vrm+O6kCkLq9+ngsT3Ofplyg1ogXJ+h4S
qULkjoJut+NByr/edgNqKdzXGYxB75MOCeatfEB3fCXtY2oylDLBwfVW9lIUlYgXRrNCMQosjqPp
tCnFMHA9LX/eMr7MYAql0OcZXuJMWIgpOcb7yDeC2m1ICkfi6/DFBgtE28nC0Hro96LliFE4dse4
p9z6avr6YkUcWiPZmxfqAG1KxulT7s0dBnhtlmzCFChV/r96M1zY4mB7qE157Bo4ApPUYPMB6Um4
B70Xuh2zUA9jhD+3PY/8XlxgN8fy0kQd5j3nXsghA1iBy2yGhvaQ7BNd6229ye6rLrJByOHoheyZ
20RcVYRnGuz3C6xVNAFy5Ywhu6gexmqzp22nYCLn9jopX+HAotpMUEAZmP/LpdOgFna/LnYeVRiC
IoCWMsRBBpRsV4z8AZXEOrez9ElAu3XRg7Zrd3tBV4RfkJS8cBUOM2RjUiEt/5GKisMcvOLaIXMF
aBqoj2hgQr+gHOpP6yF7ld5vW6ZWyCHJ1Fmbga59DOoJrW0Up6la7Cl51qidpFzTFH93DHNqawhh
Y4VyEAWND1nAEILEHwQVZGsisSheSVSftymN5I9+JsmHNF+gPUW74Me2V/ZMQMd6cRfi5BFub3Kw
kictqqULXuQz6kaIZ7LOLwxSq4i4k3nJKW1bkk7RETwtvuTrYAFHzlx8XP0MATSIKoP/u97Fb15p
cnBixFvbGRCiQFd4anem4WydD5JCCpPZp/9HBH12fpPDjFnaSq2NcJsl8R0aK/XNUVOwLJkgW/QH
9bOktbZE5YIIbOa1RVVjXmpZmRDrVsE2vekl8aAi/Z2DjikxBSueAB3Kw0fPDcqK8iN7gagHqouD
cncOPKxJRDG4QWAzlkFZf2kzcEtuHpjWqA91/fIEYYmE8RdL598hTd/MlWCiarOiSt/f5/vuoAXj
rv5fJF+uZwYxJ/U/tjjfyybQCqQxUq6g5vRlBz2+gYGEJyQU7dyldvD68T0b4zwQ8nSgE09woQhZ
fN8I68Na1HdDkVJp/+tf6myH/X5xO9Z6o2oaHqbuOrv5ElrGe1o4gpAQ9yP74P88UGcznO9lZoHG
bSh7uG0WqsU+aqERvTh5H8rzI/pv/6M1zv1QGS2k0kSjbWc9qM3XfiydaL2XBRAt534pEAEGtYXc
hQUZ3WhOZfT3SA2oTT8bxl9ZvNMq//a1+IcL+dcW8tobED+tEgFdFuA3ZgQzFdhX7fYEYWpvChtP
uWdEpENQJXvhsQ4J29ex6Wybq8Eu0WgkZovmL5bnRJ3B2w6CEwfyg+RI3hAYjz016MSupxsOw4tE
KZHaxZUBh+k/GgQlO8psVFVADzAEZmxTjz32jW6Z4wLjujaLLjeRiE8su1ycftnsBfmTqoCOeVg2
zxNF0E3tKAcmdWIIBaZ3gZDRo249GVTVnB2oWwvi8GNOq7YpjQVsBPrXRo9OjRQ9aUYCYdIvSvav
agxnZOQlolojn+eKyXHkmrHvo8+xgQ5tvDIJLyQwUeVAJBHGVc41HGvWFyPYc1BVNgZIVft9Q6oG
/E6FQ20j9Zk4JKn7oezFDI+HaihDTa3vO50qhRLwoXLwEU/9oLdQWgFY7cv5dYKyyDw/CzJVHyF2
j2fGmU1RyaQEz1lDVD4LZe9Ldf7WrhGBvdeTqmdn0DisiJpKEGYTzpDdNTvtrgUP1hbIf0nOwF60
tOI2gRQ8O07Xz8kilAhBtefZm3ZbWDrLU7ljoo3RPcU0RxwrnjlS0Wd5ENEB40JsS6r3qxKYomZ3
3assUqyvxJXJk0ZOeSnMYw5Tih6alTeMP+bIbqKD0joG2JNvny0C/3iGnDkdu3lbsIk5aset4YvT
i9SV3ro8p8ZoC9Onf8E0xyL5X1cKz5gD/ZI40VpcZ3q2BxPIpAbqFNxe1B8i3rMNDjBy0djKDq0+
bnzPZs2ZAocC/VA5FEgKQuprcUCRWO0ytAOaEMd0cDvVGVUJpO2f1dRrM0dWqETO9XfXeWUcaEwJ
kFbW0K2BuuvjUBoPiiU4qQGmBznqbVV+ivM87KcF5GKTjV7C56RM/bTIiR0m4JGfBa/GIsnNEs/a
rD22+dd1Ih6xxHHjBwXGOqsXOcNzD3JOhfkip/s6etqQpqor97avEOjI0+mUZmdpZoTnclnLdqfp
P/JtfM0EiTBDuAk/vz1g8ECZZCT7GhHVn/5h1T5l8fuq9PYihan4dHtR1JOFZ8PJpGkZyxWq3UPu
Rz/0IA3jvfguiv7qb2/QLAxv26NWxwUdraCj8dvYUOhMxUOXgM1Liw5Rl9mRPq523Y6BLlMD49R9
w/PgLE1b53MGH+zczZcQm2YbVOYZmW/tMjbOgaKwIy1ysKKubR2xARq3qydQpL1NQ+vWsYNJXjsH
b+uMHtDc08S3XhwcvYKixH90Ig5r9FRS4pXJl8vSyyC8aCBIVhWnzR4qcQeGCOJquD4zdkZqnqyz
j62l01OUE9e95IN+NJgFe8xsKWA9kaI9fy3RER99ue1KxMnn8/xa23bNaGKcINYbWxJekQV09ciW
QLIublQWgTj8fKZf0VRDVltUlvSjfL/45n56LPwhrO+MVwnTEi5eODuKMJSATn7ue4zTKhVj2Eys
46Dve4uAZiKs5Ce9R3DvFnnE/v/SF5dTFINeLT5E0KC9/aGoS5Yf8d5aQ+sWUPC6muwMd+0eWWJH
lfFQK0JadpnaNQ5htG0oweaFw55kr42EScnT7dVQu8Z+v0iHWCCLGcwGR2uZW0cUdyuGB5fBsCtq
wpXybw5DlGVRt7JENC5UvRvXXjq9t8o3OYHQwkr5N7UoDi+abjUqTUI2bjJ36+CP1k/TeJKpZijq
EHEhSa5BD0lbdTSGmMKbUEanIreCrKDCYsIMn7U3MGPfqSWbeOtbG3u36e/KSIRX17srz5DHp+u3
eJsFiAbi62CkhA3za365nw71UX5cH9WHzSsxeWzs5E/FaxbU3m0fVAjf4FP3q2h2aZOh6yGKNB9D
SKC9QmeFuJmnZqzujGZ8HbKnLeoR7OkPmSUd0Sbhr7nuYDAUdMezzeSoiiRzojT2Zrn3szJxax2a
o5pkN/n2LY/FU5N/E4fVSWKmAD87Sa8fc6gHVQCIOPpaJ+PJsLp3GVLEwvq6DTkRmvxhiw0VQ8i6
aooi90yc5hl9RA0uUYh/gzdP9D7GXML2aO7YOLIazm7nbc7m5e4cziKBWtcjlbN1+fdzrgqaoCL/
AtGsNUzA6rUGRRJAmdrWWkeqqVcjZY1F8xeoMhS6qsoDMsdzNNvDHAjJuyj/qHKQFLqp8H7bff4Q
9J3XxjD0wloGa9E84uEonkRncyu/duLXgo2g3tFSMdex5WyMA2QFNNTqOOEhosl3y/Ij6WW7kY5a
Qh2K6206+tkQh8yR2CtCxeaSrRDyBTuW96wD4UnfWcfxpTrFrkZEWR896P9MoZ0tchAtTs2I3DiW
NjuiwxILTVhCK7IJkoD4YtcP/NkSB9CYVzdmOfuozKxvzd/UfQHjmRs80Y1C48QAp3IoZg/KLIfY
0B/L+6TEY0QQQe477NJkhA6an8eP6kjRbFC7yXf8V+XQTaiIo9dOGu9mTcNzQA17q4LO+5vZaC+s
RmlCiK2Jc+JOJ5b5EcBcnIdC7zqz0gCncofhnUJEF8xkG4vllLOGrpuJMEedv4/fL+xVKxCvn1C6
iY6zZ/lLWIW6zdJfOb4hlbi+fh3+cp2Pt8qFMS1vu2KpkHdQ6uOY/EhRyOkJ9ySOON/rLyZ5IkU9
zsEUBwKCExkDIfn91FTEQ4NaCgclwpyIQhE3SFk3jV3MgqNtktcPKnG5X5/0OiMJ3+E/y3Mnzj3c
njX8VX7sWThnSyih83N2W1/YaTsLxNpU/pVyQ/b7xZdSe72LyhEA1sf1BqpUpbFba3Fjs/SyfnTy
+edtVKE+GwcqgybXshHjsxVl7KjJsW+eKyhaWX1B3KXXY/KzC3IwkqPtxRB6xOS9dDKru5mCR+L2
/IgkLjZOaMARHuV4f6ZbmMbo6vf06KnNnXr1O0pb5g+P3V+L4Tv666lPl5w1ffX7vxWjo8ZeH0u0
9Xee+Q1tN2EuOVS1i1ohF40MbR5rdYIdTPP9oLya1tMwl+Ak2JV5b+fUg544Z/9o7a9EeRNVlNbk
CVHBVIeJjE7KUqRwkEU1N+5Pvqd/05R8i0qWNzixejn8A3ea+jL7ksfGmCkkJM4Xz/4VrbKS6CqQ
EFI9jiRvvi5snqCnDlgMP8U5iKRuny8K5/m2/tyQ+sjoYXCGLp6M8Z0hi/ZzIpzGTrAHQ/zSFb2n
TxJYrwW7LjZbqKFmd/uPoBbNgYoAJfpcm1Ey0mZfK/7Kp+PcnMCQ4Izt821L1AXON/4LRarl/Zqw
Zvn6XgnzQApMu7NVkg6BOg0cnlRKmY9thOZoARUjAyJ3AdgdjPbQD5Kt9ZQeLAGT/AwAKB50HagM
Yc1uP8Y/zfQrTkM+yJS3EKeO7/3XF0scrAqVxBFMeO2ecf0pYeRWhx5UpmAy9ePnjcpUUjY5XJFA
F2wVC8iCOvlnFIFQc/CFfzUaa4iWpFgK8nF8djDuhFiQBOR8u/hgKQ+JtJsNCkmufqOzDT4ZmGpo
lTdWvJ/UYAWDSvNg3Mfo9Bkw6c6YBJPWZjp7FC/C1Xvtwqr0+4XdVW2OEBlxQjy+ttZbGRPd39cz
ZxcGuM8z9sI8Zy0MZDvW0SHBHZhEvAmiOyozf/1eu7DFPUEVASJ0MvSSPmrn+k/V2+z8h/nC+OJl
fzk2r9Y7BcjX8+QXNtkGX1zcUN0Q23HE+mRktbaXbom8dXusx0OiPEe53+v7dIWUYJgN/hB/J+CK
+npcNKnW6woeWdw+0Wd1D9EU0EFGd/muuI8Rhyen0abiuyuKoqhoXiyXefHFcqPVUtq+QU6h2G0u
GnR2ECFn/ZDsu67f811k420M5ropyN34YQzVI8UGxZDxHzfuxV/A3QZGt+XmaqJ1tsQrLsE8ztcl
Nu18DWZJtxvRSVoqs3H9ErwwyUWZUm90c9uhxKqDHeEtcVpH8MrZLu82b3wGgWl4+7NeRbQLc9zd
MFQpiOYkvJQz7ZuKLrVV+blSNx2BNnyGMc86VbVUIPUsB1ZxnKN9tZxK6nQQ/smnGKv2F7qIO6uB
sCDFp3k1/DpvFZ9FVDRzTKH0B/B3o0B3YlYXm8Bcr/vFHo0Y32VCN5ZwPr4VeJ3HWiojvDeiYxqm
e3W3ItDL9lRHDuEBfAdw1JqSEJu4CxrG0D3bWnxMWqqB8DqV7MXm8eixQm+gMODWHcZMWFFR98wA
48yIYMFTB258A0D9N8cKNeRLuR8HI0Kr9fM8QsEhVUTbNJ1kzuxSe9KpwRPKATmwKMrSxAJxI6Ty
KUV3cyE1RMxDfSoOGzpl6uuJMWt3nSuvwbj4ZIWbMsHhQRljsr1E9xToEP8yNtdsTlq8uw05xPew
uDGBUY97vJZAbDXlrwnG1/XU09u9UY/ebTvXM5xnn7O4eCMSpSnSI+AOREmC6hHC0x5kStxtLzHa
NtBzUp5GBQUWH4DIUdfmjPMmuYN08K54qD6toHGYvMhG7XwfOfOJCkSID8YTkGZzL011VoLrZgQL
aI2IvkjRYDkGtzeT+mjM+S/u4rGXrBT8/SAtjvy2OSBhkGh+UhDtKdRi2O8XVrQprfpKgPCJ1HlD
52mF13eEV1AL4dBgFYypmjKUuxpVMTBOlNvqgLGtuMTcKCWzQgVsPE9Wt2ySVg+oyWwPw8elsYXK
03SYQLrLRLkoykDS/ziAqEbQ6GxszEI9dbvEUQ7RLgVplmmzUGkNWb6U8nmGajdCJIsDDBARyaKW
wKRZvw0Y9jcMZ5o/a7pdxCXx6YjlgS7wd/dYxnlo5RXFZCscXMUvvXix4xZHuvmShR0iwfWpCqgF
3vZJla+rSVmWDgs4SF1J/qGZtjm8TyXh9sTDReW5svRmXZSGybeO4C3u18AoHHl+j9PHpcc+pvaa
3VXpQ051g1FL494w1WiWWozCnbtOX+T8UaoTu+4I4KBscMBhDekKqXMMtkcYla7Ml3X51I7E/lE2
2O8XsCFHkzbrHQp04AEfGvA1HNvJv41/RFwODsvfbUgLih1dD5xdT+hH3FUYbxMfR5+J0eb/jvvz
182lilwogU5RZRF7xnBq/hXpu6y7r1eXWBC1aRxWaFpjlMaIPEP81uxg6Ud5HA7y42BHzxBRt0E6
aj2mVLMBuY0cXFSSVFaxgCOc7JrdtmPNzIOtP2t7GUrP9afba2RL+DM2Qcrn92/Wm4qEaaYOMw/Z
ThruVf1lRi8nYtwW9bmOxCdiR/m6mFl2/z+SbgfzAL4IJNTzhyyTndurotDiY48v3D3JyiiRDSzL
EhNbhWJQPhuOLgheL+Gj4Uk6gip2jNQQkvW2bFFcC9cTl2fv5EtkkVyWIHBDb3NxN931gXXfeQt4
sWSS/Y64P8Hm//sHrNtWKhcRlUaMvTW7xo9PzUHR3eItv2N6WhVkE6jNZf/lLZ/hsAQkXBJ0ANHh
yeZkJDfzN+2o7rRAQWeesccl42gKxVLHAtFbNjlsaTt9LQsLaYbZGT12r/0tQsRGZxPiUflRb7ll
i4OWQWqSwlxxXzO1qcQZAxkpwHbPyHt0F8S/O/VF+2jp1p8Y4SUOy23vpQ4JBzvWCFEKQ8V9IK9O
nX9b9bBTKQUvtoZba+RABtLh3aotYKnb8skWlC9y8g31LnTd17YkUknH22kBla+mzeZiqKuMwSD9
iHjSHQPzXVXsYd/eiW7uWu8T5aLXdxBaDpYlyarx0e10cfwzI5MVZWMsjVPrRE3sTnrhojhEnYTr
Xnm2w30pCCdgF1f2ni2zXT4/yZvigHMgNKzGnXN5J+iIVerM3eQkTPWft93k+ic8G+c+oVpJVb+a
cFPdaBBz+U1/WLXJVdaTXAvESv9wJn4Z4ycBxymZmAAOBnkhore5DZKb8aHHc9HcGRhwQOPUR/gs
2usuY0zfhH3ig6rcO3Vs8mVONmRgpn7XaftV/V/oL7GX5z+PxHmJ3MvUnLTEzJi6/eTH4fy5Rd5l
aKCoatpMBmaSqHDp+qk422O/Xzip2EaobOTI3U4+apUeqOueVsxGg5cCmnaRp7zcdpfrN/3ZHHdR
rIOiD9IABBVVyH0kP5bxTdwe02inrFALfPpvxrgropfqSJ1Yd5E0BZr0VU1EW8LLoMKYYyK5wkYg
DOUe3O2Q600VS6xdJAFtqfIqLV/NUidckP0ft9yDuxVUea3LiBE663LzUlppoCxrWA21Xc3UbOMf
LvXzt+JwJVOKUt56EH3PjuTnjArD1Z5Y6UlAk2Ls/99lvlkV4WyOQ5KsVpUqS+Aaef0m92AQmT/P
YH+FWOxtryC2kB8HVNquNqUExCyG+QCBUW36nhS7gqIRIZyBHwYsQQq5xB0yCrV8msafQ+Ul7evt
hVAfiB8AtCopS+cOTx01yB5LrzwqIHkB52TtrqGBuCimaNyI08sPAerlls1VvqLBq75PqiMT8lVl
O1N2ZumrFeXr1BZyWGGsfd2ZGx4+VevG6d00HTFRdnsLFQL++PG/HMrykbKxz6QOXwVlOGJTj2tW
OFqlhOawuqko2Olo2kv2bZiyfVo8gAn/Ps3BLWJEP3q9uZvluncsKX2w8t5ZzelBieZ7fJofmVAd
56R02m21ZeVHVKGsb9bdLl/Rfpfp7znoXuzZrHpbm6iF/SH2/3Wa+ClDKTeiqEiRDcmiZpdK6KZM
enRSizhXg4IRb9k3N0SNS/8mkb0Zf3j4nI1zKBXLgMFVhmL27IA12i3c9EccDJ7ql/5ClfpJYxxM
rVuS5fWMl+q8Z+werOhoulqgotpD5XDJE8dhlLJZqIPKaPVf93GoHKawO5R//X05r2AFkr7fdk8C
qvgpw1Qv49hY0WjTIyfYvU3NcyY8CpQAHRHC8bOGVhF1UqaCK0/Ytnet3jonQbtcJxRubCh2HCtV
cHtZf0gu/PIPfuawFoWuqZnSbLbrXhp/CtEJEn9nRWIMshNH/A/VhbMxBgGXEY6k9s3K+u1Rdn5I
HnsbuQxfwZvpvnW1n2o4fqUkERkw3bik+eHDwhDqWorxNNUUTxG/Fi3RyEn9/ww4L1Y0qQrmjhgh
Bns2SfNoV8TNQuA8P1lYDnmRi3GP8ojqmYvbL0E33a9mUEcnmWo2Ib8PBxbqPDYqsqos07S4IqiT
+9c0MB/0OwYY2R6AMRIuQR0rDjH0shwbhT2t9f4pb5yuSG2MH+UL8ZlIN+fQYm1KcTVzjB/NTnq/
oDMiBWOJebf6itdhfOb2oSIWxbcKJQ1GkOIBNcdWmF1rMcJRkkNRLIOtoyr4xMXMTw3qidEODRPg
mKcvHfim+ydrJtIfFKrzU4JK16vQWsQUn7BUTjtVdp4vjiY8tuOPJfaHypHXx9b4LHeEb1DuyI8P
yrGeN2mBFH/vNTvdKXyMYRqljYk4v7ORVnqVMlujCsZ/qJj8Ail+ltAypqlIWKyjI56PKt0vBwiK
C60zVJqtVf1DvA0/yin+wVBzjVsfFRa7qWPIhI5hOW2EM5G7wEFMNE+iObJkyd+MIyi8ecKTgHeo
cGKjr9Y7pV1IQI7B3PsC02YllZJlBmZGqCUOfqf81CTFHuUfnXAvdzrxBmAn7wZCGxzm5GrXZFuH
Z5QKkeM+SD/4iMWQOpMUAhgc0uRqJS4lY9pjkzSy06NLKHIZNTtT/KHaxSkE4OAm0TFgD10GTA5X
tZNhuBJRpVT9TCjuA+L4821CkjnnSl4CsGHQ1vL0xdR+5hXZJEjccnyf0GC0WyRs+EZiYKHFGLT6
YeEnbvXJXHzdtvbDUZltKu1KrY1Lv2gYvbakCOewGVtXEaQAXInOaFAzytTauJikardi2ZisSjuZ
7tSZGSYi5J+3LwRqKexvuDhRMejhCnnDZ5qkt7xzpkT3FKV3/5sRDicqIdYji906pWZbWmB0dxkl
uUEgA08PWGp5vdQxoAjFFFuq+y2M0tE1MrOz5xj8x2oRKnVD8fJfH9M8pyNMDiKQ+04kVcb2MQFv
EDy6mp/iiZ35EZ5UAMINul2yDcoxCMdiIJbSObk+rHNhn4MOq0rA/5F93EPqfsnszq12hl88y4/W
ERONuxT8zwVkawUiaiFQxORQRMGIRBcxgZOqC8sCwnngIk2/qxuBwNT6+O4ixRCsTjDY28azvjVM
w8vPA2jmMcEfppOB5tlDFbQHarrx+rEwDFMz0bUtiZzHak29tn3P2ugsuxp21fIkd59uH4o/3OZn
G9xlZk1CPwwy4mf9JPnpId1Xh+FTcVjgsUhRsyACdc2emjS8/uXOVjmP7a24Bps7UrlW6/aF1xnv
GEZVG2Jx16HrbIXzy001cjVm+ycM+14Dhdvp9uZR/z/nf2KlpVNj4TVqCkLYm/PB6Puvt0384Rn/
aw18vdmc6gWJGiTOem/1IMrnC7EdH2ef8QhqO4NsCCfW9BHsXkJxtwz9miMzjImEAu37wtPtBV2H
yPN6uFurw4zN2nXIy03mK1I98lg6W/uWpI8CsHEh2OiuuJksmqoiSqKhydpHB+nFYiT0r2WLOmOK
yrwX0xxz9aFQOzn1LiTM8OU6HYqCkL9DtGuYX9forhffxLGzcTPf3rprDa+Xy/moOV0sR4CiR9ca
SDt3UJHavi3AeTaQr+/A9OgpgeR0dnKfvjMON4rw+doj5zfb3HdDo35XZDUK9CwMLfesxUIJVgZ/
e2o7r7jgb6a4iGNOpWyrp5WpnE2Y+JF2rUIRu1zxwt9MsD/hYifjfiqXVsdOzvp9H4MTRbcxdJPO
90IUdtLz7e92BcZ/M8bBuBLp2VKgeOU2dbfvK5DgaeUztIYpqGCtJ9xL4Tc7HJQrU9oby4JF/T2q
UjwbnrTXIfT1LyLP3wxx6N2IVmppSw9DSeWOFUvYJuE8DkQPA7VvHHxH5dIkVcVOb/cUjT3YKj1Z
+vLfvg0H4dsaof05x56V/4+071iS3OaafSJG0JstfVW1990bhMbRe8+nv4nWJ1UNxCHuP6PNLBTR
pwAeJA6OySyCaL4Wur8yizczvRU/XO4XO74GVnEhlikp8YSBE3JsAvOuuxacBukivzjQLzSc5AeC
+f6n/dVxThI7zyaJ85QtOq7Zpo4futK4rZXxN5IQPy2OAYZBQOf1PFh0cRPE1GXoxt4KDzGKb593
VF45PEkg6l47fv5ZKLk4vEaka+XcAm4VOY1svcWc+0D8qjPDSlSuBcJrwt8qUPy0RAYtlqrMG+mT
WVcXMYz7Yy0x3ew0mR8lrjoHpnUgxvv+l9vKavxkkwGNIm8LqZtQl1DT1zn1IuUphlTBlB/i/iS1
vml+WGVqV5O/YEwsvclHb/8H8DaZAZO4lE1FXBc8ycZHRcnDMfswk/oqaSAKp/a8eJBz1Nn+k0RX
p1LENLzbL3dytdhrdyPnvELTp0rQnuMwgGKsiqpmOZ5neTXcVPHjQJWrRqgw5tpbOk5PY2Idq6JH
kRoEyit8a05iN5daO2+hy5MX0MaQnvLp3VRjT+zF6yYfwTvULnavzHdjHXlVNtvzMiHT3SbfE+Wb
2bz2+Y94JUdM5tprntvL+GoJL6SOeclA3g4yQDan+jI3C4I2MntJhrKZ6CV9zDns9I/sbCDb1FLq
TasaJU7e6LcHOl5M41A+Xw3H99jmlVmbGjETQUPSEC220/5ayIs7SalvhiG9Q6gV7rv6Fmv35Vlj
eayNoV5li1IjC6FwOz6Vvo6RpRv12+AvLu0hJeA3Wr02sDAhae/b5nw2lYl1klKb9SZC48LYT7Yq
JgfBqu0YzRL7Zn4BJwY6u0TVEk02QyVGZSZKE0YU/qbqRhXYgG6yjkee7vcBfZrzilnbvnK2yNwL
0Sr2xqgg3ZIeekytJAEUV6FmzFWWpzv0X58822F2MG0wHhXR4YsWHFV0Cgzd+3idI+lBa7jpd4nT
GL7V2QVvORtkboO6FvrYICvo5/zuZQlmf3WTU3YEfb1v3Ii36Y2ONIvlxtAHQndXyKto/OI2Otun
LnVx/TVJStqiBhEFSeRT1nzMyWgvDbp0Je0O7NF+M89eI8aOUXDJvbcP5tk0cymY/QBhwQGJELQT
eNIbeKvcyilAMj9D0HYO18AK5htwL3EqLNvvq7NZ+rMuViznqiJJArCtnG+mPDoOg+onxo+p5NLO
bIfQZ0vMDVEZdZ1BBhIEmmBgKa5VI1iDh0VAn+JNo4WqwUkgfNLY7Dkvg9p6VcyzRHDLmtdmoKI7
mPL2Y+bKUe7N2wngk7nLibeddBE7Rtl01qAq2pLVMk4MKOkwzfZsmMS1jOl+ncaD0FYOMfTI4wAQ
5xuyg3MC+h7WCX26Lmh7/PwgfvZex2jFcUhsy34FqO2hPVv93xvdLg8rOz1nkLaeE3DGufHgTXlh
x+JbIXPuD97SWARazUhKcjz3jcIxUAlSoFKZ3GQaJ5nxi2vqX+e0GOAZ0yoBQQDs9K7odDcD+Pjk
ZzAjebWn26I/HAo/PiHL7GsHzsej3aJ7HsNATtbmQ2yYOIDWqGsQ54IIU0XCYn2pWtWLltie29xO
y6+ZqEPuWeD5Dr0q9swzsEOWuO8EA+/NSX4zeiQkQxTb+tKem69SBtsYn5cDNALYMo/RbvMBZUmS
oYiybMks778klSSXLWRH++ZaUk9p7e/vLOfvsw1+JCnqeTY11Kf63CbxzWRxfHPbac4rYJv7qr4U
rULGp0P/ylX8TUVZr3JAeICCW3SQnPUFGHM7gR8GbvP0Z4tjIgCTKKOlx9i8YfxLN3O75D0Et2qW
MlhN/vk8bJNfm8xJlzRYXOcNL7R5awzlbx2aPnES7ovX/eVsg/WFNeb8CWOapWuR0FRs95J/zXH3
tSfMOj0bmDen801dbJt4F3I+4WYgdWGWOXxiVS3zOtNjL4Ego8arYsQoDrIUBlhEMxNEb0b3OvRc
LRuebzKnTokrKU8pmSPlJohOUgjloc+F9qfsMBzksOaqh25evxdLZS76oreqRShamksYEVQlR6pE
jh9w/RsEBT85Dr0iLyKKfCHVmOsIZHQo4s5vuuBwGSq4zsnc7c2q5GkuIpb4X0EdzVy4WsHqrnh1
oHMwcjMyO+8c234X13HSd/MEDRQt7KCcqBragVR2FWdXQsVLaNHd+Q8eXxij18XF7hlpumhVi3d0
od3n+nHNH2fJm7LbDBTZBgchOd7P9t/h0Q3VUh2NSekhCbvrJKDtkmLIo9mkh+i/S1J10bQs3dA/
U3gXS8rMVstWYUBQP/bOlJuBPkJ8c6k4q9neubMZxu9WPV8Ws0TFUq5Te7AcQ73NpCtd6TFi70U8
0SveohgPpMYsTTExwQBi/+ggN2HffuyD4vZrCHwu/9s4tvah6lHWWDHlDwpWMMmQ6xpzrOgFChMQ
Ni4pyJJye/bohEZ8LNzI5z3HKArtfDi2JqISUU8FXUQuWlGOsTT0oJ+3rihrcDNYvxNMXqyVudDw
R1s5oU/NXHH6+Zum+s34Y38/t0H3vJ1MLFkoltQPEYBJyepHpTKeSh6BAMcpWMY/3QQDjEkLOXru
Ja3TJk9N8TvvtYt9oj/h4jCpuqIStcI+JTFSJ2LuDqjxrn3l6FA02t+vrfo1kPy8YdQ/LmyRREN3
n47Y0HwWQirbOfc2bf7SWntxU8rlxKUn4O0gc0uNeSc0kJrCI5EoYW3O91k02AvGD/eXxvNsBitm
SxIqKVVQmW9WuxM6eyC3FmT4lJHX0sdBJZnBCSkhSdulCKN05RhFj1nl1NYrpvYxC2gWmbO/LM7u
scUQksmzGItwjq52suoBrboxLy7kmWDup1g3p3IpUGM2pKt2vurXg8jTUuf5ncJgAWlVLVWQKkA9
NKHzRo9diro8ROIc0W/tMVhCdXF53dq8hTHoMMTzAu6DEf3HkhtPdto8qgOn6MbxOoUJcsnSdhgG
QnKg0zVHT8QPeTR8oqiHpFAe9j2Bg3Wf6fqLo9sM5VJC0A/ZZAItJik5dq3OgYft6OFfdFAYdEgW
Q5LUEgFlpSa3ehTbYgNFZhURbfO1jYSrUUqDCWNP+wvb/kymCAoyQ9QsVpmWZLMpZDRmKZPSNnXp
qW1jcG6s//f2J0Df2QyzuCJPIGilobc+FXwNClLGVRc/pOlvOcTZCoN2ptVUSr3ggteso6U+S9nb
Il+pHa+0sB3Ans2waJdhPqkgOqab0hCMg/1cBJn80vUnIzG8/c/zi8j8bIvBuxGJ8Kg0AUHDUTyS
oxJqaJp+l+7FNyixHPn9cdv4+q89NuGmQqVYzSL0CS3O4sjXeiBdrSG6yFw8H6HqHod0HlhxMl97
318pxxHZpJsc14VQlPh27ZtSHcwR5J+vf2aBgUG0vROzz2lmKB/taLEemugZD0dO6ovjHCwhldQN
eVaKOFCJcJWJnlTPrpG5VfJkZZwQb6vf6vJQsUk23ao1TU1ADC8Gg0eOiCdO+Wtv0zbo9CgceG3X
23B7dg36BS8wMG2LaRxbPBLX8VHHe0DM7WJ01oxziHkbyEBFhqR2nae0UxIdmVZYTE+i8qBZXlr9
te8Pv7gXzwuiv+RiQZKYZ2ZsSiCUxhM+v+tsShiVOZ27uBpIPTUHb7dw3+Y2yJ9NMtBhzHJtihJM
TtN7A3HfNCaOWfe3qpwkthYjDBgLr1F6jtnt6+tslkGRaQIbeKTBU/rW1YbvSv5lf1m7f1+HhMzP
O2lBsFXQEuRfrJzOGfQHVeellHkmmEBJSo3hb/KrSH3vMMdslLzJ7F3owyIYfKilMmsaEQikms46
/7CM0i7Tx3VUQZF2k89v+1u26+awxsRHSzPqpdkhPiKjWwtOJoaEHKru0PHSBTxDdGMvvNxKEnUA
QxklVPYaYriF6KfJS5d5icjxgl0Ix5IYgFiXWdYmqv+RdFeDeaUs10n3uL9ruxgEEww4xHEx6ouE
63CdfPR3oNvBqeL3hBcy88wwyDBUWiVpCR6ei+EIzWHuHsvssRg5SMezwoCBVixEq1cERULj9vEC
+oTezr4OMm+ChfddmNM/lGpJ+mJGwk0snaoGuumaj2Zg///+bSRRgviSpaoozDEe3U1lms4GCGLB
o6s1XiZBTsGvBo6VLXe+tMK485Qo04QOWggELfqjtXzPW/NJyS1HSpdQIDPH2uYde2mO9enKrJp4
xbwAmW1Cy54/Pdkpo6Bi72/j1te6tEi95uK8irUZWyvNu9VmoChht9wYJSca34wqL22w/k3MlaD/
ghKgR2iXcjDZjXRldpDQOaJWrsDZxS3svjTHOPpCclJGIKJwm+5Lmrx2jbe/ZdyvxHg4iOST1KBj
jXIweZS7hhzacDxagXmKfOPA+0RbN8XFetgMdpFLei1raMKJyrtsPsgpyM+7j0H4qM2r0Yh5q9sq
NVyaY64+qy/yUo3gg+Z623YnQUUu1rDzLEwwYTdFdlWAHCjY31KOF7K5bLLO6ZRiIs215KskvWub
l17/Qy9kxWuHJcUgUAO3kAPRwTw06n3RRxvKb2m4hNa331mQakm6BWlCg02+DokZk5zOvSnii5Jo
IRma65VUnDVtb9vZChNDNNNSoB8M+baEACqcrDlMPEbJT+ERNo0soTXqn5UwOBvXi6nXE14YS2A9
YtTm9u8EtuWkkKvN3QKVPvNpPpJbgpmY5JY4PZovfbBS8HJxFIn2fggDxUrfp2Zd4IfMcmQXWVBp
sd9Di0jveeQymz1hl2um+34BiplkxlWuK0B9Wxhs2rxLhxZ7u6jQPLW4c5D4PPJ7rk0GiOVhASnF
iOYl+d50PkkvP3c3c9QBXSCYXOCa3MbJ85dlYLlMjF7TVSQWojZxtLn9MVnR8/4x+AX0n20wWFys
GhELgpoD7YFWHQ2lUsOjCom5l3/ntbHyPITB5W5EW52uopu8l6+q5VjIia3GtiIknDuTY4dN1EZ1
GpkK/oMwiaMYyHDLV7HwQ1LuOJtHj9aOx7NN6ku/iovc4/nWFdXXJbEOiVYGhfwxT2AioDRtxZWW
GDepkhxEfXVnA8pBInfMevv6+fcTsvncRs9a5O2QyJjS0ByfzPprad6P419x40sSJ8nAcUm2gX1U
MZSkNrh7hPVbZaS2PHDPNgcz2TRuJBOjmTtcA+aH/qOEvl0REmh2Tu56r1c2bWoVFJvnmZuP/wtE
YTO6GAEpxhYaJuiQyG6osgZENe6Mh6+rk7yD5c6Nr8uvHO/hLZQBFKnp4mio0Cf/OR/3XF2Pp/JR
dwd/codD5dffSWHzBpQ2WzAv18lgitm3izxRajPaxlYdKbVmc6CcMLxWvc2xq0tLDLKoeZ/1mQCO
vRzlb+U0o2lXw9iVbIshr8uLd94ZXDGUZEErFT2HtdM1V5oAwbHsNHF7/be931Q02bRkCXXjn68d
q7UyIkboZxkE8GyLP9b5t4DrXwNsurUw83qIZoRZM4mPa/UmZau7SkuQokOM43009Pgvdp1NMVFk
Ns1TnRgITehUXOKtX9bIrgtbvbWCys8DZTjsG/wsp+8ZpD/o4s4eiGnmageYUgP1ByIiLwvaECOh
Ko4XppFL6AIoTu7VjnWovlDNJR5T77aXnFfMBErjmrZLRHktyRE8G/0pL36s0N/eX+b2oT4bYYIg
Wal0rS4QJeRga0nmNKzQeJ9X2sO+Geppe5tJf8bFZioIKoVGwVroOMMQFEFykEHFxcvx/gIuzsth
MKoymkaoZORw9Pg1Q3e4cbS601w/zqXXG566PGi8CtTmyBnO1j+HjFUJSJKykdPSpI4JVnsDpHCS
gyysb9qii8j1cXEhktvgBuDN5FPo29tTBrAWZRLrmuplrfU9yU7ZeI/gpDCfc4y37X89Do6wKgGm
kc1dXWPAQLWIE0vZfSNLv/Vg+2cXJTYFG+WxkPUivc+EK3EOZ+koRf7+KjaHes9fCk/Sn51wTCCy
TbtP8aUWr72j+ov1qbnWJwf6GwjDe0d4H58jtzqJX36nO/rSNoMmpZqKiqSg2Gvlw9GS6+tptY5K
Mr9w1rj/qSQ2Lxt3qzFECfZRDsxj5q2vdTgMNm2apEJf5GF5SF45Jvf9EFfoz9sq5FY153Qmu86d
8Z3yURQflSNhputUhtb98NYcCnApTyceB8g+dv2HtEGXtTIqCloRU8FiCB7FUrix0i+c5fF2lIEU
C2yx0UDLpWpgvNEXanzbnv7e0BQFRf6cDW9ZdL8vsHKtplafVwQi+uIk8UHSTubAewlsx+Dn48Zg
h9yhZXgAiR+eUbM7H8rGOwg39SsNXJXj4qJ97Lb86L7gThOe9veT5y1MTCIIaQFSfaxOGh+1SbaN
/qaXjmN0K8vcmIF+ml8jpPR5W1zsZFX1pAaZCH12r35xI9hU9yE5Gg9QwUls3N4h2IwfZl5iYf+y
kz4jzQuziTw3oNnBZWei07AkthHdEPFUNi+15KSFbPe8tA3PIAMua6GAva7HYDAdAGuCPtQCmgr9
nVbeCwz7TGNerKukeiOthJNgTI9TJJzQPucp68jJQfE+GgMnWdkUyySNyLZqfhR/H7uH1fRM3jQ6
xw0/31cXa4GIFVQ0dTxm8vI2qjJf6UynmfBg0+PBlvSSR0jK+0QMijQCKvZtjxJm00VesWRPS4zO
eXU5qH3q5kRGou2JlJKzf9h4e8lAiTglZFpkfLEVb+1liN8SYrlVlF+lJk/v7hcv0n8h5XM84mJH
+3jK63pGoQ5DxeWT6PWPtAt7SG3xUbWp49upJ+CHcGKTXyTPz3YZQJEnS1cw2Yk3yC3Ncg0BOVhe
85VqoRY+cX6nC/biEHw+Gy6Wmbe1kM0VzhrJbtKscYYY5LmkcmWe/AnHQ9mMry5IhU5GoEhvxYe0
ST7WCbX1mtzn01XEoy/YzhZivMME/5FmqRrjKRVYhxU5gTUrXH3Rg8L3c3Zd4p5DmO4NX/gSrJs3
0IVB5gaCOPUi5FT/vSgy1xTla7kQ3WIpPRxNpwWyqAqv7rF5Gi5Msp6C7plUkZHw7fGiWgJzdSBr
aCMQ45y6zQv8bIetr+i5MM4VluSiH3exHNl6aNXH/YO9nQe9sMHEsrmedeZCaR97CIFQsiLiKlBy
oTPikS8//JY1DbrPpmIZJtu2Ks/SEKU5eqWF/H1QG3su3qGn6SgR8eUVMzm5+hQVC1jXMDKQlvYw
lm+cX0DX85+rXPr3F7ApUpIpkV4W2NP0UIMcuAgsR7XJ18KtHZ1T195GsgtbzN6SwYxHdUIlWL2v
ocPWgKMxBvkPQaoLIp5O9c5PnW+75nl5zA0u5q1B+hrXQyUHqXZYkkBIDwZ4lPa3kWeGSSlMTSYY
GgTv3bR1xxIZ3jQsa6dJKvfP7DB3uIFWIGlSkRdKu8OsfijVHZqba+Nl38ovQOu8a0xWwZhEQUio
U5BrzF3khyjsAuOG+Opj+WIcKx8JX+5M+DZunW3SLb7Af5S3kypJEZ5A/+CNXAuW3R+kUHDKsA+n
OyryCk32OJRPWmrzOiE2g4gLx2RAGoRh2RqZdFsPmq+EgpccYoSwvC4vnpcw0JyrTa3oGI5F+whU
V09x4cm9V2mc0YVtlDxvJIPGQ1IahTxgIwvpPmme1eI9j75zHGSz9HzeMJZFQxliQcL4AK10nyrp
1hhuhBTjg+Ro6sGyXLeZKwvVn50xlUGPoRKTbliAHgRJavDGWU5CfF3k3DHbYc/F0hjESJpBFMY2
oQTZ8R2V4rU8EkpH05ahaEccLnMH53Ox9BldJs611uLFaOqgRJuC8ZT7lte50o/5gUYJlT+cuNl/
ikc7qK8yODIPGmKECrNiyyA8I4FiL1N3lJrY6YYv8yB914XoutLV67n/kMvaJhYCzqV54HgR5+5R
GZgp62ZupBlLp+0mA+bAkahPX6h24BImPIDh7TODL1peVVah4KodIsgm/WiFh6E47C+IAyMqAyOG
FmXzSNtNourObG7y+l7V32qU3xvIjE6WbUKxfN/iZix74awMomBMcq6HFQWPMamdaI0cM70amiAu
QpGnjMhbHAMrUD9WKgv8Q24puKJkF/lNln6FAmcF0YIqc0peGwjne7Fz5WM8Qzf6s9+pT69VZbKl
rgLLZsQ77zw7DKwYUzy2WYPWQTxyrrIXxR8CEBI86AcIjFLWWek5f9Y5ns+5CFgpmazEDB5pETBP
taM0x5ic9CjIrZd959i2YuoYbJQUqNUzQclC1l4jUEqjD8dhfu8yv4oDq/xr38rmTLkknc0wWGKJ
SoneE7xwKq93hUfaPSDZyYfpTpD78ZrKVo6NLxxynpgWb3kMeqQN6fPcwB1ULHY6IN46LtNrLPBK
cdt+f14e/RkXcUlmFJOaolfSnZsukKz6um9/REhtRaLq5cojlK1tpclCzqZue+XZKgslk5or5gIP
ocJk4A18HE/16W9GoPqI0hg2m9fFwDPJYElZznG86BU4HhMVCnaK3aR6WCnlLWdp23fPeWkMkFR1
UUoJ6NNR7laPooe8r2t5oOv9JDsqA15e4RcX+j/2ZLYCEotaVIsVyjlWqAeaL4WfbD8gjoLauRt7
vA6CbUg+m2PwJANj76DRQY/Zyu1c90rQHMzdjbIUdoYhnf3N3D8DMtubXnaxInQRjDW1I0QnbbYc
UXkmA69Q9Ytn8XlVDJagT7yStRXBV+/SA567SAZBA5CGJ5CtO+yvivvJGEhpoECR9zHYwJcjCcBX
hyfi6IB1AB9s9vKjwbMnb4ZD59UxUBIPaVqP9PlWVvbsUuWA1K17VHcmV3vhk8Nxd5PBlK5Pm1r6
+301QYJlDsnV6swerSRFXB3Fz4TWf4I9GSNBumEaqsb2U6akEa2Rkqqukq3kTn1QvSqI8KD7Onqq
rbvk2+iQW9MvnQhdGQDt9/3PuQksF/aZr1mK8QpCQaSER9P0DD2+L7vVkYsh2Dez7TUXdpivWK9F
KjQ1viLto9EdSPBCXLH3KK1J9pg7yZd9e5sH/cIc8xGnNiYrGRDtkbgFvfjimL2MqWMMOi/617nq
OOl7Cr97X5G5EToxWlqFajkmxXG0/KrVbJHYAqjNl9GBHsD+4njfjLkMREOe80ml30z8YZLWNka8
6J73bXA/GHMT9GtqFqqKHqT0avUNfwUyg0vdpSVVqijMewFQP9vZQVazB+rMSpakKk65It8VRnGj
17xrexNIzj7BavWoWW+sBc1Q/t1FWYJRLglUuzlU7sTtduJ8I1a0R4Pg3LTUJYL/VnDNbDwaBuot
K48el7dtDPTrUCgY4X3gMB6v5OJWQly87we8dTD4sKxWnEQZIqwsU51OUcDt1IdZZHDwgWeG/v+L
QG7ttCbWoYOG11lsS+NdXP2QeEJKnEPK6up0KBdaeY+6ULVeC1o4ibJfK/dGmtsqucvjb3+2cQwk
5F3eqdB1wCFVTW8Wi1OaWc7U8MY0OEDHyurIEqZhqxIEdKVGvKYnmO0sD01B7vTmrUl/q/vm4ggx
oDAqWVfOGSi3FNlJzWtpkG2k5mwlATkBN67h+DYrrhOJQhLlAqQJEum+6d/7heNz9MfuQA7LWdoZ
qAnOmMZFYnE8dFBMLw6mX0P1YN8RtjPr500zKS5d+PaAqZN+mAEFnVd5q6++KKH6Xoed21xhFNeh
RWtJczhGOWBnMsDQ6pksLBi8chvPDGQP6tAgyn5a/DisAwh883Id2z1oF4tkcIJIfaxMMjI4aXI1
gPRAg5AEhOil+1U+1SW6u8HWwyNG5H1ABjSSRJJBjAgejhRJcOUEXDpQmTxeZng7436xNiaYEC0x
EjDYAYoCe/zURJhfafJbxdQ2ZjQO/TMv5b35crgwyGBH2Q6DstJ+JnO5HpR3SCeXBUgQFc4B4H40
JpAY+jluhAJOQjcwB2EAbaLQfTn80wUxuGE1RkdKOnWyFHpvq0Lsi4KeuSqx7on08Geuz/bnDqbW
FwLVuv5brqhxhIcyHMCwDCJil8fa90nxsYMiLAdCgvs9ViOglFWZTrZ2oRQjKT1YnpBYQTqPB914
naIRSkmKX6fdbV6tbj6Jp2hF30VejidD/BrL8X09g1dYRz+GmgStKAbgOMKA8YveLNfNaHzv88e+
Fe9Vc/KbpfOMJnLK1TgKIGnXIzAtRZOTaUPmJiPxOPvJ8UaW4xQdMOAhpzwqs7940DgMc8Mm3ygZ
bwmmOcsdbOXR+mZwQmqeVQbAQCYgRlmGryhMuqNOYpBJL3PzLV4VHlTSv7T3BRnoSkHLSSJwmrvj
W3uABOurXDqDvwaLTwmll8oVf6vWej7fFgNcY1+umMfHiM3oK2i+cbRXwStP6vv6UFyJbuugbhh/
X7h5At5CGRyziBxHOqUuE8GlhuQOCsrKTXQobdVHAd0V//QgsjCmm5gGHz4vvglvvtxFI3n5OvnU
3P+HGgX9c3vfkUEzyyylOK6h81yovtz7aSvbev0cqZFtdjPvUHCCE7Y7OIV4VpWPYP7J33pXPmKE
CU2SumDX3vK1O9T3dBhl/xzu33bYuZ/DCLR6jrJRIAW4rNdR/ZxZV3oWuZkV200NMSDwHwiKu29y
Oxfyr6PqbPPwpBsqWdHDDkcF8TeURQpHd5u30ZM8MRwMe98cdftff0CdTZit5YBhrQnTDkobEtkX
zJtc5oxG7b8BwNvHbGI1W0ZEqXJW0tti5rX1awzl28Sf0a0rP++vZx/CdLZHuOsSTW0KOGQeBxCH
hSFNeKhqjivyrNBdvQgv9UmZ0iKChO9CPGm6QWuwjTcuVAJ5OLkfUuosj0OUL2U8aNAS6DyaZuyc
anBpFERnUWK0WXPWtT1jcOF8DHzg462VYUqUKoeGsNknB3wbNshJYxYFCcfUzu+jjjvMvz0UdWGY
AZJiysyiaCxQ7y5eX9vjFCSRn01ORavajZNCBlcW3arlaaLsY4ouMlFSNuVdIVS48jCCY0v9XaK+
7DskdYWdA8a2BkPM0Bo0A4Cs1jeR8E3IQpn7auOcMLYPOO8qwehB5uYqvTNEt+os2on1QcTvETp8
uMNevBVRn71wfqEfErnK8KkkjKkm82h3xmLL3FQ+5w2nf2bLLuzkIjHqaQC5CG5sf6IPKrcI5Kfs
Kg4LX0SlIg+4o4ec8/b5LLmwuRZrrmXCZ9PN5Ak27cYaQzy9j4rHJ7LnQf3nDlxYa/W1XXId+Qr6
yKFZ9uQoOL29+Kaf+L/Db4M+vf9lvfXPsuWFsUaUF1NLUsiOi+9pi+trzVCOAXkTjrXAeeXwHJKB
EWtdkkqf8en66qmYPLKGk3pTWk4kgMtV4YV2+zGWzjYER2qXTLMFNKY3pu5Ip9itX6VAO0YOqkBu
InLuTN7qGMzo+jVbYxqcN3MfNJGtTJYjSPe9eWWCZKB6+CMAYfuAmxwD08RC7adeT3H/FzSNUt40
GyfMYTuAzUX5n9gs7TvpAqoBRONFnhkOcMgMcAxJDDGOnlDW8x51cMMbJrCR9gUvgtpsozl7uswG
HGVqSEQFeasQmgFNo5en4kBjfMHlFTd5S6LXy8WhwiCZUJACWCgb0GmXnAnNeCKPtuXzE+/cIZ9M
FxdWSmkW68GAC/Tu6NIooAnIu9I5I3Thdbu2kysaHYLEwjUw/SSW4b4Hcu5ImXnDdGUkJCOtPmqt
O8xvkcYhnOZd/jIDF6bSJmveYuyv80ighbHflc6ISTL61m25aTqee9DjfbmblmnKkQ73oIz0qxs7
kHS+ohTusWdyoIkTJ/6nnXltynQscPmLZWKT1es6TOtDUmRRWp7Tc0yxfcuYsarlUh4peW2Fun76
3j0XwXKXfE+/9OjWbvzMzbSA5//byGFaumkomiSzM6mpVVatOGGBVlbZ9fKWW19y/VrKOlvPHEI+
RB5B6vaBOxtkPp7cNyQVTVyZa/coG0GKWWJetX17J88mGHjHa71XYvDtuJr6oGauICn2Wj+UvFmq
fTMK+7bspUlU9Rid2KhRkPbDyo7tEmQ9xwN/EWP8sxrI5v7s7cjiLNOgIaJHGzFqilRPg/aWUD2N
/Fo67CPFvjtgxPVnY10LNXZzxrBALF2ZSAIag7P0R9DcEOs2qsMaukD7Bn+RTj0vj8F6a1y0xjQq
mo9evNiRwhYZad2vr3k0N9sgeDbEIL1VguRgoJ0lLdIBMdp6x1Z63l/Mvm8rLC9grQmS2UlYS9T6
YiXYinpMeFEgzwb1ygvw6xPViLK/ufQOVufk6ttg3O8vg/tNGDiHQrfSGATr+EdX+Kt1TedXufMT
1J3+ey+evwkDBmiKacBhheQa1YmjMltg7UAHB+XoKYM/gwWFfSlCFgnAIOORpVdf8d7XZ2jB4Z/m
dX/3PmlcdhbFPhjrtoimsUIbhSBJjiWuTrEKR7XLb8daCvtuPZFYeMrn6nouJLvCexKJ99faEJ0U
8wB9Uj6aVmqjxeswZGhXi01MdyjeYEZhkRfXRlT4glW5SpI7cjeWdhqbEJ1DP0Nc25KYHOV6dZW8
d7Nxdata0jkJDY77sS9VYplqPtPJ+Lp6Wo37MjtGvGiJetfe/jEYFK+dKQ0pvtPQfumSIyZR7ER/
GNRDlL3tfyrqXnuWGOwxJYyeNDVyB2ZlfSlG0a6n1IeSz6kFpYBQoC9AnnkZGt4GMjA094tudhpg
KEPACYLmJw3iboZV8ua2OUeLfZrKyqLlHWX2pCHn5zC6m1zXHibs/TJQOZcU5ypkn6ZKt2Yov2SI
osVgyU6rfIAIdcqzwrsKP5NfF9gXJUM75rRnD7cSptEl91O952pCgZZPvbPdBgw+nL9DI4V9lcpW
YcYaVRNowZs8I2xHFsvvv0zv6u3qpA+VP4XlGzcVxNtKNnipBnRbTCCJGmWn0a+sxOmII/I01Hhb
yT5Kl7K3EkLnfSFBdii8IihD0yZ2CiY9fsPeVl8USMlMSEJqsqabLPNVOoy5XNQNtaZgnN5tMJQ3
NaDSEP0K7O6LYc+cptyNQOYni/QYXrhKWVaYWyAFtdgfuqA/acFvDkD9ZIa5jdNRXeOhzMEiQyhh
3w8lKRwtEfxh5D6KNw70T6aYS7nUkLFuoxTA8SI7OpxxPumH3q4OWOMH76W/4YU/GWMu5shY9D4b
K/zpPjCszI6yYG4qZ+ENC20EZT/ZYbx96itJnRoiuTXImtsvOfm+j/AbaHv599mxLq0aFVWk62gV
Rx7cyTp2PIYMngkmPu+amRhaARcQ0is6JWxl3jR+/bNlMFdirhfgyxrQYd43h/9H2nU0x41z21/E
KiYwbJmanZRlSd6wHEbMOfPXvwPNGzcNcRpfeTbeuEq3Ad6EG86JSzeJboXI/28imFgIrJ62DUoY
zNx5Q3cTYKY8ffpvIpjQV4pGqxsKvMCAedbJ7sT7pni4LoKjt+wC1iCrVTIFHU4xuUp7bsf7Wno3
sM1zXQzPoamM3fem2bVdiMnL6Qd4MfYpyr6DrdyUp8VN3OyZ90rfcte/6TFj/JJeFHNk4OvQkgct
IE14J2VIlAt39HnjcZtGqWIBRldNk8jsi1MUTGnQeiRgki7fx6Z+L88//+T+ViIYhV7EqB6CEt9p
yOwPJAagOVmdpX3Qks2+7PMc2tY8kqKsJDL6nZRdE8XKxw3GN7SP330PfFomRT4EesgQExnXz/hR
pWSyy98kMuou5NKQi1TdoZBWLqQo/ir2IDS3edq4RIm+zJGCYvr02ArGPkB9SZjVU5svvWWala0H
JrHSKbnpBcOZDdBnCdGxjc+zFH5R59TOxYQTMreVbHVFTMw0hbnJpQA/WN4NjuhiZwDk2XRkpTqM
Pu81ttUd+u16GBPSKsXQpRB+MxOOrfE4GG4EeuXRVQQMoOe3HXgpBiyrFXdJfxvkeO307xmvlLjp
u1cnZswqqIgqZ10FrGTloV52sfnNWJzrarDxmvntmEwkFfNSzaSxwQCtVIW2tCS3otJY3ZDsmlg8
BVnnXpe3mfisjsREVKNrm3LGbovT9K9K9mSS+0S0lflrINkZxh6mkSOPc4Xsaxcd70AXqghKMx/k
9lC2x7nheNttEUQRFez2KURjjtSPej6ZLfrzTS84XWweqj6256HgENrIG89BfKpfcthx+qqeUVih
vBitm+S27C6RBQtwB7s86WBUL5zQBSbyR+s+RiMCgK0HyusMAqv/qTXxL/Z4+T1MZpGOqp4VmNfE
4naww2b6QXujM3nUZelvvCllziWzs/dqYMjNFLXYxkgWuwfdHJB/kWUMnEveFoNiM6gTdGxwMhYH
7NFQFZsWd6yDx+6UVKeEZ9SbOYB6EcFYXKlIegMsI8VJI7uc31LBl6U7wiPZ/Bf/dRHDaKWsFrXZ
ZoKEB7Zo5w+5W9oU2yHe1/tuV9jCE29cmHMuNpc1C6JMwBCSHUnFhIWTafcq+ke8Gua/BMpf52JR
CcrSkLIqR/mKbhdKXuFpyS7etYAphiL6GZCZgEN13WfRSPgpUhJZ0uFuAUTI1k0lTLrW8gI3DO4E
PHrDYxby9O6jxXZNBhNuDEWbG3lGuGnd+EFEpTmJLIrrGNvhIQWFsrCLbkTs6swOyoIWJu3G+2yf
APucm8tRs/38SwjaEDACJFlMJtKCA3Uo6Yo7zR1jX/KL7/rX3oET2aEkdP1mt30IuQhjkhC5ztQo
HqCl7aF3QwgLHAMFk9mhH5IH+8aVRq1/9eoe6rbsw4baxI8BEKeFF3nqU+PK3rCLXF5BfwulE+Hg
cjbmk2pd2TRFiVA3eMUTnS4ZfP0ZJ90Z+8al/LYUiwqDm77gcFGwNmPFSjbjx7RKn/NKhmx1J/wA
TO15dgsPZKp3yfvkJq1FlWj0J8X6HxRo0xEQU0Q0RG1KZC10MaZyrEookPKY3miguiR+4g2W6kQ3
8UnHLHp+i7jEsdFNx70SymTs0SiZpAAmIdjK/CHyMFc/85BKtu/0ci7GMGrVFEg64VyxciinvTCe
osRK9HsdY5ph6nIsg/61z2Z4kcZYRpm2eh0Q8Ou0rvlDy5xqPwJteMitJXdnZ36quA2I7Vfj6g4Z
81Dz1BCK1JRoi/cGBVIPxaLUah3Ai3kz6LO7t/94RsZC4kjt8MiKqZZWT9hY8LrE1h71HdXO4q/A
brnj0tvO7XKrjF0IkZb2C0hjPqIirVOFB3lPifr481DbkUqjSGOKKhOVbehEJeCVtAndPJFYkoch
e8wm3UxYOy4dciA25svwsLt+o5umdxHJZrt1OghDmSCKSG1xNInhmEDyl1Ps7cwcSZv2tpLEJH/9
HAZVoEOSqfk6mB4SgLXVj9dPszW3oSgrIYxRd6OJbpWBF5+U35rTozQ7xnRrRm5gfGlyzAbWviK+
objPi0qbWrKSy1h63shZkIZINum8SHkIXdIgsR4dujuQ8bKL7ai0ksZYujKnKijXJUQlL3oiXr0T
AICU7ykmOyZGbM6d0jv75FdW0hgjN+VwGKU0/WdjtrXxakDjhfY0hTvejhBPSxgDl8qlNfsMXllE
0STLrDq4XYKH6yfiyWBMuldSJYgVmp2N3c5ICh/EPyd9NDjlB55p0eiwyh1iWe2niS7/AqXzaxrm
rjAm2PFLdshHOfpHf/G1T8Sk7p0pi72eo5yaY9G9SSJXano7x8aYYGrPmc7rxdE/d0Uc22vp+iDF
Tivimnho9grQ3xT0Iv60xHXRPHYKsGvUsItAHuRo52ovvWJW5BEOKrXyU7knduImf/HUj/PN2IFA
qVUBEDqgjBcZu1jxSL6PVbvj7R9sKyAx8VyUNEXXGQWUoxIqLoSoFHV2WJyUyW5NzorDv/iIiwxG
+8AuFjZygO4KuR1dPP2xqijtyj3d2+cPHW7r30UYo39ynJUNoFNQ0BgftdDW68eu+9b/rENe+k89
22fN+yXIYNZf+iWWjDoTYVPiaDfSdL/0wvt177AtwkQeLpuiLLEV9w5lvLSiHkibvioTKLXr9o+s
9SKB8XGJGMvjQLA1FLQPYv2cgw5O/pmSZ9V0rh9la+4F4fAiiVG0uY7FWGygziMRLTNH2SXHbLUO
Tg0SAq3LMKwmkL8XfeWociJxjrmt5RfhjAY2UpxHrQDhpujM2SEPfub5PeeA8qY+XGQwigfgFMmI
aUl6tFEU9DCv7hp74pb74n+ITRzNYPHOoBaaOhRwR01Ndm2vurmc8r4Y50CEyZIkKUSGK+BARhpY
YuEE+q5SY9vsbV1y5+pJEh7G0NEnGyhGnO+17ft+3SULeaboqpKYIqpzpH7tF2y8aE+K5mncbQ2e
HCZXIv2EJVnYgBMX76aIWZHkLieuUXIKc9uPk4vyE/o5V/GXdFUc5QHkaOf4ZbTbL+I52JPF6l9p
kz6/5XVkeOpB7WElb9QVqannEerRRwe1AY9fEj9c1/dNEbqsm5KsqSL5OPJKRD1VRt03CBzj9FUA
acAycgRszYgo4JT6JYG5tAj43/UwQULrDphK6V3itdj3GyxEQpBCBVbu0Jnu68fa9BQroczNkaEZ
gVaKkrtO4UJfM3I0h7frIqiz+RQ4ViIYn6sFUywkJcJhGy+OGA5472OUbNQHqx46TMgrLaot7dRy
kudNXV+JZRxwiS0yEiq65Cy1r0Z+RL4KxrGOvOuH+5jcuXY6xtWW9RxjLwkNhWwvujPY3W8+cJvp
c7x0KCPP7CE27yIQVu8IbzCL2us14YwPDoO2K5MI6TRt5TZ7bASCQCwBpk5001jgKwNGF/fAnHtl
M1CpkE0j1BBCpT61JWW01Hxy067WLSmSdrFQnKshPg+FeYzmb0HTuYoqHAWjl6y6qRNLCUN3IOX7
9c+wbZ2aDI5ShaLJM75bGcJRiSrMfqjFjd4HltFzBGymWfpFAA0eK/OflqAoWw0F8wS0nQWKZHFt
SaMbiXtTfrl+FvrRPn/UiyjGSXdRHgWFhi6feAj99EAXcP6XFH/b8i9iGHejT5jpayq8LYPksTa/
LNlfsspD4NvuW6+ujXEv2J+TlSJGi0b+SpfasKONnXcMHO0iR3kARVAPPKsOQHK0iDQf0cf8MR55
Lo6nG1ShV5+uLZcc+orSDhl/SKVN9D95bK7OyDiaUDFLEizoEcX66ChpaotT7M5E8IKkcK+rxnZW
uZLFeBvAvmpR10EN5/KLMbhiY/WG25dvWOHrkPGXamfFvI2fj5fXNYVkvAwQs1VhBj4YFDL2KSNd
eKAgh4Dcl98a17AklzYRZT/42DoSToXN63Ns66qpaYoM9gHgQfz+CZNEjCY0+JEfhdrLLGPnUwEQ
bdxyguG2pvwSw2aZylIUSRfCJIzyZmjvwo7zMuQc41OGCebfou96jN0B74rsjBaj3Jyot12G0y9n
YByVWRS6kS2GhElTStHQgg9LRNG0dGKPB4iw/dBdyWI8lSQYahEbC61BK17qhgcltLoDGAqxqiUl
Vs65vu3Iczka47E0Kev6NBUQTo3iFFbA0M0bS1kMr24TTjLGE8X4LVJVeWmGsLNxKqy0scfkrgIC
UKD61w2aJ4fxTalSTMtQIlGe1aMIAZ1htVripiAWuC5oa5kf2eXl8hgv1cpd1ZSSJiFVoM077Lf7
JsqXmrMQq8ccLVaahVN26o/cIibPqhifVaZRVQoazlj9QOsAAC+RYxAbCI1/80Upd+Ydj/duO1pf
Dsv4i3ohHel1ZLVtCUILEAoYi+AKgfAlQ8xJKpPnlrfzsF/yWO6VIu4kbYhwxI8JYTuDztjhSftB
ycTHl94KOSnC9gPr8jU1Jt8Z5KDM+lalAwPggH/AO+Fc+SFeqmjHpI7+lvLgIXm2znLbYwAjN5oU
8/KlJFiZjmxvKGw1Ku0o7U5ymVkRynVtlPjBUFtm0tt1yuOV2k6MLrfMuBvdUON6GnDLf3NugPkC
I3eyz4Uboy7yc7y7yGH8TK/MmUF0ZLh1YxmHwgtd3RWeG3dxaaOb1wb6lxfERRzja1K1qeJGhK+J
v/z95kv/it3I6d9M94NaB80n05F9c094JT3ehTLeZxCnsFULmtR+kJikO2X3h6veGNjHkpQpGbTN
zbie0OyXQJwQkpLK12HsQO1uOKFh08esRDA+Ju/EUZOx6e2IE0YeKdsGt9G06apBU4XVVmIqpsF8
pkWTujQyFbARRZYOgGegjE/Htvkjy16JYb6JKDRVAyAhiviDLS13Ogq2uO+93qFBNTmPvDLe9s1d
jsV8HHVo43Jq8H6lwBrDY+Kl5/CMbaXBpX1k9SZ8nN6uh6JtiaapY2gF3KOEMeNOEQolj7H21cQn
Mj9UlX397287RxPD+Lok6gDjZZxjpXXD1LVod8a4P7w6xnPkpXbyDrT9EbS4QDXfXZe4eaKVQCbn
ArSkShL6wmjncN/riz8Aj/O6CKpdn3zSSgRzaXWBEvIU0dL4V2X8aZR7k4c1xTsE/f/VM6nr2zIr
Riz2m4J4bvPUa8KRUxfc9DerQzAmBJLn2QhiOPDRCJ8SGYj90eCNMYqqwGweleZuKqu7pdI4SRZP
LGNSpNOSQdJrnKwCbnlgEEtrtJtOBIl9mTmFLFpNHriVrHOc0qbHwMqXqogGMCpZZMJQa6M+H+Fe
SXkOyE0iPieTW4WcS+VJYZUPK4ABhq1RwcOcafrdnJwRJVbuiPVmUFwdhlHAIGzisBBwmEgBSDrx
8YLpLKxdYUAiv+PDg/BOxWhjK5lBUsuIwZk2WzVyHGTGRjGAaOf7dcOSNocvVRGVQCLKBrYlGa1U
ekketBGjumqDJc12PCXpt3AZDougHWKj86dRfS+jJzBNnvD83A2F4WfZZLWYmzQH5DnZ4k1tf/jI
4tPFlbPhZWwwjo1Z8yKZ7UUd3MoULHPBGyzR9mJa7pXIOEnL4M9z+VCpmMsvXwAiBk4JYH1L4hcy
tDftiIFMIber7N0wQTlhpuhEEEvO88MC7sBQ7Xe1Fv2MSvCxdMVrWGhP8wIElaDyyhpaPRXfS2my
sEz5LSSoSWDCaulG9NTUaq+oP1VAwmaF6Jmk9cT+TS5KO6lz8JJOu1ABjE3SNHazaE+oQ72UXeRW
c3ULCrLnNpLtPOjttImfQwIwhCE/deZgFaq4Q/3IKUYR8DeNW5avgOezE6W24mHayaLmCX1vG+Ow
7zTVIup0F1XZXdi8iET2B6DYAFHdj4bqFRh0e3C2ezFZXiQhP2PU0+7r3q4MwPH3WPkztfhWWCoP
ZcinTjCsotcfhyHw8nni0ZtsZr2qLOKGDVPXNY2Njm06RiNW2IEes3iUHiO1lxuyE8F2ZTqae10V
tzzwWhiTxAh1R7IJdQ7HzG8VJbegJNcFbE45rSVQT7ny8UI6iEY0YlZmAJIoqG92xk/hgU44Jjcf
D8AKSI1/ELhWItlB+LI25SCkhGuhWe77tvXjUrEBYcMRswWLg8mtX1+KBZfviG5iN0tEkrmnBXjp
CBhRl+IlVn79A0VojNgbr7SDYjrJaGvPnJulToKNz2vx1H2ubtYA9kStDGge6o/iA13xTY/lubud
fDzLBqtabGLPfthxTs37oOz8b6n2QT3TeZrllrzKlFro3nDA8iO0lmqJHsXMCWtOtrMVTtdHZVwz
bNKc4xr1aYrogCqC+zdAFPcZRtO0a1fK+OWxyatF7ZFVgZaDEg8Oyr59I7vyDoB2jsZ7QWwWztbH
YrKEMcM4OYYc/y5mgcLrfvK7Q7kfdkBQ4JWk/8WvqAoyA10CkCITTUdsXEVAOMSAMdg4qCGqe3H/
91x8tdN4NsgVx3yyaQo0KRxp4oVefexnj5FDCVwCa9rxZym3QrcqX87GfLcUjV9lLFDlzBNf1axi
UO1G3DdhzMnzt/XwIof5YEqvNWGTQA7VQ9onoa9XlAM4Wdy2ZV/EMCEgCvNYUAcUhVtQaWljtmty
0y5DnkpsOn9FAkuRIZmyzi4mBUlQqRrBJzKnl7l+DTIOeu1mexlL8/8IYB0xWYShElqoXPcqmZb2
NXwQrNbGsv4xf5UBPozGvPadv7q4qQ0rscxjTCnKogXvg+TooEpEAgeqBCsMLE3leKXNz6SoGjb9
MNolsctAg9GDGCnACEWvipYh+FH/zRCcP/HyKyFMhJ7rwUQnEJUMYXwR84eWpnhq+4IHAObJAj+U
5b+SHNAf4VuqfemW6mkICldOv9bS4nJ+yqZ3XGWtjPYPQiUkaYHzjgg2uhcDdkF19B0N4zXHAjYf
1OsMmTEBMQ9Kqa0HWiOQvPaBYu8bkQWIbnAniL7xwKsQbG5jrAUy97ykJfBtcnScEhQisKOMDRsM
GIFu+i62ByxJYy+CwjliswZbNe88KCH61z8FntXVMlkSRsT0NJSweQJoU6svY8sIOltdGitGnwNr
xbwls01HJqlAujGJKJosMBzwEaZCbeBhkn38gbhICXaTA2/ActNCLmJYULhl0TG8LGMZqx01p4jy
cydUdiJM3nXN3Oz5qis5rMUbcYyqkoJMDFPfWI/K7N6qXv8u/aOU+oCpgd1ix2/gDn8o3kGS5ogv
PM6PTa+z+g1MOqYVRI61EYYqGzcSqvDlQZW/RLynN+fDsVG8iUioayIyob7Da63GWyQp07dcPHUC
UutWw+MttIJA4GV91N4+KejqdEw4n5NIGGZg5H4sRkxPH3DQgLsCrBsa6aoEHI/MFY/qDa8Bt51H
SKBJM0wZbzAW4W8gGl6v2H2DpjYnSpSW2uRc7jv0HDKbp6+bZnjJ6DWqz6uUuuyNKu3pqi56cVbR
nvv5tZg0R0oO/eKoKm/HftM8VuIYhxouZdCFMXpGTZ39SHPh3YgWq+aVGzZVZhVBGN8iG0Y/DSGI
YtMMu76CnwAdPyg9s/1rCif075+JzMFT4khkVz2L3tDmScbLJEitHngi5Y0IJvv4zlB9udkH6f11
89/WkcsJ2Y2yUZmTpDVRuSG3+Te6JWi68iPK13Zy5DPYb2ftK2mMoYdRKYP2Db4zOwW7ygv24d7c
yRR5iA/CQCecP5ndShaTtGtCv4h6/iFLo22h+wDAyQ/KTbAfbNr0TtwQNQETBebaH33uS3rT6lfi
GatX5VYL6hKzNCEWy0zSYIrgXEh7lJNChTPSsv2uXMlibG/U51FQGpQiGif/EtzjyeAJbgmqk1sD
G+oqIC7Kl+t6s53//srfWBQUsUXZ3qSzF2Xe4vlaP6TKzDsV7wbp/688ip4Ca3giGIsevPRBw8By
8RKfMZFtq1DQ7IFi5ga2tF94AX4zGq1uk0lnspjIjTZgdF4KzrHwPvTPWvuYRpzjbTqwlRTGtZS1
kOb9jOLOSI4kNa0ptoXy2/WvxDkJOyEDOCoyjDVusChuowawackjmex65A5jbzr/y2HYUZlarcUG
Cwd0XIG+WMkr5n3uNWd8DQqrw8yRAJ7fGMQw0fPyeP2I29doiLqKeh8SMkb1McAYiCBfR2ItvMjl
mY6ZSO51Edv5rXKRwcSaTKmxLFqhmD4eKBhc/y665X3kiID5vK9f8yea3IbeGFrVfciFqd4MCAR3
B0pXpJzsCgwojzQ9FqAn1fSSBW/l8ITui4SlEcnqgtROlWfOaTdvdCWQUX9VrbVUycC2QxOV4SmC
4WlvmqNZkl16skd3q82fHJmbz6OVTMYY5G4uYoGCzrcueVWRHGEU95VmKljQeuPI2j4f0OjgvZB1
sWsrQtDpRU7ZwgRfne0CB6ztyBmsbgZsNVZydoh9B+5+/KbDxKbMP1IZHRqqKVlGSthZpmBYLZ8j
MFI1c30YVNmfZVCNpw+FZjpCJxxSE113JcIgk2wbg8xJRz/6qZ/i4uqXMG4VjQ3ZiAtQqQ9egOHO
2C1vWisBS8iSWw0mwlyKlvexIKw7dHUx9ngv1E1vsfoFjIbNtRqi8QAHW1d3YfCQxcD7fO0y39Td
rOCoM08Wo1lESuMpy/CMEsUCkKu2bN61wk1qvmtxYPeD99+Ui/W4Upp1ihrhM2cAH1xkN7dRuQNM
uYt5Szs/hsDRiA4pJxhvV9MvF8q6X7Qu0YkoodLJSfhh3uqP8U3+QNcNs/cKsDHl07D7ZtzODkUn
4Q17bvunX4rNLsMEYz3W0kTfqeZNHt5m6llOvojDDsocdvuk/Xr9hjetVwMwsEYMuGR2dNysUzFD
twWcLKNg6QrQsDCAJzelc13MdhFFM0xMjiiSarBTMCUmbbRRjyAHQ3Bg03EDR3fFPUULaXZgdud5
pU3/sJLH2ISu5VW1dCCOpXvR9K1m7OHcz/FO+IZ9ZZSJQsW/fsTN5GAlkbGMUUrMRMY8hjNpgjct
yy4x+gddzQ+NycX63rRCTALD24q4T3YaJyF5FwHjCcXfPLQibdcHPon8Qd6niTVMnBb7drxeSWN8
bdUPfTikeIpSbpbxvsVYiegSnyR2mDgNSLQbCx7+RvWRQHIJ3zevdSWcca+GXFcxmcHs2RZuOOLR
5o8pWAp31z/e5mg56KR/3SijLz2Ij5QugcnHqlRYGUytEI+lqHu60GM4IjlFYnYMhMxK5oTjbjZV
dSWaUZw6HsZIzRCsw/RxHM5jw6l9b5r45e+zhJQ5NuvmPIRHWYxdoReWAWzsmuNGtl+iKyFM2Svt
zSDOJeycx9p8UIXMDcovdYMeXOaXkp1HhdvGCaqXudUJ++vfjnN/LEFk0MaTVBdwLY0pW3ElOGXL
A1fdftbrhGLEYEMN6envb6dErUk10W802ipWzylZaXNUdjVda97xKrDbKn8RRg+8eqgZdTv2QooD
jeNXMF+ihuZHteKBQYOTu/zLVzMVUVOxdGyys2KGJgStIo6Yq4qmu3BOHDN7riNAwomSJRils4DX
M4hu29qw1T/BMFUNWUezTNYMoEP/fsqhKfVY7cF7GST7RfGDflfG3nXN2NR8AyOXhiqKmkYY39HE
rZEsKQhmteRQ5Gcj+JoPf/03EYzfiMQebJpUMdLANdV9LGE3haPf2+WI1TGYm0JyWeuNiCECCkBO
d40zDJE3R9Va0MPUjsWOu9qw+X64SGQnus1AGo0mQDmCShRAERoeimMJpvpix2swbg4AY75Ek1Qs
+mIIiX7Elbaj6yeGS4ZWDuXZo4DWAVC1Qrd6oeczvOgeuKbe5PExtra14yKYCWti0oPibBlwyOCc
tUdQMLay+yfacRHBKCB6muD+BFmMI2FXSQOHZfFWBk/XZWz7JtgwQcQHgI/J+KYQb11QZaAsTUEx
+h1I2qwUZUBazwmdyrkubTs3XkljnJO4kFQjFY5E+84Tpi4wD+8Fo2U+ULY2yTXtDhmBbKWOuU8L
i+cbtxPJlXxGXaS2iZRuRjKiP4LM3JWOINfx6GMatX8kILx0nHu7n7QEvbChwOS/vKNpT+aZoSVi
8UvYYSj9Tf95/Xr/5Xga0OwUGbNdn1YbJACoZDWCNRaFX2f3AwvRzc/kKzkMuxCz15zvuT3/Z14E
MiXkoYoiQWsi1Znv6WYMOYZu8NTu6NQ/OaM8sUsrh9ef2kxfVzJZjS2IHvY6ZlvURNph2BZPOuWv
HolVuiSeVg33av4HNKWKuhLJqK06LtJS0bFrVb7Pw/cYwKT1TTnGnIj6L+ZxuU5GPeNkrE0A8CBX
Tj3tmXKuJZ7phni49l65h0vLLTRxQVFmYldF9rnrFPRzfapGmAjlqG2BMJftpi4KNnVzEZ+TWKPb
7AGN5uS2cqbDULHH28De9KAXYWxPda61AeQHCEzmSCxRHLxFzByM2HEu9eNxyB6KiJpu0sEa0Daz
l9oMREyjEDraYAGz+cucZc8M5vdFmG8TM7uJFaz4NakfomZYYDB1CRMrlmsMnunWHH2XQzCgiMEf
FJzXP4pxDGo3/ZNWD7bW73u0fAJO/kLDw7VzM+FDL+QxK2lpbZg82XgNQ4Ag5pj8bEB3wrtjagCf
ZEmijGV9oIfKbDdXFOt0SQGM+lHGKpz6LNitYxQ2cWcv86udqFvDn4z1k5VMxiilPM7jQsD5+hRD
e4vkzVF2UGPx5Q+c6loOoz960IgdZn9AVrUfnOInks07wQ5l6yN9twsbZ+NI3GqWrSUyytFLgloI
CSTSxzI5LcfCL/fznp+q0dzv2mdjVESqNXlWMQSJba0GpIQvfQws+8xCKaBt92l6mw0D52w8RWEy
3rYATpVQI28nrSukr0n9fP3utpzK+uqYbLdq+rgcRWxi5Ebv9oHskiH2w6qzr4vZjLQAMtE0TcKn
h6/Eza7yzmCeelCNYLhZ3c0u4Jbw+LkBl55d3VBXqeUWr8W+GWrXEuXfJSol4MviCCY277K95OGE
YLkDWl/3Jbmhu5LCHhAEXHxVGkw/a8jlnEywbediToRKo4Yd38iuBITT4Amk4BZmT7zkq/pw/V6p
Zn8Wh90jWdKIZLKTfEY4YgFpmRRHjhbXTJcGgEGCJ07vgi7mnG+4KUtGBcwAADDGSBnlL7WqJsYI
5ReCgzD/mGUX+w1WKPL6cTw5jMoHSzepbVcrwEby67izovJnR5xeUP/EtFbnYVRfUAVwkySG4ujK
z6X/0sT+9W+zOZwEGop/LoydhtCaLqqTDslz48gHeZc8E+tCyBQc4BiBadw65n30ZbEjv3vG2vzu
+m/YNO/VT2DMDgZQNCbA6Z1cGGxZbx+CIrGzdNpfF7P5rFwflTE2AZuM7VQLKKKghbqculPuLke5
srLjcNB+KG5xbrFUqrn9QeeI3tYWxdTBgiejYsREm6XLUlFsoS1Zt8vCr6Lx3JlupzqcA25f5EUM
/Rkr/wXsgUIKF2Sa8gCW7KI8jqF5E2vkL6PQfJlkj7o6W4DHc+L4DcvgxwEgXpgVoeaB3Zq04E3j
bx8bhxZFQHGL7DC+rNZTJJUd6jnSoaoPc7ZYQeeWU8Axkm3HjdFxFYwIIlHZERvTmGdiVDh4cK6/
YcsB3Ua1sjTLsGbgxc8+73tu++2VQEaVUhR51FBDlWz60X+hbB7oVQP4x6pPid+5KuhkwazNyVmo
qX9yo6jgGzJe9WjMMK4g7+W5DQK8VxRQnsitBexqixQx9s+OpbKftbMucSRufr+LxI8K+UqfZKLo
LdrlKHFOya5ohNMy6L7RmzdNojxydHervkRgHgSbxPAFbM+4EQgRE22mRQTKsm0JbueeQNu84/aJ
NxOxlSTGSnohycuqxzxWsqfL7IMvoWgrY4In48QiGms+fbCVIPr/q+sztQGVEfrAbKfRUaXYWsqb
rimsKKwcPjj0tjQ6iWgS/PNhIytpMYaS1TFB2THPULjVxd2YTPtUwAyDYLpV8SAugKaZEKlk1A2q
xRpM6ag2IMwMYjuflyeAg1mkVTmj0pupoWqghkenIzHK//sdCKagpqWI0eEarMdF+l5wQbGpqX26
ZVD0ImcTwV/CQuHUeZmSrMa65+Bph8WhkMDBz9arMfI5f+f11TebQuQije0+D9IgRUImUyaPnwaO
NGaNXWjZbhGTcwBzwWNTPhXRS0Imzk1uVUjWkpmb7MN+7muCCskUAiozHS2tPEuYP1fOunZD8Lzl
GCRNAq/cK9t1ntXYGOYUQyqDV+0ju3hMHGw7ehMKFcNO2Mu8D7mpv6ubpb9npb9qH6VRLLbYp8Uk
VetE/Z2QhpY+uMJwf/1om2FyJYl5Y0bF1JFJRf1uDlw9riwy+0u58O5v012vpDAxX1aSTJxRnP1o
kbY3mWfcYQLcab5XbnmaHfSlvB4ECsCy2PMABjf99ko04+GkIEuiRsFTM9P8hvhL92wEFpcseVsK
3QM1dF0V2f79pERzWyVwb2m2r2PdqlSv7PxejXlpzbYmXgQxubbQiZOu1tCM5EQx08bzdBywbEEO
gZWBJIhX391WxIs4Js5WQRGGg4a+5Zw89gIAOna1dAyMfdlzLHpzA4mQX5I+KocrlQ+6GMkRhRuh
Ewl5ZlEyTcDyfAl+htizcAKrs4EJMI1Wy+nfb1vARTDjS8ATWCG2Ax0w1YHvfweYwqB+/BMjg34r
BroZ+Od3cw4KUejlFCCXarbrkfcFP6qEg/a4rYAXEYyah9iiQhe7wzx8pztNO9pd0DiqMYDpJv+D
hjmi6q/TMKE8C5G/Y50WjSHNDxa3ne/yxLt+YdtqdxHBaHlU63lXLth3K9sM3HSvmCq1RtAFyE3k
NpO4uy6Nd3eskidyPcoyomaRkb3e4+7a8CCFt137B71KgIvrpikSHcs0CttybTUdOB2NsmAiXX2v
vMXHCjKokv+fRcbOzjwD3uiOQqKpIBfQkErigf+77mklWQYlT0UH+ADFKb+pvMnX9uSs3kqHGYP3
IncnciMvAK49AGnlj8V4NJZ/FzkmpAsFI8N47kG0gfu0S88UiL7b8aBVNsAHf5fEaH1vjqWUazFw
rAFx2u2703RqHiMglxlYYSU74k4YshQOiRs/Ii+g4Ff766ojf9bU338BYwyhboaRmmDFT2iLF9KD
Hr0mvUXq3IsWVFCD7DglT3NNDmAb/xJoph8KykkLG0vIiBUHo5Ojuiqa7XuR6qcoxdRylvtSlvzs
u9DPVMwoJkZtBWl+DmIKcaCP9vUTfHZ/OAAaaeiFmPLnIQCp1+M21OkVYmlG0iXfIIDtCkyORX+2
MSrGpA4eQj61sYmeKKURQsykLbddM/tF+r3pQ7cM366f53NqCEGGhmXt/yPtupbkxrHsFzGCFiRf
adOUyXJyLwypJdF7z6/fg+rtLhYKk9jVTMw8TCiibgK8uP6eYyv6xw5hquJ75E0me42RARDjlJGT
ihZMCudRw7SL0nru99+JY5LfcuxGgJjOMmLg8qwt9uBIyY9RjVs3X8u7uBGVfzl+8v35mNCQyFhE
2job7xnwhpoLvr5D4q1fh4Ph27fWiJEH2lwuQtHaJVdPdgdlAsUNbIljgcK0t0nBmt72wNqIe4Gf
/Jgg0bNhBpIApfdjd27K5qW1Z3y7ARF1Sn60iSAQ5Wqhram2iukNC6/nvWWK2pyYpmbKnil/GuQb
UlReugHXJRU0v/gmcCeIcWBpWwLcRxtlL6ouafVoZrKv9J+SKsP7/pFO2ECapcs46wIMD+5H2oll
PJlJik0xZhUfacBOY2ANYd8KwqXrV4iV1PdXuJizEeUaFL5D2aXAxB/QtJzVWh3MHV5/yZzZAqjD
v6cx2BaE1NTWqALe1ZMftmDCFn/zWfvWYb2XchHnoqbUa3L8Psl7L455ynIqYTEAIzgeSFQrx+6l
g9IudxTUbZqUvzRpczZgyJTaBD5JOxwWOXeIrTjdlgc5ChqE1Cd5nf0xRlikaWEjjW432M9R+qRW
893WmxdbkpxWtp/HDCwPEhaUDRCv+ShGPhDzVzxpztL0P9a58UdldkszA5EB/nlZDmj8fbUUwzOW
NswwJKhn9WdzTRanNQGZ0+YmKFd1y6kL89OoAHmxb39d/xZcM2cTFC0s1BU+tJhzKbIjo0owvmU/
re3vefTW/JuMDRvRAItIEFW/XRrQTMArASK87NnKTQZav9iHr6zk5956vH4iTp2Ufu63IzG2QAHv
carHMKTK6GASAAyC/ewMSDUscOqpZ8n7A5Ss9xIZozD2iwYYIoRilMiToqymQMWNwzXQ/OFFFJnw
Aj+AksgKhi1kkGuzHWuw0edq2idU2uRR2tDY149JEB3ssA6al/heFGpS48K+n71AxkNMHVGthcQy
aonxAYgshxyb6mLwL56GgLuTyDI43D82JtsMpZC1I7Dh3RJG+l3fGk7Wo3S3OlIu6vvzrB3wImwg
schgepUZdcwwXa1rEqydRfDsDeW5RrduaCtvknWRc+J/sZ0wRiO1ucxHcGPQLzb7MpBftPNw+GtD
ah+79VMRioabuB9sJ4/RxzaSW6QqNJRowBtunevcV2NfI6cmO2ywMjER+A7um9tfJ+Ofqk2zdPDo
4YSA0ulN5ZzF7e26gvd11Q+KmS7OlGLfQTLCKZXv1MUGgOzitSDo+oNAYPdD2Gp+nEmZZkoRwvYE
RIVjjgbCRWk7dyKCkIarrYqp6TpBaehD26dINwzH1bHiTRVQpgD1lBhhQoIcOFdbKxqv4rl/QKD/
K4x5gXbTdxX+g8Jv5MdaIGu+tAo+oUgE/fedfQZBkqrPOuZ4laTFuLzpbtZ6LlUrEFhn7r0hY7Bk
Qpd9PnSxEoKl2B6R2nzaAkq1mngZIAXBjp26lBdARbkLfKvPIhQD7vl2cpkgwBisYjbRfvGsX6N2
B0Q/ufavH00kgQngF22at0mnqtd6ZvGizwcZVa3rMrihE9B8/r0+RhPImvdjPemI0uBqVMoofiLe
X3/TY4rGFbk2EsUFVLZQ2gL48XuViLapw5w8MoN5fJmScMieJ+1ZFiWQ3FwfMxM6hngVTAiyhYyi
swdZt1eIcZNnJUjcKZg8IyiCQsGQiPQNzCFOerO4680QdjqWz8TLsXz7tfsNjDvAkFRdLOBR96xv
LXF0QKpJj7a7nDqQO2Mr94/ma7F2YBqmQXC7iDWZ6mSbjmvUqUgkOnjx4Ujc7aBfdCe6B+LvrWg4
hesQdsIY5S/XVVJVOF4kRces81ushwHBpwkA/+rYyskaRP1H7ivfCWTeAsgKW4UMUJ1kDdLkoGS3
tu6lmN5PBTgXnCb1+3tkHoTZqF1mt5BE2Qjo/B75mb5EwXCeXA0UrkBsNFxZxDPM1RcM+tiAnUIR
zmRxCwxpW7V5woUa90qwRU7uozjlxc/15KwAG67C8sf1h88zLqqmK0hj0fbEY3z/FkdSqENeQkHl
7iYtSNhrMJQpCa9L4SzGYIJWA3wN/oe6Ebvvs2LHlcwDvABd2h4uKBh56z3iSi95EFkX7okwNYFJ
Dsy2guLj/YkkVFKnrbPw4Up/0vwZw1KilJYvQtehiAr2YNgNMKMnVpFPyDkQSc7pQyqfl1TkmvlX
RrejFGD+Yi2RsZLlqFf1hjoArkwLSujBqjnqk3GqPaCBVN71D8R7yOpOGBPZgcQSbOwAJMHaKtZu
vlWKE4MAankw2999VrlSL5BH/x4b+u/lMXHdlDVESQkON6rkxmrB5daYHnahHWPWw1Id3DbLj9eP
yPM6O5GEqUNsUh1VFVgUPcnCZkqdH0iTOPrao8Ayf78uiq8f/346dukA2HjlYqwQlW+HsXkBwK0k
Hf47EYzl7eZ4SuQaH0w1ppOOi0Nq99ykoolpvkFCFwCTh5gOAqMH85qK2S7lEUeZI18+UaCaJNAe
s/IV47VxixdRjsGZ+IepQMX3dS0Q+7+M3kfLkgKLXdq8cXUWLEsVXn7I/eFHdxhWGMHOpZSxFJHH
ctVwFfI7cb8dsQwVQ9v4L9uLaKtOnW0DUYNUyI48esAECsg6CPSf+952Upi4YJ6lGqUfHPLvgR2K
NknHdUT9Dm5Yh23Af0/DXOZYjavWEWSIXd67q30z9b9l65ig4qPd9YBSsG+W8rGNbi3923X95IxG
0s/4JpmxKN2MWaW2hGTtXrOdKMQi1bk5LG53MMJLj/8zOJQDY3ClC/goHCCUeKKlde6L3/0Exsio
sZpNK+1UUJDtubAuaSNjZBGuVJiocu0ZqOI0hJuYpGGndLN+2po8QrlLWi76cDM3j4l2VNWbfDt3
ohiIq6Fvsj5Ab5qxvdQrMkQK8B2NAMBUJLeeROTkNMD5YKJ3YpiXv0XzVhQdPqA+1e4k25/HBkNO
17VEdBTGismK3UTtBF+9lr+0KQUuG6bkvl6X8erwPxzEApmfgiTAQrX+vQkDIKJJdEzHgAUTTJjf
29Y10fDLZCcGteHkg2cbkThwnB269TZe8kD0wbjFfUwe/vsLmLewEYniB+Iq1a30Uf51pNkOUpRz
YVnd1IzCNfldzOqLmuSiEWjuG0BkB8RZTM7q7BRpjynVZQMGkacpjqle7OouX4JJNDxLr/DjFb9J
obq0S/LLvK5HY6Ip6tL4JUYrJ0x3jetT3Hhx9nz9e/JkYanGskyKsQEW7/eyMtIMkqZC/SMAHNnj
ObV/xamfzbe68td/J4kx0sA4tmdlRmw8D8XDhk3/eUzDcrj0BqYRl/8/rABQEHfnYtS0jUq5mXu6
8LyAmHVafNUe3BRo1dcPxY0r93IYZVQtqZ3GFJFDdQMiBFRIkD3BJlPs1T8A3X5/JsYC22mTbKhn
oat1S2HUW7cGgLoRYuopEJWveaYEe/eggAGWJBh6mcww3+RtymfUytUERO8d+j89tjsz0Qo8t51K
eWZkDQMLiFEYOYlpTXJUQP3Iw+INz9U9ytbukrlYdTklh/4+AUKpctmEKJ3U3LJPTFPBgozSMg1M
GLlLGytqluOJqeHrjATyettPjyRQz6LPxrMZwBLXTGQdeGIskoBezQRbZCilxUjh+6C0YgcFbWIG
1zWR+8XexLBZ1NBMAJBuUDmLyjvyq1seR0mg61xTgRqTgmxQBhgt86SWjujNmOAgpMqcvjhprd+N
v+vMcrSpFrgyXkQHkiAgL2CkD+RUzPcZegnXib1KT8YAe/4rN1oH3RtHMjCAZgXgADdmWSDytSPz
QSd2MhmzOymA+V4t1Cii6twO6Y+F5Ec13xwSqShOTO39Iim3gENxpLUHQUc73Wg1Rt670UuWfvFl
8lR2KJMq8qk0F4BAApdgUu6Iqt9iXv4O885hVpDuRCIb++gWGvi6VH3rLO2CZZCgktJT3GrwZatb
NOTTHyjH7miMla/1ppHLEZGBBGOrRW6nnvL8TxQQiQZelI30hs00kjJOlXKyYd+BP5J97fvbVkSg
ydVAw7TQyQIaDtpP750VoAyjrZ6sDWmao2wATT1Yazh1QVb/uH5fXPXbCWJUYbaz2mhjqJ/RPMex
7UyNW6enSQ8y4LmVAEzeHq8L5DafAFAHfmZkhygdM/EhKIv7qaTPlxKMr98rLGZLLnpe90CgwpAY
9ka86xK59oIghEGdQocyMs6EYJtLV4Fj7PWA5++AzIa1zPjpugxu2oLZt3+EsMF1Zo9lTdejkZgN
gKVJAIaOofhvkt+AqRalxl86CNRJ0KG31iuucRnd6kUYL6o8W7/7EczVNmWHpbIWJ6VL5+on43Me
yjb2cQCOgzRJuF3LS15QKlPQbSIU754xk9lqzFK2IOXNmodCut+MY2x+srqjahxMIfgV1fgPNouy
VBAg1RCgbLx/EUqhllqCiWgMNMaH8aEObRTjF0ThJWYLxRkw15ftxNF/30Wmi5onQKGCuDU/pCY4
MVQAFh+t1PgT5dzJYe5wGlU1HSXc4doUt2sSYWWjO1WaKeimcVMJkEv9e31M9BYPWbEWFWzWelIx
Kpmf4ttXRMRbYemAqxU7ScxzS/oU08ER2uaUFJR2LoonSPOHQ4tu2upNYROaR/lgow5z/Q3yI9Q3
yWyvtSyraAMvwoaRdSq5AKFJd6YRqnoeD9dlce3zThTz0qZoa+NFwnOvgSdToQlq3q2xJ9kr1o6I
wF1za2m7b/darNnp4rYu1rBG0EU6zqFWPsWWqYFnj1l16wCbqbiijyg6HuN+VgBSTRNmTDy0jkPQ
p7tGt9wsueqoBVbs0De5fpvccpMGdCg4PFRBsEP3/rX1VtwB6QgZk/5QHc0A+1HAHrKc8QjwnED0
5Pih+E4aNaO7+9Ql4LogJKMeaAUvhrP+SrzcJa+0jD2QxKYwO5kX0dTKf3iCb4dkLrUqwS3WmwOi
yljFQNbvdJxPvQUdbYhfwQKYqXVelS0gnSjg4yAHIp/anZjx8koZRfoQ9bJX9un9MNtObeooMq/h
ppUHSVIOqZS8VH3t5XIe1knsbaCQy3rdQysWJb9fUWslLggmD4vUu1pvPVz//lwPvft5jG1v46FP
N9rtHMFzbYFuzhoqv9NjgYGgp/zoQt4+AGPTi3EopGxbEPbaoy8BnM6Kh+P1k/BtELhzsBpHKP0E
Y/2GVJ4GBZsDKF9S4nMFcAbRc37Ug+KUCdYjuC7qTRRr7jZjjmu0DGDSC88AsgVma8h4F5uCj8N/
nDs5zOOUV4ANo8gAz1sDd5KuywwH89vmotIAOndRtPbaXv/wlXbimNcZW4tVtFG0eYRkP0z1Z7HN
TtEZjbsSxVky6TNR2jAm0XNcTF6hY1XHHAIiGYNXbaNfYjXRyfXhJCvVcV5019RBWxgNh3pcj8UA
vg9pcfW2dqtUFnx7rhYDVhVgNKA4N1lE614H/rJu4dPnS3oYa0D+jJYXLZlggYlq0Mf7eRPDePKo
7su2rvA5pOWusv4y9GNVDe5sHsb5MlYHJf4tUGlql64JZFTaLnJpAWgk5hf/mrztBm7VpWgZ2oq4
MvfEyLt8DUAXAKMXmNAGUsd7+1zU2qBsswk/DrDhIpjOhSc9aQFxx9iNvOZAHOPUe5tPnUMdaC8G
nYgIklspEJyc+8J2P4QxmxsqGmaTI5QxnC2ITnQPDnMRGMUYUP+1ghlsyAOCGYFUrpnaSWWsIWX9
Jh3mH2kD94tyQ01Id94e5b/skAQInhrHFkQzfNe0E0kvYucRi2SMbaWHv18TtHTOPfX007nL7of6
Tpt9q/2y5aKFBm7DDvQt/35mJvTdthYbBh2EVtgwpHOjKCkG6ldapdLA7WS6LTY2l290a3M9GJXA
GXBDnJ105hmV3SQldQYzIyfz7dCSQIulX5NeHI0es6u9aOOAH3Ts5DGvyFQSUmKqCc4nd/ST7Len
NqR5b/ysBjpyNGRRPlCevOvKxDUWb1LZZcctb2tQdBGc8pva3XWzb1qhHV8y+0K652j5dV0a/05p
7c8wMAbO7p2jwClnm44Ip4lHZ5N+aMZJS47Z8Dikog4Q/2m+iWK8hDVARE0HDwC6sRYXqz2am79l
/+9lR8RNKBn8cyDGEsWq1MWbnCA22y5K6hnJ/byex0aQnInOwpiZzipiLGTRwLB8ao0nu/DW4bn8
Awz394dh7Ap2vaIMCIMYukIBBKZMezXlKEGDqXP0uu/AYgmNi94JHhp3Imp/iYxxMZI2j/IK/qPs
i+d0i4OqXZxiVRNHmbNLrZvBPGfeksm3RjmdZ9BAbIb9OPZY5IuyB90WrRhwYzREZqA607EmphnM
U2zXMentCOXdAkxnz+kJzZljB2fWhELkAl5MsBPFDo/k1qZm2K2Asz70mLS2g+y+COA/wXdYH9sg
+fZnqeleJBOuFYrdRaYJ94HNfgUVVttRaj2c5uIxXpfDbKRfrj96la++YBbXDazqqiwWhDT3iWSt
qCbHbfNJB5Ob3CIoU4eDmjTnVs+cpTDcfoqQqDp95k/ZIY3X4xhZrozhna7V3WWRA6X/UVV3zRgM
sn1U5sIFB/b3DVOyzopKLnIRQVbNt4z//moWU0LvpAVtNRQLrOpnWfcOmW70LHO2WXVNchkyqOjs
X78pfiSNsvH/3hTLZ1BqmxbLLTxeh7l7VMK95RzfTi5Fzah+icohfGP8JoyxkJu2xmtCJ/QS+3u+
hA2IMLTvU/s7qQUPnKfj2u5UjJFEiyCOLA3J5TQ8NHT/9KEyRTdH/8aHGHQngzGRRKlVezFH2sWi
aVUDSmMZ06l0Q6t5Gc9CiDj6SK7Jo2feBUSz2kiqXSA66DvNWevmru3yYDUTy5nGLATq3jnuW2ca
ALMJ2kSnTUQs3IJHZTBGUzJB2p4uuFQMQjtjv4ZxuXob2mlNLWpn0EiHPStsIfJrQ0ZJi4WUwPM1
i1aFOWzM9mfTto5ij6GWfQHL3m1VSr9mgwhSSt7hdiaK7YXmulJsq45MyWyP23Yzp3dT6rZCxh+q
4R8P9mbnGaVJUj2aapREvXEsLs3QOfW2HpRSPiUNuS0zw4vnNrC33q1NciI1+m/zKrAy3Fxmf1RG
kUqrbhS0+PAKj/JJP1UXIAmHGljiCOqTkRch9ssei+80yE385Da+xG4ZpJ4Q3Zv3SPe/g9EnEGF2
FdYpaf1XdhWPEql1xwb45ZKLcSp3fCaDI8pkXm3otQ/ARPhKWg0poYVL2S5ds8sOdbPmjrnNgEnC
urw5vvQV8NOz5o5o/WHNmyCbjKNRkc/Qf6eGVcakGCjbq0NDitqV1f6wAYIViHVBI3/XzDxoF1Cz
RkvvdEXuTNLws0hNVxoiZ5XIadrSczkQf8E4+bJUh0rNnHlIPHWdnbjIXFXfEPvELtBW74yq/bYp
sr9EWJbJB2xcTpG/jPlDlsfPA7qgaqQIsi7RK2AyEAt4OIYcWyh6FhjYnh/UafspY9KszAvBti63
57b7+oTxBYpUz/GYoMY4u/Z98hXsSCfrAsCLo247PYqscdCJBg+4pwPuHhatsANtsuPUctzEQ0zw
+LphOSmFeeoU08ea7VNtDoKL5BqwnSjmdEvWztlIL9IqNd2zs9XPDOtTq4DJQAbES4UNiqIVnY/r
zPWdVMbtmctE5FhGBmJbgzMAJ8oh/eZ0S3ObbU3lVODvW+Q1WOKnXFnvpekFOGGC7I7bGdj/BsbC
mds61aAspE2xCKj9qJxjqMS4pVxfy60kBGGnf+7De94dmTFmBIlmlQD03Ssb5QIc75Mc64KiJgdj
2lb3R2IMlRYnrZq+dmt966SetCA/oEV8X33uvdVrg/m43Hb/h40brn1UCGgwqCtEY/+9w486pTRm
cHAAwtAtyLe690v5hyD844Wc2Jj4RwY7uAJwnkpCCEH7OMMN7H8w+7DEKKepl8FXcbTci4O/WUNF
zQf+a3wTzSQFY9tMeQb/78UdlunXH/p67sFhmE3+9TNyr1EFsxRBGVT5AAJj1nnWaDUsfoNi8QLG
GQ2rlvEi2qrkvvidGEZJkg7suFkKvYc/ccmiPzTyeqytLTCyNaAccwB3eLl+Mu4N7kQyvmxutXLe
BsTu/XbbYSUXdLlLXbua/nRdjugGGa+gt1Uft7QdZA2PZnxRrdu8aARRiegsjLJ3cjlpXQ9tqIxH
Q/1Lt25N/TmW/7p+Eo2XgehvV/YBlj7qMzMCfo+n9froF3ZZOk3UHE19DCsNEya67Mdq6Zh14jYo
7fZjcmNm8X01L79mkjwC6+DY5MpNMk9Y8djOmBU1/S4qfttzeZq1+XMG/DMkuk5vjJ+WJL2MRXVR
N+VzEmNVTlWDWNVvDEzJylr8EGeVk1cS2CyX07gWAuUQnZR5Xgmp1L6U8LLt/BsK8nE2OVN9rrBx
OYlUn1tI3N8q4+0se5qNfoIiktvqJr0DOot+oo2m6Agfl97ktVPc6Tdp4ogWpLhV4r1kxuMl9TyV
OS1MmwNgudui94fiUs6Srw2TH/WWq63WfdF1gTlaAo0VvAqNcXQDWaKqp16BrOZdW1mI8YA6VojY
KQR2RaM/Y5f2DYNWoMMNu5LoYE+psfpQy4GqP0/GckylDrhdogUq/sFQYMT8KeD82PG/uZIsRace
vFzQ2pAfq9F0bCJa0+VK0YDR8DplaLDbONq0FqtcQGeK+l6xHkgcSsnh+msXiWDUUrHscjUpgEEX
9cEwld7aS163pKJQlvuJdkdhlJDko1WNMpSQ4klH2CvaDojxfLB7IJGhidR4AYI7iKFFjDscJGtE
JjvJjA5iR6AdF1pYo2MD7ckAn8chD4cTZX9S/OIOa/cH6xE8sq4we6M7Zh8Cr51oRi/nIhrnZoVo
+TQdyxNg1TDVooN2U1j4oNf3URL4DHVsHSCgY1yDZppz1qSvvbfsNVfNX/NDnM3J/NmJ3Otaww2J
tH/FsS5iUdHsU5MFnmhKMPQKekHVHN3W6v2+Mh2QE5/MuXiG9rYCg8I3ZjvJjMmWMOY6zy31gUUQ
d7/r9iUGxtCmfTbnl7U8y91xEk3V8GPbnUzmjQDWuYjyBjPg+kN2ASfFi2k62BaLbyhVE4b20UzH
CIaHaVLj5/V75nuNnWjm2YyZPJsRgQHtfeULtkdQgs9zB2OKr8h1IOmG7gbTi30RfWFu+R9bJP9o
FGu6s3E2MwAEoPF1Sycjgfz82bgrMd3stcfKl44jpsTPAAERHJjrkndimSeDGR+SDjUU2bi3Qopb
5FmXNjT98gikdrA951iH3XRHvEkvUmkmNrW1UYqACIIALlEfjVZ2yiwP4q3xTW14kufIlbr6qzzL
osRJ8HJfo7Gd74qjHtAgC+QmR3t0hpsxjDDVhP1i6Xb10CL/E0xvahDfviwTqvYdmGTBQIaG0lrR
Mfl4C7u48ZPySdYPpfENwKCSEJeWvpErBkpjDJSt0OCfOszZpZXgPkz9xakOckBxCkQEfHynhmVS
2ioCMyMT9EugWClBxosBAFgnK/WL1s36l+ua+lrt/HiiNyHMNUozsYeK1raNqvtkaJ0zVZ1vll+N
xngxxv4TUsrQzFuv1OpgBYDytlp3ajkDrWYJLL14lMzu56zXgT6nv611cwe5PNUbwCsAAiNnGbpr
s7P2k9NLqr+SL3UKqKt+viOolK0leDRj0Baow60cF2HUqA/yODvNMARqp30fptEfWqz4lAYQe5LD
WrZ3RJEelaoKKhVEJnVymTc0cDqULJX0rk0rZ2lHn6xKcP2W+CUsTBv/8ymY7z6YdZ9jQ58asAXD
1TmYvBSAm4V0BBhroGHkixYA+Q/5H4nwvu+DQSkd1QilObprS4ee8nAO9EA9CL0CP6J5k8N4InNZ
yyWbkfH1J8qLNN1Qavrk3jrOFxpaULJ46n7T4E86RJTH6+8rxW7X+wMOcbPOaYr8rMLMlJocU+3J
UGqnq1Ah1QWO/vpLwvbOe1lan00kr+HorSRxo8w3x+91+XxdR/gm/+08TIC2ZhjIIxXOs7aYjm3l
Y4t2Y6sE4HBw+jw7XJcmUg/GwZir0di5DIUc58XVtk9kesgkAMQPfgtYLUxkzZ+uCxQdj3EskpJt
dr0OOJ7lrtl5s17IZGFnZ3XqqhV8Lvq3/rNN0mTG8M1F3DWUaxpUnA9D6yvLj4R40vrl+olEmk//
feeywKhW6UOJ6ZQoQf89Oao6Rd6QunO3vZS6wM5yj6TL2IUDKAFomJjvpQ5xkUrov3rlgOWjCFyH
wdKgIRALMhSupu/kMJ9Js9bMstritbhiAeAPlehYsCTPj6l2MpjPo4zZWug0mvu0ulpgWk4xOklA
PAKqVs3vNHSQClcwd8gvNu+EMl8rUvPO1koUvKnnTQ891jIld3nI7uh6CUodj9eVQ3hIxuJ3crWu
udrRIfT8nFr55xrDyNsseYbSnEH2e7bs/N6clV/qAupzBeBTtdwA6lh2RgtMZVIjuACBArErPmqe
Er1qEchuavc4YczfipSnbTVc2B1R9CqSxfiE1hrLYiU2HYFMHwmo5LBNFHnJgKgZzbpjcgbp6RGD
egfBnXMTzbdvbDIuYem3UbN6nFEPKaOsQhG8MXWYB6JiEteYgWn49TGCW4fxByV4JFW7o/1I082y
xx5xsWrfFvp5jv6sU7OTxfiFJtUaKBNSAf3BCsvDAqpaLexvMqcMKleY79C/9sF07qQxdibvx2hT
VGPzTMWxQqD9gzyW4oQvrgUQdOCQSJ5IJteO7kQyJseKkikhBWZZajt+toznSFvdwbxUUQIuj2hy
EtsWwVxRRbh2SsYC1draSqsKRZkBjrD6f/ObFue/+U1FY1R8k/qmLIzlaZKeGKSAYzcBWWvnamjp
W7gYhiCF4j+6NzGMwYlJDT6kVUIVdw3MCTwX2IHIL4YpwGwWiGHJ34CbpVk28I49oz3U2m0dPapF
kKo/BE9ZcGnsTo2ZFF3aZVAKo7lN9XOR++3iET2MuszRAUI5Faiv+FWFMwKN8ksNRJVW5Keomfqg
JXQenq5CWCa7epkAACfG8uDmxU3qDH3j9yAlysGRIm1yOClBNwGqh9xlhWBukxubAcsO0EMWZlHZ
ZUGSt2h49YCrIM2nCh4/zZ3GPNiq6UT6jWau7jwG16+b+1F3Eum/70KZralR9B9AFLR1x2G6GNnD
LAfRn2DO6zspzKvbcm2zlUpFkzu9T4FG2y2Ontw10Z0uJ6EhyrW5GrSTxjy7trGkqp9HkPZiDX6c
b8sVhLciQCp+H30nhXl1da11mxKBZ7T9TWEWlcOaOS28HHbrgvUszLa4hutNHLs1o8e61uQLaFOV
JxKmB+0zHcIea4fOX1NsqP9KLV5HUXdqkVatWsiAf/Zqco6AMi/XjbOA+qB7ui6HX9/bHYtx3IVt
ka6XAEe5At1kIolXyIZHcsXXYAHScnEzIrmzPN1k9uxPCvaQFww+aVrmrt30eS6/5XEqeP1cF7/7
SYyLN+ctIZuND7uoABJA1OQNYOosl0/W8Ov66bkuF4v44GIAeiWget4/viifAHingTyoSihtEBEN
73Mfwu7vMwGE3G8AzBxKzRv+UssfNgm2SRR40Z/4wVLuRNCfsFMUay3axK5Tykk7ArcPIw+Suz32
XvoTC55n24tF6xfcd2cAWwi+BttqH2xknSwW6YEujT5icqHvLr+VL1uo/kWXTLo/Yf/YS2Pso9lv
c7/FYDUcqntZetpAxTflP6+rgfBIjHnU5wIb1Brlswf2ZumXoQnwyy/1sQ6qEFtkqpBujBcu70/F
WMiuyrstrtG1yNPPZf5Ttdw+tZAX/LJUR7e/FoDIiT5dPyRP1/ciGXMJ4GfSTRF0favvUzN3+u4P
0hxgrIExmBJ7fiDzbRa1sQFlB5bNqQnBiPmU6uo5a37oqh1ePwrPZ+4lMbdXLl2kFBI00G4PRAL+
k+3ouauMX6+L4dkh8EfrgLECYDXQrN4/rUSqmkpvdVAtJ2BbiLwOy5gLZrNCVUSJyrMTe0mMkhey
tKXaiLXZbf4cxYZfqF8s5ft/dxpGx5emmUqlsnQgg4zHvn3UpNIf7fggtZ2npLVAGfhPand5zDeS
s25M4lrBu8XuOdikMLJu+5MrY/FO8sjj9bNxV8L2F8gotw5CWaAbIm7Tww1tm/lQnqtjfgC5pLeF
ZkiRQqpDelyDEQgCIkZk0VnZ0KDvUoBLymBlRo8s0LEULrnqE0aY3OkluhMuF/JiY0MHRisNjVFh
Y5xWE1t6ZTdg8ssUL5nDdTpkGCRM+qfC8mTrt1SfY/2+EyIFcx/dTizjy7pslfOsGnVPA0YI+Ubr
zSP471A5IccJRCEhBnNOreKKcjiu3drJZV6hLStTbWgzmBmBv9Knd1UqyN649aL9hTKvb7TKWC8B
9YJdm8GjLjT2Cww4J5+ReTsaiA1iTAVcV9j/oDJvH5F5jdu0TdHcwW13ALtIgTcaeeplDCil+3wQ
UchzDRkorcAcBOicD1D1yiB1HbiH0TgGANsaWlHQDQEIXHoRwhb/KkHqjG1mgFJ+4AVGigoazQpX
mdzQ4aL1JQv0o/kAdCgdKAkU8g39JRCwC26TFwQZO7HMF9QwLJ9GEyi6pwCsJW4LclcnddcgOdSv
FU1FE0mk5osNu0BfK6sKblX/wN+r2JkMFEw4u/UBJZMbsKEvrnTXuxnePrnBgq/bPhXA2Kh+GQKv
xC2n7kUzD7EBMj+ApCKqrphbpA0t3Rm/poAKKANFcsTTu3xlBXwOpQRUtA+0wIoy9MvQ4nrtytGq
L3V/E6m3+SC7S/zQ5/dTdZN3Rzs/S72g4sH1izvBTHJiWWQe6w63XEt+UtgYwvfXTDTjxDVsOyGM
PW1jkmrxFoP3HDBPNTD59TDvH8p6865rqegwzHdLMqUruwGz3DUdaM+Vx2U2sU4gWgDia+bbx2Ls
pdxbhVpbiFpIvzpbWV4IntyQATlkaw5FDigEtBiun4z+8g+PwcTss4bNe9D5MN43H/OiVVp4JNN8
UZon40+WkY23v8+u3GnTUm4YlNQxxUTZxqeDBrLGUojoyH9Zpg72NWDhY+iNMcpyXGJZKkIurPep
16L2k6vjcRw7t5esgyFHWCKZbu0CpFaJcjKrJ2nSfjbmLFB6/m2+/QomcsqTeIrTFe87ztbD2Bbh
gBXH6x+Mm/Ubu5MyX2xq5mKWyho3iqyxe84Ppb99ng69t/gUHUj1QEMoCYfEuGBnO7HsVnlvqn0a
geURgdLqmwEldCeZY91g0cPt7igVJqXAjPzRhVE9niXAnokAmLjzAPvfwHRIpshQIklrwL/hWehV
EJjs2tWPg5M+x27mxE/K8fplc9+9RQHrKLaLyS6tNW3UFhLMKoWdXK2b/yHtunbryLHtFxVQObxW
PknBsmyrXwqWQ+Wc6+vvonqmVeLhHN7xoGGgAQFnF8nNzR3XqpevE7dSwfQJdzIo29IhXM/EfCU3
5G/c08TvQkxzeOk9D2eFaS53oij7gpkoDOujAdAdDaduf6J3RyoTzFtxbgH70dnJod70TCgqARyO
yJ24m9885McS6MmrLwT6iQ8ew1sUdfMLbTXzGDGYi67oXgdSjIsaqVhxNIFtYHZroq42aszVMLdI
ZpB+DdnZDpKNoT4ofn2Qz+JJ5RRbmJZkJ4665a2ZotdASRDyW5d8ekIN5LZmMwfitXcB9JT60E9L
14IZy63QXBO/RFvYRJttJs+lcdEiL0FjynwejReOWM6NoruS+2rY1nTEi50dQBrhSF9LAMsoR1A9
IeYCuagfObyeHp5IyhMpxsXcVMCcoo/cqRVf6M4qLxXLHPnc7ybliJRyn/R9NIPTBtaxDDUfc2iB
9Kl5ADmGJziR354Vp/Biv0YxsD8QXo46jDyJUwNhO/G7U6WMCRiLM8VSsb2LHwW9Mz5HD7JgV0DE
Q13LQ6dW9kt54bktHF296rLQjWQQyQ3sIxl55t5Ts5mTk+CJoCwK5hytRh9jRAnrbyRZ+oXHj8cW
gBEmA9YePOrU01KmVqwkPTy81jiZ06niUZuR+3rlZ5nvv08p4WBE8iyDMAd6H2O4DR2xQXuQufTY
vGVQeqhjSmTQI0Tc0aq7IIsB7Fns377C7Ov0vhLyCbus9br1myCpguyKjaOU35QykLZvt0XwNot8
wk4EyEoiUUlxGHJX2G2OQd0ScxKOkNx3lZdqQZ/xep+YYTYQukULqMzSFc0YCO6XKU8K1U0iG8xU
wnxXdgcFdcqJp2g8SdQ7MtQtKlEiDHsH2MHpksuONLkpQA4K7/Ymsl9hoN8iz48iCdx7ahdBPjHP
cPvdpLZXpztoYM3sMmfEO9zfCy6P34v9Qu7kUXd0Xqw8t6Dj7kaaIFSMYNuCg4HjySaMeoS0gzu5
wNTFnUjq7TetJEoy9JuArmEk+TuHRPEx6OdNu0OHaIUWJV51j31+77tKnV+3jnGODKnqaulzp55b
C8/XeowAyslzAdju7m51lA+QzfqodCPcNQ3YPYClAKXrcMr8NFgeCa5wchwGl6MzzGzMu0h6NsOY
pLUtq+7tDJsDIgugntmTM0ODgFbw/zlDzhEqlOEFDYWJWVHcvEjRg7aIQEHcn5XxM2dhTC97tzDK
/qLmoQJFA1YruqxeAkD8AVPT8Weyi/KfuG6AOAeYOiFJo8e7zFHo+jHFG9yU97F53gZOsyFbA99/
nzLAei0C4KCC0lfpsxC/WjLmGda/rOJuG3mQ5ESZr16t3VIoEzLr01ovkQx3wjikM2DSXEXfbKn4
kmkPOpeSm6V84I0yCacdSlG0bxhniyZIgymjEpCGqDqEWpi5adD+GLwsLJ90i6PtrI3cy6N0Ihkr
XSliVPIMDDKsWgRmNuhE/q1QPxd5793WQNZW7oVRL7MRZYaJgXO0wdT3FjzC8qwrp0W9H5XYjsyZ
80gTHaAPbi+N0pEtk9t6AAa6G6G/YgUX1sx7x5j4snsRlG5MVdkAoAcB0XLfe4SzKXnSH3rBTn7r
n0n2nXSICq7lRr0diQ6P6JRpHPfiqddGXKqiH0fcgvr36hFgleFVQpPfjwXt88vd8Is7j8eyIHuB
1FvTbH2UbiRtLAezt7lKaB7UN/z61eaNoDCf0r0s+pGR9c6wAMaMTrt/4QUE1p2OdkKUMT0TYynO
beVkOVzIwcsYd8EQP5JoH12Fsl0FdZR0UkQnWbohnH2CW88Dq2fZenRn6aAJUVCzpkdrMM2oCUaN
SGyQvggNyCXAiC790T17l0FtndVNXV3rE2pO612+PUt564zyF0zaTEIgL7zqL/uevUujNm5tp2zY
iI9lxd+t9NGKD7cP5vaOYdD048FEumQumEVCuCxjqMeQ/awYwD/BQyNk3yZEPUByI/wMdAinW0Xd
gigMZYJQfwSMgxk0fh0Ur8XvHnSBfoaZOa6SsxopwAnxj0zqBidgm8jKalH+lfjqL4RaSPGAw83Z
RO7qqKsb1U1XzyPJAFwIYEp1D2qhr+KDbsvfSOPLeBp4hQn2Dd4tjlJD4FTUi9bBrZkd+bihIbhG
43wHQtj0ATyj4cYJ/Jl6shNH6eGsSmaXFHBvhBUwSa/RFCQTp9ZKjuPqSXkXQbfCV7moik2tIM+2
OpYJjKTHMXGVaLFvazxv5wzKIRQsq0/zDl7A5K/eHAAH2DO8AqTEhPQQgIIcb42zc3T3e5IYURUj
cQFm4Bkzo62dpuKnKeemeXlyqPdfRNCA4BONBsm5OmCG/QkgicSzISjhlqvhoeQPe/FkUl7AbK1p
vcV4RhTtHHfh1J7n1eUcF3GSbqkF+YZdrK5OubLWvUByvaRZhARgwwl2JMCcL7dZhOmx7XSQMhmj
CqofA3VOxOW1Z0UYfome2la9l5B4WsstuL029vZpqE6joVjE1OvHpQkREK7MGa/iosr2orWfhPan
aTV/pIDvUqhDEpQW/b0gpXKVFSX+2jqP5TmSrK//21qoYzJVVNmNqVXcdOhOiZz7c7O4ysDrImAb
iffFUAe0RuKG0ii8sml9MqyXbf6L4LRFPCBn5iQ/3j50rAEL0TRpQiEAkKRCn62y206YAZovWexl
a2T3CQbjtB+ZDg4owdbzx9ub+B9s07tYOmKQhHYF2CqJyLUfcUhY6uJH0yW9Ucr34vhHozn7ZVIa
OFTZjGgJPvZcYWEbsHS6r0J2lECYuPgT6sNgAFRDziLZ7/L7IimFXJtNFvQIrbul+JLWvoViYvRr
k8F/OXtifFlTr0q+cGSy9eZdJqWeeL1kMLBBpvmcHYh7nTjl4xZ2J+E5P08gHZh+xb7C8wvY5uRd
KqWtlimms7lge4VwRAjT+NFDcx97lWhHIdp53BxlxcbJWkDYchxuZvllf7Lk03Zm05Rmcc0tXBSS
20lDsB0GFnAKFE888bxu8vZfWWgZU/sA5nsD+PgoajKkxQTiJWmwGw5o+cVMcxKK3Jlm4tHcEEP7
B4tYlbLaIO3R1j9kzS+U5xTOgV6+TMWhmXkbyDy690XRXkLTLyXwFNBkrw/fR+UkjL8V8bsENKQi
5t0H5gsnW6CoAVkfKBUp3ZQBGKKA+Yf4qfoxcSSkUXOnPIDR/alweJSb7MN6F0apZBtlwhQv6r8j
sX8PoPN0gpkc1neLovRv0PKFdJwh4X3YfMOPj7kThTWIcDLPcrkwOuzTel8V5Q3LhTpHI+C5sIWY
G/O1e0SZoDgw0BDuzG7l5fcKClT/D14F5tlB68ECDnQbmW64xPToIMwFljnn/UVJV+CDJiC36R7N
KhltrQa2Q66BDWiW7HaO7LSEV2ZV/fNt80Ys5tXV2H0FZVFFbdRbgN0oblw8yemdZHm3f5+5vbvf
pzRUbEbRnFv8PtAhemRdauvUDZ/0Zgsy4cdtUUxDvRNF6Wcy9VKTZYgCpFlyl76xxVg4AcfHlfuB
ZyN5smgdrfq+amsMk8R/g9eT59YEnAxAswC9NPtv+Dlu+/X2Ctmbiewj4I8leORUKNVKTSSpMQKC
SoDbJ6pakE71XyWQE7Ux9UuxsG/LI4dzrRz/yKM7kNetyBt90sAX2GP0VpG9bev8Pu/922LYOvgu
hgqrRjVdcgxOwwFsALFb1qeskDkRInPnMIKOMic4F9HG9vGhGSoynt6hM2nUTlbipQAbyoSHOgX8
+5fbi2FqhopuIzL7owJZ56OktJvFuC5Raqqy8zYe8+UzOo09E13Vt+WwzeROEHVz26ixQE0EZSDT
JRh4vZdftMvokqxB/Sp/ui2NqQnA0wf3BPKmKk2lYU1ZZW6Yt3eH9W4GjSPYOWXvtgjmEWm6YYHg
FpzEdLtfPVjarPQIA3rV71e3rL11BCiyDOqX37clMY/oXRLd+Cf2CzoZWxyRlftye1dZn1flU7I0
HCPB3rN/FkTD66cT+rRHhbhwAAQo9MsYWcB35pB18ISQV2bnrE2VluTVaGItnZclwRr9VDSO1WHn
qHb7Ran0YE6xWWPkDJ0b5R2oYsCLU8HTaIAS1tnVo+CWHIm8A6JU29pmjAxuUO0MSDBCMduD1BwG
6R5ddpyCFW/7yN9325fJUTc2FeosiYSqdyC3FzAt3NY2pvO52z2y2J2IZAPNl4Uha7ecRicTP2nL
fWN5ggggE1+WOXED5xLRVNF5g2bgKMN6pkELRXF0jL61R8AqDUvuC0ry7fba2LHCbnGU95Tl0pYt
JUpH6W8wMQ/RKV7DwXgEXOoS+9L4qNb3Igq1t6XyDo16BsGpqdUZ6MXduk7tQi3tZXqeMDN7Wwo7
on5fG92GBkh2ecxT7KX0tDokBNMzV/lLfQM7JAMA3KIfR+3pIqNY1Sv6PDVEt6Nid0PvS9tLUWJ8
Q+WNUvMkUVajASGqsY3YQb3wZO2zaMa2Aj8J89u395B5UjoaPExNVS2Zbn0ugV9pQBaa09Vj0p2A
TlzylIGJgwng9n9kUCrYiDHA5COEq6TUl35X/Ole9HpnexW81l1/6DVwNSQvdzOA6P9JfkwHeI+q
SaaBgvrHq51HI16REs6tLF3AClAn3qhxGlbfuruufLCdDMp8lElRDpsA8wEUJw8k2IMr/EAo6cae
+IK64h3q3ke0VtvtmczBAAiXF84ywz4dT7KIE9QsutG4mmN1G5oFJgVN1YAxngaUXRK7aQ/Cdola
T5mD20rDVM6dQMr6m+ZQm6tGEnWl32Zf4uS5Vr9X1fMfSMH0JViycX7K277vzHLUgx8b4OgoX6Xe
plyM1DGf4yq8LYRtQ3ZSqIuWjgUG4XP4AL23+ZJbYQCsC1VUS4VgCIpLzZPHvHA7edRTrW2K2fYS
tCW6LEhUtcFwWsLoPP6YvDdYpBOwzxdOgYfZ2anvhFIHBgL6JZ5r1A/mR4xnef0l8ZVPYAi8T+4U
bw2F83iKOR4C853biaRuXi+ZYI8GL7erzH7Xn0bjgDLqrICpiaOMvA2lrl9UDZEF1hmsrXS77cci
3wsjdwiSldY0gBOA2wXqcpPO5qMlIuoLMJojBzEcwMPnTRh8hCN/+ZMu+70g6qSsKjFSi7TDVuhw
To8d3GwzLBqOU8VUiL0Y6nSmRhCzhcw+Vef2u+SOz1rt6meU1BWMc6qnSnfkDCTpvMwRsfS0qdyL
pc5q09bNnDoof1Kc0wLSUjCLJOdCau1Seh14LFBks67EAeRBkTQCx0mjyRTS0k91sSGmrO428bto
+reNB+v3MVhpAB4OElA6+vi6iBEYxC1SUcrMQ6k/rB0ndGC2yewFUNqwJiAMAYk9UbvGNT2MUH5C
af2SX4zn9FkJrKD2Y0STEe4w71FhjgrtZVMqMijpHE0xZJO2Du0ekKKAfMDwGvKXi1N8rz+Tge6F
W/tmvS2mZSgSBpwteA2U61ikWZdaGVws0r0ies2BDOqUTnyJ/O030PHsOWxDbjsB8yTfpdJ5lLEa
MZTbaWSxUVABaFkxkF3M7kjZGBjL3vzKu+g8iVRKZW2VWZNEQE+I671m3KWtd1s3mSx7FpjRTVAe
GQR096NyFlavSYKBBFhKoF47oMCNkzcqFWA04ntTmjo7TaSTWlsBIAhOtT5iiDv7FnfiqdHjQ72U
p63pnBH9v4IoOBliIWNKCyC3IhGra04MCH+1lr1qM+8JmNDtr2c+y/uvpyyFKhdzsyXIAAxvc9KF
m4FB4zy9tYYRphqul8oyTXuB5D3beRtbKq1rGSG50c6DvSajE/U/IzVxdKkJo1Y4pzKv2Yi7RvJJ
O5EofStSvAIqofVmD439buKrL8ArCzR0v8VP3IoVcWVoc7hfInW1ombqwJKMRDppK5H8BkTJyBAc
/27O5V0p9n4aKFPpugQTSdlGXVaFPCYN3XLrT8n3PFPsqfRy49JqnsobsWXiQFgABvu3NMpQJm0T
y1aFpfVe5szO9sakHqO1D3RAXnmJn6Xj8mUGqjWGyNyNR7HB8nVImR1gAmCxEa9yb4oWZ5aKfp0s
ui/qRzV/7SRCrrHqPG5UlnXcS6K81cXUpkIbUOpM00M3OXL8C9nzKXn6k9u3WxB1eGVeSnrSJqj6
XUZophSiFuf2/ghGpdLlwxEyM6X7ZVHHl4r90C4GjH5W3utT5TfC4mZK4WgwMIn0tYu102ptvjJP
9mr+Uied85CztxWJTcKrgRkO6vJr5iaOIzhu3GFEMiYrTuOGfgD8vwJW9tt7y5yFtaR3WdStH5dU
WfoVwzwrgBBFT/W6s+a3QfrcE3h9sCf8JiSV6VMWZncywP1jN37lXU5i+68sgSwpugyvCJEx9TbU
VT9IWjog6s+Oy3JahUMxfrq9Ttb7hnzCPyIoA24tcTZ3mLAHfMdfWZk72cLpp+CtgTqzXFylDeOA
KPD0nzrtIEpP+cC5B0y12K2BOipNUfuinGCgC5AtDl+n8qRI95vEkcLsR9lvFWWX007ROk2GK2A9
RYESWneqrdvrmY8czlkPzScmqus2jgTwpB++KxoqOaLsi4lnchFUOYdvUc6N0gxF0+bw85GDqJMn
qfvyJ8qlGtYb3ohGZzx6ox9BjICFVIjVp0fZ8m//Plu33n+fskdWtuVaZuD3p/lUAcYE+D7T4bYI
ts2T32VQdzCa08xMN/hni7+4ElrCwfLs6E9CUPpFIPACPmKxr2/8uzSiGjtfI1PGzuxmzOaQHJxa
uVuolPBwR7f+rHgLmE25JQJm5tmSwVNEZsjQ10QpQT9Nbd9kiDGLM3C6QLywhJaDwqs3XXi9TswH
eCeKehbHWQLAmYWLWpunqv0arWfNcjHu1/CgwZhezU4Q9TBGTTcZWUEmPQUzmHrxkpmRSwDJ4/H3
Vv0aUoEzu0ru/tW5KWjTemsgkWmaQXNcpMlI8TKtBHpc9Ir6iDSOOIaxdDdsoVR8v62WTBPxLo82
EXpSp8YiolxQ935Sa7YUfQVoAlA8g9tymBZiJ4dSjnFchKouccMa4buUJ/YSp/ZtCcwA1lIQRL0l
f3W60pIlUMyGAEiRser2mHri7NhdSNCBhuc+zO0OwFW8DAezFGcpyKbLKsqkoIb8eNGkSk0qOUJN
ovfMQJlseNkh/Ak/ul/dDJS9lWrzQkm2TFwxwwQMHwDyKK1ctlxfZnCREfBvzD5FL/JPdDCS+DU5
gS3IHTJX7f9oe3dCKRupNWs/lDkqFJ07uctZfI6PDeIJO7tbv5G2nDmUfvI61dlnuhNK7W6RZ1k6
ELXpETL9zYiMEcOTAfQSFTMnsSsgKcFDy2bq6k4oZTuTJc+HbtAktzHDIfq6VJzXhmm9dr9PeTKT
XC6rvuKOz1IgzH7ZN04X3Q25m5jc3ldyr67sCeAgTTSDSKgXULIAebakmgpfI11B+QM+Z18/9D+0
I/BXfB50LvMV3cmi3KdJKSJgcMMLEMyjWbzm8alVuYBczMPZCaGcp1wthzmZ8IxOvuJHrZ35pVOd
Ok/0hSOJVRKAZHFUn3le/4hEwPfxirddk6JigJKBor7q1i/RKB11MG21mQ91rn7mmDHmC7CTRllK
kEKBJbGFypuXBm7ow3w3Pycgr1Pv1Z86wNVipzg2QXYakBXhWbPbJwgkuY8r7Qp9wXgDcoBxOrhA
DnJiSfdKjVchZD46uyVS9kucSjS0plBKvbrLu8oehR+pAlZ5rvYzvaCdIMpmSZPcSLqAokQvfF0w
IpIfFsUHePusfU0QcRaPyVjYK7q1GjPgjlUyfYedcMp2ydrSTDooTMD1otxFPWC/MxFA6stjrgBK
XdAO2bQ4t5WHd36U5QJ4FlD3Sb693LwyDyrAi/DKn0yOOmu3LMqiDKtiZXoN/VRs0RE97Zv8xl4w
fY3RKzy7WQwioixIjm14e228e0FZlzwZh7EbcPHRuNXHjgDa9vwvoTmkUKC6+SxmMWczmdn4/Uop
U9NFZh+pLW7DeBRQwSbd0Orn5nUybPlQH4Rj7lZO/tqi0R5wBVx2E3LX/rPlhlvz8S4a65KZTYn3
9t9jnWWgu/FBBsMUGjkOtzf3tlXV3nz7XbigzGsn6hsSQIr+IwaLSBv9j0b0LTzaSZDbUhPWCbdB
n6yD0F8qo3lYs8ZWzS+rkHq3l8O5enQyUjBKXSrLHo1e3dHUfA3Yzv1w1vDEjkBE1iSO087cPeRW
UHqCE4hZ3I9HNU5G0woCKUmCXj39kSycN4FpL1EbAQMX5mox7f7x9w0jqWPTQr5R2hZbQrxTJLbZ
KGGl8EZy2Dnqd1F0Y37aylKxajDNcqAe41PllsGc2T3g9mNne55DHv4Be2lAktbRPitfgUkPfS1I
MVEL03BLVbNn4SgaR3X8clsh2MEpQaz+lxzKegAYY1XMEolUwgqLKSDAFEc+qHtd4cCrZTAN1U4U
dVpaXq+jRJIVRm+8gjTQkRIrKHs1SECGl8e13Vcvgs5LYbBXaMjYRSAziqjEf1QSQBq2c0mGRMB8
bM/5I3o1FhX81+1pW49zdCyry2B19sIF2mO6RzvB1KMTbYmSyc1b6WZyVQDt1UEXZvfJ63CSAiCk
enIooOrFnQlmZ1Z3gqmXaM4EQ0km0E/UnnrUfP24HVKve11OhE3nRykD0xcgYS4Iwz0CFVZ7GJrk
GBr22i1Aw0ooelwh7sZZEpuTiVAhA9fguBzBEGvolW0Cm5+7z8yrYrzLopwzw+oXebRwNZdo8rrE
eDKT3msUNHwmU1hKqZNYw3mN9DPKdE4VNe68TqttrrmLFPSLVBrAncdfbl8spsex+yjige3MelVt
myG2yOTH1WkUEhtg4/XIaWfhLZzy4jIAIPXLiHBXb5wSubLu1A9wbzhGlm36dkuhLpAoV1hHgbMk
+YPEGS/1ryZUbQVV6M4pAvBu39465iO1k0fdG11Ju1HuEQaSyYhK3EDF6s7Lz3J0lOVzLnKksb2Z
nTjqtoDhe24ivUSrk589rA7BxNwwHxF7S2nrQDGPHYKYnj+QFgMetjfzBDFQhpY1sO2YdJF/Aep2
moGBA2Cr2ymOS88SVrT8t0E+N5y5AnZpEEVIkBPgQZYMap2ttBilkcNP3H5Ifn7KH5ewOeXn1df+
hjy1m0t2IR4bSBIdbmqGGW/vpFPvjKwOazGmmDWtNOlOVDQ7F3NH7NVQWjCeHq+2ZDR2HgF2Vo7t
ZZ6C2zrFzjLv5FOPD6jMItPKatzH1W4OcJaBUz3EqC8YAYpLXPvHbCwCdcy/d9ukvNS4mURtE5D0
JZXDBeZfsqOXOOj9AXVtwkxqubzcNtPmYtbGJKxw8hX2eLGNXWPF8LaAs7pNqKplT6LsYdrWlniA
xMwrSnKKpogX9Qr9ezabdexJXWCs7xoLjLembc3upD5V1QsSwbfPjmlKd8IoM9d14ODOkcV0s6ly
JAX/dP0sqxzSHZYdAFWtCAoxC3hZVyDOq163UyUQbKFCPkRz4+Rd585ZHYDK9m5M0k8RyAu7/GC2
0znulXs5lg5NOXmDUZwSs/Vq+dcop4GUQZFTDRNy//Uu4PMwTaihlgBXmrq+BrDJM3kToVARsOvX
zUulGj0Fwv8ohrqnmzFEuZkvQJdpHtdJtKXNqXgVS4Yj+GEp1F0UBLNOqw5ViqhM7XroULM0HtrK
sqWlCrWiPgHhwcGE3PPtHSR6QgWOe7FvBnL3JGezpkazhN4IuRfsYe29tuIhbLLeyg8yqIhHl4rN
1GMsbXAlXzljst1LAwBuOtpRDcdX3vvBuBoQZ8hvzruKbPtHL6OV9RjjJ1CKtj71qBzkfWglvK4O
xiOliJIqKfh9YDjT9attWZM5btETVsR3RRkomlMUYc/jnWdLMdCciEqZpdIFnrXKrTHuYaD79X4R
3HwU7dQM9UHmvPfMLZP+kUMXdkDG3aNABja9pBuPo1g+WlptGwmv5ZKp40CvMzVdBwobnV+exjUq
Eb/LriSdZ+WplYIme8giO4IviNlYu1fC29rNinOArqEQrD8RdD10a25WGOlWtgmm7C6kt7l+Fg/V
9zc/H8Aot2UxzuqDKMoilwaQ3XS1QPdNdRImWzBeqvKIQO5PpEAfFANJ5Ct4iiHT5SiBu+CqhhPr
D4l5N/T2UH6/LYVhFVRsGvIHeKvxH3VjtSpO20GAPlhi+dwp6Q+BCwDI3K6dCCpAmcEuNE0mHuax
Ahl82Jv3aR32C6+0TVwKyr59WAkVcoxz1sGZghgt96f4The/jUsHSrtAU78Jsq8P6BzkdjgwrhOE
GhpAROB2XA36KhU0bp7h5zSYubCyxzY/D7xgkn1E/8igM35SpotiNFqSa0rFyZiLUyyuHKvA8g9V
cKECuw13R7oqV0aK2allh76AxSfloDJAmy1A8AiY9mzzCmmsZwLSsGeagg6oq0Jlna3NVOQAHiE5
TFhvQGkSgiYybCGH5icuZZLI2kIdbKKiBG4HA/2BHx8K0BML69xiCyVl/qqn80kTMLmvdg+TWJCc
sfipk2tHkWTQolXuJOs2PjAAUpUDT/IA/pzBN7s8zNAsU6xqsIrS/Txrly3+FpcGPATh02hNZ6XV
G7spvitG5Fb5qDtqjTaLWD7m2nhZlOJo6F24idNxUmpH1M6G0PmToD+gcGsX9QQe1diyC7TmSnF6
nKe/Ork996n6q6tiv0IbLzjbx2Ayh9ZROtUetpdaboJUl7zZeN3GNpCT6ag0laelKCgg4tZ00Fdo
xmndmiDeQAyji+csqn4kHSb9NLN6qVvzPu6/Ax7uwepUJ4/kb0naoiXEfNmsMpQ1TDE1yBwZ3aGa
X+NW+hXNmZ8vP1PdOm4JwnpV+FpYpC8AWzv9MqfNsdb80peZ2xedBzw4v8MPTKt0P8Rg4zJXu6wF
f1OGE6Y1njDicAR2kbuJVs7T6KubKQPThlAeyQBzkq56g0QzEaN5XsBEj/ij9wiuFDYvnMGjCbiI
wSnvLS588ZWaUTLJ33cuFia91XQzWpA1D03YLa/NJvFGAYimfrBylAjK5UFHpBLPgGJxCXFUu9n5
UX0gSJnVZmdH4fPtx+HqFaeEEcu+W88qNYq6FKCkTg7DofLNA+ivD13wXxeIiRhFApQ4JtYxkE/d
TjGtlwFMBaKb9FUwDqq9KUKwTIV7ezVXASIlhnqHpgnWr+pL0a3M17L6ummY3dxGuwXoBLrab8u6
NqiUMOo1SqylGcoSHKrxl8EleJiJa35WgtVdAj59xXXrICWNUrzSmqV5U5TNndVvsgqg5TS2LdET
wTUCyCXzKU1OncaZqeRtJ6WJUlSbybRMYL3ug8065HD2VisQW69deM8TTxSlh1mbatVcEwXRI7tE
sAkL71XD9LTGz1Yt/r59djxp5O87rRcwaKNUWocxtfk7ogpXWS9F8XMUP2UpJ4NJjuXqMu8Un4o2
K/AXD9oCe9EkkaOYaljFDUcR2YtB0kuFJ2leNY6VerX1wgjKp1azjfw7MAnlyhvKA5ja/tvQ+U0H
/5FERxZ5bU7GuKCnX15qp5vQ41dLqKn1nFvMtOvKuxjKWGhy3kZqils8xvfpEgzicVqC2wrAE0EZ
CiEdsrzsoQAyAZetDSfXez8zV86GMa0riFBVEeZPv2pM64U0UucBfO6t9VTFD+bcO1EXRpKzYFp+
RIuMwiPZ+A924l0kpXC1Ogzqqvd4FJe/dN0px9ds+RmlTrQ8TGmI0msF8Lvbm8l29na+F72bsxaV
M4Yy3HUanvN6dBJTO0nq6IpS/CstB2eca1edukAXvujiEDbSY5k0nK+4umkSqfG9O4CUOdZafZsS
Gb06VXeJMamkcqa/r+39mwAdwRqGB4D7QyV1dFyO3lSXv11awiGANt7gDQEOnWg8dtUrBQU/GW60
gsZJ3QJ9NWV6ayVJk8SK0QAqP1ZaaY+Jl3OnWVg5XED9AMlX0dF4inGIj3YQliO1xAJESARerngg
OdwlJMyYP1RbcrbvwzNvTJ+o3wd7iHUhNy8SXBl0NtD1gAzQWWNeEUDC6TUdRH8yfiiZcFbjxu6t
1R7bkmPqycNxQyAdWrXrBl73ZRWB/ILrXRVy4phpItpaJ8B2NTziYs763nIYu5fFlOMC/wwoiS7a
2Xg3Vnhc3EU5pu3FXHidr1eLA+WYgkkkwvypYHyeOj8hb2St7eAU1JpoF31n1+M3IXOThtPmcH3D
Yb2QPwBYE4ZfwRFCPZgzPKvYiAcRPRxuM4Q1ootSd5UtzNKXwnJWzHxhfqZQL2Y923n57baBub4M
wKCzTAmttojsTJ2yLwmCM1Xbas1VdTca77Ma7YWH2yKurcdHEZT1kMcIk9IzakeG9qpGP1SJ8xIw
rtpHAeQDdoohCrKYFnWmIVBRfAzluX3Qtjag7aLPnTe7QI79tYJQ+OX2shg5fx05C0AGy8htolhD
aYiEYFFtFmQvtCg59Eb2I5KqsO80p45Q9tsyJ8mj5G4ac8+sjKAdAGzcxeEwlXYBj0Jrl0Cfp0Mi
vspp/lwtxX+/7R8+jzrZDWXpohAsJCWEyK7aDklxXvvR25X7aAE+bgF1tK1uGIVFcB865YzEfJhE
aAivwmLt/NGynAjobeunfjh2KcfJYOjUh8VRR24tYtRqKnQqUk8ToHHqklPxZDRJf1wa9UrMGwad
1w2gcEIoB81BsAmu8oT+lskjDRgDqBZjl5eS5y2LGKWdJiOF3c51i7E2wTro3TGav9zW2St/FpnK
vcpStkYUrG1tW8zyK4AOLDGllzoaMkfjp+VPAII/yqK8pWLJSy3SQdMz1Y0tJKuzyLpjdtmzgcdo
a6TQlMpAkCtXzpLn28u8tqnUOil/YugiQ5wnlMYHtzpI4E8vA1JJISmy0h9PvOIp7x7QUGtFN3To
C8G+amjfJBySWxgHKxgcVi5f+vUr+GFbabi1JdsyvcPL60ZZOMu+MiFqnW2licJl0JwNpFm395Lx
QOxVRqPMSDpv2doCWNDNxIdqPZv9N6HiJZ+JpbxhRjTKjJijrhXGgDURlITSS/xxtrW/DACYzyeB
BwpFzv6WMMp0oLFK7RvS0lWWv+ckxSzslyq+JFuAGgRI4NWI98BzLrVGWZIa7SOaDJZ0tz+CgP0h
91LP8syXHK68M3mmP590LiY856JrlCGxlm1pmwbdPX/PHithCfABOz1iob+BlO3lTzXAGEA1wUlr
8LSFMjB9goKjRtgPh8Uvis9d/TMyPv9vCknZlSprtV4lRYNK/SnqD9u82V3Hqefzto+yHwBNko2I
TKj1+e+q9LPqYez+ytoHmQsnwNFGGn0N9CLt2JD+hM4tDnKwOvmn7pw4uSd4yDYol+hJ9TOveTbc
5MjrqeQoJu3i1sIgWyNpbO8N4YQBjNCAF3r7sK686I+GmHYvIxl5wo4AGEQqELXQ6nDXF980zqvG
M786ZT8ScZOsbUP3hXJPumUKF7QYd1owHkTAnNxeEEfBdbKnuxda38ZkiKNCc43uqCv/R9p1LcmN
I9svYgS9eaUp29VebfTCkNQtkKD35uvvQe+sqoSmiLua3YeNidnorCQSB4lE5jkbPToSkYllhFcM
JJYG49zhvGmnKDEII9GIyZ2kfdHTVwVd3bpHbkxJF9zsl9fnbItzx4BMWiNPkeF3pdfq3zL5WM1X
kUhHb3k7na1wCJiXrdINjgnV6Ji1ceaBHH3J061VfS3QB72+QH9I3M7GOOjrtR6daqbCJKrZdJvi
7ukm3JfHBrwLhqce7WtRQWF5H/2yyB/JctyPnWMxlo7ppiCHqRXE3DJGnP8+dwQbtNBGzIKzyUSy
0zAwwfilxIPtglXiT2E8NymNk2aGHw9oSJKIO+FdyqLHmBx7ab++SqJPxsVdpOTlaJnYsdl8Q5SN
LJpVWI5r1Hhsxjb2qRaCd9oRIvDI3g1rb6SOm8fPXR1EUeyt+7G8NL/s8CUQ2rTyVKTwQ9/2YPa3
AmPL+AlFSC1w5wMAL1DHqntN6hlXoFTts3EHjsk5D0gnOLxFVrg4K0paKvWQ4yxqHdeMd02VBnF9
V2n/9qtxCGdkkICd7U6HTilx6ylydcNxq3Yfmcc5vi5tv06/r6/TH1DhvFBcwLVzNEqVDd0Q8+Tc
aJpnbcAVUIGQJX8ieBVh6vVBiI52ka6b6Jty0FeRCdlmbeEAHFWvtlqMl/SuVaM2YYhkQ5b31NlF
9lMugkSd27HTCmL4sjXeOPYUWLkuCPc/XKzONrj8brDayk5tnE39Bi1qfrG1TfBJMdWC2rNuaR9o
b+sLt3zeng1y2V47QSS9KZGjVPV1JsVujO4NIhLZFC0S2+WXX64yq1K1dd0n4UPoKK4eHjo19/r+
cd0ZwQrxTYR6Gcat1Nm6n0AbWnM6tEGEglK6yARXlGrqMYxStF74YzS9zF3ybCSiFnvBkqgcTMR2
WYa1BcyLO3poB+gYtxADt3vRSS5yhUMJmqiSrts49uQ+9I2uPBR5JDiGRK6wn3Cx8HmqzzUmSgHf
AIL+Nsm/dJWIHHihd57d2H+F8CcyA5nU3WR8lCcZR0nqx5VL7urn+biXPP1Rd238V8MGyt8HJVBE
87ofDQCfL7xn+xwuzFmIedn2Y/os3IIq8p8JNLI17iHeAm3BFiP/+v3PD56kG1HzvmBvqRxi0BiT
aI2SG34b+SZ5z8J7A0ODxBIgk8gMjxOQazB61r8u9/VGjSpXt2o3MpzdZP7V3RDPAiaK9RoYmX+P
GWueZEuxWa0nkzGdtLeaa1t5yqZ32RDUIJc3wNkStwGGrIuUKkYmWyu+TH8M2d06HC1fNM5/n4t+
arYSFINi3GU6aM6M8W1fKmh5osGooG7lzF8VU0REL3KJWyYJuWw1OInhF+19LX/TRVNNCy+JbLOd
feKgHB7ICWg8NAz6mwdrM6LwUf2jIiX5okd7wQfks78cxGBqmuHxBNvbq2bTj6b5Ef97oNLrlOOI
DOX/vdP5N/9Ubs3KglZFWgKxGgXlgaZwld5w08g+zOm0/ZvwQPssoAP/4Wd+9LRT9IxNiCmVn42B
Wt+gXTfsAhX8K2juXzf2hwTtbI2LDAJi9V6JB+gE1W6NGZvcdttn09dvGDlDu22vYdWrN6JS8XIC
fzbLxcsQG5gY03Hp6bortbTcsToN0WG2so1R/bCSI+0f1h1dvmX9MsjP9phpBLF1A35WpQY+tNGV
u1eJmG4yXNvSy7qtzx0LH+WXszEuGyBSFzmRjKz3g3722O5AzLBBQekgerhYPkjPhjhQjFq9LpMe
aS4EJmbnkYJm3BCE4zJ0nE1waNhbemLNOZpsc/o1bat7Cnnh9c8lcoLbW7ZjpANozEEhg9ESmnut
A0mO4n7dyB+KVWc/2K+4yDkw2NU4fYbhzn5jvIAU5DDfawemcicfRa2BC5xGDC3OtrijH41YYVYk
SNfT/fQUeeVD4YU+/RnjugNy1JtpZ72teyfYTjZ32s/FOEwNyHEQcEzpzgn+Vsb6d784sFA0SwfR
JKpwof4SmV9H7aslifI2UTRwyFDHpVooLRKXMN5LLTbnJhOJPi8nLb+Wh2/6ikwyDaoMzeekubL0
1EsgYOJ40DkVgatgWXgqQQw502pM4At7n8qucZvaxu/KFdpRNr2HIU6QXMl+scdo4aGnwXpILHCb
sMWCJJWKBhUFZb7fA74pUytVE2xc9ZRetVeM2SR/Lr6kR9MdAy0ovWFXI/xFdHbLeHE2y+2zHOwb
cdRiEth2Hub4Wa8EePSHvP5sgNtccoFT31ZLAxuZ7DoMoW4gTQgerQQPWCFoXvXYrXyy7XzFs/EQ
WIsEjZdPkrN9bq+V0dwOesRky5RDL70qmHYqqn1T7cw68wVrKPqY3IYz6k5zLAl3iFlxp4Pq6d7w
bu+tL53vHHDp98TVyD+UGs7ucfuvd5SmKVuEzYCxalxbgmw7URftzR7jE+92ExHsksVNwkbUMIpi
gXeAC5jMas1WKdHMwLCr2f5HpVPcr72c6VzY4eKGjJGqtCPFiyrKuamvPNvgrHbAWjl75oZxKlSY
4hBVEBfR7MIoFyx6YZSGnqGzYLR3k36dF29OLmoHWQySCxtckGihng9SG/6n4yRFx0kLquH1QFze
dBc2uKhA4kSgFSSjmeiB8VN3W6jwflyq22fLs9/0x95jU/fKe/Ncn3RRiCwC9tk6/87f1rWSJBV4
CVW73Gla+jLQ/qay2k2eiWYABQvGPyoo0lD1jorUDf1fTvSYl5t8EI1DfB76AjJfuKP+jsxghI5j
iDFh4FSP0C91GNMNSbdVeArD1BuabVc8JSJK/eUb2oVRLo9TM7nMR6fCc/jHaHu6sTX3x+gx5sHh
OL+uxwsLuU+1jwtjLGQvkq1CyqzCqGTdt9En1B6b/i6VfLXbVeG2j0WFsWXIurDGIUgMThqNabpi
4gPM8LcK5rJAE5BczV50pNCmDr+teycKRw5J2kbKiRICSXIjoKjBNariSgZmikQ1JOGicfCRQQM7
Rn88GocIqDeLydOVdD8W83EOE89qiu1sf9Xwj/1QH1XF8KReF/HbCdDF4NBlxm20kDQJ7XbG02B/
k/+iy/n33cBBi1JLelaA7tF3ptsw61wiJEMR7Df+sV8b6UQw+MHarySvy02w65ZbWVNOjaW5bfxI
m/jKBvlCW4maAUULyL/1l10bUtDXMB7h+cXYsONNf5ROmpf50Z3o3iHALv7Vv5TM0tQU3HEn5S7F
oT3VfpY+rse+6BjlH/1DCPrOcYQejXozv0zonGi+MXna0FffSANWkvZa3TW7+U1gVpAl8NlslaD5
pClwSQS/Q7JjiULko7Om80Dk8NT5bOpT2lKw14VBQ1zRlxVZ5xAm1EmVSg2s61tIG20xUL9lLW3W
ft1L0QJywNJrWa53rMemS392yh4SDO5oCgohIrQ0OUzpNXSLDlaM6d8X2cOUIdMWRoKHkrT9Ao7O
QNSbtHzzPsOzySGIVdRoSiR4uOh7datmt6VKMFiqeJ1uuG00XZlF6Ja60YLSXf+Z9q/r31SAXzzf
3JAWZZ402BSNUm/qFO/qevPvlo3nmVNb2ehLY0KWXjzmcUCll1iopsRygpUTlZd9rwqaGt0MfrAm
YMRkWUAODhQIi32xSb8IZ51ZgeqzNRu0NHistz8J8tq1GoJwBU2kRtvt1Nr6opaYwaoGt0qBnmFX
+3RQXppK3c82OqZClYhypOVlO/8CLkeyiwh99xnK/dLO3urBvBtDr0e1zk1d9JRDMwoMgoYAZEQ2
uRSpHPU0SjucRLR4DB3iVpK/Hot/2Htnr9gvuMiLhhGjTNqMp35GAa2iIzGVXQtE9tEu82Pf2k/3
AoOiheSAa9SqSVY/2BxBFdhcxwf047oyWMTBaSpquFwO0bNzHHo53RDSiWLJBsAKoyUksJa6CFE/
3ghRhcHUWohyMFZQgjfXkdHhBvF9ghGfhOww4nMgryAh8R1fvR6eOw+y8Lv1T7qc/J295NBMq6XS
ijr0hCgRvSVQsNGI4UqYvXMTuxTFi2j52Ll0ES9F1PfZ3OMtQMW5wxgO+kO1Z0zsg1CIc/ns+eUX
XxSTCkKNuMTqKdOGWNGmnbYDiUQOLadiZyvM4QuHmrGqNLSOan6CgpsSmOqhKe5t560tr5vpPYpB
MyZ4zRP5xQGJ6ShtFRc4fSzzixH6Spe5IENYjwlBLPIc9nUmWXpdoCRllI2fSsYxtAdXtqfbNNYC
ajp/UzAHjdc/6OxwKBIXbQw2HpYmEDswnGpbTKYrhSL2KpFXHHaUkWr3GUX1cia+iZbO8kufHIi8
qbV/6Q8HHJhXKNO0Q19Skl+Hna/Jj3K8WV8hURRwaBFJJKQdKGV82gWptu/BopncrZsQfS4OGIwi
IrhiY1XqxvGj9rHuYjcsKI7QTSkSYGH7/hP44UIHgTwQi31Ss6dxk4a1jdZH9sDUQNKTtSZmQqxb
dOlshq+7TE1m5eBEYvLvfjcdNDkFW5U/2yd7+vEXH+/CEocLcRoaWsc6QhTouiWeNj13surO9Rfd
EUEQO8VXvh0/WVF3eWkkFSo80tFkFcfTiCNY2Vpb1gsCum9v3TO27GvmuKTCLHXizDmKPU5202v7
Bi2kOYanCWNp65Tv68aWXx4vviMHDUbopJZJcVEpp9EdUajTQGrS7Ym9c4bT0N6W2TYngvR3uTh4
YZQDCiXW6ywfYbT5UAJEOWJXQhuMHIxrbRvt6m3qSVcVJIKjQLoVEQ0tKHSjfnBhnUOPxLCGymSh
I4PlOQsohJAbULhJQb7rNs4WrSkgcTfAACLKBNi3XFtZDlNAsghFgQFuJzWkJZvuyW4sQf62CFsX
vnGYQlWqq/PIaiOKC2qaJHqiEBpfjxlRgHI5Rtq2fUXrENUzxuI5g9b0NEgo5ioPcfmc/u8igL+t
Fl+LkcvGTNQQHg3tpsP1Pe/uywzP49HjuleCL8cXXiyJFLNso2Q8yI8k2c9jDg4JwZdbTAXPq8PX
W5xkaHoMm6MPpQnvoSTgKmlyqJLwmLeZAEWWhm0vo5wvu4xxVlo0q9DP9aML2r12jDYx+K7U28bX
X1q845ENETWHLPun46YHMTUDWsHYABfJmmlnydiWLeqcINGBsMRQ42F+CGbwOK0v1vI5czbEhbmd
6xABqtFxpebUnTNwSRlXFQQuejsKRskRWBO5xQV8UiYkViWERpxF4CrelLLmdv2WiioPyyH4y6sP
2Lz4fJIeJapRwI5i7sc3x3xMRDzpAk94DqI0JL1MLXTR9PHX0rkLQR1XEtfWBSm0YHk+dZ7WWh5O
Cp4EyziIMd8zo8V5HyUPdHhdjwPRF+POyhnyXWoMcQVf1cD3Hntx71XCR1WREe6IRGdGSU0NuVM3
eaBLcfJbKqpefLSDfT4aoGgFFlSQGfAcn40aQZPTADIYXXWdJp0rqSC/Gt4zuX4wMaGtT52bO7mb
JMOWZLPbyaVfUv2qLV7pgL78BOTnVXJtU7l25bLfOEW/k8bUi8PuSndA+pZMooLL4iJrTHFZAWMo
9vzvm53khFCw6LL+GDyr3827CUq+BKlRGyhe4U+YWWx26YtNXNEbqcgyW7CLfTKFJSb3P8QEK7zW
e2kUgODOVcOt1QkylcWlv/CR7acLSxGNDdCGw8cpD2rquAUDtTFYD+LlIs+FFebvhRUb4tW6MaAy
QfdaAQ218BaEPH61n64oGPxTT/T+u9zpcWGQg88h0yRpVkFgK6NFIPKKOwwRjSiCp25zBTK8rbQ3
A7qnmBSQ7wW+qvDlU6BfmOawtKNgei4SVA1qcOdGGAHUqMe8nSGUQE+KAB+WG6vO5vjsIcpNZwpB
8AZzo0+OqT/u8qPuov3ihmze6o3AO0Fk8klEAaKSYsYVDB929qHse8W49CsPiud7tEl6xh2UiVC3
Q94kMMyA7tNnVc/4wQXqpGa5ZeQ4Ohh9f7mhG+dafutBAcgqn8ZtLer5X67RXxjkYjbMB2LnDdKy
Kb/VDb+EAGB9rWJ2uQt3YMf24qF0qbkpO9HRD3AR+MpFr+akHR0giwClv0p1dUiW61a1S5XnXEle
os7a5xCigBzEXVn1biNbQYkqcJU3x9KpvarpwAAJVspwfFXsMLAguixXX8fyrm7MwOiHg1RpnpRK
m0F2DuFcX/fVmCLNHV1KX5UE6kOm/NB2WkBmfOk2gnyzdB1G0K8bG8dVWxBbGpUVaDOoiqBSmLid
XbiGHIMnYtLBogv1GtoqgdTQZzC6QD7JsrypmO5teQqKVD32svbFIO8pbXeZ+gNPL7siDQNtQAk/
rrd2oxw0aXqVQ3UX5fEuG37Oc/+zbVPP6fEgk5S2m9SdmyaFm0omaljfpHnYxhXIiOMqmMv0Ea9i
j5VcBmY6es5cushFPVBmufVgeaacnwwj98bpO/tgYxz5UmPhybO7SmfZT0j7mFvUVZVxZ09vWSGP
bps/pHlyiDs0pelAk3B0G+ho9n25gQTMM16O8OUahGEj1a5q3IN1rHWLePzajnnkdknv0qKmh45a
d0Vj3tljCnG5Pr4x8/5707cepSAZSJwwdq3yLc7Vu7qqYhciggZIR1Gkq25aub+VZXPyjLS8yZpH
WVMPppp+1Wxprxr4KdK7nDeVWyTqrhrNfSfjIEXP6FYZ+ic0iGwyR7/q5GpDHIIqT3GD4Zyf/3J/
crAHKfqh6zNkxq0ve2QXefHo4uRyMYboKad867wJDC4i0Xl/8tVZ9N8YRQKhZb9tTxi+fHHS+kku
v6tGDw7kKgjpYz3PQTImbl90eJzJd8OIs4YUPyIj9lTN3KShaMSEObkCUnx3Y8bUYkD8iivJmAcW
ZqSTMnahNfmQON8xMg26NsPVZElwvDLoW7PKTqSL01UzUoUqUCDyQenflVd9QtwsvamFXVXLPEMX
n5xLRq1W61sjQVVSc05EGYJ0vAm1fBeqJdT92tsJA6GqBKpYMruTEx9GI7lr6mQb6eDTrfTJjyGH
acsEJ2LmK0TUz7OYylz8Oi5ds1qqJ2mPzkAQ4TWZ5NLyW58JTnfRp2a/4eJT61SfQiPGrhxCrOmV
0uMN0NhZ6HZZj26RL9xpl0FzCHRc2E2gqLkzHMuTO+1oTSIq1UV3zsmDwS3okE8TKQYcqkUJGM8D
apFAdb7FZuet+7O4Mc6G+LqA2prIaBlXjD3OLtqf6q5xsTt7spPoPpoPlkiQeBEdLgxyns2xIfd5
hpImke9a5Tbud+gnq8kAtBVViwQfke/D6EdFa02ClChu79PumtbHVD1NkWCccrmod+ERF3pQcq60
lDEm1T/Ql3OlI+uKfOsa1JYysul4n9yq6PWwLddPvq8vHts4n/DlwjIXjCTrcdNlbaKy6erTiyK9
r//9xXLbxd/nMq0uk0fNIvAMDPlWWmD2NXLVyK06XNyrII1EC7ac2l0Y5PIrY7LrsQw/5C1kNBCD
r/M23FX7NCAbISETA9+1j8edi5SCJ0kuEIjzTfez3nd4maChF++rRzbsOImmshaB4+zap8aLxgm1
qcAJVNHnsbtV7AcnF2Cg6MrBN15kYaobGsUsBwjJDlCo3oSP0XfLmz0myFZv9fv5dj1ARE6xb3yB
uq1CU5COoqysFk8WKtfIMNtCRP0kQAyLQwwwplZynqAblL3VZ/cfKQxK5tW2PLY/MR7wBJ613OtE
jyEi37hTS69oPCAlMzAmjcGbKN4MqbpJsnK7/gmXq6UXgcF+x8U3LGdpjKoKJ1ffufapj90PHrlN
LmM0QMMjurwxY1feGft1uwJwtDjsmOTBtLsIRdpSebeqk45zeaCoZlJRq8XinenCPw5EeippUR2j
GyiStlIVQQRAd5t+U+ZHCyrS2vWU+Zj3FBxrosXjgKS21TmxUGzwq/DWbmy3NH3QRqx/QZENDkDA
/llLrYzkkdC9M90boOYXDsaw2F4BqU+jgG0f9kaNpor2BSdLEB9wK/LKYPQmv7+LAlGavDwIfl4s
npI2bYxcmWN8N/kQfmljNz2VoMfTA8ro8VBek67lfXMV7hgbBsbDMImw/k0Fe93mAIXYFjTUYlRV
MfxrZt/b7ilND451KynP64YEi2dzoGJUqlO1BKm5XT7NaeSHKVoliSkIfpEVDkPaypSkHhozoIy7
1vu9VV3HImIKEX7w9duoKbK2MNAuMB26QA4abzzGjAzfZ6wBmqfvQjCJCJZJ5BcHHhZe9OUCspx+
XY8HDQoeYDf07NIUmBFFAwcd+ZBB6CJh48U1Jph1mMBdnDR7J9mOYfUvjXGQUTVDFaYaUm4zn9wi
RftAbWEwLHfNeVeQ1/XwE2RuvBpV2ITSVDDt1tFR79raklxFyn6s21heJBu09LJjofOCw6e0gnhq
iyI6WAgwwRe9mVnvFsI2wWVPflnhb/utI4O7oUOOSDHQgM6yYVt5mYd7ZeuyqS9tRJ+C9PavPONv
8yAUMefGxJNFEg5QuwKddUT8pCW7dTPLHfHa2TcOjUawWo6GFSK/RrG6cS28NAfshdEbgzzIt0QJ
1g0ux/vZnvZ7KmA0PV5wTXzLtPGzpPT1bu+ku1hO/DjarJv6QyH+bIuDpmmoY7WPUDKgOkijpbG4
IYZE3T4G6hdK7o7TDzlHvYImAVQD3xT8/13o2NzHRYyKffmu5OMVIUbiz2ksyPiWU5PzT2OBfZER
acrchGqEmVczhZhm+EPJFC8tIZeUiYZWBFvE4XCsdwwnHUIVqaWhbQu196J8uM56ESeSaI9wOGY3
hpRH5J+pt/8fz7LIEw698tyswxRq274Obkgz0O1vRSIAyOWGnYvtwAGKSUAfn+lASDZuGe8U6Lu2
QbSjB9FsAfuxn7Oe/waAJbOU8iIAir6TlajqcaTJO2v2E1B/2Rg3k+RdYnVukgtnV9lGXjPItXSR
QrVSEKjhoitnh8gYXXT4HXLSb4d89G2tvm7taitBALFRrLdq+mn3o4Ay5g9X37PPHNaktIhSa8TH
hRZ7MLO2oEOL3J/hjIg9ch1mLJmDmTiCDqajIMmqjWCKdn2MkWTbM82T1IqGMf/wwHh2i4MZKPBi
9Isg+6egF4BqIJSH3biARBQeajf51npsNXcd2dbR45Meu6EWRVaa6BEKq+96s5HTzJWch6YVZP9C
zzjscMCLGioh7JQv1kO5h/42zj08ZSrbYq8E7Va0KQSIbckcimhtYZN6snA6xNpLURk38lw9pEW0
j00TXPaG5c5453Ayc+NA2sFWk22dJbtZtVw0W2wLJQyy1PCarhI8x69DjyVz0JPWdjcajAad4JaV
meUuMp3ZtfO/EdFDQ9YvAIIw8O+4QIw8LiXW/sXUT3XMe+uvuo8pesyFOr6IRFi0wB9weIFCplIw
whK0kjRB+qhirIOceojNQ7cPj4tbjbrG43rkLn5IXVU0nQ2XQ6Tjd/fGyFGMokW7fqUrR20CJb9N
nyKqCC4li+h6YYZbL2smsZQ6QBo1DV0bnSvGrTbv52Gv4+UupIJW4z84ZYPZQYMqqsXhmtnoUaRP
ABtDu7f621i5KieBiUU809VfJng8M8KklirMNBXZG0kPA3lTVZBTHomoJ4PF16dj4sIQB2ZGilqU
1mI4c5r2vVq7lr2hPVKko65Ah6wOHOGlZLm4fGGSfd6LILSSsJeUCheF2pdu0j0m+pjwzbvts1Ec
zWtBzQE1PC/2s+/rwSi0zOFbFKVVP+fgimyCep8dLPAQSIG8ZzVtxq8wnmI/DJyr6IuoR0QQMXwN
YCQGgUAUa1Uc0WVXYSaaZG4UFcG6g4LF5CsASS6VcqeA/KOZ3Hx8aqMgtmuXSCedfjfIfg7HzbpB
kV989IQ6lXPWoa5ogYaxH+UxERUDRCbYv7+IFlXV8hEPjuxt2m/NGDIjp0gS5oF/AJD/7jebi4wh
ASciVVAZZR0fKms38dHj+aAiMhghf7ltIcGXbYgvigz2h/+8/6yPHOrCPWqMEBi0UQ+AAm0uJ242
PMwdrtDv6wvFFuKzGcNA4qmjcMKzMepDGGpZJSFncb739DBWgvvN8iqd/z73/eypRIuvjHepLGnQ
O0ZcfXiIRJ3uy5dX/P7/esGdJnOdO9FQofZkniYv3OZ+uJ9xc/OcbQHFLPN+/ZstL83ZGneotCHy
jS7GoCNa1crqUDbXYQ+B7b86Ic9WuARArZN4sCHmAzmzatcYamDF0VZWRUOyom+ncReQuel1PLzq
2Ko388baKEeMeZyUA9pQfMkXpeOCcND4y8fcaGlqYko9iu9De3TVcp+KxpaWt+yvD6dxp3A9NXoS
K7DR2dcV2k2KexUtdzaTPP4ezoKjQ2SMO49JUlToCAV499WLHV5naHeilZtnD3p6UwofvUSfj4PV
QpZJnGdsjOTFAC1gvumfrS/9kbL3E3rNmtCQqumy4DIsiHeN/aoLKKrLTLZRPkZhnvhRcZdDYKhr
9qbw0i2yw2GFM9Imj2JM4Q5Z4VnT85ye1CHf1+DUWN/Awpjn8IKOxdRB6Yvd7qEy9gj083Gfuces
UVC+h8G6teWU7RyPHFw0aOtqGpSt/WjAkA8Sp9c2e5/yx6R8WDckig4OMRyQ6kpQAEWHjwZB5Zsy
vW5Fp9Ly1f2MtDqHFqSIJK2VW3Z1731o+eLqHm7Yd8u3ov5jgTu8oFiWkD7RmYx41k1Hp8jRTJih
XUpUF/tD8vdrfXQOL3ANiyfU4dibK4Sdr5L7yLOOaFHznBFT7VkG/iQknTepZ12JJtsF6MFrWzSg
kOkyA2mSnl8b5UHXgkoK5u5topuqj9z18FjunLpYOw49IFw0aLGMLl3thjXMTu/6LTpYPbzRQ53d
vGJ1CiVASznmtPtwJzDOgHAl0eDpxNCbaI1mgqffIvLq/bDV0bT0anxlr3sampKt1+R53aIofDg0
GXO7rBMJx0Ab32fRbs6PkXW7bkJbzqvPocPhSDJQJ89aDMgkFQmMGhp3bbOd0PGpoNuPKZ1PdLyN
Qusqr8YrOoBWuB6vKaE/q5H+bHvFtaZoC1JFN3T0J0tSdnMSvURj+MVKfmqavAWr4yEK6ZXlOKc6
MYJ8tNyqjPZhOZ/kYdqDuc2LpeQ7ndB/GoFmpWVVbYwfxZ3bQTh+3V0WH2tLyAFZYalNZJjYkE4e
bo0iv9Ek0aOsaNE4CDOo3JW9wyiEzdKLCN21uLFohkgt9w8HgAl5SUdRdPmju+TiSJPauSe2hL7q
j7Qew4mR7wTGnQodEbKxBDnw8rl2NsacvjCWyLEUWmwcqEubk2PFHrWzjakkHhWS0S+fNWdTXNAn
ZPxHe8XWN2akugnZF9JXWt4mIimj5edzsFj+8wn5MapkImPdJGiqkA/kp/yTlXHZKcpYvkB3+yM9
Fvse7TiMnZCAlEhE/bMcKWfzXCZpVFSb1RKRkll+Q94127dFUmWCdePnq/JGKvtUBn1AhxPBKf0M
pZb2SxPPm/V9teyKg+ZpDPhoFk9TUOmylNotip0EQ8igHJ1Pdr7/dyY46LfauNdJhmemvsHDT1Ps
rLDxplokXbf8xc6ecJFeNE3lGB1GbFqSuwVxJTn1UuXGzATu/CENORvi4lxRo7QuQhiyrH2R7VIt
c0l80OzHEFRe1k0NSZOk3USiQTiRfxzel4aSz6OUoRCrFG5h+o6ZBI6C6SiR3K4oJDiorSASm48y
ZAZr9V2eDo38s5p//LuQ4KBWN/t+kJlmaGKDAvAV3JRp8W3dxPrnsvm3rbHNmzQ3EXVpc+jNr7V5
Vyj31rBdt7L8WKD/NxhsmYOCrtL+GQfCdMwhxzAQ/VF5khfuyifnC6O5Qfr4OB1FZ9UfDpGzXS5x
pLo50oyA3XncFLMnB+kGRUPcKUDjk2wsCOiIri3LOdTZIPv3FwfJ6GAAXEMXBWYB2SQeji0n6Dbq
63ig1/YmechFnLrLJ/7ZIAcbbRPZVavhRctWD22lupMmJIlki/M5qTib4CCjnuUcHOBI09Qtk+OY
d4rlljsmFirvWuqvh8r6trJlDjZGWncVZc8cau9H+UmNvySpYCj3D1n22SEOI6IEtFstxF4/rhPF
vc74nf0KAu66m+3rY3QdutTNbozb8L4RvHYsumdoEIy3IZdn6dyWLmrdMhOHmc6OcXZAadmdO8Hj
7eKV5WyD5x7JOsWJHRul8snyKtOvytErlKcBqke96qrx4/qCLe/tC3Pc3pb6jqJ8iAgcb/qXFrV5
EsSe9MVhLwNee2gDxhFsElcVPHkKPiXPRpLJOuYPRqQXSfttMja0ggxD/SZwjm2fT7F/4Ry3nyM0
ppJEg/zHdMi+VdfarvwOOez2oByiXXED6RuyEWl0LCaIFybZT7qAEKrPeT9nUN+p85fIfh3SE4aE
dHUna4IjWvQB2b+/MDTmtNYsxQCjP1xS4vqbnVAvc8wXwTdcxI8Lh7gtXeW1Yo1MbZDd3tEH/hBv
2XU23Ym1hpddMmzLckw8Warc9tIV2zELGXVfjGxlyNNAbCILyonLfSfGLxt8NVauqkGWNAyUMUbL
DoyWytZ2QwwLUwFOfXbGVjEA7xgaZFlQ9+cCoZ8KU6LtrGLqJrzqpruUdjfxX/De/G6FiwInRQSg
Z5O1RBTXJfRn5m21rw+SL+pgVz/nGr9b4uLAKmRnKiLw+TDV+9aHcPLBuS5Q3pO3jBFb2YXUtXE2
d/vksfDl4wjeG7CZn6aj8Jj+DJG//xTuBKioM9mh7SgIySGIn+VtewX8OqpvjAqf4Bwo9tlr6eUn
EefO5839u2EuazRlp4pi7Ds/HW/7RnV7cprNTZHi9BH11InCh9sLUd2b9sC2HSoQRnts5UdNEhWs
BEv6aaq8NSxaOqzaXVabjpJAHpv7WKndhoie1Re4kn77dPxIuR1pVWjGeKciT3ri0qvwToV6AZtu
ml7nLfUdr/0pYYozUPDmR/z4eR3GBCHDj6bNjVzKM0Uyrjg3UrRVcrwhTGgCQ0fp8DNVH9atLbR7
/O4td/BIWdPiyolTNYk8/TBsC6TL1bZ3QX9R7ctDuf2LXPl3ixzcxGRIZmJimrzAU8y23BRftBOb
ym299iRGA1HkcLCTwDU1CgcV6kkbyTx1oORpxQKhy3vA0aCTCeZ57K7fj7hUp0mTYgwaTcfFxnBC
31HHvdqOgvKRwAzfm5PUSWoWlYwmr+LNhsRVJAeZSFtNZINLsxIpNqVqwGkAQbKT0VlXxfCg5N8E
YSeywl2YKvv/SLuO5biRLftFiIAHcgtXjkXPoqgNQpRa8N7j6+cke54KTEHIGb1F94YRupWJ6/Ka
c0DH2Te4sMYtvsk2/JQTuNJjag2Uihi8K+JefdyWSb/B5xQLekcwL6PJ4LEgBuOLg6Cv/UIFqnJW
XyTpvS+O6Yip99ICm5w1aXdyy6kJr6reQiDjg/O0BwmaoSKuppFFKvnHFI7YWDRDK2u5++70wrZO
x2jgqIdF4Ut0ExjJT7KXLDBnuNkBM1u24PCiy+rXu56M3c9p86HsJBPNCvTorFIDxv1T1HFeMKt+
cCGD0cOxGJK2qvCI1s2naijtWC13Ui2+Dxqxe1BoGL7A84W/J+GfNIQdwVHzLk2UFh+sJmipZuBV
MZ/VwZIPndMBpgV8PKLF42H4KB1ufDh2IEfDSz4AyRxsWgJDdgmaE7V9HFPJmpVHrZpTS5H+8ZXx
FkQlj3FSVlBV3SolGftxgP8ZJq+stHNKJjtSoMdCXp9TVQEcx6y4qRaU9rYR8a6Icd7+rAeYjqId
9XCwOwJVDjlWs5L3fv4KVPkWz4VUEf3AbFDwAnP0Ten1e4qoq6IYz0sUeWdh8sQE+3cDtkUQGop7
vTuLurt9VzwNZhzOUES9oHdIWkzxbYzvYrLP0Ec0pOc0eJ2wcL4tbaUQ+vneGHcjGsQvpOrj3iQP
LnXfnlJLt8QbPlMPx7OxOzaRFE1ahhq4E0yBEwu1LUiG25ihHWOsZ/tY66J0YF4Bpwvs5Iw26EFZ
plI5otAleHFrj+WrHuyC+Hlbymq6TK5SGFUIfbMTgwSfaqz3FfDv8y8EMJzpD1k9bAtaD0JXQYxO
JJIW+5IJ+vh/qZTa/fDBOshrifBujdGFvKtzv62Q1anNNyN6nOL3rD3Orbd9mJXGD1W562mYoKMF
idYlFHaOMtbg6x8oja+0pxBXqdPvG1S3blJUuSpUJDtsTPxdSP8ln61Axb6fFIDglcHiF+wBibOj
Bdd6x1saXlk2/HROlnIoUcxSTksFSfJPfSc5/V10BNJ++jERmjx9oNI6vDx5XVOITlAaAVHhR+K+
cIMAjJAnc0YeRgGEu10PTWkAkdrtt7/hH9ztVQ7j0cWZDGbXwaNTjczvAISImomJkitviGP9qUGu
khhTzo0OYE3pgBQFkbRw4+AtyZxWeJvLpzTAvjmoLbRbc3xMG6sSZ44zXrMIHYwxCmqiqi6yK761
aQQhQCzpvvkuS7/X6h06r4bOA0pZGSEBPt9CDs3TFp+NqFNrVDGm2ek8EcVy0N7N+/BOOuWv7dHY
URYU9ZTdNaZX8L4kvT82k1iKZp5ycow5GUAt0Idre5NjkAkgc9qjeF99MXZ0cCX9x7w1eWGHJ5RR
n0JJ1Emme/zC1No9Eqc2N24BhMT5fDwx9O+La23VOg+FEJ8vzAprDncTSogzD2FxLQosL5CJAnon
1GkxoacnDs6sHSJyniS7bLxE4YCn8E7DRIFKjzMFsyIYhS2+6+HRD78K3EHY36uhnxWRCQGgwtHG
0fiwa+FL5vqHyB5tyh8TORovZVvLpJYXx8QBpShkLStpDnsue8vw5r34Rp9yqJTbylFyQWXBUXbO
DbL7tyomyoMkhz4ojVsFP+Pq1PMQ3Dkeg123TWffH/xARmO5JRbg3FKpthuyK6uXbQ+8WnBa3B5h
XAYQFYJUSmC3iKXuON6bmbSLpOkQ96VbDZMjBtoRXHQ3pdEaljp33pDfEVI4lRRbvijYYhA/mM2l
SEQLq+NeWH/f/oG8u2b9Shj7fTrj94Vj7JXA/k3E+qEUck4ZejU+LO+BcSVVobVloCKaY3LxRPxT
V2AAR2mB2SxawHi5B5uIF4aJnQKPx1CHG92kGNgz54WzGhCXP4Nex8LV5Lk0qgU6yRQM4oi52n10
GCh71YnXo1tNn5aSGH8TtQqSK8odgiL1o36BrBMtNGY2CqkP7am3zLtXHVtep+a1VK3offuz8vSb
cUJREQ7mHCe47mAn9b41oBspAAbR3RbDcaqE8UNCFlV+FcMPoX1sRZPdFZ2FOSw7gy61g7MtjHcm
xhENkThU0ghVrZUa1bHO08cBHUnjoGrlZVvUSs9/6WAldqRBjsyowuno1xtcwUrc2crsGSwF/5fl
1W0blNjBBkJIDxBLvLjM6mWU9zI2d3gQZTwRjBtSxKyZZJF+KNUjzauqXApeikK/9Z8zFNDJfjat
vml0YPJjBy8AZW34UFQX3weB2nRnlD+1kPd05Elj/IkQZYVQ6AjnofkiJ5PnG4DbLX8ote5F4+hp
2vjjv1QJxnWMpZ5GPYFJmfkPLCAZwpcWSa5w7GWXpC5RUbfZTdrXIeSlnR/IeFs3y7gS7DAGSpOj
CWMCniRCausHJVYCSWbN03wAYLfbCcQ2zAigIqI7oQ8kC76tGqgR6sGl194EMt3MYeaJBTARu+BG
DzFHpWGIzwiBblUa91kzuInZe34022omH3NFBfaJdm4K870368hWZtEbO+1J1YsbtWrtWVIsuZNs
TTWsZJZuirx41kl2MLvaSiMU8UbtNGu5FVaJ0/gAiW2ro2pWD70K2PJiV4njfph4A5jKujvSNZ2I
BHfBUt1VJMLGDiiOnD7ULtVYe0OMZUZZIAC3ldGd/hbW6LL6iUekwg5H0c3FJyNu3SlB4p7nziDN
lqhJVqQau0merbqobdmf9yge7khpeiQ2j3PwHsjarimBS9NMh6wNb0rg5IONwpFLPD/KxumHyVWU
6VgUpR1NvFUrqtlb2sC4dlOcgeiCOrgjzfe+/FrMnD4EJ1RL7PJzF2o1ADFoveRu9NpD4mLKym0B
g+LNbuxOp7/gEqPO9tdnY+dZRF2q4yDEM0N8iDub3NGXFd08n+7Dn/ErEoIe4x/TfhQsweMY9Xoi
/Us0W2RASjXMCfo+aFyH93SXX3fCi7ErnNDNXrdlcZSTrTM08dxWg46Q0usJwte9KhywvRH7T0LH
CZTrvvF6KMbZy1GSN3qBBRttrC0/cfzmTjOtMb/vyxele9w+1npkuQpj3L4OvhsMtaJd0DewgrbH
UrQIk+NysdF/53e1v8phHP4ohKVIYiiJ6gfIDBuw/8ZWg8lqX5xOY5wcokCLbfDDWb7hnw09v4zd
bKV+x4EG4F0uEwY6s+vTpqOJbHmOBxTwWyuWvs0YRghCKxU5jZL1nOd6asb1dwk6/UM3A2e2nvYx
kY9S2Jzb4l0gvFVe3rkYtzIiC9H0Cs+8pLvphszOJG8CVnTX7IzodkzftrVmrQC2MHmW1tgXKjFo
SjTC/1Mq1cCgJe55pdKVubJPrkVjckaN1KVJRBhdbWbfigKdMwBohxPOBYdW9YU9ke6r0Zm2HF4a
6R8JrZkW4MHAqPsSq+JumoE6Jqf77cNzPio78BBMXeTHJlRZrx8N1UYBV8M8ZMupQ3D8DTvqkIrh
WAs6XeEK7jXMMEUXX/AE7FXFGu9VRR3Khm2yYw2VINd9N0F3tKccxdpmV6IHYtGhvfiY2govE+Mo
D0vGk6aSL+gyKiya0nhV/TVGt1wZcwA89R+rN1YivQlSeYqF/HsQNPcy/tSR+iFtg4OSfyPN4zD6
bhmgXKJFs7X9cTn+kEXobVMCQCENGldkE/ZeUysFQyAWajg+frUjtLAgnfFDc9bVQ4I5YafKBs8I
3+QWbDrKex4m3/tyskb/Hz/6Wkm5N5eDu31E3v0zTknW0uhf5q1m/lo+a69dOz6Wk3pPsMQThPKu
GczLtkSeLjPOqYmyPkl6BJlYUC/ypGPFprVMLFPFUrwbDe7eECfYsKzFXaoSv6W8rfpZ32keKB5t
/fk7BZ0FcfiR66Vo7NqwHxZIF4QwhQyMW1pXzr5htt2DuDf9uXapxPyIJYv//277J7/IwuqqAC+t
seAApB+w3qr3hnEElo4I/IHt78bRFBYpJSix2d7XMIYp/SlOd8Tcz5CRy6DvCB4EkttNsNuWyDE/
FlkXvMiBLPXwraQ6DMUjmPcqHu3TH9oAv4KywaQinYwWaTthyKn3FA8gSTsFFLtucva93iXHjzlO
oJcYhxTzZM/bx+MYgsFY/agq2RRhv5PCV0ej4krkuUI66eemJYO5aFvYapxC7UNEjwpElx/BdVEs
A69NmRb5JDuAIyywQJ08ZOSQ8uLUCsQzdHEhhmYmCzFgG4q1WkRGlf1sb1CKdXRwfVjknAPqk1LK
Y3ST48BW7W0hkckK8lmsBdBpy45idDejUL4IxOekifLql7rKYPfmlNmQhFCCDMqVQ2uN84k8ElTP
cyf0KGeoigBJO0bIeqz4FkRTVnQ3v4G74/1vZiEWF/xRqlxcsIHBgUkRYewp9hHJj27mmTlHUdgN
Or+P6hoj5xiGCvoD0cb7TmvdYfo5GhrncbrqUBa3yrw20rkYsUWHDpzWHGfdHU1Pqx6yTrRS+VjX
L2bPqzOtZ5ALiYyxR6PZ6VOAsbzpIT/IaIUn+w9+ywbjF4MDB4qiIP0/b7B+NR9fyGUs3S+NJIwM
yJWnMxYwbS2QYOI6bNGwJmyrT9ju2zZ33t0yYT1Jxkzr5e7fhjteGXvpSFHBeJVxnmHQvy+0MWkn
IQ18TEm0euYk/VscAuGtP4ThefirEe2l5jOuBeyQA0h0J2TaWmPrZnirDr2r+X1iKXgDBPJ4Sk3N
atT5PhnNUzVnHtx6iEdCvydtdieYtTOBhn7qgJQmRTwsYJ7n+23TABCdNX4itBkoCz1oFlIHkf+Q
AAFL9/oXPtrQev/jqlXs3kFASIaJG7h0MxgtXfiRKd7Qno3Wi8lZKSZA3B1anWOzfxCqqKokqhj1
YeGcp6nSAa780a0cb2jTJQVFmer9FZ4gDSVXSYwK90FV50mBC20B8R2csJC10+9LUJTNQHdA/dOJ
QbtQezwcw3WVvoplVBpCc6EfDbRI9dFWzdfEB7GhXF4mvfG6eeIiUPLkMWqdx6mRCTpMSNgneGA8
04kc/z6xKTx29UU9UDpqirXAI5hY90nXczJxMy06s0xEyO1kICFJpy51B81G6VvW36WeE6TXg8ov
YWwXOO/VqYhSOMBY/a61shfX4XEc53PsmxzHx7lOthlcgA+3GWlFVZECS0wuYdXsWqU8kAqsW0p0
2Hazf7D668Hoa3rhAEk3E6BkIEWlg01iZQVufzJv8lPvovFj53aFQVQegijviEzcHIa5y8cMhgFG
hrh5UPW9Vu+y4k7lMYlzVIQw4RJPUiIbJu6yz98McEg2t8pwLsnrqFq15G3f5Hpz/WruhImRQpGk
vg7+WCe+6S7SUwf+azpsHjoA7PS+q5b4ZXJkazxSawhftoVzPyPja1RfzUhLqXjUneLlzrxP3Ogf
DTwGwq4+xq7+yEM6WY/PV71hvAxeHNIIRCNklME3AnBGaTePl1IVMVnlhBVqory0jntExs/MY6Fg
gg2ZeWKMgHUDKnaW+Tdgf7tos/qa94Be9Y2D4PdoIL3NMcbY1P5Rqvv9mOTO9nXTT/nbE3nxqRnX
o1SCMKkKFDhvj8lwDpovpsT5otsOR2Z7vmqpFZj9QgMzrONzJYLHr59cnbQnrLZzKmbb5iizHd9e
Tep4yPAp2wQTF0NsR/GLFD5l8bPAG1TmnYrxNnk8DFHfIzfv8h+mcTNF7/nscsH/tz8PdjA++7TQ
l2vdJ/g8+uAW0SkdXSPklMLXJyp+qYAsMq6lxoZhF0TQxsYdgGvU2BLCe3GU3dSJPd2Rvyf3Gnhz
hhMmUsHzWrxua+D6TMBCPr2Dhd9WqjwcA52iawIjEj7Hw5ioijcAxWMznPZtWxzvuzHuRc4nowWx
I6x9uk1AeDQ9CsnPSeYtCq93+xanYryKIPl5D9QQWnsSbTrcW4aWDyjW+NvH6Ks3D39VVfiPG5PZ
9mKkh2GkKaitxY14SfTkq1mXT0M/gn5O4TgNqhF/dhoyu7klRHEqtGoP3Vf1Q9N1XwWVx4nLUfyP
3HehFOoU9aNMN6qwVWiNQFOUQecxX7Z1gSeEWZdp5qkYfR9XVs/yjuSzE8mjJRkKxytxVO7DABZn
mUJfyuUWRlyIE9DYjEsLmoZeq76mprjbPhFPFOsvIknJVNryjbLAStKDnIy2rF7AZszRtj/ot45t
bqDuEI2lHWyTXsTa2/+Osav2cA49Fcw/DQau1VP3ykuR11XuKo5xUr1Q5xKpUPHsi+FZ9fOj0Ru8
I60nAlcZjCMKO9TCK9Wg4HzmjnSW/0A75sFX02mP/zLkICe4ldz+nNu8J/V65LrKZtxSkvd1n9Pz
VWH5YsTDqdQmx2xHt1ZNSxt4mJQ8cYx3En2zGrMO3smcBEtUK6tKQMkbOOK0x3Dktk7+wcFfz8ak
O0EkIp8LgTZEXeEE2qF5X++/U2SZyAs5A5HrJn2VxeQz8Rz5InjKkc9k/qnXMQyJe4zqguMBpXVD
+yWH7TUqeDWlwoRhjhpjiBS8KwNc7m1yM9vjJbBRcwRsbnDHm+DlXSXbfIRtm4qsABaCEpPrduq1
ja06eBwDRDnUbV6FcwWNhT78r8dkshxFBAhCPuAl0LiJDro5bQ/Ayj0FERnt7mYqreDwL/EEeKTj
G4X3vOJ8TbYjOfYBKQG1hZhWjjvdFxxfFs5ixCPW431MxrkUSMjVlC6dha0bt0+N9NRkD3p/2bYD
nhTGvaBFnOiFQh82QM/pT2FjJ8I5TTjp3B8eF9dPRn/GItoIs0yERoWKYOZH+SLT2tc/5HF+xAqt
6FX36in9h8t/wPtOjDspwHlSZwWORgHgDa85Z+cIQA3zcb6AIROVId/l5d88kYxTMWU/bRMTDrOQ
j5qEGe/phtScVv96R2qh/ow3GUjfZCUtUgv78iA5DV6kpZe8yM/moXE+Fiwd9bHwyjN3w4gG6t9T
rF9fkW1dpkoYCaBDpBU3+QguSxccLyCILQ4AJQSwtMnx0ZzbZPuWUlybY0FXVAX9vdMSC4BEerbf
1n+eDMaXTEFdGQoW45w4/BqO4DL3tIJHncqxMbZNibJ0Q2KUfx0QrctA9MRGABi8VYGX/vDOwngM
Was1UoZQDOA4OkZ3aWRgKHFxlnmnob9iYcqxERaZL4MNu3ElNERHBxPTx3Zfu+mJnEFyZWWOcN9w
nT79EFu6x3iQuIurqsPgtFP6d1rkqfLRAGhHeE6rfY0h2K49Zr0OsKpvecRz+PTetkQzjiQmVRO1
6MY6Rv1FVe597rgbdQtbAhi3MUtmn9UZlFAF0KxFk5HYk2Or3tNa9uxS6xrdFm1mPkgJL3gbjDdp
UlmbCIWK773JplQIsWMe/D3B8HvATYQ4usPCDSRNqMRpCYsWs8hKiC0psxXW9sijiFkfmLn6SHZJ
cC7FyawSlHfoyJlySnY3CKJYKPXtH9v+Y/XToQQCfDYK88m2W6van7LJN8DCrMZWGH0L0DoHSk9C
JssfvDK+bItbP9hCHuOv5FKeM21GVhCjnlw8ZHaPsoSBFkB85I7qrj49FrKYd1tfYCdnoMttrUfp
ioazfux+0g2Jxg7vCBoQo5te2ktTWskdD5iCJ5v1ZYExJm0J8sf4gA+4b/fdx9Ls3yBm6YsjMs4s
8RVF7WMMVk3yMUju1RTkc5wotqrzCxGM41L0Ed0bulIHKCAbIE5GdmizxEGDY1s11m9MMVQglhm6
zK7yh6YUdCrlThGnhyY59DV6fvIlVp/95NnvLj0PonP1tSb/kse2bAwzmYA2BjKrROqs2neEKvLK
9L4kP/4O20hfyGJqIjiuLAUihnBGYtGRQ9/RHfUu3//bWQR3FqeLuerxF/IYK0sN6J6ewKrV1DGG
71H9tP2t1nO4hQDGtKQiHyvwNGITL0D7AkBGgj+6zRQfsPF8ozXG3RxGX0MVK3OoDdpZbbxrg+L2
eNs0+rtmAC6rGJ1SfBNb83n7p607tOtnZQxvjsF1XRi0plHv42EnxHcU60I3X4rxooFke1vaunFc
pTH2B0zcFODCApKJ4BzGXoqceU5OM+FNdvA+KGOEAknNOhwwgjyNrTXM6U0fB5yLW4+ki2/KpAm6
mqZREiNDaRX5XpLxKo2xYON3h3SeDmoZu4OOJCkIv85lbjVa46UibxmA4wPYFT2iCVMDNBlMVyGW
z45avBb5TkxOtfI1bbyWGyGomv6WuCyOTH/PIhdspiALjAJHlu46l3wJQWnXW8rt+DPcZ070V2hF
VzegsE2bpCr7oVM+XBwIh43y1DSBHYHFbFsptz2bwjZsIlBUmCLFECmxoh4X577AvoNljJ1V+DnH
AHiyGE+jVZgdmyjeWBTaWuZVnW0G9ijaY895Nq4+Dn59KtAQfv5UhYK1MlFB2j5nppUa4q3ZNl4x
Js723f0hQfmPRWPS7LMcUlVCn074RrkC1qZuF3oiYpE1AQ2MD0G37T4UkXEfyRyLcdIjnwwz1TWD
yi170ZbmzAKplMs5GO8CGRdiRl2aJxTorHYAQHnRTtnLFFukAbYrNhLx6klfJMmbeRv5VAH+bGIg
f/h8n0bc6xJJAuw+RhYFU469dp++q5Z/V3mRR35sn5J3SOYlIqCDEjQDDpkNqCkMpSWJsh2Yf0E5
gxLeQhsZx5G1uak0HUZba8fffUzVdh4Khl9yd9hrOceeOYdi2zaY/xz1MYOXUrUTeunq6A085gSe
CCZBkYKk0uUaWi/FXtE/qYD97ThF5PXq7vXOPuLPJ2crERC7oZ4VpZZwR4eRm11mt9CE2p3uy4vk
ivvqxEuF1ucuFmIZx6GE8QCAOIgFRckuBBpV7Jn3+YnuCZaufmdicFfEA6A6xTflmTcCzQmqykdh
cXnoJFdMZLaU1KO+QbHLHvf5a2+LHkjgYosH1cP7jPTvC2l9WudtRwEcwOmU5Y6p31TaftvCOA7/
4ysvRHR+pWNBGi6rVW4EEdzgp6o+B+q3kjcwwzsL4zjaMUlBkAqtL0hsj+az1AFkW3ndPg1PCOMv
ilE2dW3A3lHj36vJrZzfIX3bFsGLKB/tgMWNTRiumzoBH2WwJQ9NRDcU8ealLCTiXvqrWs9V29lJ
bhPFEEIaJIpp5PrKqznyWCBo/Nvw52zBgKR4XAD+BilTYziDGB2TrufFYJ4MJqkIwYPmo5WLbLcJ
7yW9dIIQLTRdeRCb3k1D7DcDizYWAb8+51jfxMCBGOdwKyno9XiunqPvMuM+emJmgUY3YTv8BD+z
S/UuLH/M0bkiDxxF4YRKmV7LQlH6PiIGCeArsAAHpG0KlQM+axXwtxhdfOVVKLYfSljC/iwtR32/
63P06U3whjQYV2x+avpO8DHqj0X7CjXJ7eOtj8QsVJNJQLJQIxmpYdBEQiaA4rtragAYoSNwtBgj
wyUO+9KhOxQy4HoC56/awYsfwHoUNNcrE+bo1Kqrtw7Yl6XSbdp9IXGOuj6Hv5DEuBVTDIPZVGEk
A1qzgjXsYk+7DY4GmDE6R/8C9o+98dx7yfv2FXO8GTuijaE7pCT1BOyF/ClA/zmLbox5creF8EIa
O5YNm8cwjIbnBfVnEvwZUHFa+DNKAy784LWk1tXUkEyVqJKqs6TcgO4A7Qxdes8C4HwCSGxW4n3f
xidx6vaiOXip/vZXB7yKZL5eYoadVg5QVDT7QCq2Dx3Qj4IVrjpgZAtdN4446kF+86h4cABiVpcJ
kN4+G+LYgJ6jbWlERWL+ASeAZhT4qmgPWBet4I5nB+sz7qqq6KopibpKGEPwEVpNsUL1RkrfKlBK
hxBm/iNg/hyY/nFipaaDOT9r+5yryrkQytyqDihzMiRw6rIgAW2itbLWB3BrxQm3q/qyEMNk5mJZ
Nuao4TanoXLJcAnM2C4ysAfKpWea9V6QDU56vm4Qv0Rq7LO+94O5qToE+H9X7EKv0NDJByQUoO6G
fc4lh1xVmIU8RmHyouvDGiXFj9GP8aaxKxsTVmAKHXflLt3xWlf0xn7Tz4U4JhqbeT0lIB0Dwhkw
ls26s+b0C/pUs+nO/Qto64eWV+3aVhWNfesnMPi4n+iDR3oQ/dTtcycoW46T5glhom2taKXpz7hF
I/6aGPO9UmGFJZk5uQzv8uivWMR0rajFXKQ7/fEh2it7wY0OFDyTt6fEOwwbWw1hMCYZfQBQqu+V
xDj06hspk/22Ca/mQgtNYPyGMgiiMtXIlgNJsEj3I8z2Wn9IZk/j1VW5NsV4i0TtExILADAKD/rR
2FPurNItDr6l7v9yTmxxLsZn+CRTU4ADQRXA55DcGjmYwe9D/YteZRx1WJ/wu4pi3/LZqKBaXNKe
lANiV0eymh3odzH688EJ9spb9uHoxcfbZKF+c070Whphu+DJ9FI1eZOU8savs5/bisE9FusjxmEa
IhrDKow7g3XMCY7Bi44ZKtlrd9pg8XzSegNicY/URy4OFudVM8QdDpaUsWmbylPQkLtmKl6CyLDB
XPqtE8qHIhutGnS9QCqXBwtvI1sLw8CZxGc1b+woEg49SQ9iIHPshHfrjGsRwG4yGAQBQanOpfGQ
NFAsTrdsO8xpH0DBi/MrUyXmOgXVlKZXxfe0IbL0+b4xvxvJ+9D9lxGOffTPkZQXZQBrpNPsCiJO
jJRIfqoO/U5wlLdtZeIdjfEyQtCGPv6jvCPZWdEqmwjAVJ70exOjcDFAuaaEcHITjmP70LbFbaYG
aYcxph+s283ll0mrLSP/WRaPSfTfimJ8TTAQLOjSfHaeAMGe5rt47J971f/ux9/6OeSt31FV2wje
bD1gGDUwUg4Q1ysXRRNviVz/v1nJUApVDTApGoAxQ7nksyUKqiLqeuWjsNHc5Fhb7Hor0b5tq8R6
FL3KYMJbb6Amr8rQ9iEGX508v4WNDjyl1I2Tp1qg9j/uNfjsbanrWnGVyijioDalqAaI3aLuJLUd
lsc6vwWASVZwjJl3PCbYoVUb4dvAmYmZO1d3ahRa4/AjFu6rBuShtdXyHor0vn7XiuvJGCUEfEcO
ZGjcZ4ZObOVJ8NjYnu45bvAPUeGXGHberpL1LohHBDvxQXiqAc6Gpavcrl2aGhdPgsObZ1+FR1/o
Ijtx18ZGXso0kLffOzd/xrvbMR6zHNWFyVNsvN6e9EfunOa6iV1PycS+XNJkgJPQithTcNsftH0M
xHljtsYH2t6vd8ZgZe/bmsn5fuxEXhCKmP6WMHAldDvA6hFgHsYuSOC2payGMYDWK7qh0QloJsam
0yhmYgTfgTU23X/MI5vwwtjqQRYimEgJ2KdyyswOjldxC3CHx0+V+dxq3vZBVu1rIYVxUX4ENpMp
QFE0j1BKLu6C0iP1TaHfFzJ4Q2av4HHM8W6OHnsRT+rJNHOFEtmFAVQvPoX5ZGkF51Sr7mlxKsY9
SdmQDTkmk0F3VlpxdNDaB6NprMKMrW7gLQGu2/JCGuOj8srIkqZV0FT+kh/Se5oC+A6dVe8tSi3r
34qcuMI7HuOjCIiN9ZBg6yYM3EB/Ns2fvfSm16+J+nVbO9bLIdejqeLnr9XUyAyDHBfZZLsqOmYG
9lKinZY9taZrRl/BcqOkKSfjWC8RLoQyj/jQ1LIq+ehUqtmNkZn7oMtstZ+tWW/3sTI6LRDQ8jg8
dOlrOIx2LwU34hDfa8B/UGWhAxAEwMDNXub8sBXVxTCgaYIIU5Z08Ih9vowwm42uVhAa5NTR6ich
Q0twt33hK18W9AeybID8Cs8qdstJlsU+kaIZK0Ga2zRAQhtdDZgHzWhxayUr/uWTKMa/RJ2pSLWJ
olPePDeycZrSwooARkJq9W/ubXEoxsfoRYpt3BS11zjzxva2Ue2Z18pcs0GcRjNEIoKBBt/n87cx
p+h/d35opVD6WB43blVgu8wuQH0dHqnJSmD7JE7+LC4ISQfapxat+yz+6rfKt3x439aENSv4JIIJ
MU0a+UVjgCpIuTOQJSQX/VgcY6c9CS/YdQD1FDDFCmd451KA0KtiMiAIJpKqiSq6sqyap/XUpZkO
HQwm5TUDLnOuo3YmzA4JQKQq1q48gCNzai9pblwk0nBM4A+f8pd8dvqwLaqSghACv+ZGP1Is18QG
Rjh60bUVuxGXinT1U4JRFfVeSQcTMzXJRUCaoiDQmh4oqzJwR9WkuWgDj66PJ4IJEI0aDSPYYxDK
02ZXDf0OC5nutrqsWvPiFIxvGsvWJ4WA9UgwIlharCKE48pCxarTjiNq1Q1eRbGraIUG7i+hQyap
EEtuAdlYYRXhy391HLbwP5f+lI4tZoQn83YWH7XmWxjt2/5hWwrvJIwVE18QyrwGe0Qn7mrlpTMO
Q/L8NyIINgCJjhYNYaxYMLBO0csYpa1KO+sdU7k3lKdtEeueQkNgMkFuqRL2srp2GEaRyui9YD+c
i7Pg1ntyW57A2OnWO+ktutMxfMObqFhVuYVY5vbUvpK0YorhA+ObnLxrWFTFiPzIe5Bxj8dcYSgo
imDk0AXKz+v/VOkkoogNig6ED83diB0KOn1W7nhd4FXt0HRFVgkSfYVtGY5jPOjIQrBlnP2jAHEN
vDk+j0B6Nd5fZbANwyjSEh/DHGhLtpj8kb6JKpidSgziND9aPeCkjWuVQUVaSGOCZJtVGRpACPl0
MTZ8awCqJLsVJo18DzO6l86R3MILXS12jR/bOrrqAReSGV3pQikWgS8P91SbNtisbsdR5gx2r71w
P52O0ZM+i80wFLFOTbeXVJwr2mHQ4954lJ8mkJXWNomtquQ4Q+q6fwuWi4PRgy+iRx9o0tCA0RRg
I19ibd92wKcn9xUmv5OjgB3d7WvkqKRC/76QVsZiL4YZ2BLAziWUe5BLVian4LJu1b+0XqF/X4gg
gl91WEFEuTpWQItQP+R5ajdm63bxzJlbXVsdxRdDX1c0TWz9ss1WFTABkhTAsqW7HhTgyj47qz9U
i+xSxHnDqbkmvdY7UZC6S0Q3dQBishW5sE3HQelNWMCR6kixM290gG0FwBtBufFvvtZCGHuVmUrC
Gp7Z6YpLW79O6ne9ev0LhViIYJKXLvV9AHBDhCSAdicEvLgz97xzcG+NyV/U0ihnLYEU82w+UBI/
0wluhDOg32xs1O+2j7SqgIsjMZkM8Ud1jH28sqrxzixvJ+XJF1pL4FbgVm1J16HpKI5j4oRxF2Ke
Fy0eYOhsPenuZBvfdTSL/bf4tYgsZRdjzXbY92/bZ/vDTV6FMu4i6VrS6ZTIj3pgusYPyvuT6hQH
fT/s/4YVAdp+lca4i3EEV66e45VCqR8pKqF/aMHTmmL97y9gLj+JYnR97rQuHX04+Fj9WY71XYR3
gYJWKE5ri+oPLdBfOFdJ9eA3z7s4HKP6IEQfUyx5qcB2Vo/joTl3u+QlfReBmkeOFDqIHIQburkc
ebzMZ1V1MGeum6Zo6P9D2nUt141j2y9iFXN4ZTxR2ZLlF5ZtuZkzGL/+Lqh7fCiIfTDX8zBVU+0q
7QNwY2Fjh7VMkbnNllHUI1OoAcPpi9G1nkCG49IpO84KqQd+WuHKDOOhTSw2WatMGI3CkB7S38cW
LS/nxKH9RJB+rBweCc7mZbYyyHhnCG5HVUg6FWjyrS0hnqEfoubcanequatkYl9f3/YuInuPCgkE
QFlybl0f21SosYup8SWZX0kq+EvfcTaRY4TNswtFL+m5gEKFgP5V/R5B8kTc6+vYvsaM3wthU+uC
SqLUUpFjzp7zJ8Xvg+gQu0mgBNVecYb7+cjzv02IhNKuKhogwtEUxvUV9AvWGdj6Xbl6btSXuLoz
MfjB09bb3rqLFQb1QctuqCiQoedSLxyrxUzqpNl9wWt+3MZEU1QM3ZAtyWInPZJqaIUmRpw91069
h7cfZ8Q1GIvGWMk3SBdzbuWtZktFWtljoCrGrJEa1fByVGyf0Rt7T3bTTkH33M2ISgidxe52xIm9
OBi+lg4YB//kglvZZ75eNVmkzhS45ED26FVySOQnsWZbvPbAze+3ssN8v6WIhjiirh/O50G77ayD
PHDKgNu5mpUN5rIW9BKK1hFuGMWeneqGThBkqGKBTM1Rj/8F7y3dm0+QeLH3qUckXCo1nvDt5GD0
ZKcPzP1gt572YDhogaZtsscusonPewtuXjYru8zLSQbdfRzOgGJrfEy79lYzfjYY8Rtr0VEi05VC
KA0vJjcTvnkDrMwyF02Z1qUmGAiQOw8DV98aJ3bRThoIZ+NAAojyPl5Hsk1cWZljLpx8FE29SjFI
pgmHLIL+75NQOWPGmXbZvGVWVthbJtXGsVIb1TWNx6REBv+XXIJOZbLDbp9yGR54a6KnZPWekZex
GBYTDB1d4RXFDvx7obVXc86aeCDGtoFYk5nHMx1jJn4PWkHQeB20G7DfB6hBHXm0TJyT/Z4xWa1J
0eRmwVSx6raKM+nfVNkmPe9tRl3r2klj0EPK5axWF5xsIsiOOKANdqrtXG1thM03cogYoar9sZeg
11Q4ySjbUZly+lW3qk9AasWUZEME9RNby5XLvg8RV+FKWEDMLkSPM2oT+vSX1CZunhpBQTmG2trp
uoyD0dt3+so046T4mMvfBV7N/qoeEnTZVU7mJEGxx9TNbeRyOVq3EcaQ0SaCkFJXGYRZ6m7Khpo6
0D+tzpFnRLZ5lwWJY9qSQ9AaQJvjIQ5t7CvOTm8fkotxBmdUoRkhLgDjPVRfhLeSYNLNjyfepm77
7cUMgy/TIAp606vwW6xR89FndiiCENOBlFsG3YuB6fDiv63ROvjQxSbzIae0yAWN3vbCbnDlvzow
XAgPSZAftXsQKuGO6o4CN8bY4jH7YJVBnbaox7EVgDr0a4IR3ks84aazE49O9dHEJSV+QQMg2i4U
zp3M+5b031fgIFiVsRj6ApY2I8hR7yaDDUbhSebcFf+CeJeNZcKYkZBWnWJUHKi0qnSij8v8OKCr
sfKNPxrf+7ChDBwNUyeCnn1QIfTc79BD4KiidEoa4l2/AXkeysQzGCWNICMIyhwrtse6sOUWujO8
wfB/iZp+bx2rVjjLlV6GS08rbDaNeMHhT7lessEOkYqqMd/DC3o5TqEx6AIeFFITHWnKWa2d0TyB
w8DJGlfh6dxx9k9jgKTBOHNaiQhYKtFL5S/IhmY6j3NrOwa87B6DIo0qajO4btH9oP4UlvB26nCw
a92ReihqJIR3s1OA+HwRXswxAGKVsVX0tYkONAus/CF4t6rYlhYxSEAso84IfYviRTLy+3oeT4kg
gSnlV1jkXpV2/v/knBoDKnDNTEEeHa1pyy43AtL+VLjN5bwPyKBH2CWGEZZAj84rbiSQIxdn8y08
zT5NOUS+BgpNUI9dX9d2QHjZYQZJtKLURdLh9jGioE+9uPQJxu+n/EWLHqXi+3Vj22WCy4XAShbO
kAwyQZCAtAPGDjBx6vdfikC8UwLaeqce40N+Hnkr5LksAyvd0Bd6kiCYEo3HbAIPWP80hwQHPpii
PxgmWiMlW56lg+SZkc3oRkoRN4RH0dhnPPkeDpywFccwgSKL1FA4qY9mfNcqQSHaRuJxPhU9yZ+O
Hho6TFROoTnN8j4rk1kVGAFDZuBgBgtICXNfv6PRQv3QvitzXbe36fsXc+zjMtaz3jAbJCKESN6X
JIMyUb+HGDFvWTw7DBjXWbF0ZMQDiL7qhv2yM/f6W+POvuSlB+HJdCKfx7e4HQat1sYAc05aKWpH
nLF0L3wFiSXU9uzyGJ0GL4I4V3k27oqjtedNnG1H8CuzDFaLXT1pFu1UIwq68MHoMj6NkHXowck4
2qN6axVenXACoM1IemWTAeyZyKA9tdC/QieFuwCNtb4QyFxNUt5XpP++irMgSz0KSLCD5yI8gHpi
LF5rnqTa5jFbrYQB46y2ulBOKTBKz0If2Xmk2Vr7RVV4V+r2c2dliYHgOlO7iswg7VCF7Jx3sjeP
0708964MIftwkvDMys5zPzupPHqJMUC4UXeIBP0/EC5dP4Xb0dHqtzChXt4Xc5yZiI4WCdERaChR
/XFyLBxMMynCZv7IDO9TMvCcogwvlDVC2bad/G6AMDtGgka+1udmKHFZGTtx0KeFiKZv5G3n1p7c
hXapQUWpBhdktcf9asf3PF7XzYtnZZGBmhA6711rIYebm7dytq/rwjWqm0Jwc7nh3OK878aqx1Xt
CM6h6PLdFoKoNnHevxt6NBDV8ggItu/y1fIYeJHjRhGbDtFKeJ7cGAQ6xk0TCI71pXP/1nNQXqW3
6+7J21EGXciCzmLRQPiglzdh0kL5UrGLfleC8V4aX6/b4px/lodAUVot6ecYTznL1qDcAuIBOToR
Xqf5O1HDlXtWZnAmseTJ0nNso3BUD9ZOD3qIKntIexybs1S8T7DruCkkb/KWGy2AOgIogXlPlO0H
5epjMhjUh5YZ6fTNvIRnFTJDsSPJmS1Ljyq6xNOdFt2DDgowYNoqTyGTa5vBHGuIldaEbLYbkR+t
UvpjCb6nvj5LE4TkZ9AyxdO+sH6Kg/CQF4+CwrufeV+aQaDeAJOkFeKcTuA6RxNV8xJJN1rCawDi
OC/bbtTkRq31Mu4s+mY3n7Uf1Rf9zkJuSXS1M9V5JufEVUan410wHIRVGBySdFD0EQnP96j52WT2
LD4LMieHxQFXhYlwBjNGH1eKpzta+naW1buDnt5fP4+8KIrtGYjGWm8MShRG9y/ZLUfaaTwdE0dH
hk7fUZ3T9guvtM7bOwZxFLG0WnHCsy9UUkcMLXsxTHueeLKRPPxmm4usZJpN+SN+Z8hW/T/wmxOp
feo1anId0Q3imxpqK6J1Y0IA3EBuLHybrJdZemhjXpp1+5ypkizqMjjpDQZj8Myo9GiCH8qDm0iB
HqMm9qLxkuc8KwyayOh1/3toOitMP6wFu0raM+Yl3STi9Z9tn2iUgdFbisEElYlCoc8wKWaKkCIX
/Eo8kPmkmS8ChosxZcVx/u3X2MUUc0sMAprsdROm0GMEzuDMW34MO/UO7Q/BEGTuzOPi2N7Fiz3m
WzULRht7ysJT5oO9yF6qIBPe3idNy1kZzxDzuaDYkathhq66PiI7zGyCyTMDIfj3Ihv/wBIEySxL
1qDELL0fwdWbQR3bpR9ztE5H5a8cRODRT60KFh5F9hYSrq0wgGEN5TIKA0bgJORKrVDzBExNXneG
rS1bm2DcTtF7K66HHnElWGCG5wV6C+a91e+vW9lCvrUVxuOieDEqHU8gVwY5XX9Xta6ZcSB9eyGq
Kpsa+HdB+vLxFQdVlVBCyyOSiXGgxBgWax7zDpPyvC+/vZSLHfmjHVlWpM6qMWeXY8xmmH8WdW3X
0a/r+0UdlY3jZPFihAmH1cXK46ZFI4oJWTVyivSbMvsatfdx/JgRzit7M/ZeG2O8LLWicW4i5IAo
D7u2C+/mL6mr3oFRONsvXuG2lWMooJHieN5mSmFtl3G9PNYG0Zig7pPul5NyjF0MVe/Fk3jkzWJt
H6PLbjLel2i9mSsoSmLGxzeWhzZ/vv61Ni/c9UoYgFPr1hB0M6F5oP4ZqONnQRvZk1M90Wduvwu/
cwzynJABOos0ajNYMDj4+ZPkFgcTbQs/Ol/Hy5o4bQOux8iXeQn0rXtDxgS8rmqSZWJA4aPrS61c
ZnkGapR/3vNVg/e8SuMKyfnv3oVbxJbKyiRbYJn6WiEZKP3RZol7fjecCi+9xWWFzZ1fpaDeUWHm
eacRV73JHe6zlLNittqSaEYVTRqyXhgIPSUPeLhhIHRELc6fXeX5v+DJoujx+eD/3mK27DKIeRxX
g0U5RkAfCg3TwW7c5kTbmvkDU1usjR92l4GZNF9aVbFQ+ShP7R5T1m7hZCchIAEt4F532W2PvSyM
ARlrJGXWZthJs8ZsFvj4fhkx7xhSiL+2eQygLGq8iOGAhwMABUmEIoN7Jo4RNL76wk2I8r4UAyoL
+lGm+j0hihcEbcmNvPbYI0GJKcX9n7wc1seAAZh4VrWiEHFLa40rd3Y4fW2Kr9c/0GbmkEYyoqhC
JUNm+UHKskSXKjipXa2YMJCQOG1C/EEeD6n2YE1LYpdqac+SbtexeRQXJDAF4yjqxNETXn1sG1BX
v4VFGlJBkGfAsafKniPYg6TQme4pv0Hr5L/yoDE4l9Gme14Msgk9UkmKgScnjRz9UG3cDJmJVI39
63vMs8LEKIKkTHqJpkUQtZ1q4TVpRzBMFZyTxts8Nn1nLZallrQHRA3Q6vktOugu8bqvvWv6JZ0h
e7m+qM1YZbV1DIi0LebHUGpEKEx6R1X8qDoVAuR/blPyMHScOXZ6qj4d8ZUxBkYySUt7o01Rq20k
W08hZRdCaLmqDrrCuWM3g4aVJQZMjDLplRaiFu4UB5q8t8an69u2OQ0nS1CFxDgh3kYmY0A3xl7N
KkQl1MdV0EmFb80ZHVhOBgYwAP5teKPYZcDjD6FQ8XkHL2YZ3CpLi5i6gNBhme8U/ZeOOnhaQy76
JeGJj2x/q4slBrQy0Nl0gwHCoVo9DcrtIj+VtR9GnP42nhUmFFKETCG1BKhIdNcEr6Pe7ivrvmge
r3+ubS+/LIZBpEweSaJhQANH95mAmYCAqW16LJeDVgZGw/HyfznCv62xk9N1X0Bfm9IREpfOe5Sg
j40qJ/2h2/kNJtQOXCLqbW+/GGSQKe37PF0oe0i43FrifVNzhtG2ke/y9+ltunov92Gqp3mDv69r
R7AcJsPO5JF2b+b0cG1J6D9QMfbOUi5A9i5rox6xkwERH7GL7iAT/kXQfskkB8lyZFfza9ogTo1+
JUX3XAoC5A++SWPhl+GjhfFe97rHbDom6CVEUwU7jsISGUyZqYStNOLVIY4OiQ3bmg0kI/rvSVty
/GVzd1emmN3Nq16WRwmT723rqs0M8uEAr3rOejZdZGWEwXk5MZQu0nCcq/6klIck4xzk7fegjCkS
FYwc6BVgjhheHfMwyAOcXtD9QS/9xlz2Ul1DJaWHBHa3BMi4PEmE2Gmucxa37TyyCdEQBQS1Ikse
EOm6VIgZJvvpBKOME6d1jomKgQ1S9mB0Iwf1ttEGCQ2qt9f9ZLNkgayBhXFGsBBhHv/j2TC7MRLB
wEXf37PX3Oeg7hfvoDaEUjd4Xbl9lNQZPl0AK3PMBVCbQjIVDWQQBMnW/NIP3fxlutft8QTFTXfi
dbFI70WnawaZe+A92yi2OAhd2DngW7JFrTqStnPQzZnaldyDG2ByCqM6Z8Pgznlm16qwr1PhjEE1
JxKWpy7PnFIF4iroccgq0KH3x1KU0HWnBo00u2IoO6E0p46R5QdVBidjTI5E0hxJab2wKNxJFA9y
aH2fFLKbLYi03pK5QepddzK5t82uduUWYndqeU778o4Uha2PlldH2gkDOnYvzD96VAenuHC6PPwm
q/WzYXaPSxKrjhmiYaZuvqRa/RZF8akSMLBmhudSVG3I6J1MJQ5mWcBkyGLjAB0tK/xW69LbpLUe
pDrdybTORfyqDIWNhiK3ql+kxdhHsmwXRmFb6ZM+CxjMl+xkxuCzXv+QtTdjGG5IN3sx5nl6qKrg
h6A6255LC/uHuhvJSscoo8TW+tdesQ59KWEMN8ZzPZIcrdeDChFGbCdoRO6dpXopTLRpjRWBos1w
yLUZxbm+dcp2+NbMGTK2jSdXqR8Nxr6dhqMliHbX/9Kj7qEI0XiCe71abNxZX9rF8FWoIJYl53hu
Bi2ahmFfSVMw78sAnJpE4EagjP+WCfEp9dh06GcAgVx5il44p3HzEalhIgu1BQP00QwKJdoi6qUk
SO8kBfTqjQ4ypIpp97+2v25rE7Yvpgzx48Gf2krViwEHo8rbxwkUnpZYfYnThPMg4Jlh7vZCTZQ2
pQ+7SqwCCYG6NfcOunn+DMcwxgYwA4CyDBmWXEWRWMH9KL2DYMeYnKDpIQOTE/ORN8ezuShMzP3H
GL2tVgFFOiJpbeYgaNeUcm+YyyHqymOeipzk6KYZVZZlSpMig/vjo5kunWRjEAGW5CcK2lC3PQ5l
xHHu7QvgYoQt5g6RSLQIYjt4CVBtbpoKNSGdh67yoD/+gc45qC4QqoqISUSTHdUXDGEeshKDy3Hp
TPFtKHtZwfHrzchnZYINySGeMkDnFqWs8KDVB0M9ZtAZ0/4kpFxZYT5N1Wqo4GKVLpF/kSG2SykI
eWNx25/fEiEuLIL7gWUZKGUwW+uUgbYVcntKvH60bPInrFpwLUyoSwYoFNha9DQZ+tzRuKeU3Glw
+ukmHjlfZBs/LyaY09IRiMAgBYfwO38UxIdM1mxBhKzI8CvktqBt7tkKqxm40cMZOds2AlfqJD9L
KMiAWvVnFUre/waezJWQD3E8LIh73U5D9xVKsvgP+0HhNrHRrfkUvei6DG4LQ5MAbB8RQE/R52W1
YO/qD9mN5TdB7BqOeAtpG0yYZn4e8Ib9qd9eM8jEZzpp0Fimwh20WvaN8NgKp0y4BfesJZ7D5FXk
EbNuZ4FXK2TiszgycOkuOK7iYfTQqwMh1wxZUzAOnXnB5yYyrEwxyDBUiTaJHVB7yR2DTPYEhRTz
3A68SsWmD67sMNgw96221AOcA0/Z2aa3EVj+IIVV7xp3iTF1j0LQHW+Yj/Ph2K5jhA2qMFByMJp3
yw6WN7732vOqWduJ2svi3r/n6uoLlzg1BToOrAZhQLWg6f/IMXPMR+te8eqg4RXwOdv5foGtLGZG
LrcTxAldbbEO1pzYdW0e1fD1+oneBClwx6CnA1x1yBV8PGm9NRdjR59g8nQ7ijsd7RajCUnj8Akq
dbxgZXtJF2MMIopW0g8yvT3onTs8ZZ6ROsr5b0UL1D++6Dd8tolt77/YZKCkhYZ3JWojHOSslz+M
8m5K3nqRE+1tl3NX28jghyCl8tDOlOnTU+jKDpkTvxhneqDB/udob38kOqTIK5MMgiSY+8TwNBAk
rZ6M4aZCt08e3omLLyYS78NRL/gMj5dNZCDEKGYCEfkZXhJQfsjSnXaTnR91TOiSwLrjzd5vnzaD
0ieKYPNELuejV0YluMWbHB9t8Nu98nXZR4d6JwXRHVK0fuMLoDf6g2OwMshcbLKej5kC0Q7X6LzM
9GvhIIAuWHrqeFpcm0dgZYg5b5pAYsmktOmGZA/GIcGcqvBwfS2bWVMTqRxkN0wJZJQfN2/qNTKH
MeKnCHP1WuwqS2Ynr5EQO8a416K369Y2F2RBiNWgBvFW/GiNFGYEKSW8EufpdkknX2w1SDEXwZ9Y
AcmFAh54E8Wyj1akVkrUnsrW64o/h7vBOhkJxwUo+HzycRTh/jHBVr3ByqjqoYGMUCdCKUwgUAn4
o7fnygSzV0igztMs4csYkivVbqsdVB5j4ua7BuVEXQElpwJuGAbvpNhsrWrCMgbQ3hh+F1gP5fsM
B/ryH3jTspu4t7bG4J6plG2sRLg+MPFpPdb72k/d5IxBNBcMimh4lk/tF+5dvIVGigj6FskwcZTY
nLOlLGhrklBra7/SW7/0k8ZWHirAbKBA+lB4m3g319YtubZIfWd1F8t6hMwHupzdWkOhCBRhjSLd
ivn0U7M0W51KziuLZ475ho1UpvMcgt7eDE+V4ZsJsaFyZaOHvZp4KmGb7evrtTGfMCVVFjU6nBJ5
nV3o1Bi5XtzemZ3p1AeCBw1ETCUnmLDQ99aZtiYJLu9cbCaC17+BucvqQi71cEIunXacaL7xlaq/
FU75IqCFdvZNe7hPTK6o6VZosLbK3GpKMcWWTBUzoqrsURQ2HV1vf6pZ/dhrkX8dwDYD/rUxBsGS
EalSqwVOlicMufpFQOzObfYIexzeLMAWJK9MsTOMUm4NBBOGSG3kxA0nMYgM2Y712bm+pK17Zm2G
QTMNxbLSLBGAzNlLhVlsPHhtqwzAeZ91rgG+i+vm/gXZDMwyQsoO1R3G3lCr4xDrSKWp3xY/2eW3
9UsJzuF/BE9Di3MfbO/ixRwTEswmuO7LGkCqESdUDnP9VMje9SXJ2wf9YoO5qkWtK5CkAIEpWcCi
14CRVR12Esiiog6Z7yRG60nnir2+T9LWNpE5L8zK1+b0QDXF2tQmQN55/CUVnT2hpkxCMzCEYp/O
iTOXBOn9X9IAxoYMJOgCr3qzdV8i52ipiqGo6ExjHDoCD8eAHDsimfpJm9HpLrxd353N43kxwNZj
hzmUuoVqHYTz/TjcQ4i1QLp2vL9uZfMzr6wwXjXFvdTVM0LbLMTQA8iJStCjQEyLM1+xyR672i6L
cadxhFpiQqa/m+r6m8xDp1To4o2lu70rzJBJh0i0O93VTu5EP66vcfuaXi2S8TMBbDS1jqjANefb
pOkORMboRa0fdXTbpD0I8nrRa6MsMJT0EHbNXsis76HZB2RUziBNNTh+z/09zH1KxnARZSo83ni0
8Bc7DVg99gsYW2IqqOLNu2G01dDh9WFsY4gEl7UMsKaij/zjRU7yOhKkhQZ56P/IoNUdeT+Nb6j6
HUuneLm+69uedbHFXC9aVy1QpqWPGCjESF+M0Su55HnUa9igFc+k3+thDmGy1K0+CTiEOpQcZEj0
Rabh11Pvl5nkzURxRiF34jlxxTyxhUnERvM0vN6njz7/BspCqCOrqLOl1BZ0cCO0RpGoaEjsVkCq
KHyM0tSO68qxZs3V5Ba/70uSViWKYQvya6ZXamTXC+33VhzsSiK7MR0cIQGbjRFhs0DUo8s3i57a
gp7vjDGzxyhyiSTejFP+hmqkNzQZMqqZM4uZyvPObeC5LIj++yram+ZWNls650WjEXS1o33+aO5r
b3EgzuyCgICqtWLOiydMsu0wF7uMc5ZC1CMLCTE0VfUV4TgPx9l6/ROfvJhgfHLOc7yuqABm3GLS
y1dRk1Ufr5vYjnQQmv/HHxifbKI0V6B5JrlViwlkkMy94mBHe0ptg/on7+W+fQ39tsbWcVorhGIf
1UiV2x9jttj8njF6A1zxb3b6Tl0UZWwg9PeetULaz1drkOYtju7HB7OzObvHcT52EK8fI1PCSClQ
Q84hF7P87Gc5KPvuwSgG3+huRHk+pk8E6niL8IAm7TOmooNsDBMnMQWnJTWnQ2Tz98hgtJF0DYq+
bIFxaCppGSW8RTQIKeWeON9Nix3zgGzT9VdWmAvBGLUhBps7pGClm6i5r7Rb3j2/2d6Fas/vhdCf
sDrVCxowiCYVf7f+FeAuAS2nV+6IN57Q88FVGVLpnfrJbVb2GBTJem1IUgsokssx6AeT0BuG0stz
NNIWyRNZWqjZGQcltIBhwj6rfokRyPLDGd0Ij2rf3mRL52sRyKcW2jPSEclupsHW9dpJjdCZZwW3
duUhoeQVY7U3is6tInDb1vJhVgQfTZY3s5wcRHiP1Wf3RNQ8ER1EbUvsMq08fGywn1teOGGgVCZL
7IVZxuMi2AxvV1vAAJoUkbYwMMqFtCHlkgDl1L38mhu2FkAULrDAseL+PcLAG1TcvudXlhmcU0tD
TkyCe16xMQ+MvvTlaIL8sdiXXuLzCizby1R1E7kjEe1ETAhZ6NkYyzJBCKl9jfvjNDzX4Skt3JlX
fttsX0Uh+bclJojsoDJfpAWOCU0z65jYN/fEjiEBT3Xo+r0IlYr5Pj/zMHbzpbcyy4SP6hBjdnyi
MbLhVuFzhFHM5GTFj126q3ncgdtIcFkigwT5oPZJZ8CWWd1JU2Kny7chfuOA7GbYtFoQgwWdVnR9
Qp+SVHaUMklk53rXgTSXBOOORw+4SWe3/moMEnRlKDUZ3kpu+zPfG37joEzrCZCNCJ+Kr6QAd9no
0gbTfPDGI28weXOaZ22dOYSpmkp5Oip/d6ZTyvQKZL07fU+t9qA290qE29YpPele6JSB5nL2evt0
0GoEJgTRJ8qEA3Vmimabo+jTupL/ntdBflDAHlRBeFICSubXRo7l6n80cgt++v9YZkMDsZRDAv5L
NCv4YUAegfhn9W6+JV68qx71yNY4brXtuhd7DA6Ai7PT0xGtRRA7uTXLzDfD5q21/oQ+ar0sBgSQ
c0EfnNyj8COEICgEtxMxIcPcu0o28z4e7Yb6fIldlsSc/ClVsq6GOLc79xi1SQW3SLrbpS73ajg9
ilMIaof0zsxqZ1B46aXNItB6nerHC5vkkYpJGEQe4Vnad555oMnl4SjdqLeLJ535pcJtmLsslkGF
xUSrrSAsmAPTeohG1nbT5E7W1x4a77oJD8SEl9PiWWSQoRUJqENn4DlYe+xIH24UKTnXRApiKd9n
ReHE8exzziP9m58+KbLmSE1TaVG2FyntoOyYyHiWzgf1gDSArxLAH+XVRIr3WDuIU17pRXLdLD3l
16wyF3I7yYuSTxEamVv9IQufs+SFgJ9EHyR3ybp9Qf5q44kXS2/C/GqpDPSYctyreQ3gTUq0WMSi
ncnlI4nVpw6JpLZP3LkZvKxvjjGNoecbjB1yHkPXN1sSmW5DIlTynMQ4P+bwo2rTANxyR01Cf2Pe
etc3eBN8fq8VamwfT4tc5xrGnBBrteZ3RfZavbbVcn/dxnZYtTLCQI8RF6iQGeiCwAPcRSuss4DC
gNiij7rLkcf0vr0iaIsg14vUAtui1XUKEYUiR5JINm1Ncmpxdlvu1MdnH0HQhkkgw7B0Q9TY1x26
4sHpkqD0QHsS0NF7pEzFwheamY98XkpoYwM/WmM2MJymxJoqfKX3+SNH2WHG5EzHP+XdeJQ5hDUU
ID+euY/GGPAutTGdswL3n5Shpb3Wzv04cipVn7/RRxMMRqeLJg2pjtyPKr8u8znFDIHEAazP8cNH
E/QnrN5t4tDVizqB9lhIoOgJAUeMAi/SUyg+qBJPVOMzSn20RY/zypaRdHE4yBj5TNP4mNbTY6X1
98n4FzjV3LqQjqb0nGj//5Gtj0aZAK0zpNAgBgK0QfgWTqmTla+x4UToDr9+ej9j0Uc7DATPuN/G
MqbzTRFYV89Vs8+Qo1M5TsfzCAZzO7RJxUOBpyxp0/PQmB4Rq7PeD5z7ZCM6+LCaz9q6VdMMYFd3
hdhucls/0FFqNI3/VM6q3eyRa/L/IHv80SaDsfFcCWLdgumOUk/STJDVov5EudLqQCxsXujO+WAq
AxZIIChmooFuR5J+5VG7h6aY3czikxBxqVU4X+09mbFy/EEctHrJwIlfS7FNyvtO+5HPvAZBDtSq
DFiEoiQJFSVuzvfWVx3T2wLyL+VftDFw3C08d3+vB16BP5bcR6ijQcjrRHPjqtjhhe4YEuaIJgNJ
ZMwZlRkUkMvGNnPzh4xsa1PNfhcKL2R86lBDs5VZ8TRjjpFxgTSjisz5guyK+qabE6fdfaMa8tGt
GNSJolAWrbHQ3hOmiT175A7yT9H7uzB8F2ok3btK43U84FwPKoM7kABQW2kCHqTy86Kctci5/ve5
62IApzCEMR6g+YzvjS6Nx+lo3fQpVoVn7r4OhLfxKHBHFHg3LNspFPexCBlBOBltHQPL0rE9hj6N
bdH/crNwPh3nhLI9QwrC6GiqAUIWgZvpXmn2bjYcCi3gbCVFliu+zHJihJAr6koTW6mFvoqqFYal
xvpnM+zSIRB7JNiRam9PCWq+HMM0RrhmmMGgNlHbcAxz7Z+ABZKQe3gmfS1QcdT4F+/6kDleyTb3
JG2Sir2MeEz/9q7xdh8icxh5ljM5qE86SiB+nQ7v6kYOZqtMR7vV3HHHY87Y/rBIgmompEsllltN
j8doTqoZiZrcrWvEuYaTkGOC/8fZ388PbHr2L4aYQzhLC0bn6Ie1hl+GqAOjciec78zcT4ijRWfF
wrtzfrhudXuPL0aZg6k1lVkXOlLhcXXbWnex7F//+7zdY2KAMZTKOCUAtOFU3ibpc17Ynfl03cZ2
qPZ7Dez935SJChnxCqCpVUiPP6rRzzz34sqXqmfdegpjTh2EfojPB+Fij655dUP2Wj5nnQh1n26J
XJH4c/wzl19r62tbcnxi+y6+WGJcIg31YupyNGRJnZfrQbfckGh3ffM4DqAyDoCC8oAxSZzqVsIk
z/c84+Ai7+MwDjBLrZ4nyBm7deRKU+xYeRAX57q6qSM/m/7iB+6cPWOB2OyJ1LYdDJadV2G6PDWR
leIN2227gEXl3VV0D7CZk7oaqlqu8PoNBc2WnqL6iWBS1IK2jn3987yzhXx2tosl5vtMYWuqtUKd
zevBc9M59Wlxh33sTMec2DRVPXhI4Oyanb4z0PRYBioHIrY39PILmC+YR0U7FxpY1ufJSxLDkXIv
5TX4bHvhf2xYbHKkK/JCV2oMSMnhXVI8LLxSwvXvZbEpkTQ0qhKd0LhK+sYzuhGTvFBx68XdmCWH
yUq961/tX0KPy3qYu1JMNEWYMRYNAgmwE4FcRPCkByVQ/TbIz7xmge0jdjFGL+4VHiVzmmfmslDe
Jc1XdpbXeqrP52nnLop+xJUdVbbUNq0qsCChkiZ6nV3cC44OzVXTL255jaC8L0a9cmUs1IVsQAcE
0gnVs4ZCu3Fql9yukS+rMg7KbjRk0Zv3soEMoBfZbOZihCfP4M/etKfM1/1riokl/BePch7NxxAH
S3sV/6ejZYkMvmtmFYmpBV2Gnnwj46lCiTf+s6TJZXEMgKhG1vY15b6PywjSLrkf5bJdlaYjNuOe
hCPncty+8C/mGLTA817XcsgEu0rv1DLmaRVHiGOkWE0OMv7Lm+K3JXbeaxpaIpcVPITqj0i29ILu
72+UAx4tjk70FVXlu+rH9XNN9+rfwdhiR7+W2DAGsqBzNyb3abUEjdA5+ig+RUK6l8QvxFg4zCIb
HTQfXPP9TK6OgZJMGLZB9xaGzci+vkUXFSiSoRZwUwf/44ljh0UWI7G02kAkkCPGBtOCCr6NNrdD
wZmWgXfkKABe20kGSzK1NtL5/0i7rh27cWX7RQIkKr8q7tA5uv0ijJNyzvr6u9jGna1m64jn2IAx
89DALpGsKhYrrNXTbOF1+6s5FuiCjl7Vr+gMcsZXXsVh/wYz3zVptYm4bjIBmOh0JLa3lsFryc+F
W2LkXGHvje1rIfqgC2WNHIPiy155Cu9NG/0NdKKNNjHm32bffNrXRq4FMO6j7iVjkAIE19ItxcCT
D6CcAIq2YOu2Ylqo0XvTaPMmsjgG/hmnbmjJOOKhmxZuUyeuavqxNji19oOzOnpt7akI40mmWVfG
vhSRPsQdSqvF0zl87rCj7w944Alx+nI5Nw6LQZcTs5FzBSq5AEJkVgVLS41bswGhniEfcu68DMcC
2B72KurlGBis9NIJD+pV/HU4kKfWEfzGR7OkztOVzdVpMvpDUepTMTr18T6dumqO66wF+9aptoCX
CJZ7S3+oztpVfkQFzEZg4uev8pFHhb1peyu5zN26lJVi6EalOgUGD8bQGoSrnhuOb9/gKymMJTQd
iGMbgmH3cbbR+O7FrnGHsXSnOARPYIlCQ0x+pGYIBu6HfTXlrY+5XpcgV8AhSl8C5K3ubpvkOE8v
+yK2E9yr1TGWIKbpnEQK9rBBpY24hbOcAyDbIuGs4+jQLx56PW/mmCeURUfBeNMEnGWkI5Jjd0Rb
DEXzzM7BVYb7VbbR/ncoeRjsnL3UmaR63xcGEDLhQgdU4AZYuHmIeFyoPBnULFduuoBLmUJwoVLa
kTYdDqis603n/dGJaZKhGoahfsKUGLIu0ZNBp/G/5FHSyglT/dI9JawE+tojmvY4argdnCMB/f8S
6fW0WleK90ZNau03+gtlUwDD8WE4CX4OjASeq9x8cayE0U1eCRvieJSnGFmjCZnV1kfPNkbtG5/X
Tbd9Vpc1Mb4jGHsiJiPdxcYpldd8fM1bYu0fFU8G4zmiWS6DmNLzaqJgFYXxDJ4YB9jfPBumevXp
NlttGeMnzFzMw0VC6Eh7LSiycHXOLHBdeA0Y0v8oZ7kSxjiMojLLoCpRvMSTfagdEYE+OfS9u791
HC1g826ZGRhyo5i/ARdaP/V/awFvyJNzQuwEuA7y9S4bgQ3b6rag33ST02Qc66HGsXM4bHmtzJZS
bih/htI89NMXIK7v7xRvCTTUWdnLnNZlP3VQsrR/1tAlFT1wCTl4Ihj7bwy1rOIe7SWt4lUKMPqk
kwlYsP11bHRO4zlyUSy2kBY1cwCkEmgxbZEIz4UnuKjjNG571A6pE7i8cSXewTAeAGyWoqj2AF+Z
0OBW1I0tVTyQcd7GMQ6g7Iqln2r4ssY8BYqFOQhF5Gwb/co99WJsX8n1rhsJUHO150j8nhuTBRak
njR/qWWM1adynEQVQlhHlJ7m4d4ITtxs8XYU+a9HZpOrjdDVeZEjYaGYV2mr2jGmg5dzbCAryKs3
cc6FrXMpmM2KZgE2CQeW9DfV+LUUSs7B8GSQj3ZZV2pU1TXCxhI9UmY3H/HCvwYUNQ9jkieHsX+x
QLe2qhYgfU0Kb2jG0zKVVhBLzr558sQwPkCqy7YHGDQGNOqDmN4I+VngQvtsVqkuHoDlzpWLdizl
d+q9U+DDLg+Lr55o6z6PcW+jW/mDr1FZ29dTrWoipD7eG6TcxKvAii1ZiZMtTnWmVFuZmz2PgY3y
LkhMeYE9x2jZ+cC6CkRTAv+BUy/XhWQh/Mbt4wwLrzbOMynGOcwxQDEXYHY5IibMhKdauRHMO1Wz
akDA76sHTxLjHwAyJS0lrZPpKIMvT2H7tQ4f9OamkXkUhhxJ7Nj5IpqLkuaovE/mSVzsLkjdUHVT
5Z+YhwvNu5HYiYsFZHOFpKB1gYJc4LHigWcvvAJj+0E8gOXL59X56XHs+HKNcRmN1qtiUVCtzJx2
eqsGxe5ABtnkTq33tl7X/v6hcWxaY1wHMnJ90qV4rygp0Ei9oD7kHSfxwRPBuI2sqScijihWpPnP
pn5FdkyROVnh94thb9voN6wiIBGUdR0xBMUZDTqvToqbOTftRs0GzCmlg1fWxYtkRLEtqoOdRuFD
lQPlocsaW24x0o7wD71di+6bpDv18jhbAfBO+0T0y1C/X7TcLVMhtsKldPT0WyYplmS+zAOtG5AT
UYWnsdWAyVr/Y1SpK42CBQQPayxmewgCf8zbQyM0GJKv0XKTaP8Q8pIu/fOUC98VM7RbNToQI/iG
BvdTW2leK7+U43jYP2eOu9EYb4e5kFlNaLNKGYv3JUYUgExVaxiQ6lVe8xVPhan1rs9CLvrBpLdR
845u3trBXfBU+uNdR/OVIxhsIjdvbbAjqEeTs0zOm0Gj37aWbaKZQgiQLlnG5GAgfZHO0fVUGe6k
3OtwFdGc3/bkn/295ToJxvMNaaWYEe3WG+3fdLGhC4RPR7OIR0GXTc60G+cs2dQJ6OWL3+R4gZLY
YYGMyfCiZou9BLwGAd7K2JSJLlZhqAaIXudTA8gdMIf4AZ6WjfubthXNapyt/A8ROdB2dBU47yaz
laRdKpIraIdJf1Fa6MKLwFoT/aJFx9+bWb/uS9wWCARQCYPeisiWbhU1FaWOwAF2oSsbBZKIb/sC
NkbpaKBxkcC49EhIME0n4x3bOaJNS+yAZb0KT9+BQLDYBrggRKt41p8yHpXZBuL6R8GMb58FLVgC
GuHIoR+kL6jNaXhExW6RukXhEvONi2SyAa/zUSTj60muq1Gh4o0QHeuX+SY/lT66i6OXCfTlld+D
ebMBa7rwxNni7ajxssWM+4+rKW0VACFjgAcobofuHB6R6Iaf0Y8cSfSwPl80F0mMH1Xh+0WtgnPL
UBUEqQeQUQ7hFe36AxyUbPFMfXtDdYxDywZmOmAVHx3aVIxDm9E2fuL/jj+y1lZ+RLffQ1/1AR/3
rB4xyJtyjGLzyl5JZdxoUDcLADahsrLxLI3oiFusHgAi+3u56cZWQhhTN2N9mkcVWQvkEcrli5gK
FmB4yyLz9uVwFsPmkcRajzQwnqF/e7oBkDAoS1OJ47Z4IpjMcqyjAVhpEX7kuRZZcveoLDFBuMAb
guBs2edEklFESjcojqm4kvZ1SU5K5cjx9/0N2y78XU6G7dEGL+pMshp81roW3Cli7GYABCNLYaGH
EcUkuXBicT6aOZozYuKZKOpaatn6Y9z7slxeZ6ngc75o0+xWX8T4Fb1asnkpYODvDS82yCNsgHYd
6DgQfKfDkUZ/7ZORr6Qx7iQ0gFSaR9hmOvyM2M9XOuc7EEA8OkyeXCfXgEnbF8k7WPr3VdySycM4
pQluoSyzURyXzTdzvgVMB0cMT08ZbzLMWpepJlpes+BajO+S0FO5IQPvqBjfEdfjAnhDhPvNO75b
a0+HBl0Tolegx4UHyrt9x62OinEiM1lyM5Lx6Bx12c+RMkrCx7RBS5T+sgAIpmiOYg20NVnheEiO
irCZqlGfNTTTg+tL0mZL0N/6+GFfI7YLZJeVsQkqSaoDsGiAwB7wL7bxS8MEXPMKBmvTku3iVNnv
sFz7Mjla+ImeUAJFiljSaE8pLQAlaVjbUDil9Lwvh6rZjn2xnddtlatNaRJkEgFMWasjADDJuRfR
MpcU90bNK45wtF5lnEcBmFotznBnB7KHl3yjneKF88b9D3oIwmBTRyz3CUd86PSpFQpcMvOJUjrF
J3KnA3tCROPk/t5tK95FEOMpKvSIg94Fgmpy0qeHMeE8pal5fj6by+8zLmKSUx0wjQoarDI8Tfuv
mvSokmex+RKkbwqvrMhbDOMr8qJvptJEs0cu3srxMdf8v9ssxjugP1dTBVq3T4O7BunddOC0H/PO
/f3vK8ctYVTCmCV0NZVAN9Hkm7J9jqrJaqRTNudWZmSuFvrlH2X8Maeqqbqq65+wtBtzmYFYga7d
YPgH5MsHU5osrSZoPW04ir1pOytJjO3k6aKKM6X/m9FYAYqbqbAMhZMx2NQCwAiLEsVY/YTBDNQK
oU51XH6ScA+APKuR/2gRFwH0ylodktHUJW2egk6TwV0M8aoPBVfVBI5pbrrP1TqY91YjVJWAWWK4
tUQ9lZHmyF3pLsBaXDBasa/YVHE/WelKFHMsSpyE+mIgHlJ8Oo8ouK1XH7MTL0ku846Gqsdq58ZB
HTKxxyVU6NNjpoM1SBc8AfEz+vrtOO6PtQJ4oVi9F+bxNNXalxkt8cM4X8Wl9qIas2Ybs2ILrXLT
xbkdZOV5ksRjOyp2TTS8tYPBixFn1X16aOPRm/UOdYvWIyDfjovii2wKZ91MjmBvwbC03BJnfxu3
zXe1j4w3zRo5DY2atrh1pmVWzgLAmfqfGFN54Yg+qatkAk8D5/bbbrpcCWVcrKJF2ZKIAUjZwctb
3w+H3tP90CYWUsocB7jpzU1wweiYOFcw3Pfx/JJc1POUQu6apPeXsTsJ+VtGeleQHhsMfcRSe9zf
UfrtnxTzIpD1h2GDKTWzx/WRz+1JNdBRZBhuWM5O0VPirz8alFiJYx5emjbpSJmj9KkSS5c6KNIh
GWnTTYXXy/7KNj3hShTjRCTgHwLHV0UNoHVDQKBGA+KJvzuu93TcytwATSyNEZLRTlVGV003OAUG
taIhcOX5zcTE36zq1t+tinEkgRbIRFjg35c8cWbiTUplFxFHKTa91WrrGC+y9BmQZmk/TzCFmCsE
41poiYEMprjveXatBFY0f9lf1nZ1byWSMWxAi85FNGFd2tfZ74AzTVwRPelolQLD993yK8Jki3zd
ueVTiekWibPg7YlgE3x/+GcC/JMxcVKAj76K0BJMX5Ax0D9Lm/wgb8JXA0kOu3IHYCEVXwXHcPNz
65pOyAXwour42RAvX8CEVoGS17W5LLCMR/M2PLR+bgu4v/36mDsxHxxxu0VytWKqAyvVTeJyLBqA
oeGFrlvRsToa/9R25IGS5Wo49V/qK4o7Vb8SLmQYb68NmhxcSa66VtTqCpKJP7pIdp577Hl/HV83
B+kkPId3ixuD4m0A4JZsAYaLB1207WP/3WmD8UFqoYjj0IFmPZJtTMkU/U+ld8r8oWrAwMXzQtu5
mcs+G4wbIqFpDn2JrBkddQahoF94pd8cphPttAUjDgAGuQQxm4HNSiYT2KCfUVMrZD6dPjmO4RGR
eg+GvuKwb7PbV8dlHxlXpCqDoNYTNLZrrpfhZ5S77XgHZqYu4Xhy+kM7psESF8hSN8SKiCdUPzyn
5RNKdvsL2b7gV/vFOB99TEKSNUjaDmZ+1xqFHysoKQoCphSDxyrArNYEFPPB7EG6OHIiw+2M8Uo4
43rKuRvrOsfbgKbKNBu9oVeFl/qDXR5BrwlEMtGKHd6rlKuWjLuRBpLmUE3Mpx9C3QFMxgLulvCU
varXaeP0nojJi9jTHvZ3evtOvqgM43TaqCMkKfF+VAxgH38dli8ztyLFkcGCgwd52pGKIIQSDuGN
1FuBr7i0vqeb9nKfPknoVA5sdJ7/1cpMxqlI5jAgp4z7q8jEhzH8Ic7dY2vyxj95x8ZihSd61Qox
7U4bPOOkHuBNzt15vu3BF0DTdfnrfP+/UzuiRHTRTxbm1QS7aRZj5pTCqTQKmlSVE7ergeOwTMaV
YKS2FYtkQhwleNpkhxnQvyNMZSaqt39M25HNvwpoMpFNEuLpLKlIMFB6kP++R3W7DrvaNMajgJ81
l/IKT2T4ETCg3GRH5dcUIuvZHns0JsTANMEkST195/oTzu32aRQ574e+0hoFg5E3lQR6badf3BLE
JLrkE6Ca7O8n5w4wGTfSjUKlhgveYxq5jvKvCegLo/5BnK/kP2vMXG0p4zvEaQBQ/oJXWF/bSpZZ
YnmrE9569ncP1LZMbAJYQTBJIOFeoV7Xt1ZQ3OEtnAhXdfLcm7yLZ99VaWwtmxSFIEszkuHmdNdo
bls8SzJH4bfT0v9uGyjUPq5oScxeL03EH/mL5OWHhA4CoK1DPYkOui0cPscI5zbVRCb66IdyyBSZ
6j4S4eEZ47NuatdXFBS75iSK9iMDoIh+XFyeJcJc9ajjzeE9aLmU5ce+evMOiHUXcS5IqoSZszI7
mQ1w133Ci0Z5IhhPIYEDOuoo4GwUX1WKjekDayj/pAEFHG0gTlXhy9k2bRXdSoVivF9OtFqlSbWV
lL7Y/dzfrQ04W3pVXOQwa9GzhTRCAl6O4sqw6agLpa9Mf4b3uR3b8qlwI7c9A0qXjji4HNlUjz8H
iRfZTBgliE0Qo3sLybzTO23EZAcO0mCGPbn0xch9sG3fJBd5jOcDRuRk1g0atMBNbQxuKR0wYIHG
tF+jcqtD42seZuW2olwEMv5vDLqCJBPMKnhuyxzox24wcNR92/v9K4Itkk3RIhs9pVeeg8e47EER
h3RfIj8aZuCIS2pXTXncP7atXUSfhAriYDAWfmKkM+MuKQYB/lY80cptcJTw4M1OvDaQrYWtxbB+
oghGYD7T+GI8a+Jt0d2Ys5v3t4J4iKqccyfSH2M1cS2MHuTqfavOpanLmCBxuuHcAys2DDnmvOnT
1xIYO8v6oUvVFlwNw/fqilJ7189N6US/glvNmw/CVdnxG1toALu3Ksa++qKbwyk1wCIdmjeoZThG
lh+r4ac635kDHg9le13UhVPEy3U78PDuNuOp9YoZayvkkMwZnQ83e6CgFU5kWPJXFbpCG5TGg+Zy
W5ToLbW3XsbcmpjIbVhov0f2dC/zAqc4yz6S4Ogkzuzpbd8QOErDThuPpr4sHQVpTYhwXUzqXaTI
vJfmlotcbSI7YtynQqYZJR1r8ocrOkEtuEitnaJD6oVO+m1/QVvuai2MfszKCmol6FPRQA0nor1r
RuTl+j+FOvylKbxz2K3EYIhOUcIZaimeKFl7eqqBieBKvuh1N5hivg6BlsWxb97KGGdC4jaXgAIK
XdR9IQDq0x0S2fubx9MGxoWMZj2EuQkXkuiHMfgxLg/7v89bAuNAoixuY50gb21Or8NIbuXocSAC
x7fzjJYwLkMXIjTDCVgF+Rq+UAZI8BE8SDedG94h+PR5tRP60TsWSxgfISoY3jESOqFR2TGGQ2LT
CgGnK/P64LjrYlxDW+pVGOlIr4WT8NxliptTenBlcQ1tBCwcmAni4AdaMwAQmXlGuRwmMbZNo/5L
e2ZR7FtDSRM1QrhFuQrQw+CWz/JN67THDmrPRQygBruzvSwcciDMQGSSgK+SHWUvdaNHwVac6QRw
eWCcNrxMx9bDcuU+WLIbkioBILiRJI6XY7v4YwJymYMqHXWN40E4psBiSZt5YBRyACVV55sy9cXq
qfzb2+u9artyUg0RjXxqUDcdbUoqIVlFZMXI8Jl+6Y3n1ONZAm9NjPtIlMlMhwlN2Uh/xXlmEXKl
KLwwhyeE8SGqYQ6/J790AijU/HHAPO4U/tp3VNSU9pSOcSEkFeQuHNCpT/Fu0pN2lE7/TZMOz6Rl
xndki2YYgHun9Z/Az13pEDixTwf0Ie2c8dOFm4XstX4zPmQE7d5UGy1Viclpb5ZzdZBPlBLc+APU
5ZUgtpt2VsWxXSS6svhojPdac4x4by+OJrAT2YWhRG0a4pAW/RgKD91iZzzcyM2n5XoZTDgRiKOU
mzrSGKB78ClCcHduQdHXnVVX9sHThBx56AhPiZ35PNLUzYTGWjaT0FATVRhilA1RsDJOrR85qd17
7ZHm5XkQB5vFsbUsJrgYMOdaihHW2WH44GtzBJWPE4CK4d3dAukpsEovOtABx9ABXxQnn7KZX16L
ZzyHHGVSPinIHiaxNYF/UfpC06TAde3fRNNSvNBufvZnHn7E5sjFWizjSxDD1UVWvpt5eEjd7Jbe
LeYNhle82ROdzk/c0JPuKt7IBce9sEDHnZlHVd+hx3AK/XY46tnXhBww/liXT2N4FaFrYN+dcW41
Fl1zKYokMyo8dwXxJ8h2cvFpyG2jw8hVyHPPnBCSRTuuZhFgYTm2NCNXQ/JUxYf9pXCiLTZXkGW1
BGg35C7D8q7pPdJYpXyTDhzvxXPMbFdtXvcmetreHTPSlyjkkMQiR2R5PBl8XfW37u3vlsX4GZCP
zp0GbiAnTMEaTqpjBNQuAhLoVuA1U3LcJttVa4Lxvap6KB8xHrXyqgKDHxcqiCeDcSdinoliWSMr
Ntu6NRzFCSV+SiurePOR8itVvv7GbcfnaDk7E96r86IJI/aQAkNWd6kr3Jh2h5Y3ihYk2RShSDy0
ujX7+2e32dOwciPsiPiSSkkxh3jWqI+UPFY+YNwnezUfwE/+jH72B+o2a90y3OAm53jO7Y2WTUNC
0QAEx0z9T8+XpDJoMTwK3VForBaAaxMnGNoE9ZHEixBGOad+7CMlBd+k4tMkSOKh3JKdaRtBdBL/
DAFtLY6592Y1VudWRZqpF2/b8ls0t1YyiU6LOdl6yv/s8C6LY1S1H9HxndRoywDpsCd42XG6QkTx
OpyNp/AU+xQcXnRyyQJTaPS8rzi8w6N/X8XnwVh1iyhBtCycjDx0jG6yiolDiLJtFZf1MXdcLfSt
aQaoJRjhbZp9S/tDJB7E8K1Qee/Cbdd8kUS/ZLWcNizHNKMstcQf0EmFuj7ipOCY2pll+gMGXAPE
mTyr5wllImh9LJeqVxE5pMkpUa/a4gGIBVaYPu0fFf2Zzw+Cy9qYuFnp4qwPCGIxuZ5t9LQO43lO
nLwH4Lv0aOocq+Ysiu0l0DTEB5qYoeG1OJPQ1vSXMrAGHgEpTwrjO9pSiuKyAzxTCtot5ZaUb1ly
l/4JcsDKmtnWgbpRtaimMdac5H6R11ZaFn4Kxsb9A+LYEtsukAxzLMUD9EBUgIhAAluaikMZ/xGk
8no5jLsQFkkOwxSlvw5jS3RKt3w2XbQO3NUAOCMP+4v6D55XB0uhqiuoMzJqJ+YpnPqInJ8WINvj
ytr3eH7QyJOwlPbUfYukZ0V6GcUHweCiEW9rx7+i2UDLrGc56k04pwFchRGeAwMQiekwXSt5HaWY
QZNQSNyOl4PkrZkNvbqiioSR4trTrAUgIpEwzu3wCg2JnuBwGXToeX027MsymbutxNRskzRIL1Ey
SPBqH8Bh/KA5HbCrJz9yMT3FC/7/w2PnIpK53xS1bfMSLLRO9SUaLOE7eG998yG1w6fupPrSL1pM
4eFfcneV0Vtj6uS4JRD6OxeE6XLPRGhEU0GhJx85estTHuZmiwni52DCGdK8xvRY+7EPMhsn+0aD
BuUQe7DPR4k3ZMOTSv++uoDSAMxcivj+iKWa04KONnCA+QJq094bHeFE17pwz5OqyJ4KMffekoTi
ZI40Q4kauhMf4lNzFo+q//5evuVdeNuO7qI9zIVXmNqUGwr8aQesK7lKTyDAs0bw8ewf4XbYcBHD
eJ6i7pVIpNxcRnHXBy9a5hipo+c/So2X1+acGovSQ4g6tVKE5ryuRcecfg5HNzOaY5dw1IOzcSxE
T6jEi0ZiwHqaqdfmixVUqBFxHDbHm7CwPGUjBcU80/RadZNGzw3vyt7OWEiiocqqYgD4gtG1UQGF
d9RB1wZPBs5QcVfDM6ND5HYIrQDMC0iU2L1oSW8BTyG23dZKNKN4nRAIYlsjkARFr/NexmvP2l2P
SoOVHIDba2OQrRat5W1fEbfTYCu5jCaWPcJzuURFFEMigJ1NXSWxVFy5FKJY5w1MbSrjRRhbDy3M
AtQMDQ5wxoCekjudKHlzqHrN0L5w1rXpNlaimPBLD8WsHHQYsmqNLrHxrkKPlOrqPooPHi8du53Q
WEmjX7PyjU3Q19okIgVE230FC+PWHaB7M1zkJhpkxoP6tL+8zYB5JY+55LRarWa5Qe+PDgacREiv
gjEDL7CIVxQlDFFVO5syTk3lver6yROvhLKXXEmiRshgHaM9OLrXXSGL+LJc0YytAfZRPOUme7lZ
7NlZnsvb5Cfm1MAuu7/w7Zt29RHM3de1QV5FqFG828k7jovXnCtXwE2bXQvevjSevtK/r461qqTA
UEUUH9FoYg0yyo9JbCfzg5DwZuA2L4TVshjPo9bGJJnC+9D3FxHsL31soW6VqU9d+GN/TTxPw1ZU
h7qVloE2iVNkqOKOgvsMlvlMTZ6gB8IAKTjvEuLKZLyM0VaZ1gZQHXTcV0cK5iA/kDc88WzySMsx
2quOK4lzydIf3dFXtpJqxArGgujYZC9d50ntau0xJYjy7zEMWuWClfDSjDzlZKupVW7mRqsD6wd8
QZ4CHMPQTf3wSLwMPoAXBm7ehheVYYupYSRXYWxC2EB7FVpraXi8FDwJjJcpwwFs2O8Mop6e2RQE
Gr0lby34UpbT4uaeeccLv3gS6d9XBpcmgdxNA1GcOLzupOe65qRrtv2mQsDySwjR2aGTITEqQ46Q
0BPC2clExZ4T0TLqwh7qb3UaOaT9ybG2zQ4r6SKRcSGFFE1zR+eSiCpaQ+6p/V0TXivGfVI/YlZ8
EV0dQ6eKzxFLj+az7l/EMv5kIvMUxRkCTPGkoq4v3HTn7KxYhUULreqd+mNf3rajvIhjohcDPU6L
iYlTJytvpeK6UP2sumuiX38nhfEic9p3IKWg2JYYa5vutSixzZ8jBv33xWx34l3OjE0QJcPUxV2B
/vfWXWLL9Mrr2qEcHx1w88h/1169rfh4lqqKqUkSWzYIDCCEIseCDNij+l1FTYQ+yxEMYpjNllza
ysVji94M2KWLRMbUliYzSD+CbwAl67dcKW7GOEAGOOJs5ubFBkB/TVI0E1bHxGHDMMiFLCC7nZZ3
4uxLzZWJZKl+0Apn/9Q2vf1KEBOCSWWcEj3AsGeCkbz01B3So+QmJ15ZfDvUW8lhnKKxRFpe0wRK
8WW2qyOlIUb003qANTx0gFfj5lB4O8gclKxiYLsU4UESmVhGmJyAIenKQTpZyxIcDVJ6ejV7laml
1tAmFi6g26QSMZRSWsbYX6HE7QZ9BRbhxtvf8U2dXe0EE4rpYrqIuoCkR6sMuH3OkvC6L2D7PbaS
wDjPIBHljNB+CuWaln4qr7QF3KqJIyDQJLeDS3srpJHLEsNbGeM96wGUU6Sb0X+onAUwdJbyP/sr
4wlg/KWuS0SvCsTvTfsljb+Ce2b/9zeNe7VxjKfMpsIIojJSnVqqUJoQ77oQ6O1t+mNfzOaYo3SR
w4ZYIDOt9cBEIfd3NhFPgfviNfKA4Di/TWjS7+zuWn3rYn9fLmd5bJyVGG2jhAr684BSUVdXVXCX
zt//TgTjTnpTU7KkxgUqoHJVOVNw1xs8+6G/8emSXu0e40p0tLi2rYk3f9S2vp6Ox0nG5PTSe0qv
wamgb62UMLBknoO4cdNOsquyO3bCiP83blDrJ+Av+wHJCnvMehvgSud5Mb1QXU7moFtZHgAdTrTM
pvpeVaNuJxU6yA3REVPtXCbzy2TC+Tc/Q61/GSQJo5RxatWjhjFO5ZCEld3WkkOG7kbPK6/+s0L5
avHURFahnt7NZT2F2GBZ95X0nM6APXb3z5BjZTLjoLrFMOdZoN0SUm13cnfXqcX9vojtWGG1DMZF
qao+VH2DygilFRxA5C3YpWCBoB4AYeMxOWW2xhuG3dZ+RTV1BUxPICb9uHPNKMoAIMRjKuvUg6bH
PqkSp1d50f+2dv4rho2CwrSr9FiEGPWWTttOh8HSr8sjDYBQTOUcFd2mz6ZgiLKMrJsGrIaPa4ox
L0W6BaFBIxFcY+R+SjJvadvTaMQcs9sOFC6iGN+rxUab5AEiEoJpUfVgHEfPPPEbl7dP6SKGOaVs
DuhAB6ZTlK/9+LZIfjm+cHSPzi3ubBqb2y3Vro6kCt5XmZxYvzJmSwkPTYpcVz05gOGzFFLaqsjZ
v+0ISKbxHDDWFBzWx7NCFsjoQwKzQm32lqIDB6g+WsVhsgnwHarriINMtZ09WAmkyrNyFUSLim6K
MQ5gPtIOieUgvk1nEf1diMeXa+GILgnjmdtGtnmAK6mMSkZ9UVRpifAmTk/qfFVVd4i79k+Q/sSn
A1yJYFRxQrhaNsqIScTyPKD8pnxdutwyhV9K9Gd1lJUsRh/TPg2qRELc+hsQHNM26MVbfMEvTsk1
jz9wOxNykcYGBk0QtUZHB22I310hbvPnWw1tjqGdosGRx4S0HYaspDGPjFgOwVpP+wd6dEQ9ib7m
xweQL73OP/rRIk+UugZPqMIiD/vnRxVv5/zYFMwyqEbXGCJAbRcvJd4YPWjp/VRZ+1I2DM5QCXWK
mqGDgPf9Dlrpf4ysa5kO0H9EWb9ml24neKygNSj3gXAPgBKc+Grj+D5KZEwcmfMpM6IUJCOouS1O
ay+viAvQaFK44WP0t9IY+zblSpONxpTepXXvDkWw8ysA8qMZl/ee+hwU0KVhLJsYioH/MLqCWqJR
ASVecnIhsYVEv+mLlJNl2t4+MI5qigbQaIO9zbRGL6IQM8YA4B7dGL2vmFr9IYEZGjxtz7w+289+
CgtaCWOciFGmVa7IveQIgD6o7Antp+HfLoh1HoDdSnUNm6Y+KkgoSUCgT14oRSBgjDxua/bnG/rD
ith7ba7jBcNf77h6uM9upwOmf+zcT75hG8HzqJ9CG+RXgZvYwQ1vZO+zS0b1TxIBU6iKBk6Q0Xwz
muPObHXJ6aYbI3xNwQjTyU/dfBJqhWfXn+/vj7IYvR+UKDNQyJGQsmiO+Wk4fF9swK9y8ec2Wiip
IAVZGKi8obDjMGqUkLGfxt/g9+FhOVJwptEPjrEdHxe3sYPvnS0ezCOXYJIq30cPSSXrqkoUVaXY
jx+vbnyKUC1mIMF1gRuUao7gxldma1WvA2D30Xd4W/nyMUit1PvfY8qPsmmAu3KbWhnUQhxGeGQL
jpk8JdWNlNykKs826BI+LRGgfoYB36xKGmMbfQwsSxM0QgCdDQ+VNxyCA7UM2pbacjrXtkxdJoqC
f4iUVRaHPjbrXOrA8IM+5sdGvdWA7T96+5fN5ysNm7YSwXgTXYzzYkgmVKBN4KjnoHJ10/FHw3vB
b7rItRxm14RoiMU2Hali/O70ik+mC65Tv/bQAc7Zt+1F6QZgK5BaMUXGqOcJcVwbwKhlob+qiOFJ
aDLM5tBpc16JeyNnRTfwIosx6lCe63HsML+HYQvDlzAXFiFdhZVh2ji8bp0FrB3JoastnnJsXWxr
wdSzrdS9aDVBFqaSOFJLXCIRT5R6jnJsRiJrGYx2qHUrE6PvpPfXLqZYvOBJdTNMsGgeHXj735vp
P+4loyRDOouDkkLfRbD5GHlq9dH4FBXt877O/wdl/PfMWLzMqNfKuBKgjHSGWrNLP7iKXii5Ctgy
LPlpXxpHGd87MlbnVGUkHhURCpJ3/4zSQc6u48awA5Oj85sX2UUP39e8EoPSYD4rCgy50aebpRKt
qOvfsh4EZ4H2rE48wqFt13TZQiaX1dfSMjVyDURs0AhPrmy+jgFnRdxjohawWlKTNXld5IbkLN8H
R/VaP7wOj4utn3Kn8lVn/5h4C2J8RrLMkzrXuJyr6hr8Crp434SHfREbyaMP+v3+rlktyKj0Zcqa
BsEG2iOpOQGl/4wsnkenOOLH/JX3LtvUPVkipiYD4Qbwlx93UJe7jmCGCNTBWBhJI7vox/8j7bt2
I8e5bp9IgDKlW6VKLse23e4bwaFHVM7x6f9FD85UmdYU5/QHzM3AQO+iuLm4ucNaLtHKx7HQBG+j
Vf+DXoppqbZFZJ701kwjallSixjYfEtGRy9e2+puXAItfrr8FQWG+MMLyfOlSyOwEjORegxpaNrP
rH5HK4wR1iL8YyHDt7texzSIjmZO3L8cxnapmfdqX7KXCusqwrtoi25WyCpAAWNj7P5gYWfGOLBN
MtDAtxQnWC7fUxo7dRsYEhqDUchNRBS+62frzBgHteZkT9XCtiu56n2COA3ES2hfMtwctUdRmX/V
DXVD1mUQtGiEpy6qelUyI5Zelpbb1PZL6QMZTYfGRBBhi+ywv5+dr75I8iTJczTFgjMzrYYNDT+Q
E4PwRiSwtH6Uz5bEeUYeG7GuWDBlOFOQfCgeuo59+5dy3Xv9rmFqJc+XvWNleBbggVw80qWqjAw0
d5aXwo5z3QZ4zHvM6WF6f8+02y2v9uKd5A+5M+2jWwg+ueH98jKKktArSbmv5jkwniRFQ1Gy+5un
AJzdQXHLKnOWt9yp76x9PRY25zKH/376TivmIBlc650kSRVOX70dR79sAugsj/VODm9mS3BL/8uB
OBnjfCePtaQqBviovI+31U3upq59nBm9GtqcRQHqyoQwviYgRUXCmOD1yR2/OJyHaZywmaBZd5lG
OXoI41+YIW22EWhz8530maK2dxSzfcptfCPKoa1+29MP4LP9bZUMVo13ohf396jNS0aE8vK73b5a
yWs3WYLjsnq5nlnjnoVDuEzUSLDc0n4a230dBzMVbCDzv2/OQpCitm1sos5nqbUkr/olBHpCdWKR
X1sR/8P6Ek7/PucfemvVYOPFm2LQ7/P4KaRgC3MFR5wd4W9rgCIe3ix4K6GH4it+zT2oredlYmds
9qddFuRu9lz5vdf+ULehH/4W2Fu7SqG+J0P/QSXI53CQEim1qaEsB+6zX3ST7YwAEpVo7zd801Fc
EEh7ZJ+xAV1BYMecm1+mDsVlVLRUTfkm21LGYaSDFh/5fes1AqE72PKyzk8x0KpeZePgtKKM6gox
uWWg0KTYBiQB7W/SHWOpN6VkAK1Zt7X1NKGJFemdJUTLTb0rg8K1ri2oDwA88b9esTEFE9ArF5Op
mWAIQfuoKmMXv25sFRXE7GiFxPE4Okpzr0puQ49G8Xp5Q0VmOIyOFqM1tKlHljjHvLOa/jSNVz3O
b0loCg70yhZatq3Luq6b2EDeU7OGKHFYFLiM5ldSUneKt90Mhg2XqvulhXSSuru8tJXj98Wg+vUL
6sNQmssIBKnGh7IbvTLcz7UkOoAiK9w+FaHeFqaFqKj12aB6uSH32bP1MaC1Yd7NW0yL3Wsflxe2
smdI5hLUdTXDZGmerwuT6zQhOZTkvcR6k+PK05PEhUpkMrSixbFPxB27L5Y470j7edYGFQjZ+tLN
4lF3Ocwv0P7b1Z+KhpeXtQItX4yxL30WilWTTaKQ4n2YJb+i0teJbyulYyIfUgj61EUfkP39zJLV
5GSKC0QJHbr2xt+FJrujHRShKfh+KzfmlxVxEd8MPi8NlPcILuug064G6zhCvAFjQxPdJbEAIlcc
8Ysx7i0wS1BryfQcyEyfK4x5VvKPRBbB4lpM98UKF4UYlVL0xojnDRsG0SHwJ/mZR4PswJrD88CM
nEJIxCJwjG9UNlPbSYMBm7rVBYsU+YZ1rKrmJq2NH3Wavl92w7UM1vkSde5KVaOlCaUQH5J1LJEg
9u3IgaIOuVNcyCttjcqZRN3vqw6pKKqKbDcePN9y4I2aqUUyoJvMdvs5cg37OlwyZ9IFI1hraX5b
PjPEYWIDvY1eQs/Q5/iScQBnwYt1a4F4HjpLKeiBFRdkrXu0kuaOIhSHFK2Swy2ofIPANPz0ne5K
xiBR7e7MFwO0cOD08JAbPIhekauec7ZcDr+yKkvSmkUrNogjrQmy3XdVBPkvbxIRFa2evjNLHHiV
BsQoUwtrk2X0Kl2X1q4T0lysFIOweSgYyhrexYQvI9AFNLe2BBuMI4gEyyHakA1LK4jYiFaq5da5
JcJ+yRlAhlVcdLEB4CI3pT/FzqI6bDyq2aalQ68rp7zSfPNZEr76178iiiEIaImNeO+rXTOZ66Q1
UBUlaKi2fYI71NpePt7rTngywcGk1RaaCplUFSR+xF3ktza5Gsl7qj1eNsM869vNqZzMcDipKslo
0A4gkmMU3tJG14hFGuqrK1HRCI4JTdTP+JIFtfJkkTW8x8xRjrxiJPfUnp9CFSIjtSyIpdZqFlDp
ORljP+bMI2a5S8KqxpWpgGJlQiSgbTU0Dl536OlZXP1mhlx8Nrm2twgga9UlNAvtrgoqaBqfCIrH
NDRoW6A7PIxvsir3TMny9Vp0Va9+zDMz3PpsCOYuWY9wP8x8oztM5T7tttkg6FNa8wo0FMh4bUJ+
Gg7+9SsufUeLuqR4ww/FfSVJjhwvd5cdby3pY5/b4DAvLiUFadsINhpkWzDgPhEbqoCPemS8xib5
QUh8jQSv27fkztKlYITMmJ5BcSmhfsLONwTA5tC+pkX6JCvLj8s/b207FU238VxF+IrWh69fAO3/
ZSdlOri90iCLvBi61UICA3ZB82fvzAbPnFBmljSXMtDrs3D4pLx1W0yb3DPdtvrt8nLWckDotlEY
WGnAZX5caArD1J7C7O+x/mGHZ81B32UoUuIe/SUqV69dZ+fGOCdtlTSXUMPDIZRe2+S9lTpXb7Zh
O6H5+OPywlb36WxdHBLn4bik8hThPBitS2AyHJWnoewFEfJaUvTL9+Pg2A71eowgnI47Tcfzwsu3
yhZjLc7UOIsro3cvDkRBgdAm54OkjkZrIGhzNh6WYHxCu6Aj+dMdOfYou4L2cSPaN5FFPnVW0aSR
KcUqmTRCGSN9B24ED5lm5M/70Gk29q2oRYYt4tshOG0gL0yzyLpm97kmI9KLtv0m3TSYgO3EoQLb
oO92MCtHIAFgEX4saYzBNGaDwfrz/ctYC6e3BqkSCKmZyDLTrfIIEo/CqYnTO5dd9F/O3sk0h3Q0
6u0RrIUyZAeaXfVAg26bvPUlvmm2pXtLND60fiRO5tjfz67AoVQhepIS2SuN0pGzaafYugNSaE+w
LPazL31R7pTPXaOhiAP4GiimxKPyr2mwD5NZHmykFtrwRg3fo8F0ZHRypVoUDPXijsuypYkuukrW
Ak5Ft0wTJXuN3cBfV1yC7njqC0n26Hyrg8qt2BpIM6qHrDkk6m40jvUgwgN2A35f/Mkk90AJJ72U
RzDxeMoNoxBh9YLmOXti7HGyI6afWbv2FQOBBRP/A6MDBwW5QqlhpOxgtld6/ZFaV9Acc81K0AG0
6jonM/z57+Y+NqcUW6qAzcZSDyE6r1VZdB5Wt+vMCrddtAu1eMED8/N9oFzF+wqEFBgNvBE1f67e
Q2eGuE2iI5q7M+CBJ1mOjnrjSHu3aHs3le/VfHf5OIhscSET+iQbI+6xQ5hfaZfQa+qHDIwXk7xT
KkFaSLRLHJ5Y6liD8xXLUml2xJp2kPkA2YUgBlwFTMMAgQgy2QgYuJs1mjQUBiwVh0q70il1EFk4
ReWQfGsb12Sw/T/5fidz3AWbx3M0dBUWpRPQo49o6zPGoDMeMFNmKu3DZWNrWXNbOVscd55Kw1bH
uGTl1E24WQI7dvJfzSHa2y7ZILXh4T5wDTcNjJc0mA8iv1y9807W+a7QMVHQl6bjmLEBT6bypaGh
Vjy3sZohOlsln8rW4l5WWpyPz9oAY8hirGqb1lPc0MnuxoP2B2+gc3vceZvkDq0mPd5AeXnQuuux
3+vCvi32b3wD3rNvx52zYS7ALGTDT8a72Q03IO33yH3j11f/hbJ/9Yo7M8adtISA4SUeFBgbUz+e
ySFrFQHkCo4Z36WrZWlN2wgBrNppyGWltjNF9D4bwGc55osXK9OuDmPvsv+vO6AFKSRVZvQBXIiw
6HXdkwb5C/b2KmLLWaptmWym/C+j6zZajtE94dTG+rc82eTCBdvu0jZnLxAmYWsfmDtGPrhe39Wg
24DoC5MvAkhZx8mTRQ7BajlR62pBe5pcPKQUctHV9YwJw8uf8l8O2ckKB1xTAaTEZLji9U3wySbG
WgeireW13uTLsf/H5/pkkkcveyGZTJFgY8VUgnaJcKfuWs9Cma+8ibzyWbBEwdbxIzDykBMQHSOp
kqCQmmJ+jr19smdtgyeBM9XoXxfxj6zfpv+skB+L1Q2a0XbA2LKlg1F/WZyhy38kS+xGcfIftLhF
5jjgqgtJT8wFHxRq1XV62xaBUW772NMHETuW4OTxNbHClmupbhqECbvstj9au3RX3qpbUQftquub
yNATPPllg2e5XObWUkiu4fvNuwpUroY9OkYp0qZYxa4zKxw8VkXchiYbLo/nyit7yykW7ZAYmZNF
RWDTflPJ5I988cwmB12ZNeV2wnzfAOXizthO6BNifSUElE1AElc9iLLMom/JAZeF6lSSDPD+cnGM
PHXTageadOfyGRMZYR569miLIpmkpAeK5FW9xaX9AOHFQyLZgmq9yAwHVpaZ50ZWI+5JEPYMv5Pq
kI6xYCmrh+lshzh0CovR7qDqiMx1NwYDUsr9bKdOa1CI+qX3zR/w0li28o+9b5qYJE8NA2wq6FeL
O8CRYTjI6d2HdbZpE1C8pultLoN4zjB8XZHcKEqCy1u3eqTP7HPPmaTXpCLO4JEZLk4KSm/UzZ6q
cPaRJHYiu3OWoXdtmoka9S5/52/KmXamKKEaoWjUjqFrSL4N/iuCyb2gI5vLK1y/486WyAVdYyir
FgSZ2d2tjyBMy1CHe48bDxn1gLXHiQbBRJ+UAxYpGfAEHpDN03PiqmnzkxQ1qhP17QLhpGQhDzH9
pZLIv7zMy4fD5AsVk1q3upSwzo/MW7RHuvhFKih+r77jzz4khyVdG3epqsNXFsWZsx3Rtp10a6mP
lxeyWhc7PxIcmixT2QyViqoOBt735h6osrd29TtTX1LcyA2f6R6q4R8Cq8wLvoXmZ4vjwKWz+6oi
YYYwIXY6j71sQm/UQKcX/zCDCsSPw8tli+v3j4ExMORGLLANfQVNc4LwQaXi5JOZgmP7dz0/KJ28
T0v0uNjRL42GgqO+fuROBrk4wWqKlEIIBJVNBU2+zRG6IAA2DHPIz4v2fHlxa42UwLWTMe7Q6XZS
Rylzx2QX7sffuZ94Ovp2QCfmtHjtKJvJN9z2JvZQNtn0h1RgX/RxuTOYdWQeNOj/elmzU+JXGQWn
SH3qy10LIO0H7/Jq18/eabHs72f33xgbTVZQvA7U0bipZ5DxWvSvrJb/RzPc+RtiDaQCKrv/0vBg
5m+QO9l3mSp4E4jchP39bDFgqc1LaAnilEejN9T9xojHQIqSbZGFjpmmoeDGZVvx/eCdPh538OyC
0g5uiPFAe6NOP2tbcM7WN8dWUT1S0eGnMrg+W08G/p1hooiAUjC32r8z9UCoABjXl/CPCf6JoWGc
g5AJiJVYN3kXPuamIUhOrG/KyQIHFmXXtTO0TxHGxc8tPU4tdePupcGrW7KkP3Kzky0OJwxayBJV
gYRmo7olGQKTVltJFSpmriPuyQ4HEWZOekIi9L0xslYUpUBhnR6JW+7MQHXGrf5H0ePJHNvEMz+Q
tFAiFdQlvU53LXqrF07VC7KO68US82SDA4JlGrLIspgjXBU7EtRH25d+dz5TNW0PIua49YLXmTUO
D0iBd585wCn6PbmJt1kwHJLOocF8O79/Ts0dM0VwhwhXyKFDTKQCISNG9NjrHbyv4NlRrseAZQD7
rUj3RXSuOGiQOl2OTHaJLODg70l7o2ujiJ2UfaTv8HPaMg4eYiWtSUPRqjIwoWnZNaXdFC8+lX/+
yR3xjx2+v45g7pvOrCls7h9TG1n20Rn05//NBocSaB9J8yHH97KTR33aS/Nuql4vm1i/WE/L4MCh
WdoqtVnCqFLuaXInm86Y34Sqk1vEbUXy7QLU0zmEaK2wpZGpYj1Z89Q3ZCvLPQjUpdwlJfoGx0iw
OJF36xxGqPKgFlqDbh/WlciE8MwysKDoxFi4R8Ut3y5/zNVGT0yq/7+7ie+7mTEZZWYSoJbZ01/V
R0asN7hzgCrysd0xVoc/aPJHYHYyyYGG3OtNKKPPAMUDxiTbbf8+vKIqwb9E8Sc7HFAQdVpmOYKj
FOCnpq4tO6AnujUZQTWoqa/Km8qFk+aOiJJbcJ55FbgRbJrhMAOCZ9iSwQOQ1m6RhI6WpCIsFMAT
32YzpK2s9Qw61A27wAYQ7CApvJtyp8X4Qh4UppB3WxDM8F03CmnkvC3RwzpXxAl16QrTO46pdHeX
HVOwMl6dBPWsLCugbOmZ0y8tdZNahLoi9zA4HIkmA/10bJuqd8Mx90WQ3PQvwyHGMwGtBZG7HOle
qZxapNwncA++k2IGX5aqaSCjkHqzcbKkiB01rx66Xr3SaCwIpUW7xcFJaEljJLF+1YHOLposaxAy
tqZ3ea9WpAOQQiImeGzkz443LuiQkzIZKKt7q8jYdAYkD98W/SaRfg7pbYTqvvRbBrF4J5odYxfj
t4vzzCwHJPWQzcls4tFDK2trF6MDZazAykLfHlB71yBZOJQ3VpIK6sfr6ZwzuxywlGVXTkaEeL5D
iyQrxGAa5LpzTEcFrU94L8JLoT0uCBns0C6bFJuoPSA18Fm0C7R77Tj+LHfQ+wpE6aP1S+hsgVxE
UmajXJVscOLv7v/Ma8AX6TOtnjwY30Qx1no1mdgGhsN1C73xnPs0idlE1EAeotDSHVUMr9R7b5zs
OwJGu7oqD0YTvZK42Ri1hLSB7DZq5E397M+m+V5Ov5UYn16V0GkJzVYQYkamJfJwBgbfXe30EzlX
6zSz1XsFW4CJJgtV08iXO49Am1YNoPEM5nD/8pFaPbdnn4RzsVgzu5jUGIRTo+42bIwt7d5q8uuy
kc9C+aVVcY7VJnhXyRmaukKt2qtI2/Vmn7tK/hpO9L4xdb8eWzfL5E0eVTt7KjZ6l/7QBmnb9Eze
btp0uX5lgV/CmevuFegFodXJqeL5turHfVe0kZNiW9PeDEJpuIns90wa/oqp5doGJsHmJww0+1NW
Tk6cRq6ksxbE2FXC+bmYEzeX5tvJiv0hHX8uC+pys/4iIQNQRI2blj9QnNw0Vef1o5q6Vq3syvku
X+ZgGWSXIlrLw79ojf7X0ngPLVApTRnERirBe2sVzC3bskHWbaMrjv+CJJaUYUFCZBwMf0yO4xzv
sor4vUYFSL4OshbmRvAf5gX54ZFBlZdwyVEt0jfJB9OyigYcyfwHG1aRaXDZNVaD7DNj3OUoF10T
DzILsu2bIksCXXPN4UHu3DK5UrN+c9naOsKdmePCbLlMw1FrlL+jUBmjRgkoCdvAAnUqhi6PIoBT
V4/zmT3uWpRniooHy8hAbno/PiZBdQgLJwc3zzVT9+nQumLdG96MYliF6YfUC91WFAesByBnP4KD
vaGelMkg+MZJIvmKkTvUes2a5zxNvXJCc2Od+Eknv+eqsdOWbBfl3e9QM97SQnPDaTxgUFiQn1hR
Lcc9fvaLOJSTU7poy4xfpNrXc4Jh6YO5uIMJ8dF7W3Osbj/Tl8s7v3qFn1nkcA4SbVVVN8jAyB0m
XPJoU2U0R0tFfl2FoduhvV2ZcJFrpBJh3xqgnxnmDm5IY6huDYjCoqpC80R51w0NCDdNeWtWYe1c
XqX6mUr/hrRn5rgbtTHVzu7YTNRovCTRvC+UxJFkabdUZAMa+W00GveaFtWOpi8elCmeSGo5HWsv
gS7hsVFTDxLlz8psO1SJMY8MGFShoNKn9j7Xh1fTLvdmjRYNFQq8OTnEsf1CSe4ORbOT9d9NAi+2
c3+aDVeTe3Dvo82yjt28ix2tyYNFqa8l/bXsQRXRUSeTa1eeek9jA6fV4iuK/aMgxAHjgl9U5YMS
QmE0hWvIRrqRGrKHuN8+yolfWjMS+n3koEPrIdQVfylaRyrGWwx1BElzW+gW5hRqWjgxevBc2TJv
Tb0M3QJxdtTE29lQ/GF4NDKI5kmlL9nzFVXukg6CMImZO9JgO9VAnVTr3VG6V8LSTYz6ta0zt8LP
pvQV80xBS+kmV9API2UYPrAz8yldeqcrTRd6k5ui7PdqBcmXQT/WerSZpsEto8qrQ8uJpXg/dR06
XtE03hbLz1pboIGFRwidMLms51hYgfHYJQIxcaoHqVx4cYkBvraLDqRhDd+YxFQGy1OitnNbPJLC
iridmkPnIHE6uT+OeMMTMzOczrqX7A+5xo7nauTUU+knGCbC9k7g9lfRzW3/ZVhPeNs5iyQFEKBz
zczsncKM8Sa3u/slB6N/9kMPbT9f2qs4lAOrsUBOS58VGW/qInZ7aR7cxQor144GaACADjwk1aYe
ph8DTpmNd+kYpR5OGrTQc8eU0mNUFqWTVeF1NuQZCGaMO0xX3+T0Z9OnLxK4t/TC08uPUvod1t1D
ScdXYmSeoZf3TJBWB+NpGiUEqzM+RmN6SJslsNQsIKP8F1rBZqeQ7kiqlU4XTt6QlA+qVO/rCFrs
UviWJH3v5GTx7BnIbFE6BGW9PKZxCAEt3f5B1LoHlzndSFH+c9K7KyX9UPoMzcrGfVVFr3aWuLU6
3HWG7NMeU9lps5ci/S61Xxsq70B568SEOrO6qwbEcIZdOFNf/5ZT4plU+6kC97K2eiYTa1RQl4d2
kW6UuPbrjngjkbaWpO+GjLpzXKJ7Ar07tf5ziu9CugQm1DKaBvmnevILah/lsL6pRhObGPutYh0m
SJNUZXnVLcWxmiA4Q9LDUsaODH3WemqemxxEG6hwx8WyvQw9q4GkZeoGZuQNlnYBDp7lnAeTLkXU
ykiCUC+MYmdkgZzg+hbY4McIcY8Zea6nSOg0v1TI0ceHKfzflkG4vGIVStIMQkIEP3r8MBaRp9nq
j3EUldHYdfMdpv/5WoQLe5ZcCgn095DuU2LHzF+J+ihpm1Z7shCj/k8bwxM/SJOlthpliTcM2DVT
glrA4kAyXmBm/YI9rYiLdPKiS1OioKdU30DIcJtu/luybT1ePJnhYplCWaJ6URDrlyOUa8EQXG7S
8kqa0P6MF0EjomRbT1ue3JpwkUqRaVXYL4gb9M3nExwNFUmAzHx8NQdoPPYQiR/EERvb/kvuwUUr
VlolUMxlhGkbpl22HJIS1OMYOQ7oHdIPwgkm0Vdlfz87vG2ptqNJkKJqfXl2GkjMlL9DsIzRV/uX
BRLtxk329g4z1a7oTb7+rjntJwcbRosJ9kWDd0rmW638nFQDUty4u6Xd5VOwPsZ42kiLDTucLdGU
QpoYM/xz3OcH62hiO1XE/5Fv++ZHt0Wqdl89aa7spDf2x2XbgjXy/M/trNuxRAGNeupkPdgGghgp
uOXnZSvsgF3wGYuDlBEiyypeyEje2Htz3kyVoC4rAF+LezpJSzdqdZjAR9r2WlViBFx550GA9cfl
daz3U5ztFIckaBJT7WRGTJM39TZPPih4SBqt8fXKNhzZ7I9K2LpQifP6injKANmq6cPq6uMcYYSq
7xwptIOOTo6KdmxbJoc2BpdVpAgK4aJN5YBoMOWmSysWaNvTja0uvlWXNxindCABKHqRi7aWA6ER
VPPRAuonz8BzEUkhpkYE3aX6J2i6wFmeerEn31/ehfXU3NkucBAkFVGoGzlSNn0xQhYDcXzXeEkZ
broGz7PKCtLkI4Tw09Cp93ZjO702i44su2sveTSHSnEyLUqoo0GR7pgWU7pdDsUb2ZjB8CjqwxXc
XvzcllGVcV/LWC2jXmuhbg3d7v/QES44Q/zclm40uVEuMJNDFM98jDCmozxc3rjPTND3r3bKFHEb
p42ykpUV+oGixr5ZFur0NegiJ5BDt1pQW6lPliditxDNw5OgybchOCv1JPurSpYnpOn2JuR49ek3
SM7u5AVt+Hos7/pJuqXkljbRX6CHNJ2hmN8GWoMgkvTUqTVlA1aMx0wCJy+Ko+NU/JXrr4saBtaA
mDqkw+McF46eL8Hlxf7L9XxaLHd9ZDWmYJMGJb6Rok1kDH2p0lxbqrzMDKG0mPrqMjnT9JyEuV8v
H8VMj+msOjaUyUIUWS//mvWg7p8fw9e9B0rNyRrwY0yksTHn6KC5xFWy2xSpSBFP8brDnmzxcWoy
lsjWAo1V1DbRnbhlihN5IOqpFn1gnbtVIjuKajvEy3QIJrQKFh4r29aPDS5Me0MPjWsnQi209W6P
U7KTL4brmY328QbPpM77m6m7/m3uQJ99PWwKt99GnkgPQvQ1uSsnsUlaSCwK0SHQU2Du978Fr+t3
xmnTuDujbPNRqVj9AUMTLpv6raO9Ppt+Lr1c9kSGjBcwQOcujE7SQQrR46GULOCT7r0i3NfGbaVo
G2Xxp1J0CteB+rQuDnJaKseSpcPxEVftMRt+xA0RaC6EQnxRa5PoE3J3QmvaC+aZsbJY3oQmZN9e
C7lwwk7UtP0vWfDTmjhkyQezSg3W3zQE4Yag46h6Xu6YcHAaDKPgglfXL/h/jPG1bnw7TGhQVGE0
KXzoW4Tco7Jv8t+0zI8VxHrmynyKyeAXbRBDtixLqp1qNQ7V62u5Se+XQlKczK7cvrYP88RkGaMJ
nfX2O+jzrpW28VRzEoSDgo3g6+btYCtZX6B30lJruBQE4azxUOSJAxEEAa6KTHEYVBmV2RUSsC6p
jobsRW2FRN7OKhvn8qn5nFa6cGz4irkdG62VZixJDM6SVi4fC3sJ6gVkDtIrWqd2jfK2LM1VL2t+
mRCXVujzbcBXrEYPs1EGU61f62aDzE9nOpI5Pxv1tJWiX1ZY+EWtvy2p7k3KS47H6oDObwdJlACK
x/czsprxJH1cXs2/1DpOTsWBGuZ0B5wNHBXzaN+Au/yYbvCie9L2sgchZU/ZXba3HtuczHHglpCw
LrsoRsDYv47Sb03eq6PoVApw2mCecvaII8VEkkzCkqDxBNEehtNq8B/US5hHXXIEDtCULtQ708Lc
Zb9fAtVXtvItG9uTUaCRPBEPrmhRHKQNuWL3dY2aVDyax2ZUt1qM9v8a6fli8OdQLx0drDuyJWq0
Fd3tBgdxkizrFRnwNVFhdhbIRtSb5s1CjvKTuI0JZ6GGIMI6AdTxM9X1WKlaquId3g4pNB5BQz9W
N5c9UYAX/LiBVUp2iMl07N5kHMZoBtNv6KYUbVmjSN17lcdKOYUqJodNUzFImCxF5JBdWRvtCi0a
bnpUf7D0VxsMPoS2HbqPZUckfy26n0zuOb6YpdTQHvdT44UbkKkFCrSUPXqtgG+v0L3LX1TkKiaH
Jamah6kuAxkx4wBr2psku62HktK22tAj6wwRk7eJtpEDlDbpa4g2wVNC62GI8IzfTCqEpv432DI5
SDEGSKD1BmLNqt5Rcqysh7AXXJXfozHoVJ1pxXFbVZZWVlszJOAX6ybK3xs5c/rooKnPsbVbEkFt
9fv5+mqM26kSPQJdmahQxWivRvs+ETWMrCTSvhrgtgXztymhcQeVSUjeZUH4groQHsyMhz28nSLH
2Mhe4tu38iFFG6lQ3uk7NH81z+2XpM5GZNf4mOxtgGPn2cRJ3c+Z0g29U14uO/53bP5qjbsIQlMq
jIZo0FqFKot+1ZaFV9Rv9Xwo80MOdZ1EJJexknf5apG7DeakGhQwlGhIxU5YX+0Ob3h/e6zrHKoI
H5eXt4IiX61xV0Bny3TSlg6aw+2+Tw8K+PAwQISqaRBrNzbZStImrpy+er5sV3Ai+Jey2YwmGCgS
wytKyaP9XjOOUoLCozmjMu7kw9Nlc6KPylOw1sieSWqMJi+6UwImLCvvCodN2IFLCknty9a+B0Jf
vin/ZJY0WZ6mEbKXvbIfFc1lFVpFNIcscEz+idy0aZaqQ2Z8vlj/piYx4SLC086w6Wsk9HUxHJzo
k1wbxgKNe/Uu3JR76zZ7067tX3JQohtoebEWQQwu3CoOXiSlz5dogkdOQXqNqQsXWnz3A0jRzW0U
0MfLW8WO76XVcWCSazkOWwS/sLV7tXhb5rekfrdQr61EbMorOY2vH5JDkg5SebGswVTrZz80dHIO
kDtAlMDIIDp33iYuBq8vr07kiByU5EuMT6lCTllRnybzTiqv81CQBReZ4PCDkGGwczXXPNIqTjsT
h45z0Ei1d3kloq/HP5BbdY4HS0qY6vvgVbdIQx2X3BmDMJiDZJv8QvvE9P8dRX7ZMP6Ba+VTGSY1
lqYsIGouXRnU8kp3ZYvmRwU+yLeHzz2BnNGk6F6ovoyJ5gxx79loQmnLZq+N0UbwJdfvTwui1xq0
lDU+OK6lobZbC+hEK+R+1eG31JUP1lTaDpp+dlaKtE3V4UkLhQBT9WWzRb+B/Ien/PQr2K88e8gl
aG1Rcsy7eKVfgZMdSSNr9/nukDb6FiQzAkj+l3vuZI8LwdqiA4eqVDD/gSyBi1zxXQyy44yFr4Iv
vH4kTqY4xIyUpDajGCrcUtq6koond11vS90KLm+kyAz7+9kXpAYq0xITV9b091oznFT5S+5EjzWR
EQ4fw7Lt43ruNc+ybpN4lxrbIREEx+yf+A7Bp8/F4yKEKepSQSjQQz8o0R8V68W0M2cBV8LlD/Yv
N8vJEgeHmTYZbW7gKhvA/4PezyA+ymDjYb3mtqfeC6x9z4kCPsCXSQgTPyP8LO6wyG1mSNB815Gq
MA7UG9C3P2N6MNlTQW/w6i6dTPEzuXrV6ZGWwRWg7e1Eeus1s7Tpl0XAgLW6U2dmuJJDYaYQJ9IB
iOiyHpHnIei+SBt/EjE1iexw2JBRSepahg3acNBqv4faerObJsFqRB+NQ4QC0qq0RtcWcqsx6kHm
QUYnzlJ1wWU/WEX3s4/GoQGNpyUncwI0aECpqT1HefESp8QfW2iCoeToXDYnWhX7+xkq5HQsplg3
dU/r3Or/SLuOJrlxZvmLGEFvrrTtp8dozF4YckvvPX/9S4x2tykMRbxPOmzsQRFTDaKQqCpUZfIn
MburG0ZD60rz7k+eLZH9W9gAyxN67EefJIDtXoJntyaZ2JCP/7sa3c+GKGjQAy0tpQ6L0QJQFlVP
kXyQ/R3fKTYe1ba/20qx9GdbFDjwIGFK0OpD0ko0hliEnT60/xXa4/Y6I0tn7RMVNwUJp5Z13Ei2
EkDmK86cJPc9OTIYTs44SnSeBQ9HC6sGyJvQxxvolaWg2XZyBlaCxVgOnV9FeCrRQPiH5YBB2sCb
cQjdgpbh2+uVh9tZ+pBYFf9eecTxUHnYy+jFMvB/FQp0mI+xpUPhJo/VLj+znp3WF6iIAphroSlt
UK4Y5YVQN+Bht8skQYkjR5drh2hCzf73NkrihzdDlB8WwjT4oxQo6KFMnCRuvLCWjxLPahRfdwy0
dxiiSjTjKZxoe61SxbjAe0SIucrKzNpdUXsTKlPb54plh8IKQ+70MONRrelbHCf1pTQw0jQj1pxZ
2kLkw3yII8At/O+KqB0a+mAwQgFAm9TfcnVfcLlTTndFMFm6+gWdvc72wtYd4maO2qeZG0KdqzTZ
1uddXOwl9aj1u20TrG9HYQSPMRxQRuD1TxCRdXwS+MLMkwRzj7+FRf8the6qDbPYr5RxklH54c00
L2xIRXnylHnby2F8MbqzNmnqSShaBER5+JAoF6P82kuP2yYYX4zuqm2hixGVNVKpOnGjNDHrzu1I
Pzy6xbcNsdZCBQ8ybgoxKLH7aXoqxMdytPOacc2y1kIFDmUSy/koV3Cw6hTFXwcwkbe9U7F4B1YU
fAjg3HafLHVxmwtC2M2Qh/zBt95ec3dEt9BgRtAnIjVHH+J7IeaUIpf7xiqU/eLSvdmm0CGG2/F5
Cc8j2rbkAWrq7MSLrMEeTs0dF5uscu4vYpebRQolmtCvx8AAHuGJ3G73wk7dD264w8Tn/s88hMKH
MOwEXeSQBYpycNBRNhbE6NjVv1efW2wfBRJNa0S82HWyrZZWhiRK9DoQ68nSdchfA8Qt/jGdLanK
zSk5pCxFVoaP0j21QahiTjDF/tXQiIEUrHSX9VaTMtIblhUq7+i5MuZDbUAhpj823aluLlJxBL/j
9oaRD7Vxf9Dts5FfxGkso+4+HX40VHVus2c/LbMWQyFHijI3p/KoyZWkBSh15OhrM9WmnD5tL2c9
2705hk7hBydwpZ8mBs61YpZ70jMKRkzF+tHX6Fsawx4DEWndkqkXErFISDmiOcQYDuOCs8x6NWB9
O/LvC6jSBGjFdSNJQDNHDyxQuZtD7dT68x9+OgokWhUVjzZDqRbtxtZ8ItV1/ZEwNYDw3GbOQooM
x6OQIsYlP+ezTwCYNLuFkLzIrOBEBL6nHUtCdr2QunALCi+KoZbUqMDaRkXtzXQO7/T6Wecx9SUU
2R3KgG+yn7uBBG6DtGzApQAiOzxeYObMifKaUWJdeVb+6fKh+2GnORd5BFLoh53MyZusel/dFxZ+
12SJj+ElRnmOe2K1NjNclVYyiYxcb4ouUuyxtpNQMtvcMdr+zyIEg+z60ldBt5FwWYmrLb+TlL8a
7jD+Xk7y311GcweXFR9UmCpEyjrnD5MUpVamlh7fdxpjLSIBpQ1sNGgsyTmlhzY1qZ4GF+2Eng2X
AErktTwmMNF2ADo7G5QI0NyrrdyKES9wtu9sH0vWtpF/X3zRfEa3g9HgRs0SKLj/rfU8ds7dtsFC
TYOCmExuuswv6x/vDOT1Kbhvd71leIUb3LFiBKY1Cmg4kc/QUQ9rhDgI8oXflYt4N1uIR87adXxj
rI389q1dpIBGaTOjjapcsTlEA6Dkb8y/TMH0r/KVUIoM9vj5/0GBvloGhXQBOjUkWdYl6r6rJagO
pyrKbC0ZPkXDpnypJwczsCNeGebMHqZTZOx7NDNur3Z1sQu7lMumeNQr2hrXH1gxmwKzkcfRuKT+
87YV8lc+fNKFFconU8yAGLyOgyHpX1WQtjU+/7htgbUO8u8Lr08SIawgFCTbQ+H4wnHiMD8O+hKB
8blWDxcEFEQIDeiSSHM+BLGuC82IyVo/vw7BYc5jc5IZGQ3LBgWJgjimjVqQLUlO/nAQ52tRMb7W
ahC3WAblbXymT41QoUzTcCd1vG/1p3KK0Gd5TJWrn1qDXFjb27OeUCwsUn6miANirAyLkvwDxiVM
Lv6rGZ7kMnTqGRzaD71hhW1qM6wSYPjod7ftovyu1LSu6zKsM3kGmRrmA3luV9nphRCOCU61x7AH
JhOL2GImUOQLblmm/DEu1TDkufc66eCEpE6am/27bcjhmRrHnk1k7SkFkkEgl0MApVI7RIed+FmG
zmvgZFbthC9QW3bCY2IHLqJBK3BZBGsrzBmITxa7S0HmWEUIA1O0/6Qn1YNC6q49ogANOkOr3mV7
EAuYoBv4lBSM/SV/9uNH1g1FQ5IoQDD+50OfluWsRRWcCtQLDyr3LahE0080S6jQjCNASDLIRMbh
XH8hxfD2PzY/VIGSbEStBAhglHizzEHDMSFzjKLIbMb8qfVLW/Wzi64/yUljtxrrhX8dSW/mqSQv
F8Lc56cJs16yMxWdqfNfts8M45vStaG51oJoBo8oJq5BPIH4Vz7X0A/yoTE6Po0Ro6a2HmcvPieF
RP3IG7E2ckSHMH7in9E4ifeEyFMxNiw5LXiImG3Ev4Ci2yekoKhFiqynkYH3zUoxKw5cdoZ2JyaB
bRTKUYCOXSKpGABPQC1ZM2Bw/Za6mabwKNZzXgnBXGVnvoMsgWRmU3uvMTMz1ibS6CMWGvp1NPJV
iWKx4BIm3RCz0YdiX2NKGe3ZV90aXfGBc7fdZz1VWWwoBUNIpQu1E7ChIMjZRTAr2fOx3c33qpl8
483Si88zq8y4DvO3z0rBDwT0ZHBE4LNijO4h8utrqWeWDmKSEXwqfqQwgoD1eHSxRgp3kDqUat7I
5GVvckqXcJjnR8HrHUL9pP6h09DVI0NvQUjToXqEtuJaPU/qiRscI2K97DF8hp6+Dis/jwYeJ36+
y/cg8gU1O5GVVPcZdJTM0tHuq31rtZWpP+gsFRnGuaCLSlJucGlE3t/maN7r4Xf0V0LkOKpdSZsY
ZIEMAKXHswNJqZJMQHoEDRSri8fdJJe/0+x1cw+6pDRU6hzlGioVgQTGH3k0e7E/jBGLSpLlhnQt
KRX7MG6g5EpKV8kFI5Rm8V19QofSu57qTmI1HDANUrDS5Fmv1Jj5wPSvaKHoIVihrTg5kMTJnWHH
dc42mLD2isISUPmMNaowaKrUH2Ptia8Yf5/ldhRuIH/1m6RB/BAX6Kc9p/ojdH/y7GF7FQTUN6IU
emZ6Ev10HNpJsmPQtUE/xgu1p0RmPRuxNoeuESlRFHZqgvKvgpJ9c8ndfiegdQtdk56x/70niZuP
08WhOVCSOUuRkpP2a9lKIOagwxd+9Jcbe2m//Q0ZCE+XiQY1HZVWhefVFVLien6u1MYFwZaXySAv
CFiOwcBCumTUZZhQloYQzX/C94F74ZrvhmThGdPEJPrIsfpPV/g2Sfj83/1F141An1MnQoDwWT9r
r6IjHfV9hFcIUHzmmNyabDIg2u0wVeUOL82LxkBE1pVtUFGJlrWTz+moddau7AluCP4tKzonlgKe
N2+yC5t0f6us3sb1fOW2aApMVL3xy8nHpf3eHrMznGhPHtJYjAXrj2eLj0uBSFimqVQUaCFpHCJn
lzi+Lb59xeAhCLz9C8f4mIzDblCQIolCKeOlWLJT+aEJHpPpBVxm22eBgVoGFX1o0LmXjAKd32nr
9Sh/d5dpugzj920r2wv5oEKlYjZGm3lgr6pdSumTqn0Wh2/bJtYbVf7bGpWuplRxZoxZlSjvIILQ
382+4xV/V78QyVLJis3wXr1IZnzfHVmERYwz91FtKvHVpifup4hW6+Z70QGx6a74lHn1sXRQsjW5
s+CMTmyCNuSRNVO4jWcQsP85c9VqES9cCp63svGuKTwF5Q8tsprhq8pI51jbSK7YRV1MwGOT3MZo
jhjm7rXLG8xWKScpY93U68/jqgilUtQBDEOiTpkft2I4j4Cw9CQ8kgeK4QzGKS8/ogpQOrMFIbMz
Z1e7/qz9ztWwsEydOK6MOGjNFXjZHZ1E8uaqNo34Ue89STEYgf+60yxsUUevksREiXzkVaB9jv6O
r+l+tnMkrAqZrWpQZdHuu1OwRxkciQAIcnfbB2Z1M2/m6TY1PZpiLUVvrj3UNcjDtaNW6K48soY1
V8OuhRmqxjBEUSfPGlbpd6XdzdV9WLD4MlgrEX92y0FHF5wsAV1q45xNnqHABiPsWg+IFsugzlhv
hH2tqOiYRrNdjh64wuPf0qPyV7WH8pPLemVaReWFNeqgGUYY1rMPLJPFp1HxGj0w2+igds/bLsAy
Qz7s4jyDqrMPRA1xl2CcRxCdNW8jRtFYrCnrl+ZiNeRnLMyUUjF1MUF/8X7GIBgpJcp29zrYREQ6
sJlVg9Xnj4U9Gj4ifqgH8twvcBhX8Wtz6MEKYPHFuUSNi/vap8chwfhizEjVWJ+TAo8ByopZGZcK
HlatVjsL81kv7URwtjftF59TwYAKetzBOkvtmj9xuqKGyK3RwlCfqktyyKzW9Ds0uoPjwGPPBP/C
+W8W6Q3MQ57nB1S+QVy6a0ULr4CJJXmDzdtTYqFPmMmNR47shzQH8m7/rpHawjYI83kiyWG8J4Mj
1XhLDgub2wcl46OSb7Zlj9q6YG4rOSVdDnJqa/VLEHhV8rS9bywTFNxruhSISoVEvioueXsJG3dk
iaKQP7Gxivdi5eKgzVxax4qEVajGtczuy1R3ehVVXcyWJrtYehFYNJcsz3gvcC8sNjF4QXwNTbmk
NijhcJM+ivRI+ijyT6zHaJbnv/+ahTXV0PsklXCXgCT9ijFk1/9W2f4j2JLN+gy2gZftHVs/z/85
4fvPWZgb5WnMwYwM6absbhDPSdybeuZmv5WO3nz9vaq9MBP2UzSFZGJwbsbvee87Kie+ij0ewutX
UZQYYQdzyyj4SMTQaHMVqwpPo0t413ybRz/e7BA1INb8D+sT0siRRYquB8AqMZ/MMnaV5jppX2fW
yBTTMyi8qBNEagkZVSRab5rbWP4VzKQJtI6UQ+8Nvv17PYCLXaMQI2kgXFuhIxXphuASX4wboPAI
zdfaS71px3JG5r5R+BEmTSy2ZML5R+qZ2v6b75LMM3PTM0uVhIEk77Hrwif5cZqHmoOxWLhEtW5y
kam1yF36CxRXrEL8NIaMkjEDHt8JKhcWQcatpkGCV/28dTBkbeWcw0FsZvtEs5ZFRYpi1w/k8VhC
zRHcPCBQGNzfYxxECebmG++tPYu1BH7Ha6qGPKnH/Fn3BkJwuWV8rvW3roUNKkQMaqWTsgSxm/8p
jczsAvZYS34zPuuPops6w/H/MZa+Hsr/h4cihRytr+q9EWH83fCfiuG5mz6rgeJUIQQF7pvASdP7
MTtIyWj1+lHyd/73P9s8CksicYiFJsZdk+6jHRL7neIhdzqwRkl/kX3elklhSRcMGOKeUOPp3XpP
SF44i7+2X9S972oe7rWzcCX5WHNglXtYKCZSmKIOUZ4nKmpn6Wm+Uw+ZE7qRVwdm5+YXeWfYLDox
8vc24gV6XLLM0a6TkGEHaCXsMcM5mKNQ3PcB52k+yPiNtDNrTrC3t5FxJdCDk/nc6LnkA1qm7DjN
TjDei3oLpSxWAx3rhLwTjy1OYVqltQKmTOX9TngX28MDlE2m5nInsqcXSMnvt5fGwmiJwpe2yEZj
MHAoSaCM3rJzBMHR7ETEMkHcwLrKGdtHt3nF6Sj6kg93CRrNrOU9eAdMvk8xufDU4XFNKRiDbQyI
lijIMWYjTblJRHGktzOoAkXP83i//QXJ2drwSFosqgr8UIsLZBpxHTpS+9SOMweJhJc6TO6FPGE0
ubMWRCFKH8dSAR0clEAEALVhHLMIWhJTyOi4Xfd4DH1BQU1SoRGMRS8csTGm3K9IJyeIBsR0hpbl
LirtMWLNfa3fbjc71P7gjaHxZ4zYQlVLd6UYmbafn0LjuQc/czeAN1bH1Z0Uj9tb9gunv5mlrgWN
ayqfB+chzpnyFX1RO+kyILlHc+rOt1hHbH3LbsaoLRuh6yCV+A+6FhBDQagViqY8PG8viWWEugEi
cPkag0JweCpAeB08gAvaqdWZdYezHIPCe7nTomAUMf6ACiCKSpZySkF1z39Lv8zeaGF41GpCkzxe
P22vb71rRRM1HpJ+msLTo6NJMvmC3yIsV+r7PgVZMHeNQGA5x8cuddFyYULZpe0ZZ3uFYxxh0cIq
hY4Rl2t8p6KsO1ijPZ8Ixb541WLLsFQ72JfHbC858QGtM7Z2ki/di8ICzPV+q8UvoE6iPDRDggOK
N2cFramcySW5o8iHot4l1a71r+V8kPvZTJicDqs7vTBMHc2s4ZI6aBFTRFlh5dJp7J8DrrBC6XdK
UND2kzReESSZJxCxgJpxisRiHAV0C6iQP/lbK0x04E7MqeBVmL6ZoQsNvTZOYYpr3FaULxL4ZjkM
iOeWGtqa9ls9xQtTVP145jp+nnrUNEDDbuSvifzAqWbAUqpafz1amKF8MwimVpISbJDsNZ9FB6SM
R/2kPahPPQbjIHLn1vcRdMKKHWTo/mzP6DJDJ41xxvc9jsXQWZGmW7xY77joW5vw9va5X8W1xSIp
Lwz7oB0bCWOHcdabMzzRj8wy+LZtZD2KXVih7oOm7nuuMzBzKtyVJ9kCB7jnP8mmYGVXES1brFoh
yxepG0FuGj5JZLi8rL6GoWJOQgAOcCvsMKrAyh9ZH5C6GPRCgXgUhkTtiXtp+U9KfJdKASNHXY3q
Fp+PuhSKjkPpU0d9xld8C9EcJoTkDF37+1R9jbg/9AgKL8CkYnBcheYzPbWH0eLmT+L8Zdsf1t+5
bguiawm5EndtSzApf9Ue9b9RK7H7Xa2Y4rWwpMzU0Z0pAPeVt+CFu7Ye63WI8T3pwkI7TKnOg5LB
xukG2Yg0Y/wP2p66Ys35ZyGv7ZZniv8RtPgQxi6WTKGJbsSCVA0ArcFSvkboXAztSTLhNhh7xQ0n
MFxmPdVZ2KPutbIcWkj3IpGL97xzlzig82ltTNDcE2LS5gs+LWNT15u0FxYpKBnS2TdI2yLwEsm4
mfylv0Xncad9ah3e7iC+bVxTazL+zF3pCsQ0FVyn9civVCg4q0/S9AoR0m13ZRxxkYKTvmla5KMw
EdRfoKFmCs1JY43MrxDYkkjov2tapHBEinLolUV439MeezvZFd40ohgl8KDUJASJtaVdhw7FWOjc
sZqtWOuj4GUQR94vyLCVDl3s+NKgcNky8p3VPGSxOgpUlBB6dwExIfJ/xf4TpFqb1im0T3l/12UV
FPKcP9oyuqIwSy0Gsn1Es36dPoRy8l2voQzL/xYV021ZdD1B5kYQrgSkQgnp3CA0FflodLbyW2Wu
hRkKO8R85uWgB15NB/2AGuU52XNefGDBIsMPPhQPimGahZS4IBo+fSk/B9VbxTf7P9saCiZSLteL
TkLAPSiXqTqDxF/qdn9mgix0EfK2XR/74oAOJvmvMBbM7psPtchtE+RXbsA5Tb4kdL3AaSJMVFwF
SUz1LuAEb9vE+nZgEAT6vwohMPt5FRDiFBIhQ1+2kOjnRJZDk099i+cDRkvZL66KmyHq/E8NdD7G
Eu413PvnFjPqlZV5+hOZRpxs5Zkdn/3iqrhZpOBgAhXXzEuAA/nc/R2/paDX5Sz9BJXSr53dnFS3
9IoX1oQ343vSfe6+WInlKOF+yjtnmF6V8uTXjLh9PbD4b110j7s4pHhzasAaBCLyaNyV6WkEgySv
n6MuQ2up+0cOQne1N0EtNLOE96Y5+AwN4Wa8JDmjHLZeyYEu+T9OSLezl1GBEe0AOzV5s6u4wk4u
zekqY0xVckqvZ7aAr5+rmz0KHaa2rJU2BY/GAMZ/2YLgB5lrmz3pPv6sutPOKJkU7uQcfTzKN5MU
WqRB049xgK4nqMbWyn7g9llva/4paTJ7e8PWU/6bJSqQ4Pt2jKMQsyuZdM/134L2CRIamA7ctsJa
D4Ubs9pnCkhTMVolNWaV7abp1ce3xIz4UFR/aIuCDq3kwatCCJ2Vqd7185fGz1w9zTFKkripwRrm
Xx+AR38LD3FTgwc/18+QmGpZBpYs0MYUc2Rhzgl108EuVOGcCdB2rTNoaJdm7mvXyi93WQbZWbKt
KHxkvOJIY+p1hX7th/JQp+luTHQnMoZHLn/r589GJDOKW6t4s/ix1G63kcorlUZadbP7XD1Kwa5n
zsmvAg6oB2QZ1JYQwqCifH7Iw7ZOkb4jtkebfP6jjmY3VuyqV/0U7aW/Kze3tMFktSisr+5mmTqo
GLcWeqXCQQ1RtBK4xJGm3BTRqLjtzKt4sFggteNF7EP1gQdoi2OAt+bkQYoyxhvG+uvewga1UQXP
xVoVh++Jy0VxK099S81knxyI9Gay7/bQCL/0bvmJ1ZzD+obUSe2EuupDHe7cplY4fcshtcwaR2I5
CHVApyEbwVGOO6IovxrVAa1nSnfgkOIa4T5mcXmu4tviQ1LXOterKj/4GR4PIe0GWbtUOKi95Qss
BkLGd6PLB0msQnVpQpFcAr1FeAnwChsybvL1i++2FrpGUKZoF2xStJuNmqeIjh/t9ZE3uzCBNr2d
TwcO6qXyXZG58pQwfJ7xGUUq3B8IQXnXQqQoa1o71jCiit+QTdq+l0Vn+3itV+YWy6QARMgqv/BD
+Id430wggM7dEARFxif9UTkoVgneMYZB8uM/3LYLgxRu5H02iHOK0Rcyv5na85e+fk9xIc3kFV9A
c71tj+H/dHlAEYSJr0DgZhcd9OXnyYxSwdK5+jqP3Ce1mzyxGRm3/PqTwmKJFJ5AMzUrq0JFQ2uI
BrjO45zp6qMHg7C3sZqO1ktpC2MUhoC+tO6aCaXV9DRgFlb33tlSHP6tPfS71iRF1vHhR5NCK7is
jvHVWGNhnYKXeOy5rPER0VRopZ2T3EI7UBIW1xHx6AQy3+3NJPix5TsUvmBsavRnHzeq7Pnw1Hdx
nz27PMg4f3TxIK5CMRUVcH3wWWQW0bOifM7E0MIgHyN6Ws+8bp+Prh9kgxHhgTZAkQ6cCuM+vwvu
1X3yPbKU+wx1zyxiCkkyoJNuR5CgV1HLGY5fMe877u+h3rf92/YuMXyCLiNwnaz32oCBCUP+VvC9
FY93ovIwyZhhYDGRMU433X4gh0EhtTXmenWI4w7FCDni79MUHsdItMo4fkMu9vf24tZfhRZbRj7w
orYgCX3XaSXAOd6DddkODpwVWbrdeMhSHqqThErd9EVD36R6YdFgsFZL4cpcN2XayDjqIkKtJnZ4
6YB3FTNG2j5dGolRsmN5CgUsed2nUQnqEwgyvUqyNSGZCL9vf0yWCQo9akNP5mLCM1fF8XfylDsi
KgAZF+//zAwFGzMXwSdaJERh+aT3ZwOz9KxxL9ZJpkdnGqPSgn4mU4CHzskueMg2x536DVpTeLQf
zyWzHZPx7ej3+owXw0nh8Z4wxXuBK8yIu9NVxklmBUE00/PYlJlRDSijqufOiXaVh8a+fbKXrMJF
5MVCQ0ZoIFOxCC+iROOHeEIeIfU5eOAHuAqX6U46SA63L2Pnj7xCpgIR5MiBlnQtWM07a5IffePc
gC9x2wbzA5JdXKAF2DgqJLNwi1ICG7JhQdfS4lrdNJpgzzUFmtT7z5VseHI5vxXBS5VHD4xfwEBj
mQKNTPD9PKlRqBQeO4coLkh3hIYycLSLeqecccMZXuqEzu+Rqt2AUqbwI5uSuolrlAb08wSGotmM
7XaHmw39kskdKwwiR3gjMpApJMG0l8FVhMGNCAcLuwS64bLL71hmWIeOQpJBHv06lg0kbFkDmtXZ
miNM/CbxbnvTGEkvrbIj+1GhhAbinDL5S+V2Yfay/fcZy6AldeRUHsYqh0/EEblIoPLRpmaL//+Z
GXLeF86vyC0o50jsraWYrFLMPHOmnFUxZARrtFZs1KeBlEcoXnOBp1aYeMre0hAMNKG7vRhWpqRQ
eBGVeVz7ECdAI2dvk7FMNElxTmSB1tcKXqcXVoFlvUh+O0AKhR2xXjRC2WGXBosMMEQP5XtupiSQ
eQi+EVnQ1BPuVAZgsHyDxos8R547InkJRZT/1Ue+i10xZTFrMVBJocCh0GtwXZPJJ7kRLR1UC41v
yVAwmXVHK1mUWqwlUeCgNVoeiANpiq2U10q71GVr1vHnCcPtvaBYgjKYfC7tSnSJVNn4NQvaI5lk
Tg3MbHcc4/uyskNa7TXXUNOKm3/m2IAiNuno1tC3Lh4rBo4wFk5rvIpi3PWKhOfJUPvEBztJuc9F
RkpGvt0G8NIyVpkaKTz07xAhjLnJo0KCqUCzQZezfj+igTxmvUcwoJHWea1UrS5mDR3cA2Zu+WfC
IJRZ07W3yHxZ9Ji4rBodA19ofVeJKyW1I216HF+jyUxyBA68c0ZlGqLECIBYuTyt7joMYRnheiHD
bJPT3402ZzaoHnDP2WtnC5CnAxeJLR9LC11nRyZNB4Hjra2k8KZsxIBXJXK5gVcWH9ZV35RLduod
0qkuszjLWfBGC75O/PSPFiTvdc7koMHO8kFLwr2PTEl/43kJFLbJl99CcUOHdoisqmDT/PlOiqGv
kBDylfd2fLhs5BhOgHcChwz9GN+MN5aq9PoZvBkkX31xCU5oUEkFHRV6pTnwyBbzS8vcORIYf9y5
mw0qcB79YJ7qGi/Fen5Nyoci3enxBdFJ6NtSYmbVX7nkiWg24h/6kFWLXWd3gfLyv1+UuhdjMZbH
uMObZ5lavgL9arz+7MpjvhMOszPf8y4pI/7eqbwZpXxV9KvJ4CUFlebUSmpLGE8y3p9YLBq/wOqb
GeoyHCq9GVsROXCN55XZDq3g8GOSFTRszrZnrgPpzRR1I06KMiVFjU59sdUsfrQrH2/iaDweKg8C
gR1rcOMXmcnNHnUpqoIvgEsaWMOD73tyVGs+Sg+tqXmYhHlkxc3r3U0LJ6ECZx8iLWOawEMldDfN
dn8Xhqa8l03iHaQNzhQQReGB8oWT7O3v+ovM/L+F0rxVWSWqZYR3SrsXsH9Jas3pY5J+y+fkS5Jz
sRXK16iyitrfxTM6kRIXEpqfSpykP/wdFPJARSQdBMwqv4dzAHYAbOJplqOB05qz71n5F8OfaEar
MlZVaSRj2FXm9aIzRw95yVmC/NjIDYJkVr/h+jV5+8oUBM21LmQhRxKwXHGH8CkIhgLZkbTPCpnF
7MQ6lh/4rMp0MlQDmiy9K+Gmig7TYAqef0foEXPmIDHZmA10pemrxkKNDPCDkyvD97Rj5JS8OT4M
rooE02elGYzrgiY+HyWuASMA0DQKyr0/FiboIxy5kE2GNzKuDFpISxqSquQm5GaiB2JuK/krEN34
ZXATNGRHtiw4AUsYirUyCnDaTGiyqkcwKtWvWX8OQlv/rWb2G8rQzFWVj8xWHCGT6Uc7iU9AOO2G
LMGpX+SB/3q6wfM/X+h+N5Z8VpBHW8yVo83Hyc7BpxaEz4TwC90+zOHT9ZD3ZpACDj9MlWo2cNdp
Rf2tz7TvQ6rvR3U0mzy1OFV/SlvNlNB03kXNaI58famF/lM2c3fjmD9v+802qhg8Fc2Mrao0Bg/N
hlj6FkZO5T/LkyMoZz3hnGDwWV66evQMCZPThsgrokxdG3OZ+sU44fVfGK6K7InzfS2fc/4MgWgl
vfCRYMr44t3A6ohj2KULMHkYJ2Aqxb1PBJFARYnLUQTrElopmDK1q7t7WyJdixn8tix7DfMDfRlY
2gx9sUJ42N601ZO3MEFtWloFVdSkeLJI2pMIUnnxoLMYaFbrbwsTFPyLpVjxVQlW5zCvnSLXbV7u
Hns9PoFDmjwImqkcxnaVsN4fWV+P/Psiutanos6yigiXgPImfh5ZDb6sdZFPu/j7osYZvU9UucIJ
ooZzZuWjtI/j56iq7KzVnck/6SmLBmw9Nlt8TSrs1Iy2mYYO8x71a28XD8JOt/uD+CpZ4ONg8lWz
vIMKPPOaC6U0ITeB/1ylmZmNvsmL+20XlFaBY7EkCv353FCHtMBTT1sOEILrLbHxzWLuD6mafk7G
wBrRoI3Gjoe2VD/zQfykF8VbNwee3kQXtOfdFfl9yMuKGaDTqyp4N2/QxZmiH6gKzEw1vFJOnDkT
oZBcq2bJcXZk8Edpbj1N6LBVhqnxemqCd8o0uuRScsFbX4anTkXYm8kTC7g++qUuYfBHkjA0IoC1
jrok1Hqe2zZvCRVI+DTakYbqdwEGKMTXkOaCJqwHdc6OYXXVqIohAkMXFV6jS6Fa0ECGps5RPtAu
XBuYE6tb5GPVDqtaGKBPm+SrXaA2CKU1r1d31XDG0CIkF3OFQdv+0Sd/NkQdO5kfGqFF6cqOQSuu
7KRo38i7bY/86JA/m6DOWF9CgN03CpH09/iYbS3G11HeC9ik5EU23raNsXaGOmNJnYRNFiR4Sw2/
jG18GDWfUYdbKaf8vB7qgMkFr0BfEXsjgmJ1IBM4O+MiXvNnf4cKtZOhCzBqrIbVO0cc+efg+Gez
BEAXADl0mBPgI5jNT0TGL3RbkxCoyEfWcMJKcYxYgsiLohk6eM6oMKjhuq7nhRDO9zW7IK05Z2Dc
85+mq4rksXNFN9i/1xqs+BMmgHjWENDHBOdn89QlahhjXAszLtGKO0n5fSQ9KI2b8q/bjrJ+wlD0
R7+/qMk0l3Mha8OgivicRnE/8bsJafIcn1V0stYgqtu2tRLJkiX9Z4wGqQEvuz+k9uK95NZ3805/
UjGVSaRL4kMCWTyGj66fgps9agflSM4lrpJQK+5br8qTi1Am7vaa1oHjZoLaJV7y26hHU4idGdYg
HPviKKr32ybWHeFmggp1tGEU62kCyhrz1e/sWnuURTyePf+ZFQpqIa6QczKZkByqr13+KU40V5Pa
hzhRGTi4+sU0EUP/GuSHdfolRhAKLtGKCkMEk2gWSnwfB9yTHzP8evWjLaxQ6NREaeg3uQ8OXnS6
dvt5PguCy/3v3ehw6IUVCoy0NKyyIgWmg7hA8KFptRuM57i8sguDq7B3s0S/rMhKEvtoviAqFP6h
sgIQ+iqe7ibub9BL/7Qm+oFFlac5m3VcHRVkCX9UO0LbcBq32EMh+IVVNlq/RxYro05Q1lV92lYp
Sin3+X7c97Zgk7cASDQI9/GFDCJyb2x9MrL/H66RhVXqUGXRoPQ1FyHiBXUkV71F5blQHV/5QR9Q
ydb26VqF2YU5+nTlmpTXBcKzoXgewkM9J2aXvc1BYPrjw7aplfrjzxtIxTJaqXVGwgPSB4u3ssv/
kXZdTXLbzPYXsYoBTK/ME3Zn8670wlKwmHPmr78Hq7peCksPyv5UtvUwrukB0OhudDgH6Sq38Cmy
RWS/I68fTd7rlW7Wtc2kl3Hjk2tdiTpS4xog+HzHRFRCwGl0qCDVD6OfPrcpz5NQpbgmkYlvtHrS
O8GEksbn31NC0U10WG3RgbbwcfY4xkRjjIks5dKcDDXd0cldXojd2OklPNM4gJLPzC4wjwLljnOO
n3MCf54jY1zyaQWNSAXsq/BmdTBYYwNc7aD6SDEdedUNjk1mOaDEeMowlASVkeSfkXqbhKYddTLv
0DgLYonAyzFulVjANlKKheE+OpaIFNEtfJN4POzA/VDj48KxrE+tKDbyPK/o+k6tEokcGcRhoZVr
R5K+YjZz7Gqnj28Q3lljX9hDyQlTeRvKmBej6VVhjFI4hvI2ndDTextq/nX92BehYgQHyyQy22iu
rWVYZ/Rt1JWnosgtXL+4fb4uY6f5lOrghxDmZjdN3a5mjXV0rvJGp/Fip3yNARCkup1DPDkgXuGF
7mCrB17w9g9H+CGbueOVEif50r4/aTHJdBlu4IYwKEDhLccbZbJ5hdP9W/4hj7nlVR1OqjK3eFmU
laWpjlS1dtirllLzStG8o2NudoGVhSqNtQbFh0qW8iEeg+snxxHBtpSb2dIWYOHAnBaZ7Ljs7Vy8
0WSOevCEMPF1GOWxoAnUCi93nSZZgiJaSsgj6N6p5f2hhGwL+VwnSqyviBhpl0J1BDHLnfgIQBeH
wnakQeIUXgJaY1vkJAX2nfbfCsH2lStT1Ql5gRRPA1ZMo/lRTIGJ9p1WOsQpx9jvvlQ+7hnbVx4R
MKcNGa6wMp/y5BWsldfVYado/uce0qPcuOg5qVq1zFGpeC8sn7NT5Qv2j9XuDsVhdanXXDkiecrB
mA4ygE9HqaAcxS+x9mrxPpS+/Y+LYiyEMLZzXtSwECloCyh/dv8dLWsecYQa7Tm0YS18yHuHI3Xf
jX2oBWMnxDhJZKEmAGQCLxF6lBGM9yCFVFwx4JZiqCX4HOd8yGIsRdfqipG0qHLqM3ELebLouyyZ
gG+drmfDRJ2gAPdoqPauanS+Iox+nb9UZePrnWgbIgnE0XQMeCA9f15CnRPVciwm24NerWaoihW0
VsY0RIv5OxEtnSRPbYJBJM6u82SxtkaYwhUdvshoqamlVpid9sPJ1g3frI6x+FgOnjo+5+NBEksr
bV4H0xdBXz6FXzi/Q7x+ImyHejl33aDlMArdCGg+nMNlHgNl8TLVsJMY8X3rzgLH1e/k5/+4vWyj
eg42Er0ZcJeG2h4dStEXue0JxGhIS7toIOCp+H54/bfasa3qrZKVUgaYLlhcCajLQXj4oT2a/uzX
9nTiSaP35YqOszPWYzorS0htn6QHWlNYOnZ1cMTIUQ0nER8457dvaQ2ToGBPZJVlwlryOKlDIlEI
azBh20oQggECA4H5Q3WJ8HQwD7zn0b4h/JBIf9HG9EpV16rhKEtgb/65dqdxuRQ8CK3dy2HIyP2j
xUw02Te7EYnEkFOcVzJfGv1Ow9DoRBKr5fpiniCqOJu1jGENm24gJ6qRt9BwyXAv9kep4jwoeVKY
6FkssjJe+wEIgq23TretdlzQC1kKPzm6sKt5m21jTibWkgzTfUg95INNme3puAl5TO4LO7oZvOaA
t+tflFEZY/y8t9DuDduIZvxxIQqdAlxgigL+J7kE+pIwfMJlHtw3IRuBdM83J6ekUwLoAOi9fD/D
V+I16eu31Zl4mJvkji38gzTgV0vILJsKi+oMRBLS1SkeJ7KPobVgBvxYHywX8O4GYjCmzvWDVHbd
pPG3ODbaDatxkBX6QK/LXLJA+PvUCWgtU74nxnAw1uWiVnjoGbPVDPFtXMxeoY4PNYxpEXUvowr4
1mZIrNiIAjFSfBDaelFl+EoyOFU4W2adH8rlRwkGlyr7MtSzlwnx99gQLSIV982KWg7RJjsrZ78H
fxEwrJ9n8asUCq9KEVlykXvXl7v/Ktssl/GF4MjsK6HR0AuC6bWX6td73+7XORBe2l80JSH50lGy
MetjRw4P7GPXmhkmgBU0Cf+yfTyYlgJnE4ErKuunuTxk9b3075mH4O02IpgAS2vLvu9XBD2wM2Hp
5rJulYoHKA7OJdw3Mx9LYYKrtFCNgSyG5MRwpHEAoA9LKe8Ss+ao5/5LFlZZNlVAyxL2ITFocgjo
VdwG4xmAZ0fqvUerepuRj+vt2OU5VGq2PjnUjTjGrKVz22dLh5rEUP6Ukqc+D67r3+67aPP9jO0a
+zzL0AqE5USZkw5vjQn0XAPdjIex4qj67hFtRNHPN1ZLTBMjHwkudvYt7/w19qrhtPAgP3jrYZ4R
RSSZnUwLfbF0rnRPDI86+Oz7+Gim36/v3L5d3KyHUW1JzPSmnbGe+Y22vCfujJH5ySueaBMcd3Zh
18lspDEKrq9I6eUyKkejt7h6kDqhE6PlLg4yT/3y71GxcWs/hLGPgbRPVEmVEBgvi00iuxkOJi8u
2LU9GxGM3dNEkulDDx82TRcxtxXlJE0cm8ATQbd0o3CD0YY1njWSk2Uos70KSDjwWpd2ukkNBQyJ
ooj9wB+NORapUkifGchnTAjmCailoqN8UI4UkOLfD+T8IepTYldd0R8FgwRen6Mm/CUsB13gFar3
zI0mmoauENXQTZYLLIvLugBBNIVkatBts/p6Wf+HgBBIlQpmKBRZk1n0eiJ3iyGjsdpZJQtZuXJ5
gNPVuC0NuyvZiGEM59zH4zD/TpK81zGccLLU29aVflFfOgXSF16Sc0/dtgtjTGlerZkGxixafj+0
YONFzM5DR9i1OVsZjA3FBPCo1StsTgt+LFQS7Pgxs2knfOmiVsLJme1gG0HjNnvIGNPEEKPRTLGi
BVMFtmwjX+eV4NY4qRh2Q00ISNZW8UhJSE2HN2yzZ8i3shnr2oYyKVoZQbWAAoZW2iIG75XeKifZ
RkMXx5TTRwjrZbfCmFusV4veIKB+T42DYri8jN/D4HdJqEd6mguauhtFgFEQ7VCYM0HWn9nZvsWf
rpSRBs3/wgSONw4gMgY2UCQVP6q4+4aA+yRgVmwqJZskILitTib64a8vewcRDee7+RXMHgNWWG/U
TIYNbi06Zo1xwstq9U94SH/J/NqlO1DdjUDgxbvayZ+1Bzn493Cbf/4GZuubmBR12KJbtpFWK1p0
Txq+i0rHWSr9lk8H/LFSFr4xlZd1WWSRpp37Q+71YK7+b0RNWIyiIAyVdVUj7IBYm4HTcy5RiZbW
9TKU0nHWeq8FBPv1g9u1NBsxjGMTizbJhhRxu/x1GSs8hhxNer4uYtd8bkQwz3ZdL+Nu6WClq8LX
hbdF4xTVqGp9OpDN9zPmWVFLbWhr7JQm3E1xIMd3bZ1aXX5TdNbIsyV7kef2WBjLLKxJUw8I6Z04
eoj0Nwk1xLmxZ+4o3a6WbRbFWOek18NMkPAIoYB6aH040uYHHQwmuksxycH/CzwPGh1ijojLRbFr
wzbCGZOyNnqDRmq8FDDVRouysS02FgWhI1pgYkJ4CXKBE2Dtm7GNTMaAZHM9iulAfnPIZUHu1cjC
3fbu4oD3FRyit7wyzr5L2khkzEUxZyIhKp5fqpXcCh6oyupD4RbP7Sm7ifzWpSSwkr0cqguPynk/
1PsQzXa85cIQ16WEK5GBevCAlPVBeuic9BbO2OfNvHFuuMlEx4KizFqaK5KzSH67nMvJKbP/UNPZ
XAp2xktAP0IelcgzqtED8u5yf0Sm8boR4VxyNj9rKmSpmwnZUnl1a+OSxEGnPyPXPlY/ZyJxhO3H
RpvzYUyKYBRTnEfINEpvy2hYg+ijI4DMt+pE7Gh6BTe4pU4HoroYC3GuL5RjLT9NefWozK4jAiVV
eUmKL1yu13/QPR0BA+ZYiMHOsjStoq1ShcsdGaAvL70xEB/FH4tTOSWXAOMfNvJvYewAi2oUQ10P
UL70PPxSwGuITOpBuY/uUC/l0ins9owBCVTGoI6pS2gi/POV1oa6KswaNZqe+RgFpdefUi90pHvj
KUM5M7LF19A2uGOA1Ed+ckB4s4HXhhBDYTuCZ0EZKphrPEMuoyPbgz9+p3Sb75wi9n/pydHQeqzr
ImIDNCH/ucZeqJopLaCaYY5hk5MkuonCcdi7lXVNN1RTNjE9AHKwP2Vk/dC0BcAf3xub+oNxg+Ej
VwryV2IZluhkDh2plgNea/UO95MBdiBNNEQdzzmZpQjSkxLT46WIS45hwME3DtQIt5Yc8DZx75Jt
BLEkQX0bi+Uso0Lci62btOQykJoTJu4ZrK0Ixuz2OYnmAuC0TlXeTqs1KNHNUh+7HEXQX3Gbc6zG
blf6VhzV0U2CopUHsUASVsKRoaHVkqwkqO5pxNCeorPqp4Hiz24Fz9162sNacwzmXrSylc6EeEU+
ZJExYbEA1bfRjGzUX4dvDQxl5raDp2e81+RegLKVR893s9pUXM02G+A/5x8jwClojT/6az4CXpKO
JnkxD+1jz4du5TEXQisFtIMRKCYmyKLX0dN83RtuMj+brOYt9IyL5rW+wtvVvVhzK5WJAeVOWmNZ
xAu9Hx9L0asWX0LHSVS+Xfc4u2IkTTHQS67ryntkttnMWJ0rPaMcFcD4OSdojBOW+oTH+hFVUo6a
vo/+sKZS38hiDi6fSdmbMS5eWcVoCgIbpGgGS1S4mHNXzPZNE/VjYYSLNcWx3SvfKjnzQEB1MKXK
URF0LkmXWHP1qjY1/pf1AGyNc2rkbpiGt2UpuV1hOBmS9pWcBoU2XWoUYEhYPcbd0FirhH44Jfuh
ZbpbYbqsHvOgTxo3NHrB0tPlOAitI9elPyriuVHQdgxSozXPb7PudZEzX0Qrg5Joqy3nwFwyxu48
4mekOmClKhGA8NePZS9rsd0qRufkMpNbTQ+RSKhaBxbECGPLSGa7Nm10ctjXhe06ah1MiPhHQ76O
HfhQ6nwcADYqOcMxPVDj+56XGRzZI8F/4d6GoSeKoWv4D8rtjBNrkrjAMCOs1ZqcY/G2GYOwvk+T
gLOoXRu8EUM/32h2NKxCKQsIGlsTJIZJgAfu6khWkVmmm51Xt3+oKquiMIKOwK2I7drEjXDmebGG
Sj4RrcHsGCR3fhv0bhzwEUh2H046wb2VwSQGt8noiSpkZjfl6MVEmgDYiDnAuXRXwvuQvpwSj1fo
21XLjTjGKAnNmmJmaERoPNhKkoIQW7JQGsnyC9oLOD6UWoNP1mIji1ETM24Sc1ahJsUCQLVltlRe
ILDbFb/dPUZFKqEX5HJGl0nn0mC4fKxfQy87SG5+zG3zXN7wEi68/WPUoqhUCdwLE7L8pV+a99Fc
W7p60nti9eUzR/933eTH/rH1b6MRkzRdsH/aPYUIUBENa856D84Me35egsXnyNu9b5j4RBBsIPXP
PtL63IyFtX3fzNBfvqIF7giUaxoLjy8tTe1+UZ96pP8ih9cRR5X8k6Yg/WkQFJtMvG3+vOmoMokh
eBKRlumPomaNamqPJq+isfu+0HVJ0dBXjck/kZGiG1E8NfIiARh0cdFVcxxPOd4X623nVO+lOv0Q
XXruVMPuMZqSaYiIi6VPzJlxr60ougNdmPiKN941vtra5K4MFq+/rS6CoyScg9yNCD4EsuFx1C7D
WuUoEEYpMFqQWp6rKohq0SUFr4t3P3DdyGL2FCXwfkg06ubc/CkJvuoWxTlobICu9lZxMFsrtCjg
mOFOAc+W7Xu9jXAmajZLDTHAhIXSCY53LBynPwEw+h0KR+NFrbtXfyONnvPGHbXgWGhNGrUiDKEP
RfD+gX1Po0Q2HRxt7wPN6ZY2FvEq/7sPOn0jmQm7xqnArVywyRQrpH9Lbt+xJF4F9M1rT7ONZoDb
1tcPE6+VYn/FuJeowap4stLPNyvO165TRw0AomNVW/1wu6QvlXaew0eD8Kr1u63MIAj6WxZjyUUD
t5MQrJFWtZWzFIyW6pI78Cn6hiWhC3f9UvBAx3jrY4y5BDBqZW7oOCH4G8l0lAyrTTRbAiBrzSP4
3E3cGBJ6E1W0k0uo9/y5mUulCXK4or+iR8EO6PrW/J2ApAo4WR55uG7J31MWrD3dymI3U6jbAfNN
dDMVOsXtCvbqo0XAzr056LzV1jz5VJ3QMeWkx9Buvevy98z5Vjyzr0KFGfIhx76WS2s15rmSEyup
3q4L2TXnGynvpmmjnb2C2Y4IWRanb94WUngTWE1bvPBAchP0SnMuRTnQatPtBUDG9/pJqzqguS/+
0HQ+gHHPw5j9vP6T9gKe7S9ijGGb9r2YliM6uKKbWn4uWk6pZM+wb7+fsXdVnZAqVhDl48lURIdl
tYvmXo84Ujin914r3OyrUsZaHxp4t9Y4Ni3/Ps9f2ym4vlNUA64oqMxatAS9hJOI0Ib483nwM1/y
m0N/w83U83aMrnWzFpGM2SwTXATVql5oM2h8MZ7W+06x0NDtAkDD1iJLeCpUzuuPt4f0d23kahkp
wjZB24yRZ86QKVa8ZF6o8WBT9wzYViEYm9INEa4aBYNTEF3rxs9s6M65mdqZQvzR5JEVUqvx+dDQ
4yIZeGGabH52JNMk5bOJa50nPvBSYGIsSfXU/tco38fT4bqK7HoEA67n/8Uxe2gu3VRItMNahbs1
KwtPMU+wW3d9ML9ScAExEH7O3GiN3tFri2S2NDPStVKhNIgp0FdxXgECTuEMEZre8/z6vnJ+LJCx
0rJgTGNOZ6Sn1S2HFxMVK9UWYk7cshuibfeRscZFGuXSYozAS7jXz5of+qiS+dKtcUAG2jbRJA+v
Z4nYX8C3h/Z/oL3Fc+LjGNli2WwaqxYqEG/Mbi2cVtXjdgpzFJOtkY3hkCSrBsXUTbju4QRolFy0
BxDHR6lXFTzFpGb2ioqw9bIiBYlSEaJelp+FCx2fzOzarV/oUDtlcr9+Dfav+N9Kwj7KYhGZ2SlF
22xfzYGZGB7JRzDWa0A+kt1q7DnaspuP2B4XY5kzpaiWCZie7zF1+1Ti0vVBe/rdWSSLFu8Jv28p
P9bHWOh8BDdEBtZTJ+nOqfysCceCt4W7hYntmhhLEotaKKyoicPbUEppMEKgBEJxF/89jtifus4Y
jyLsjSySsJiaPIzKBVW668rwDzHPx24xJkNVhslcS0TkLeaFltsosyh09W/8+NAqjwSPLg8DLxwl
3LdUgDrWATGMhlDm6TNFrSgYqw6C9fKyZHfT5IfhpZo5/YC77xxD+hDD6N4A0EW9BGgPZuP7Q+dn
N2tkRYhdFV87VwA6QAriLgrR/s7TEN76GCVswwLQGAbWp4eePDt9eDLV05Lz6hD7vuVjfYwediMa
aQ060BNF/bnX71OxPyWh1gB5bLSUSUT647mSEK/Xhi1hLJCjPPSUPtutD/GMdq5rVRfJDOjMzLAj
5DTHV9Ol3eog76AD35HDe4fQ87omkNHWJa6ESqRzjiGedPqtkfE2dN8Sf6yIcW1gPglrXewREN+s
nu6tgfSgocap2Cm6bnlKspts3Kgni9YiTJWiZrpBcx3laEkgazIApukSq7RCtHi+G39z/N+uHpsa
GwC+qRYZlpjMX9fSKopvcuQnPMO1m0oxkBYTFfStaTqbhh46I+3bEOluCWno6IQk1e3gYV6PTmFz
k9C7120jjLkHhjpEhkFwD6qotZTlYVHdUbyPuePRPDmMwmvhEq0ZEKrpgCWq4JhiRW6qssdgjpDU
FD35kt6aR359et+JbhbIKH4biUlZjiioTjZN1sCJOoIdnolFp8/QD85BxNodHdqeHnMPdDE3m1nD
zX7nrfG628yNgEi/Bv1JA3urYUW2dNM8TsH4hYv0szc6u5HNZqmLpB87vaGP3tU1QzuOjm3sJsIv
0h7BbGmugN3j9CvtmpWP3WXp7mK5zow8wqCU2bpEeCB1wDGUuzHJRgA1O5vXW9SGarbQh87oGT6G
BpDmA7BqMJ90RMuC39+YX9Yv12VyVJUdJqqlMW4UgmfHbFxSxSqGL3l1SgZedLfrgTYrYzxsm2Wj
0mbImZgxWI/R/Z7Odpb7KYaqG9MPTW+SFcvU7lTR+9/Wx3jYiJBc7GkYW4l+Vlipdj+EIPJzr0vh
mTGFsSxR1lXoisfJkRuabR/8PpCRIZXh3gRu1YJ3Zox5kSeUw6MKvV5adD+FD5L2tg4OphQ5a9p1
25szY4wJMUB/VLdQd9EvDyirP1KuEhU1QuS5nSy2eH089Gd/8tobeYwxMUWzW2oNkx8l+bmWbzIU
vr1rR3c1HM7Kdt33hyR2uEiagKHammj9pS98g/bIYmXinXBfuvUNb2CbsyzCJOcW5LVGIOfjEZCk
Z7UV7A7dGGO5+hhJfg5JfH99cRzlYBEFslab20mGQy2JbMXJl478SOWLLHNsFcdUsRgCXVc3imCi
uGRGD7F2KKvUKrrH60vh2FsWN0BOhVUVEkTHwvgYG0/RwLm1vO9nbEMHjoGkzZAHSbrBHszKMXmR
AO/sWbPQylIz1LhCSxO5edIGk/otTcjTZNaHXOPN7fPcMctZR8I0VuIUG9aiXrO4pdPYxkF/rXxw
KCDsEM+yVdsUYyx/5vkRnj4wxiKuVFNIKExcJx40YH1WfWAKf13XB/odVwwE24Ja5Xk/dKix4rwS
W5u/raT3hsSJQaOiWo3BsX+cFbE9qAJQA7pkgZXNsqOa2UXvKJV/fUG8eE1lbEOvdUsTS7hFsWwB
9vaBorKt9CkBCCw789AgxInYeItiIgw5S+q8nKCQZCgsVYn9YshdNFPxFsaxsOzDXR9UQcxF+EMh
WL3x0KCPZfBGF6hKFp95k2PyWGo7EDGhPiEj6h2RJZhuNONX2D4NPUf7ONaC5bMbNUHTxJqeVbke
8jk6x4XmXNeHHZhx5HE+HJPK2AutRcZDDtGUUxWFG0dFbOlyW1vqUAAdJvsao+ScdFOgtYOldd8y
WiiJs/RZzKbbLsQMhLhaIsHBysRtNcVt09GJptxJ+vQm7ATosHFph0G0lSYJjPVrLGOmn6RBTAyv
NYYbSQc3F1rHlXHOrSSW71SQeurxKtpSs1pSzmNY5G0pNZ+beFdeCnmNI2TaTe2gS886l9aWE8Ko
jFXStDqtZXP63Rksu6CsuZFuxcMIuiwxQOsdb2qZp4lMCKPXWtoZ5YKxqMJP8lMk/VIz9Cw+X1cT
ziVm8wF9KDWFiXFBZ5B1NxQxTSSdBnBiX5eyn3b4UEY2A2CaCYZJG1yr6FtxovM8Kq1jecptZ1qC
P9/ELm/m5H067YqFZ+nx9L4Ril6BR66JcillFbNZYHgynuexaC3UEzAI3hCP1M1R7fvCynUD/WQh
+GiFObMl8ImM3eKkcuGMs+BIveiIpSrY8/hrnU3VNpvQV2Lt2wz22m5Bq8/82ham1Suqp0nf8jZy
jfm5XFZXnHV7zEu7yvInU0ytXGj7g67/msThbGIYM2+TAFjQlrjkgBmaassANH5TKI9qnL8a0/za
ZbNh14Oc2FKX2aIe+iCjtodMtxW5nZxG+d6LCGubRX6ZanLSBtXRk8zSh8TWwa5oJymKaGTWFnuq
ol/gzD6aM4Bd5Pm72WtflJrY81wfx+a5GseXxOzPrQL8jHFycwmV9Wyw+/mrGk4PHI3YtepI09B+
X7Qxmcx1aqs6LYtsRgYKaEclGpnAdncsDpSqNuTi5e0ah40w5i7FaifGJIewJrzr68eicTmr2TUO
fwuQWSacSJsk5MwJkuZvv7v4KAqWDkTI2c3d5MLrNduNBTfiGF9PxKatBgM5emN8bttjZLg9GmfG
/BSPh+sru75zmCn906xKTW1MnYGd6/VARt6u5cTl+y0lm6XQnd3YbQHUMo0+0HJD5hlxi07E47Da
+RxbivFoAhxnAmlWC+81Ec6c9K7pI+CcxsAHBnVYmyQtlZEK6LVz4rGxtVx1dTML+lLn6AZPDLOD
SPyKcR/C24bVD3RWBGNJgEIR8yzsrkqg9VAyNR0AYiyuUTzlyawnC9zTvXT4jeUC+/qQO8AAtIDB
epiPcZAe4dGvK8h+uuJDMJs7k6pZlFX6UMjP0S2tJAogIVV90cmP/DYyelE/GfWNMEbxtX5ewr6g
7/r4ucsfk/U+BjSWcSIYHlM0C0b9+ur2D08zVdAtQBNZTKG1UcKU1NDOpQPa6qvRBgkI5q/L2D+5
DxmMJazqfoyFHuTGQvwsG3hrXxrpBX03VRlcF7S7eRsnzFy1Ik6NeEzR/Nf10WHEOmoTQAsaBg7C
8jVCFgFDoQAx5FGl7JqQjVj6+eaGpwT+McyQ2J3IeDPp4o2e8nCMeCLoMW5EZGGS6JqCKEbDCK1B
rIh0nEPar+ttVsGE0+XUKkOKqjLI4+c3obTMC7ElUNkUdqNYww/hpXabMw0Fa95c8q5+bCTTzzeL
m/t2TvMKgQxB5VBD3S21tNJq24cYXDrXNWS/X2Uji9HFEXgcQqGgUkNqW0GIZtzNluYQ68tZuZe9
HLAcPJJt3tExrjlJ0L1otqjVh+Upq87r6l9fEkfpWZyZYilzECGgi4liJSTHxKez6y2Xu4z3/GYh
xFWlHEoywQx2Lp44yLcbgPc+9W5oqbYc5PbCM7wctWBxxI3RrEgRYWGVedcSO5zulblzl0yyIuXr
9T3kiWIMx0omJVFyBTlOxBvqKNllAYi5aCLempWeOdSZc10g79AYk6EN8jLmKrr4Kc/kgJST5COD
y53W3bXuH9quM2ajAeFXJgk4M0M91eRbFz+IyrfrK+GJYMxGjembqjTxCp8K34iPcX3XJd7/JoKx
D2I/zVlC6wXhBOLhBsiyx8bkGSHOa1RnDANeE6GgNii6pBKYISJblh/J/JrwfMV+NPF3OAiAxj+N
nYxBAx0dZbQKSNvhq/sKGKgKTr+58PnedvV6I4xRsyQMi6aVENxWy1etu2Q9JmOfst7VhLfrR7T/
/t1IYjXNjELwGcHKzV7zrXrogMwsT2CiGLzyW/Sl8sq/Kt5kwa7mbUQympdJZTiq1GFF2UsFbFzl
VU0415Qe+qdobCOC0bzQQG/EIsIERRWeH+sw2XOManEG3PNV+Zoab9rCA2HYXRX5CJYYd5FlWiH3
TQRzrp3a0avEO40XJu2q+t8iAIb2pwoadTQBOAz9SX1bHbOmC0okrYpY9bMq47Qp73uNjSwmniVE
U7S6Qze0+SjbGHBHQNGe0MtC2xlpMwYvtb4fxmwEyszilFjEqCkEVu5iz47sZkc4qja16wLU0wDm
QART2uNkzXcqb5z0+tkpInO3c8xHmS3miBzE0yIdJZWtpX69ftN2PcdmfcyVNgV1zVUJaPLEVz0l
MN3JIxiM5tUX6dd80vyNGOY+J3KEnqAInkMtL1H4UPDK9zwdZC6vNq7FAMpzDCm3phf2P8ZustOm
OIQR71B4kj7d4Zg0xISkSneE7n6ZjmXxqNTP14+FJ4V1H0lKYjWD2hVzsCpnQ3nUUtkb1v9WLNgc
DGMf9GSI6nai+QqvPetedBytwSsOFPGrtHkmlqMF7JBaAggJsH0jrdhFSwS/O/7o88q9vnO7Pupj
Qe/5k030P02GnIcdPEckP2WpYyJNNp/F1llrTqSy73pVUTElimOosZAbY2QkRZWifaNzf7M5V42F
pONR8Asvbriocbs3dSOOUfGoX7IqWfCUL8hRVm2t9eraSZSfeXFc+0s98Uzt7kZu5DGKrkZkSlNw
mwDZYzyTCfCWiJS/aofajW4kf3IwZwjaVS9GXji4foS7yr+RzCh/CKw7KdckdFIJjRXlryvaRkbw
bJbT03VB+0tE1UfXAO8nsg04Wqsv6qqjJ63BAH0ZGMtFGsD/WIHvSueO6/OEMZZWXzuxSxr6cHsW
LtkLHV0ufPLUB+Ih/xU+zq7iLgF8yMzpnNrfzY9FMqa3mgBVJwLY2xmIp4ToJoy+SbOVDL+u7+W+
en6IYdSTFLk8xinSdrQdjTqSAY6EDzjDE8NoZagsZmk2SBwDR/S0zNphTapD2H/pIwXjPu1s5UCr
jJXX64vjnR2rkctQ61oOBJ9FN13TEKxWw8SyXNmG3nlk5PFr8cQxRhkIP+NU0qqSSCqr74Bi8W2I
EFPpX2uTc2z7AY7697mx/Ti1go6mVUHYmx7QHwzEuu6msieAJluaBToZq32On2nhWOfcvX8wnx+C
mVBOwEz6UndoBBrfBpfmQVPDS0BR4Uc28iaHJvaun+H+m2KzUiaUa6tEnEwNF5BWUArAI3V+f1Iz
a3mPeKQvwyuvhX4/XN2IZCI4eVSjWCnQmTF7EiYxKfFVZsuXFcRXra898Moc9I59irI24hgTs6DI
RZYeZ2kWl3W6e6c46mGheWkvziVkeT6GsNPbJsTo/jL0P4Q6OpXJc9rG8Emmh7ZUR0ItrZkiTrKN
Gqprq2MszCIpct+REaFKc5NqR0Xy5ca/riP0Hn8WgTCEUqWJQAfC55vgAfCNupis6DNQZcFLR6AM
qt3dkOBCAFfHVJLGatLFvi5zv6ID7tH/F8ropaw3VR1RShg6fUaBWNdTHTRn6g54nnV/Lmwji1FI
vWtKUlDsDOkiPUroDsmOLTgdAIzgGk90ot18lmwMNfkE1OiPvFfA/gl+rJTRzywvUDVu8P7Nirtx
OZTSW8Jr2N+/Ah8iGG+Xtppa5YDFcbq4t4UR/ewKADE7yVJEnWNQ9q30hyhGH9OsN9HkgYaDYrGT
4bzoZ71MLJXc8ZiJ/8FUfkiiv2SjlstQToXe4l73DiZaMYNg3ioP4oGi04Do+X/dQsbZrdLSTgMF
Ti/6xK602GkyFPcxI09y6ZGj+7wLx3q6vJiy0IRNVh9L2Sp/dg/AAEQJTqMDKhjWfUDfy+SYR9rK
W71yhNOL9cdtlzH0oIA7S8TfiN8Z4aGizquOzjkMSRp+FiRH40wnBKj/WQLe4CfV7SvC2MaRJpuG
FSRnorPKL6H5UKkBZzU8AYztarIEI4pIB8KMzM4KJsxvNQb/Mcf6tUxwpYfYii7/3sH9uYVs08gS
S8iYde9CKX+XRZtUhJf5HehW+ivxuALpKq5tI2PA4njAG9IkK8KV8VBeYiDcLiBwR3Olz4WQo991
TRZjrlQ165d0rUVcu9VrD3Q7lZvVRojuI5vv8TqmPpkuZi8Z09VqIwb99Ux0qunZXM+dFhDpdhg5
VmtXCpGIjlYSTUWpGYve2JJhDMs6TGeRDlKsojMXB1EJYMSua+Mn20jXspHC2Ma5KWU0sokAngzd
DE1CdZvY+YS/E7v2r4v6bB3fZf0fZ9e1XDmOLL+IEQQt+Ep7eIy86dYLoy299/z6m9TsrtgQ9+Bu
R4yLmBmVQBQKhaqsTAXsPtr6hmPpV6E3lixRjpO1snahmVl6qdU5+ZPmTr9C+39GcTLWmJXRmVYD
lXOQomsPnXIA1kgs7jkr+hQVGRtMvB8UOYvVel1RbI4OelXUKb3urGDAJ76UZ+ASnP4keHNsVx5P
NfzTHc3YZqK/Qsq4TRV9sQNttElVHQg1LonIy7R4ZpjYqyQBaeiIJeZS4IoTNZW0dLuw4fjhrhmV
6FRRIacG2Z4/vV2s51gURBzhXL/rirtBdoPl+fpufebRX7/Yhw0W0GGMepJBTG0NvPENett4zLRe
7AVgj0Ot5KAhn6O2el9Dn1N2Kk/FsI3NY8beX6cKAtZ3Ri0Wd5E3el3IwLXZ0fIodpdSv3S8UVKe
CcYxolYVeojqivasuEV9lIWzPvBmO3eju0o1oEcINowtqWWESNBDKHEjNy9ZjrfEjSidi+ioRrdh
9C2KX3RqtSnnuO3Gqo1R5kTnxaATQcD+dcG3NPLn/GtPD/noLjzxx/0v+LE65lgbbRIg+8VlKZQX
wBuBWrQCnqoDzwazS7oI8nBSF6IdiNHdWIrHRMrsjJv77t4im2/GnCvg5oUo6XANy+VFC17azBVz
qJRyXnzrT/l0ASOoG5JCDVWS18Vu7qqYKmMYz7Vot00FJpXbvq9/R4Fs1lNxry3KBRICAJIOvAtl
997fmGUcoq3mZO4a7JN4v7j9NxRFMMn5Q1dRD1lFvnjI293EbWOOcYt4aSlNZpxdCbxi3fhD56l8
fUaprBFqY4FxikilQqiPsJD53T9lR9Ryh5N60b1VkaC7FN7CI1XZdUTkAKKogGZbltlVaQmN5Qp7
tyJjorMw2LrGmWzcdcKNCWZZjSo0qbSaKILUnrTiHVg8FvL91HMAHbzFMO6u53o9ThSnajZetVA2
pd6KeMXozzwP6y59LIetxIUz7WmtqOs9EnhRZcqQaBe/Rr8nSBpI5vQLPOhWfMuTreB8RHZELpT0
MBkInL0ML0Z+kSGBGB6MgjdusO7Fp6Osq6tAClUoAKR/HuVMqPVhUXrRJhhfM7upQFET+r76iBFA
8hgEGKIQM04LY39pHzaZcyynE5jnF+QYatpaSjrZBEoEWh05RjW9XE8CPhcX3zfPwP5B8FAXWWgM
4pQ8GuosrqIslvpjAaApvZSq1dqTM/oQurpIHO/f98kPi8zqCr2Si6YXEKXSxxXsLgK+znme72/a
hwnmDE8SSgF4LcAjiacol4oeVP2+GFJbUjEHo3Gi/W4c1D+sMce5VKKIiDM+Ydq+aCDnq7Lv1zdp
3x8+DDCnWOh6qM+PFMvRTvNyn8W3geG30+/rVnYvrY9lsGJDqgylzVjEMUZZKFgWEwRggnwppZeJ
Qs3qdzYdrtvbXRWuRypK+ANEvn+eLFXL40zIcRXniU/JQRO8pboL1f8V/L3698YKszlBDzrIscKz
gKqyJ5aduSj0bq465y8WA5oxSjHjAINrgri58QNozWKcFT4gqE5P3DZypNhteGo5u0dnY2UtDG2s
TCCOysAKKNqDnppBdabBT3HhMaft7svGCFOpUOc2UjF2iuij+4bmye2pW24b9fX6B9t//W7MrKdq
s5ZZbUsi53iPYkoIjIuHYPYiV7dUT3O7xUPfhvOi2r2mgEWR8bzXAfNmJ0HbusmqNiDrNTWCtHNV
hsudASOGkju7Ky93ZQk+DznwuUgO/9tYZSdCxTwsBpWgOCLPjzS5leQnnfzIh0sqPCfTXUfAPvEs
GbHF+bqfiC4Ys6w/FqLWDC2uEEUFl1+ZgVs30c7gAbuNiuJcSFDlndI7BZRcytgUfxEQt2tm3FSj
TZMvcyvauHD8bJn8OWs4wUNafwZ7L29tMF46ZFlChxLuE+UyZkbkyixrlBUa3Sur9AmDQKYcyMcF
tJpt1eESyB7pDEzeot0ExuTiPXoMlOU4CoAMFcQXtdQ3jMgdg+kRpXhOZP3cTmN2g/H1UDDGoG8x
WtY6lY8BCjuyB7M7ds7aaUbbyb+++3uRXJZkAzksgUYzS3m/JIOWCg3S5lR0lviHVDr58L2VX+M0
sZr6jL9et7fG0E97IesaBaRE/iy1PeUE0JUwxiTI0lnqeI61/inSv6fQNEc27YdB+uO6wf0P+mHx
U+kik4wBLiC+n+X6YSXlHKzkZsWA5eDXnx+u29uLu1BNVlW8HMEOyD7vw2jI9LlJRDuOlqMQVx7E
Y4DQ4d2I64336TsqumEQ0JZ9FmnOw5D2gxTiXRB6An1Y0qdxgcSh8k3ov15f0H4whIaQpFO8UlFh
+jP6LjEqkmGAgkXrENcYzOC4QhLlh8mSMT5EO5DwNBZ/6nrXU3RJVGQNz2KRVd0BDFLBsLKBkoXu
C8vPMfbK1tfoU9WYkcG5knc3DXLzqMjoIHV896HNBdPHDSSUdDwQwkY741qw1Up1Rx7B4t5tCSzA
f6wwRztJ6jiepWmBZIhoFuBmbWIfUC5z5BFbfCYGXIPIxtK63s166FAPI/TsFwBVtCOEnw4rVl4B
iJN3nNdf+ZMbbgytS94YquMqRc93WOy6J56qAqxFeS973t4wuV8kLmIdUeyNNjnAwky9S3LOM4P7
vZjMD4NWGoohWAZRfLA86bgV5gL7ckgGv4XGCRD0s8SJvLvPqe0mraF58+3i9WyD/BwODjaN7Gt8
RGACfRc1h28SVAkgCMtZ5ufO+J9u8f7vNxbnToYwzTQu71ANxUF6Awpt8D+BcV0xg1vj2FnhrexD
2fDEdxXeR2b1yGghkRRklbAu/VI0V5+8KnLC+Tg2dtjdjsKbodac7IL3jd9Tg82KgWNdyFgtcJ77
VS+SHJrX5Naw9ItxP/vREaJrf9Nb2OwqyzJdj0Vd5woOeTWd6upckWPDy4f3D52qU11FUPqkwRr0
IfrXFN46FjE8tLpIcW1fD/r7oerDBJOW6XnctuPqKZXoyuOZCsdgPOe86LF/tD+sMImZXvXz0Mqw
opLfTWtn5aESe44L7NlA81tZu2aiprEKQgnoJ2UDdI32gKukNmpApnurVjjFs70t2VhhyYBbI6gK
HXxCdkFvZWhFzbwn0Pop2EALGWWI7spgMoQ20Z/BoleTPChrpBWdTVyqmatAomKiURujbjafBP+v
3kBbi0xoD2cIjIvx+hp5lI6S00SmYEXE+bECu6DgA4XXxBLAyvT9uuftHlmoJei4hQme+sb6qTdH
FjKQTTCtxboR5Iae4iTQvhhEc8AowmIN3xIMLPN4Bve8fWuS+bhDEOgJmSOkiOElhkKdaoWGv8yc
Ut1nZVeEXwVvfgWPfoBxNWZlYoqpOJROFruBPNzsGOD1rAZLf50OMSAZumY238jLSqHEl+Pe9U9J
B6cCVChxCJi7Ru+NnvbyjNJG8Kgqp3LgXC3r///JPf/z8w12PmZWoFOWzIjtY/VTwt01P/QLpkQD
u+w9PQbenv7Nsd4YZJLSThJ0MdFhMK1nU6IXCjv/Mwv9+379+6MZLM8BeM6geRrhoxVjfcrmzFXH
3gzGyc6r2l4SXjGF9w3ZaKhh8wYDSyrOnY+b6jS7K/aJR0y9mwUgmf+XLxgi44Zzr5eTrMPbNQ20
6Atu/tAwQdTo0yZGhkUfhAZKyuQNj0bkw9SPoEXXYYxULOejISXn0qg8ccIlmlWuUA4HWQkrixME
1u275k/MiYyQj8lShH7lfJTd3FkxPp0juQnyIh5gb/fwbz4HE+e0MMlaTUZtMSx/gERFlF4V6k2p
c31FvM1lslhap0FS1KgtCtr8RiY4LCm/5UV2hEYroIJg9RWUGyHqvOtm1+907Tsyia2U9gMFnyMS
W8FtR19rDgEP5bDbeVNkKOmoEnoCn2RZmwrkgxHaDtDoy78pL5m9jmcqnZX7wrHxQpvcoYLEcZC9
x+HWJrNpUdb+qzfb5beYTG/qI4I2RHbKzhP/6lzi1jUIhM3R22HPZSKLrVEjbMuL7i3Z25ASKw7u
SeDgDFVCaMUCZ3WfAetr5NmYZI5oqzRhHS7wSRDHSHh+mK0V2QYaLeO5t1/pl3AlgrZ4TdrVBz85
y8Yqc+jmwmh1DDjgGiQXaXqi+S2UKJfoENaP171y9ymwXR+zfZVWqSnaaHifRoaXS+RApArI4Hm8
m9vwC5WnIxLczJJp9W0IW14T5r+YB8cQ1JjhtGxFoxO1aehE5J0YFr1RD2smpeKBLB148Lrd4yd/
GGLSaABLuyqBeINdS/cyfRIEp4s4WcX+pn2YYLyTlBLU0CqsRQKL9hRCvbROHQiooBbUmqgWc+LY
Zw7Id9f8sMe4prxAsnQpEZkhUOoBLniKb3R3ZWoKPejpAa2buuEjcVJkiLxDz/uajH+GJclzeVqf
VoafNs9B8lzzRvN3LwNFBDEIcFQi2lg4Ipvkc0rRKo47mJDmW6U6qfFra3gK743IscLyT1RK0kVD
g/bZEhZm3C43stEeEETdqWo4hIz7vv6xIpaDwogWYwZKEpnZcZXnSo/hZQTbBZ8cnLcoxteVQSgC
vYQj0vZhQRUorw03il4DWeJ4/L4LbpbEuLzSKbEG+ok1Oq6kcb1H/Mkd7BTU/xFQLPWX6EYCwnl4
E7kI510X3JhmvF+tgtZQQqSEY/ilNKZD1P2g8si5tHdL1oqiEFSA0PDUWVwJsHZlJSnoSQsH8oP+
XnWk48t8J9V27oNJ8TlJ7OsBeX9ZHwaZNMGgpazI7YSUEKh7tDmSc6Dzdm03pUO9QoYSJ153LDoi
jzSxUxo8kTPDbCF8RG+r8E3JnTS1I1itf+eZ2+Z/g7ZbS7f/tsrcNBL4DpJ2xsoUr/0GqoXD8jC6
k7OOf8g8ONBuUrKxtYbqTfAwaJSWQw1bQXkTiY+zSsyZXgL5VydheohzsHfjvkrE9UsCEKkzhwAU
Is1QhoghmfFWYPpJKSqfCtVjoTeuQYTDdQfZTV831hi/75QiosXaRAnE2wD06jWqAbWXQJmWurP8
Qkoee9Nuz1dRFTiLKK1qzMwDr5ITQazXWQLw1zjjQ+joD4q9WKtErGDXr9eXt+v/G2NM7BIGiHJF
JfKtpg8toSOuJv3QlMq9bmX/5bUxw+yZmDf1UKQoqeiPwX1213urbsO6su6o+AMoTdRj6QpfDbt7
Bne9dd36/hpRT5HQSUfTkrnaUoHGgqEBEFCWp167S5VzwVPa3b0C1P+YeL+LNgcgEkCdMqQwERax
LQmJJTXpIRf7w8SDuXAWw07AAww/LG2HCKnpN2XxqKqF2c4vf/HBNCLr1EAbSmVBJyGgIOKcI3nL
NEcff6DpNMQcE/u388YGE3h1NS+kOcOMQt68yIGlN3aQvszJecwvgEhKgZP3nJO8f7A2Jhk/0DAZ
UUcjPl38MtgdqJOTVQm5hLb0+ljjYXX377IPcyxUqA2aIDMyxCn98R95UABNb/4p5v2j7np903jL
Y9E1ciFl8SBi1zo7vmkw+xc/y1AUkBHwBZ83RrZfrFxL8IoBeXr8+WfIz6Y+b+gE0OTarR9TM7LD
ZyiS2iu3hGBnUOvhaQ/tev7G4noGN2csJaUsRwRxcdIP6XiY26PUc6bpeSaYe6wd5ayaOkAQBMGd
4lu1tkTqXt8mngnG79OqLOUM6Eg7rn7Pgx92xyj+dd3Ef/EEKqngATcgRM9EW6Pq0nqRYSOSlMui
S34eL4lFtN9zo4xmVxrHoUrNJSd3RJ+PKVpSGjh5r/8Su+vUCWD+FBPtGuuNCRiy5ELHxSJImlNP
pZ8nmHsdA86hXjf908t9Y4a5v2SCES5IVsMphtRr6hy0ihGu6sI2RK7L7+ZxukokFLF1RWSxUUZb
DXMRIPvuWkx+rEoky82EyAWmjA5izde/33740CnQFEgBVjjWn+5O8kFfshrDLVFkN758oJWZQCsE
aJjhEjiN3b5mnC3b/ZaQwzJwqpF9sGqgdFaNZY6B4u27b5rwOAehqcgvRsapmO/mb1RFEUuH6Chh
GexpkpS0L7AwsXlo+tdCzExReiHR41I8c77hmpx98g7ADaF/BRYXlW28AqMXa6O2VlsgHaOeEjf7
TrBlq54YgBtfMTvM4yF8/5HXTDIOGSEPzmNs3bsCinTTnJVLdKdgwoueIxujmhC/a23th3SXvt87
E+9BszuwpGzWzBz+IqmaasYYJcoUxJWc+hIcw5v1tutWAggoC4LP21vTyewAbcHkMFz447BrEPv0
EdBwEVfqHDgwc9P2uBwSDfBYOw8cqTr1NcQX6mOgrY+fE5jzTM4+7wabD3tsEzIKx3rqDFy1o5W/
5LGlPIPzW7DIW3smFnXHWw1Ynb+rymysMom6mC5TLarrCZWtajhFyWvMRZ6vu3XlS7LKpGNFjK7S
EXPEe+N2skFv4eWW4ne/Z5u6lcfrfe6GAGOFAuF1hV4rE3SSKYijZH17ZHgIg/CcdCbooGcu28Mu
tErZGGKuwXFsgE5Tsa7Rqs4T6IdilGcUp/bA6GQKM9wTzd3vE+9W2nfMj/UxjjnU6NikKi74atRi
jGgVbt9BOqPoNasKZlttGt8oVc5TfDfgoaKhKxpVMKmzeu8mcRlUpZrUdap5FI/i/LZ0BzkczTH0
ovzl+kHgWVq3d2OpmPQyFFbk2Azeutaaqxu1fqSNr4Yz58jtn7iPNbGO0rVhixY2LDW6lccxcGMx
/s6bCN8N4JtPx7hJatR1sKz4hUY618GDohyuf7B1vz8fr49lMP7QDdmUqQHABXpRHcaq/U605EKM
XDQjdbkZlyyBfBG5T0KNs1P7jvgfwyw2U8O6ND3G80dOSjMbWjcsGr/W9KMWwP+X2J7llBcmeTaZ
eAW62pjE5fvA3c86R18xP0XyRZM7SJvwb0KOh8jMRdhkQZqGGl2zpYOgeSIQlH8zuKV8eAfbnyJD
voRtgbKT2D8QoLeLZyXnOMguNH1rg6n/6OoUgdwLh3c+/oOjSjGATo5r8OUJL+4H3w+fYOKEQKYm
gdAMpqgM6gAS9qug1BtI8oyXJG9ZvN1hIgWhQyq2Ez7dLMc/9GhyQd/nJHLmlobs65Q8tM2tsLR+
pKeuipm4HiSSQGfbRq9aVBV5OsGcc87WfZW2y4YwBqgXjM1v8tJ8JZX2KqcY9+8KuxyoKaq509Ls
EWLMijmlaLrI+mHJ+tdx5vFz8T7Neow2QbQd1BZipvg0UV9+KdPZhIzUk6JFnGybZ4YJPQvRNaHT
gP+f4twis2qioeoFUuFej3B7ZkAEoREAsoFiZimEjW7Ix2StQmRAy7WmpvkQUv8bE5oICKUMjmJW
OqJTc6XJIszChOFTHxxUw8lG/7qJ3WOoih82mGgi9k0faQFstI7s1qGZueGvojF7u3iQDjWvs7//
0T6sMTl0Jao90WWU89K08kUSHUppMpNltDmrWn9r9vrZrooJLoUgtOlgvK9q/r2qHadWeK7PK6y8
uvByu73kYGtsXfTGr4cZVDyhCDzgSB+D2Or632VwMVJfNR6uL4tniIktszykehsjL04XfxIfgspS
C5+CsmAJf163tL9PeK9K2lqmZAkg+qzt81LETIWRuZX2FmgPk8IpCe1FJjz5gUhGeVcTWe6FSo8S
6JMgQwg6KHeBXZHH4bwLjlNXmD9VMDtrsLFPlLtQgC4SSG/OKx7acJNHwQLNIWAPxKO30aHyAkc/
8+cMdseDtpaZSJcWUyTma0EjEWWbCrFZhGQwhSDyByOyosw4VsDtmVPRPgJAbVH8l6BWP5U5uRAt
fcvobM+BZstRByKiqHtN5dStB6D4gBbTtZL3tv4vXwoTlgCuonPLdn70qZMaINbRo/YGe3iqD5mv
uqhzeoCH4GtJt+nT2t8NXR4tzF6aqII0jmrrwBBli1lBVpAs+IeEZqX/6A7jO0CNB0PZ9bWNGSbI
FYOSC5jDRFKYpqdeSNyo/XX9wPAsMIGtbsSStjPKZUNdumneOrU2clKL1Wk+xbTNItZfYRNmWrC7
Rnm6LkLrHOBYbHGI3UmI7rU+ceRG9vtO8a6vajfg4IaTJImso4vMVSonedOWMsIAVU658SWVb/r5
NUjcgZjXDe1Wd6CN9G9L7KBiJsdzNS+wtEAgcGk6q18026h6J6Gdg9KZNZHKQ4p9FurAB976VBXB
fRNLR7nVHdChWYqROWCm9bImAMFF9LOTpmcy6a/Xf8/duLj5NZlMnxiVkE4KgpaYn9TAzLq7Sebk
FbsNnO2nYJw1a1G0HGXY0G8bPz/Glwwo5d7PjjzY5rv69yePwjC/SgnKEhpbCW3BIhdOa/MwEOZX
2iIpRKJgTkuIf6BWk2R2Tup7Of+OBNIKARGolsJtmx8EvMblANR2+ZT2vVn1izn3vTONEItr36pl
PE9TcFOq4r2GSaul67wKE8MajQBzJWZZiq66CF+v78xuJNmshQm5wVQYUZuvB9DVjoCyn4hX+xi/
5PTI/4ujfnwz5kiQaFbUZsDupC+Li+6/jQTQLr3Azk7SnXhLvAGF5OKY3LenwKq+8CLZ/on8j3l2
3iZVclr0PepIUgtMpPAQqqexv22KmxR6Kde/6H5q+PFJ3z/FJuBg8D8bhSwChEP5kgadJ0XDkUq9
MzffojE/dvV8HIobwYBfBIZ93fj+QftYJ3MIuqolEeDYKJlPz6ghZd155AHMeSaYkA3Rw1yi4bq8
2p2zO6jlJjqnIr8mZFcOmMSE7NEotVoqENWE6U5LUDmdQa7pKJFz/WP9l51CVxkjB3iKsA2G3Ei7
sdDgFYm/cvROh9ZdC9Gd95czV6r2YYtJQts0NAqaoNjRVE+op2D4+XFQvgjDE1UTsxW+1uR+4mFF
drdKxxUkElnBdCqzVdqYl4SKKHvH0lOo3YTNFyP+ef0b7saPjQlmq/SuCEMQNQCSqzy0OoWesS0s
z1oLqb6fSusNAsfe7m2+sbcueXO4UrqkgtqgYKoVd1qdmB2RTWjihoqdDh5mBK+vbtcRN9aYTetG
mo2kRhlAmhpXayY/k9+UujwqkeJet/QuXfzJ5zem1gi2WVhYiMJsKPDFIR9aEzNMthGBYzyCwin0
fPs0JlY3pLgO8sEfoCoZJyGkncfaCYNBt7pSdGis+EmYup2WgpK5j5y0Fgdz1vDrQnhXgmbjkoZu
JjxMkXATGgsxSTckJhFzs25qO40Ve04Sq8jAzks0qxSIl3XZTSaG1lw3N+jhuJgGQO02dqQucpoi
tPHaMUHI+ZSLwzdccqAafVu03gng31EQJUC95uB+r808T62lLDlhYrevrKIqjx6hSjTMsP/5zUDN
WU5xhjgh4WEXQ43DTCBqqB7jxVMbVxTNFId5sBOFV7nkWmZOFhrzGCNYx3rV29FZhSwCV/VWLuPU
5vd1di+vzTKZM1ZlbTNGPYrOeoYhJRHIuSxzhbyx0vIlBkP1dU98T18+eeLGHHPEjHQIcqmEuXXA
LbJgygrc+pJbHcob4/kf7oPxIHBOwO70wnY32cOmAlKsdtjNtTlaHktP+dmE5gLICCRwLP2OVOZ8
zytC7MYvMMCgNyABgc4+p/s4LYU+wmLXK6D3wLmK/EfhjvqsW8R+Uw1ZOnwVJa9P6h3QMe2rYMXC
jNDnFlyjfLi+aXuRfvvzmW+ngCox1WdAfkH2V+hHOp4mxbxuYv0Rn5ZAJKTYYMuhOgvIHuVcheY1
uvHNKJkr1VAACpKub09NNvNccD24V2yxsGy5ByZbXVOoxCcudIG94K46Kabklq74KnCKvXvHS/tY
GIvLTtIyiaMUVwoR3lTyIAmh2ZdfO6icUE7tZrfLuDXFBKwcZQRRCBHk5dt1XUVihg5oGQuMfBcO
FNmt0o3d8cQDHO4nOpvLhcnyxzJQ+jbC0UqXgwHq/Cw9y5pu0dam9WNW3I1LauaqAyFmjtPsHi8d
SFw8/gBSYXNhGlWgsCdrhG4CmxbkzphEp5MMK5WlO7l6q5XmATny4bqr7p02dWOV+cxRrpJiWNbn
JmBFRL6VBd5GrvGdddCtBSb+F4IR5eIEC4K23KYGGAri6GkoksUqwtwOcsFUEs0sk+oxyhaHiC1u
8O48B0rD+cD7UXOz1vVbbPKGuk2JijIeIPixFauVKbVurZ/r5r7o7zDJP2T303DskZzlZzAZ0fJH
kfCuYd7HYC4M0lRpV2h4Q0pe4I03MVy6dweoeQDI+P+gI+H5FBPrxkyZsiZHIy+uwVOsKo6SCidZ
GLxxVM1ZL6yR4L1AZ94yV6+5tudMhmZURd+OEva8sdehYQ0Qge4Ug3oFIvbPvCLDXrTdOhhzYrum
CpNwQXG8Ii/zcJZ7CER8y3vOs5z3Kdd/v3GeSq97NLiwpFV+NQXtRepr0ArhDXbugjM3q2G7y3Mo
JDml8BD1MfuS3ijOdDJuNDs4lCWC+ipcKzxdDwGclb3XcDYr0wIhnce13vCPQFDs/f8qpLsRfbsy
JtSILUpEkYKVhZlZ+II5euUv3WltYDeAqyLWCj8NbR55+y4Yb2uWiT963JWqYmB5wXNnSxb4NMzh
+yrF2Z6nS4GL5PrX3EsvtuaYIBMXQ1woKywhpI+RbBJUtjXnb0wgtUByAaAoC9GKpkRd4hxDKdSo
rHBazhrEevR0+p91XTA1h8IdiEFFFcPELKJIy4lcKjqih6i3zjJBL5rOJ53+TUIGEi/ICol4fWNF
f54sNOiTSolWsosFjIK36eIO0uP1L7aXtwDLhlkQsN5ihpzxATXX1HkZkPOl1BqiU0I8EpjB5Lbz
z+uGdqcltpaY7W+FuBaMdR5+tIb1npGc6jz4E0hrygtql8fuODiC19419yAfvfBqd7tHebNO5lP2
BYmKBbxv6H/XpqaYohiaIRgwyjs9flIxdbbwgKe85x3bxxOKjugVnshQLLeNL5FVW9SXnmhog5PZ
EyqTR42yW9XYPLnEP72lmaIwDLX16VOACTwOPaNpzAl674tYQedotsr+b9r929cWU5IH3ZycRQP6
8FHR22kkeKoe2lMkcSKHrO9dmyBMwJAxuOZUTEj9uTYZKkrdPM5w0zZ9MfLJj6YBKMxOg9wL0N/B
tFyauniIl/gCwj8nbiRTBlasm5Ed611rD2P1fYHeax7WVt6PdtKkj6kRPGlGGoIucDxCZu4hn+aT
ZPTfhGm8SGLqRGP8JnapsxTkedKCV5LH35SYQJVOdAYxcfBOo6jWDyYNlXus3oyn6oBy7Gs4qicV
52gMxmcxVO+HVjsRzO5WAnHFZPhd4sFtZoFigbfBSiWMCmXAd5ZdfxOB3rUWIi9vIgyKdyUwAbku
meC0NIcxvOsTwwrDyW1AdixVaBDGwaMkjWBAXPCuVSAJOEB0dSHqoeqAlBPCr3KZHytNduU+toUU
zYBqcSJ9OET9ckPV4Lsufx2V8BmUaYdRFv1paG6C4Js8dk86mjpR1JqhnnrCYiAbjA95Ph5ao/se
oWAgFejoJ4kbZs1xlKqDiiaRkY1mRIO7mYBbYprfAnWymrG+KRfFE5XxNSXZYyh3p5k0R5rNaMvO
zzSsIU0CqvJY/pkb0ikZqR0Oza2eJM/NMr+141OeoasPklBZ9cqMliDvwnRyq00m6YP7uG8hpquX
96kan4xKPIS0vASJ7qtx60bFdKnU5ZTSOrSU6kdl3AVU6Ey5HB/abvCKCBp1YWvW0ZsA8ToBulm1
osemTMtnpSn8XvolhvJtW2T+TNuf0RJ7TRueAIj25CE6G1FsK5rsjUbzFaOJpqGUd8AImFo1YGC2
t5J+9gdBNzsxwQBrTU1B7T3IVNqpgofoXHsYWkYG2pxidNOKMLLlHjULNINSKfgpkex5KDTTaOlt
HdcPXRye6Kjek0rJQUddm9B0va8CCDhFZX2YuscpQgNZeexqNK7T5RjM3QRqzNFNxuJODyofcxJu
msR4Z+SzD2bAWzkWfoZpj8LfYNFiclohx8uu9zIBQlRlf+zi/hBPQHurEVDz6uCGfeWihf1Ydagf
UaA5SHU/CIFF0vKitLUZqMTX+8oytOUnXva/MyUEDYBqp+hfFUIF5ssIU39Z7hnzaEdD/31aUpfq
IcqOwMZCWaupq2MQi8+aWn0P0K9S5fK5L1VXV3tQF2A0eJgehEm+6QzZGcLAU/r7RFFsUD43ZqBM
N1Ha/84lbLWBwTiwmZgp+R20qkeFH4EOh5loc0qFHIXFysoq4bQUoTkNurPMeWiSDOjEfM7NAUw3
NEXkiPRfYR97cQNtyEz+Mk2qBXJDX89p4yoiPUi9Xxel3WIzqlaH1JoGhcxFC00h1e0Jgr7xiIMO
ZmMqpV5VG5cQeISpbNxMbs1eiK1VfkuLdADWquc5yL7LWgLL+ouqCk6TovBZt5CiQZvex3Fyq/Bu
zCM30qjV6XVidUl8k2aA/A6DM5PCLBIZ/Vs8w8n4cyoVWw+Fl0qsb/uucSALt1i1/tDI9TfJyA6k
aS8zrR/iSbXV5Ue3zF4epH6mnmmjmkIcvql94Qg6AqhGB2dqhYfFAEHUiOGadi7AHqadgt54xU6c
BUPKTL1cqXvm26ru/QGCG0gt7FSlrgI88lCoN2pGfUBbHoF6AsF0jwaamJohyIRG8WlBAiIbwQvy
Q/d62rFbtYDCNkbWNFnXkav9eXOIkNkZZrBbowq0prggYHWh1PUua8J7oexdwFtTzJuSCnOb0XXC
cJhx8ChgJJlFgC5Uj0N2XEZeQWZNmNinpKavOjFgfNV1FqFGAimYsmUADX6bmoaanFEO4Tzt1o9z
zQTzMGnLMC4LiG3aTTaYEKL0/4+069qtG1m2X0SAObwy76QcLL8Qlm0x58yvv6s1mBHV4rDv+GBe
jDHg2tWsrqqusFaSjZY+TPb+R9p6p641oZLQIF0yblAhpo0PdX0KwKA2G5dl+iMcImxtAaQbRVrU
0KinqtYoXVOIyFcW3dNHUxRvMcZRFg4SJp5zg/xWqU8iK/PdSrG192Inr+vYD6K04yJ9moMFuytg
/P6BHejLVGHNqsIMptRLJlfm9/unuWUXa3lUop1FeqksFdCuC1GzcyRl6hyzSldbpg60FVUGT4Zi
YATz862alMWoARgFGXDasjb5YNc0OSwajJF4FweAKA8XZy5+Gol8HlSkJHnoxlGGwACPyd9JbWVz
zeiO8n+mDsbLDBvLQAaUAauHTZ3PP0zKjDzhhppMf90J1aEoTkbQmHCaf3DGKzHUGat8H8k8qnK2
OmIuZ0xuMV/GEPH1/YD3JR5kEppS2FcWaa4/NQ31aKxAPV466Ps7hV1jfG65A2K5A5Y6RmHqi9F8
FkZz/UWD2Bh9qIuIPm9KJJhi6e+fGEudL+6qQfV2RhTFsOs7sSzAPVAqOhseHkPMyg1TGuW5eDEN
xngS5Hdpw31tTSfZVk3BCk4RxkP+R90oqxvrRRZA1iu9d7vASwwYOzNwWzvy5WfDVh72xX25fNS3
ooxPypOmVNpKtiPtOlfcCsQriW4HuIHDEHosmFnmUVIRVO1xeTUJDLPde8mytSZfPchgPQa4gc2y
wy/OktKNiqGgKUGtQooUO8zfFPkc5r2Z8deK6Cr/mdqKkkRXYksj0qscFq91B5TYOQUbb8/7H0r8
EtgoGeRLrguITd7HetnJqHmMTn2H5ONa8rmrGb1IwN+Bhj4yUW05EDjnzjPsCkc8O5kXHTjmBf9a
7aN+C+WyjX4B8PNQSe+/hXcIrtvga45sct7/p3bKUP1L9y1QuzDT8OSutLu0Fx/juD/Oo2aHAmtr
iyWJKkK0Rh5HClficV++amVjLpknFynepub+12Rcu/caxepjtklZACC7UGzOuAxAqBNwx0NP1DMH
FpovFcupMFwyHcpEzJvXxjTJtj6Zoqd7mksWXVURsFxXoXUPXGt7X0HWQVJ+ZdBzhV+wagf2XBTH
sqNoRGYvnpvJ2pfztZL/2RRp5iFx4KOhGmLl3TlXbuI2p8mvZbvweRerI4+znxas8ENc8KdUlpJJ
lF99PW5uQJ0bN5I9e/Xb++r5S+MveOl4jRe7gfMHvNWfwjeNN9J2RRYsSS1hKHJAdV2yF188LD6h
yArO5SH0SCAny67GSwrmeodxxl9Sd0pfyvVIXRkYcg8MxdZpnxQ3dkrLsBKMYaD2+ROQv25wJ7ww
ZLLOmHIxXVwJKLhjqYrTPE3xFOMgBJyZ8v6yvIzcXS9gmGe6TlCBmg5irDDu59en3meVaWwSuTCq
Rs5x4qRd01rtbyAB3nNe7mqjyXrrbd8VdAHAMCRjO4iKHqoQd22VLLItBleLPrqheKUMpSnHD/tn
uv0ZP+RQn3Eqhi7Vew3s5xh5rovFzI0fY8pgSvoKwfZ+ch9SqA+3KF3CTdiIe48Nwnk89g7vpA5I
ayq0hJI30FqTWKUdpkvopq/7Kn6dFfosnZ6rLVSMagpJKuO7pXfpKXY63uQTkOJWpwYDvZMX20BG
eUZZCxTvDNmM70jPFgxTKzb91P6VJxrXYLHDrJJq1d6Sm3zoLFZzxftDYmuM77qd5/xz4jSS/RKg
vc/PpCItu216iMdDHj0GgBPgWY5gO2x9SKJy0yaKY30UkHdLWLUX0eMTfNTbbP0sqEiIZ3vyxlPp
6JcqMf/z7if1YamAwk8RJu6KVLEDYP32vyXe52VPVBlH+S/3/kNDcofWrr0uWjD4tJItCCYBscw9
6Yp7nBy01D1WH4lxH98zvpUsINNF/awOsp1wpaUsaBwMGRlkYoXILbskUKYE8wKTifRUcZdnfVpE
CFejBfgyK8YcJrkThoV2jqP6DeIGdxp9gzHGtJklruVSYXLSJsDppKjSkq2t4QBqGFc9VE55yJzq
knmsntXXyROYyFoe5Ue5WMjTJn33PJNNvHbsoJ7M38g9SNIlkNrnYJK8lIzEfOsrrqVSXjUPlayN
MhT8K1CJlgcQt8jK933PsnXB1yIol5p2qdFxuSravX5fz7dVm5l5Zw2oxgwsHyZupDYrUTRQCDiY
0A2rkQBnKHFyJsaFXIIBBjCNE8i2/X29yJ2l86i1MCrb5oURG1YGAp8i/Wqq+rFR0rt9CYyPYxB1
V1fMWApVn3mow6Po0XhG7EvJ074IltnRbW+pF8dkEEfyMOMt1B2thTeDl6r2BqtH98fhDj3K/OgA
2PuCRYZZ0HQI5WgsdY8Oj63N0XmMr+IgRmdCO2p8e8jm5hr9xgdRy+672TgJQ+LJceN2iXgSMFmX
lbGZ8yiyd0WE1pdkSZx2xSc5wqLha0N0acTWyssWa/1lhsJ/gb6ggO3FfRU26wFrC6Dc7aQbdT4K
qfQXGBBq6uGRwzOSXNfoyEqjWcZA+aNM7XNdSxrkWe05n8yWr82sZrHWMVWivFAjBGidy//UphQ/
sXOLv+YxKhrdsugpmDZAeZ9m6uQoJPWbdOHQAUEc0Rt/0kI/T5L7Qk9/a+qPjgeBUCq5UY5JziL3
xUwGBZlwRKPqWge/DvBszIo3elOscuwf9X6fRU9dlzwPxb2sAtZB1n/EI9q3mPlmxQiWv6FcW4lu
exbLCOsEyxP7QehgmsXzX9BPwd3EYnHfzA//MTj8gRpsMDhZBpsxHsJE3nLAHEViFiDS0381zuQo
FobJR1O9Q1HU+SNTl1SQeYPpQ1IoUxeLodJajExjWq93ZEt2wqNxNYDdQ7TFZ1a29HUT+D0Wfkij
bJ2rpnTuI8TC2unfFBfoaPbihZfyYjjxQbjqnshmgJ6b0gM2Lhiakn/7q1v/kE3dAEWL9TnLZrh1
c7CLmwwgAeb0Wj3rNylSjgIFh7CzjBe0f/5HwdRl4AeRHyQegkmJjMN3rWszuuYsdKTfIegiH/B3
PgDQGXKJke4pTBnxzLXiDAYHOGIAWYpW6wUHDVhqnBWf0ZVRryEdr3MUkebX3ufv9qVve7V/Tpuu
thfYHEZnBVlWyc8u5pLQdm4ewkZhabkdbT7kUMFantQ0wPIRXo91LeLpGB+bWDlVZPuH+1ZwzF24
7eTgQx7xHKvQLapd2jUGKjn8MfaxwXoRfM6S7mq7tzESesELLn/eP0mWROp1U0gZNpbSAplc5jYD
1pf/MzTt50upkh+wUmnsogpcVMh3ylI5ianixGNxh//JcKqsL0V5mnEcpGaKEVQl3ZPCm4Swtf4e
YmxWsRBjGTddpbyMNEctkMMxgyKIb4BGNMmqFYZSJlZayrJx2qOI3NAWCV5KOfcmYAFNO+esRVWW
KpTvyEN1HhXStBq5czZHGPZ4CsU7iYUrxNKEchVipwCoY8wRr1GskwEo/csAEt++HW/WRBFi/g41
dL18DrqxDof+7yAnYKmj8RVnskS38+L7wGFCcjNMjl5Z4WHX4rLAOYhe/YOUe+LvxlV81iCTR28C
Ze3b0M1PrA4P4zTpMjr2t2X8h8IkBsBMjruM2Y8Gc277x8lwC3TtfCoEWW2iQLb7xM/UxRznn/sC
GKanUW5hyIp+nFJDxO6Gb3SnrvCrqTex1siKj8RF78QpulYut0onLxWuq1ELADpqAfIHxlTMn6E3
3JtRJ53b8RvGBe1mARFYHTLZVVhHSfmLTO6FpWlkUonQb5sD/5jcB3YquIO1WAt2MyJAj/bu/umy
UiG6eA76mDLOgSCLkqB+7H61P0YvdAwn0UyC/gyUj2vjZvAwaPbCmlL/l7fAx0WknEoUBsCmFGGf
yWGwybUY/OU2Q58gd0OXxdfMlEb5lmCO4xQVIFKm/wvOYDiFnmoqx87LPGYPnvEt6Qp5O3f5LNco
0CeGKQMPV7vJprOE+RfxsTYsVX/KMfxXntvAlNPbkIXAzlKWRpzBMMgSgwNZBhEGmWhQ0UnOXoF8
cVABb8N6Zv1LKeufD6lTyUgI1EMD+9CynZ0Fl+BQCQlaIIOl/iSZXeJVHMPpMByqTuUikjonQQq2
QHsqH+LC1sTQVaqfmBGWVGamRf6tHbegU/4n0udo5gSOpM2qRwoYiT34hb9Ygan6o89sJzHSZboe
mce51CUd8qzOfk+X0UqqXmsv9TN3eBYPM3gkebu+jiMz+Z2x4H+/wrJ8TsJ0ygfJylJgvhq3RPSq
AynwdkcAjJgxkz2OpSaVtHS9qMtBivEDvbZ6+Zug5WYxfU80Vw0fp9LRhophM4w4olPeZppytY0M
5H28ZvPpKedEU17uQkz47ntURtSlN2OaTMZwIvBa7VxqHWN805fW7QUWLh/Dv3ypRKa1EBoaKhu5
VlmCNN/lUc4YPWMoYlBPmimquyoIMMYABPEkv5UKb6xY3DbEM+xcLroCCeC/pu5iNBJbkGKRFT3O
agDr0duyy/sxa72VpRHlNgo5zVReh5/q2zOXfhuQK4cMjRhWRlcdZzD1SGkFEbVwiJPXiL8ImKse
GW8YVtQ2iKartxIpNrYRGA3ssC9Rxgc6uYCpauOhLkHXoxrok2hOnc7PnZxUZhpiT0PE8LQu+/oA
UIAc5FlVh30BzarjhtHiZB0y5UEEbGdjFAfpdYcGGIAkSjSm5YaVrLGkUO5Dy7soFnSUlbX7Ad0M
PEkBuGEOzgJscsECEferYcfP+zebEXUMyoNEgpIqPI9IEA76KeweOUX5NTfldd+GfrX896Xlz66Y
pp6tYhlkDwUS3/4oXQ/n3ovcyg8Pijc5pR27rIL5vnYyXftLJj0pywUnOojnSXUUIHEskx0HL/Xy
un+O+98Ou3CfjXeO2xGTruTbcbeBZrdhYi4D44bs+0eZJ45ndUHyeA4SpUNuqfSoYwsPI4vPb/+i
Y23wswCtTMu+6OEdtf648CXQDX9pXGkbA8PSWZ+FSj94PurbDnzmdm5gw4O/jjTdzuTSHOVDKzzu
f5ivm4PvJqcB/wwUDrpGc7AHXMZxw4THXHLgMITwUyY9B+yHo1bokTEapAWn8tvsosSETXGWBW7b
xYd0SlWOq/SgDkiRYfFDMFcXwkuv9IzzJJf0a8T5EEJ+xMowxHnoVEA6YESVB0w9Is84AYYP8zIp
ACenPjX7qnP2j3X7E36IpDziGM8FXliYuijQMEpHbL10wWGuOwdlNEtbNHdf3L+k4x/yyO9Zqchr
hTqUAe7XX5vvrZVOJlAyptzsvw0Oeke31X9GXqIMh3KNmJ+LW7WD4TT5NaebVdx7s4z3cmczdNtO
Gz90o19xbWvoQYD+EX8cDqBWj1yyRl088wf9EB7e+ems/jW6gHJAv8oZg4Lbd/4f4fRefJ+UnFyS
dlJnpPbYofErKuYiz14isK795qgFaIH/vor0RrzWRHOuZFBUMXsHVXOLDLX9NcjG6vwxzlSifKUy
lUZT15ipTg7dIQYeKrCR3t9t+9+Ocb1puPUm7MUenVK8EoOHEgta6iXqGVQJm+NV61OjXEimltkE
nm7Znly0tH+RxxpK/UaJril5NqVuf1peynfmi/7Iqrf9y6v745tRvkUZOqUDgZwIsPfeWc6ZG7kD
Lp1LGHJRkf/DAsqHPMqxBPxScCi/oXZzmVyMdHicJd707uIQXBqWNJaVUF5lxvZ8VUxIRwIN8Cjj
wZATa+QvTXJdlDfh8izKMeuyMyxGptqRilAGjUGyXPI6KOzEVa7CY8ablTOAiBKtyQteb6Nm/k92
ShMo8nk8ilhBBWC9ane6GQL+U7vdF8GyFJm6cllYdaMMKi+4aHCm261JqtDBeQbBbHdhgZMwpVG5
iihEYxpHuBVNnmHpFTvXYeiranjFVd9zTrjwWLHup9KM8/mb1Iwez+tP+wozPKdM3UsRUDvCko7I
lmpbUD3cCj7CKqq7L4URaOkNxGYsjGKWEqxZqq+8cgy4u8G4yTBVyCKlZ6lD/n4dYbNI4wysotjF
fJMLWDjWHmTtGEzMZjGxg51sRaYuXalg0V3VkKU0AHdbDmAzx06ldEtWeYI7VhxgXTcqiA9JNPWL
iMrTOHBmwGO/fS54M9OEh/3PRD72nlJUDF+auunltMPjtTylw0Oj/MGG1SoI0CjLLXhR2jLHRJ/U
tEAZxHRrxCLsZKigUE+YoiwU9HghYol/5MlVXH3bPyKGgSmUf6jAIJGqIb77LPGAVehdUU+x5WoP
Pe/tS2LcGRp0VDEA+CgBLcQW5ptpsFrQIoZ+HN11/cu+IIZ1vSNqru6MxumBqteYL6ra46Dflqkr
qH9QscKMI2iLDQWDJCoVf+WoiIx2QC9DBWxwzRWnenmrC5XhZbYUWUuhLn9bA3SvJNdEqA/p5Cft
a8ZCgt2cmlvLoO59xhW1iIcYaVYIruyQaYnAVW8aZ7RJaqZejRYLgmlz+Gctk7r+tazUfFIj7o1W
cOnc2eoO5S0G+w/JW+iRYdjOix7nU8QwQNZxUt5g4iW9z3N0rwf92ij9vvmmTQwRW7d1pRnd8a31
PI2LqFTsegHdbfE4Mov2W356LYHyB1IStXqsIcL+NeVIiMdxcrbmoXXmsfz0ZjxfS6O8wyiG4KEd
8doikzwyxsKmZ9UeLM6rjqErMrwp4/vQDd4C8B+GoWGOslZdQfR18MexVoZYIsj3W7mGGOwWcpxX
ii12ohXo30Qlc5Pmcd//EPOlo46ENWUQVGLaW6WrTkoazCI/of6fzpjrs+ayMI3qKRjPaIlrzLXt
bZU+pFGfyAgyuAgZc88Nhkfd3ks9ZQHJbWrFscm7kpMcQzt9nf6g9rrWkUr0BH6ZNE5GpaEvgFuf
q34HQOJaauz9o2QpR30vAcj4urrAO2ENXe0fQskMWEWMrbC01oT8hJVJlGUXgUQkx4Reezc2Tyne
2PP1mH+vWfjvmzWvtSTKnS+zIApVi83RwW0OEabie0/FKoAf3JD5jPZQu0D6vIqOoglmEp89c0ke
MXt2Sbn6ssw1KQ0hvzeusnYyUxAIaLM/GG4bPer1ZIYTRocmmVEH28ow1mpT3j7nc0kBxD7eBNqh
nPCiq77PhtfrobNvK1vPxrUcyr0LWcXPi4QR1kHzDGEyi9Ivq9sgMFOsWaHyWwJAal/itrf/5+q9
tzhXppO1dTD1NUxHEJrFTAzVS9XsD5KZlVbv1ZuVjL5Le70M0eQQgfCE8ZrjInNeKWb+viqMj/Qe
CFZi5CWP2xZosPYky16Rp94gvimleh21EROxg/iGHTt8ryquZIELg4uAAq68BxUyUxg6Kvals6sS
0xggcmf4EJZqlA9ReE4MAwOPAF41A5TR+syVjYe4ut8/we1MClggIELWkMfSOMjgesuAzAS3Px6r
A2DSv6cX8aV1VRMve6v6Hl6XJ9bixldiJFRDgeL/t0w63xiqJVCVBM5/tMQjfysf5Vv9CI6TxwTj
to0T+bPbHclGmIhYINqFx4LdZ2lNT5zFw1j3/Ij6wnLdOmB9AIGwCJxJV3SBNGQnHunoM8sMJMn5
YkErtamYx4txH+k6CnwSp96G1f0U61dN3lpcFX8HwqfZNCkGNDCR0igPk8yq/W1GjJV0KvaFdVlU
hoSHzLzgKqovlZqcFQmYTUPXm40a/d43rM0YuBJH2W+VDXzGD0iL5P5xjI6dcBwbhutkiSB/v7qR
XRUbeaXByQB6AjBr5mgcCtBr7OuxOfGxNlYq/gHRKh24GIXmunQy0U/FYx4dJIyB9+kAXK7QjOTZ
KlhMuptNirVYKuzJYSlh0gQv6A7rb5r7F7d0eG4wet8gzkoP+2qyzpIKd6Oc5Vwp4HEjLfyLXKdX
ZSd6ZRowXqDkq+9dASraTWEpxtWMd8A8Bo96pvtgZWSxGWx6zg/Lo0fLag7sWH2DDlYVOjwW2tPg
DYgP4TjY+0f2FSz3sxujh8iGoQonvkJESA6zl14ZKGejCW2rD2TjrQTkiogKLCsuMD4UPUumwB4F
ThmRl2B6pv+dDpYwsKqvm64CY//AKTMAcUk/aSYp7GaVJJeA6SQzXZggA2pojDHgaSY7GHeiGTmD
B8KMP7psK8mU1+CTpBs04ImB9QqQSW50DaDoO9n/f0hi6Ug5D9XIukkOMKxAaufE/2tYp4m98Cjc
BbaGuWNAHbtY+cxZfYLt1+lKR8qhYFIcLNIJbjapWaqW5KM5bisXAhxdXVgrUpuvOtR7JOAdS2DH
oS6czMcGwMwxCZhogTnNZ+zth/qbNpm1ZLb18/6N2A7sH9Lo1DIY9ShGhYT0x2O0W4JD6oQO58RW
YP8Mj8VpsJonsko7veSuYat36PXu/4Jtb736BVShQYiEwkC1gaQWoyOcBZ+AgPNnbCkfGJI2XdlK
EhXN25rP5pRMacieepStyo2P+oFsuwrW4OkYz2KNkW76tZVAKoAHIOIMogrLZ1Vw1LgLWNowpXRQ
W0Y9g1jEFxe9EkNdwUTSuA5wjEg8MfDce8NJ8rSjyKQQYWlD3b+Kr4SwiFElzCrlSi0KswLYa2lc
p2PMsonNzH2lEXXhlCU1tIbENgAvZmbvAbzGkr6TAdXMSSNzZOIfs3SjYncGztlp7sibrp8wlwLm
PsPiFqTTxm+GEbJUo8J2NNfFrINTE1nCYINl3KovpSUeMrPGmnyAwg0r5m0KBO6VJuA/XqDH4TlN
qBNVRAWFbEBGVn4MbgKXrIaoLmiaDqz1tM2GtbSSRytIGDc6lLRt9XtnB95yEJ65u9YqLf4lhpMu
AEAHNQ1cOPaC+XbFF3QTPOhheF2h+2XcoGVJQG6cfCHAOUBIPobf5xdpMZU72Rzt0CqOsx801sBK
/zaj00oyZbKZZgjFqKAZYIgiAJB+ZVM/WHMLHnv9bU4xFc+wo01ntpJHWWyRZaANjZBKR62fyH7D
gePqRp4xps6BEsuwpOGhF++0vgR0gJ2CUStmVOY2r8zqB1DfWWkjaYlloJCE9U+tso3lUSqvavEH
Q8/N7GklhgqHUaTleFQjvwBdWHXInQD4Z69TaA5WfQApNNZIEmf0w1eGWBILvvjUD7F0xw3pVD7y
FRKqqDQJL+V06keTe4oPo6273KFTrH2BjNOk2299oxtCo2D4LhUu9VyZTXseDV/EdvS+nO139Eox
ovjqCZa0w4iiCJoTo9WcMfxv1rOnhWZnErII6TjbjQWUZ/0/M9KSzHsllniplVg5nrNU4jGRA2Dy
F+wEmZWEj1jGol8sPySM8DLUZFwPuje3lHo6FR0m75pvuic6EnBrBrN1QRc32mSFoz417r5IhqHS
+95RLqPmOmN/NRULk6+N1hSTypJmZG77ghieRqE8TVTlamcsCkpo5XU2/Vq4b820mHX/hqldhqh/
sRZdBEwV+KUNuoSWL5Fcz2DORbTCNAXv5A54CK7T34ZFsibFKgDDfM3qz2y/pJUPqeTjroxlHgut
mVp8vOSMqSMb5CLAeIvJzthTgpo1a6t1OwVdyaMymxTLPnVSA7wukSOr5cGLmmE6tI4za5SNo6qA
51xrL1qQfo9SFgLRttl86Ep9zUDPopobVXSrk0dBu41BTPNHiCXSSj8qVoQy4rHYoGLYgmrZXOwc
6FzBQ3hEh8BpUDfEbJX0wsT+3E48PjSjAgRfqZHSke385R6LPwAlSJ3AngBoDxQSgGMYbISUzUR4
pScVK3RVHWJ9AghCBAinPreFLDRRMFfKHzF4EIbcylhum2U6NP6YUORqAPdFpjdjXwDqQgcwExjS
kdVU3n6EfihHo42B2aFPVSC34PUS+9096byp1wJmxuTnzGLy+2z2cFbSqDAxh1WgBzGuYHHGqKbZ
XuSDhhlK/sSssZJ/6Wuk/cdM6AntUuuESI3hYprFBZYcYVpIslstA862kxjtKROPqX7ku6s2/bbv
SLdjxIdkys0AGV3HLDoZeOeOQ/ncsNb/N7NRGTUZ7O0ZOv5A+RUuGXNpDiPSiCPTfnjaYmuxOw2n
6TYHz9Xsx6/1a+GxwN23com1WNql5KqQKg0eM8hduOxWki/VYKvhy/7pbTkuWZBEwRBlTNfT3eei
bXJsbKFOIdY/y+GgZG81CwdrcyloLYOyQqUEssGsE8d8aFzhV3hFUnoCZQ06shprg5GPPSBbOYzg
7N7XbvMMV9pR+UqU1p2sCKgViNF9JmSmyh3RDDOnlpFFs06RssGsFIJkJliQERiZ2+9BaJcSI4Vm
iaCsUATTTSamwJ6Ni1MrPdeNXSWMMXKWCMriZH5SEo0Md9WaK6SqNejnOGO9sLa8+9oYqChWGCqe
6MQBpvWJH5xCPs/DRVVeBUCCj9e60DGSny33sJZHxa9mVgteIcQ/rage2qY+cT3v7lvZRiong39B
B++riuyK9um5Ms5ck6C4LqZIFznFMyQA2HWqqw7SiQu6w764jc/0SRx1nco8KoI50PE0nwo/G0Vz
HutTCETpfTEbd0fGsBomUoBACCB9yuCwp9SNbYWUppN+YvylV2tb5q6j4G1fzFaa+EkOZXUpr8uN
GuL0CCtYfveXZ9DPJDNNgF4XMUbxN09vpRZlf6DRGYS8h1qDcZADXwfVJGsJkHVylMlxGNuYRgGT
E2XiywBwMbLfvQHqll+Mk9sw7U8nRyVKKq92bTLjvo7HwS6vQDzzWzmFTuf3P9szBrxSR2K0kTYu
71oivWgid5om5gYkBvNFk5+S1kPlUNSOavBr7hx5fNrXcPNifXwretdk5Aclz2f4ijk/ivLV0vw0
NGfGXnbGMArGF6M3TXQR05gqae5U2blafkZg1wmfQfOzrw7L1OlNkzlpsxo0wST5I0U85Rkza4fs
1KHznhzBB1cyHPpWtvnpe1FxqYkkvCZlZGWEmHO8TM89Zyq3i0Vw+pTE7FkrClvbQTLwkNHORt9D
BjnI5zeflo+jLPUCns/t3RxfksWewgYNj7OqnjnZFAof9GbBmNr7J7t5qVdiKZeo6JXSLRLGCtLm
tR4vRnIsJG9fBLm0VIL7STMqldDKWYlrMQQugPACBhdJ9YTkkiu/l9EPlNt9WZvXbKUO9dnyPqlF
VcdnE6fvMqiequU10u/FCkU6Ly++BUPL8PXbhrKSSDl7UEMpMxdhSCE5hD6Bfeas5FnyIr/CPD8L
7nnTb62EUR5/qhfYzogqEtZ0uubMK4xPtXmbDVEXUToG3Q7dewu4rhTygMzoJc9V4IY5dp0aG8Nk
jFPbtLoPOe+vylWBIzKmUYp5Uu2TEi/sB7MaJQc/i5HEbn4ciZfAX4XijS7Q5Ru8A1BcmNEy5U6t
E/qFq7/IZudonojFMRbi4ZbPXQujbE+q+apcyEMuns0EIR84V1UOLPfngpU0b32mtSTK5ma0ohJ1
Rj9Wy7AO0Z2UOnawsyKnDOe+BawlS3i3aaKMChjiyWenJPAa1qZmGDd/DI6tl190u/6m4PR4vzen
mz/guRXUTwIpd8QPackbOXFHo50JP7i3LmY0CzcqFhqKeaqgKoKm8F9KerNRDdw4z6jEFjeCepdj
hKkKbkGCiXRz4W858bbWGRASG879s0zKNESuSiLNwGjRDKJATKmgpz3PbtNGgOOsrBpeSRpPVfVd
5Vg34Kvz/SyZMhURBLWJ3qH0lZ3nu/ptdEQUFCs3vciY+SiusifpSJAxMTvGkPz1NnwWTLkqccwN
MDfiEZ4Z13X/0EsnTX0Q8teqZoBFf/UlEARqe10A4rfw5Q0xFiHI8HqcrWE8zBpvcWn2VKjV/yiF
MkytDVVZC1HM4wozjX8puZMNL/ux6+ut/qwIFSdLoRBjaUIBXcRwR36TpYYpAupAnAJnX9DGtf4s
iTLHaNbFrs9wrcnDYX4i9Bq5JVyJ96Qqkxyxgvnf96w/S6TMsAC3ZNBhQdIus+dc5Byjc6X4dzuz
0plNc18ZA2V1QGFt1ZRAQc6VZKbSSxD+xLwbD5bXJfU7VmH5azj+rBW5A6swJgxLn0gNvFXec49i
roOBPDQYqe+mRgYvgsnMAIkvDT7UptkkKjU0kmVQgEIP7SGWnFS6FwqnYpFmb1vGhzQahMiQs5jv
OHTnUY6pfspHTCBg9KCVzOjH5ABRAVTqrAmqzfu7EknFGLB/j1xNQInEajaDcYjsKX/my5A1Hs/U
jbrC4McsODVEfO6+gQz8geznCneV09v1gZDEx9eshIApkbrRDbcoLYfFQrsxzOYde0s8FM+Ko2J1
vTHlU/+qM7zu9mFKKimoKKirUBY5iJzWpSCrQg7yXU2cobyaU4aIjaQKVm98yCAWu7L6cJSWQZnR
fwM7DqhLXeGUg6sV2L9kk433q4Hhrjb94koeyflX8gYpH0AzAr8o3JfzbZ7Yfe62y92+T2QcHI0q
nCSYjNIMOChVmF29n52k7Oy8YsVjlhjK2IN64YupQLASuuOc3kg1+GbTzNzXZTvF+TgxlbL0BUlP
1WcoqhrLTb8cuQnApGexeAnTV9TwrD8o4n6yCJWyc/S9I7UvyaC2Fn6PgCY81d1jA0kMvcjv/vyS
/CyHilsT1t45LcIN/pvVMTwGD4MFUEugJ6kMi2DZOd29mKcM7Tuw8dqaYL6DNdnBg3DH3/eYk02v
ByaaN8s2qNgVGbqOqRaVwIgvrmzhLXnPXRkW3v5oNJP98IJAau8fKeNuqZS/wNOrzdo2R1qjpKaY
hShgH5rQ5aKf+3KYh0k5jXrs+kEfZJEEFuWnfpR8JTfbF+M2u8uc/8e6xNdCwGdToZzGDDQqNWlR
G720TneARfrYw7KGo3wIb5W7wZqAmgO6c9sAmBqrd8L4kPSySNKPhTgk8CVt9bOUBRT7UASW+F//
25HSGyEpn6ZZxKOuMv0cbMXN3MDGA+ObZIGA3GbpxDAUGnm4rQZQqGOvHHAPhddK+qFunlFPd6e4
Y3SENmYuPn06epZbKRO+KXW8bntrcckod4lh3MSezNhrbdI5515Y9AGbj5UPh0kjEi/F2GhNiMa5
0oO3b8nSozJmKNpjqSaMrgeJtQ3OshDy96uQlksRH+Qh9mq69phxp0mz9ZblLInT3XGWGuVOgqKU
w56wAyW9Fd3I723D3NKwsOPNdoT+AGvS8r1TvSeRcibFNImaGgOsowiMt0ZTrUWaC5MbUK/VJ6sK
gzc9L2+XNHlMM86bW+OpTRO3MJYzCP+sfsgcqRudPGyf1L5zVKm2W3W405ZvYsYdFiNl1HhZJk25
pCIJASyS4ucmw33XWXKTW1IK+AdG5Z9lW5QnSpOgTxoVSWDUfFtEX85eh/F7z13UJWN8coZV0Wsk
nFZrAl/D7xQyRmk0q0pgYDHj1Bjq0CWhpGv4mNPQko5qNQSgWw/ae1DrqPFRkQp/imV7382xlKJy
GVmNg07U4HjSGe/VXHhM68LSVcnZF8OIFzT+cDvk4qw0KL8HdX7u0hH7z5UZI9OMm8GKssr9P9K+
a0duo+v2iQgwFYu8ZezuyUmj0Q0hWZ+Zc+bTn1Uj/GpODd11LAO+sGFgdldxp9phLSV+ooiPl6Xu
F4bOjoeHIk4kpdOXFp9s9DW/8N6p8xIsrGA22ddEDeSdLsoHz8oDEZNyUn+NrLJVg+qxdKOT8axj
b1JzuqfIF/W8BAbGIw+PnaQZcoSBeT1SbeA0pJHihtjeAwzN5WsUCeIcD9XzERROTNByKFWnaMyg
ma4ipTv+Nzmcx5gNRdWBEoQMrXeM6FgV3zuUQUXdSdFpOIcxjuWkk4htO5tHmfokChRJsUv56+XD
CDSef+rTLOvqgsCw9IDx5fzCiJMPokfwvr+gaIWjt2V8aobXmTlmSopx+ER5a+ajnh0Sep8SsFSG
q0AN/kG/z7LYzW7CqlbFqTyMePcsweyv18AXu+uvylfGF135ZeWIIt7el6IyjoXTYcSJp2UP1bCW
DLQtgBtDblfruddWH5Qnsd0qIqzrnbUCqm1lcX7QMLGI2FF038lTDVCD4qEKNDBUfa9u0h+dbwUt
ijPhI8iNJsdyEU4vK8vuk3IrnmUbm6td6KBY3YBxewaHkh3Wq/pQHdmzS5SK7fn7rSDujdfXy0g7
Vl0YjR+TVvzV59ROZioAk91NMrdi2M/YnAdcu9TUDTjeG2LP2ENhOzZ4Idykd+krbW2EN0zd+Zcv
UXQ0Tj0lUgHAOcdji9AgVK9y6SvNRW9/5oL4HGx7Ls4VgpWEFEhmsY7YmQ7VnkHWGLQ9MrB+uWp0
xQn1SXCqnaXSj5rJeUUqZ3EG6FwWw4xTjO3A9TBerVeANnDYwsn8Iv/IA5Ga7LmV7Tk5J5nFpt4l
OYWpD99b8wZcRhj1Cwya2kmyiJRfcKn8g05L+xxlZSAb6IHm4z0SYI7RMd+I7NQeg36RjjGAlNba
7jzR0t6el96ck3/kxW1prIoMuu/39jKQPDEsAgJqIcDBZzms30sUULUZ2F7i4QuNDvTT6F5qbrnm
f+lh7aOm87eUG1+iTgn6ubRHJXk1lNmd1QyUMDEKZaX6lBatl8nLNwWp/WJ4FXbM+yGx7KgNr+nS
203y1pRAOc6a2suMwpf1B6KvAalbRwkbZylUkTJ+ntv9eA7OT3VjW9VhAsAwMJAcmyDEPPKvUVPR
PPJnBfwoiPNTcx+D1wUr724nXdeAXyfaYaIv0TTZ7b/HWfsoivNV1Zjn68jCWpOGttINQYU4AwLO
4791Tx/FcO6p1qLYoHMBTC3s+GhPpXwzjF/+mwjOO5nWWEZwTCpwAm+nJVDkYBK5I5Eic94o7ZR8
zlj2tCRHecBaIVFsLfRmAIWEd71yZa3efzsT+0GbSDIacmkMDOO6Jt4C+Jtsva1q0c7Leyrx0a9/
+Dj8PhbmWqzGlFUgR1S1i0u0+/CvKM3tcRnB31i+SmX41q8G6lnG7ZCA/0rB/MmiOlM7vvQZ/ZGp
w7FYydfQqDtbVmLP0sDSqd91WD3qMtQ5jNiNuqe2rkt7sCQQshcvfQEQ7VarruZO8vO6uykkGsHh
Kn9VBUK/ut5NtYolphCbhcqXOpK91egnECzdpCPxyNw9JqitSdV4aw1yBsze9asyvzRjfDLk+afV
1ncpYCnj2rouMmyZFdg8jSI0xhXFyevl2qq6m7HWKsGbixnmpZvkSvDdRPVEZWOMRPrWZg9ZLkgt
Pkd59qXQejFljWpE5qy1MVcpm2iJyFT8tDoDFRfDAbVfcFnrdnLdj2I4a5X1PpOMGZ0ENVD8BPG2
mJzhrXOje5Bq3TdX6R+senyUyBkvCsWxsTKyhE7X7TDV7AkwYV3ysnStDaLmHjREykstXMFi3+Pz
9zrfJ2fQWRmVa9OTX81qLAzbDDabouSPCVfBpb4zxlySxdlyMcVN1LAKiiSvYArL4jdlBOoBQdG6
VRVnSeIbaiVfxgkYbF32NkzkBPpbr7Iau8ICrE3y9Ngkut/01G+6pzhFeGx+xhPQgOPkSGfZU7Tp
tIbaD1rozpyrMGfM7ejhc1i+ml13a9IkaBbzvl7V2zVpfIB5ekr2rOiW3afznYrlb639vsbhbdoP
h2IdA2AlfK8IGsMxaRxZAqXsqjyTKTq0cwZoxAgrcs11XJAHnZa+ps7Hqgb80/x31g0Hs21/rolx
3ff5tZ4V3wpZvm3N9NjNpWdZld8Y1TdZWRxDVW4HCn5s+J4m1p8rRXap2TpZFL2Ckg5TLFT7Jq/9
KZIW20TnNsEDOZWWzJa152WYPLLS2xgr2LmKVcvLhvA5N/ugle8Pl437TSISWaRFeU2bX9Whdsz4
ts29tXqZDTvXni4LE9j2ezlnIyyv6TiXjQZdzE+1dgSbxlgJMhhmtxdU8L2RshFRESPvhg6OvkEh
Sl0eoqj8sYYAqqsywVTSfqT8bVj8cByoGSTM+qHXzxaqWAFg8uODfBCllrsfSFFlBbQgigJN+Bgf
tQ6p81owlNjw2xy/lZlpy3V4NFRyg6Wh05QoAge881SGSmwkcqkZRhjGdZ3gMfIKnTTi01dwCgTz
iWXt9Lb3JPTSIgw8yVdl8AeTyh+Fc+4/N9XcnErUouTT9H24KUCbpgW6TwOGgiS5ol1R0e1yYaDM
JkKG0kDnAtWAqP25VIOddKd1SBzD+JaFgurvrnZurpaLARLV9KmU0Okd5OcM9RXpSq0fklBgA7tm
tpHCufxKn5a5tFAzkqfCmwGDhF4X0H9F46EiMZy3n0EmjwSlQkAz4M5sPbktGoGN7YyAfFAHviZf
aWkqkRweY/yLDa43QfICMkanOBb3Pbb3xTyFgkPx9fkwkZdOaXB3sZL6uWW4gGr0l1kRfCKB3vGg
TjpRi1Jhg1Zt2aKcF94UY+1WjXltNXmQLElQK3/kGc9awZfo26Ro4rpDwVIlta1Gf3fF96R70EQ+
XqDifEm+moDfSXQABCzyqWudMPmiq7d5Ixp7Eonh/ESoFmplRbjAuTmWGH7u7uLqp0FLQXhkBvkp
nGwujf2MTTgJ9WasTRXoQgrB9G4auUbNUpTFrjTjhyrph8sB8h98L9F1ywJ9hMqvMchlZpF6whAD
gynMvrNySfZg3WYnhqnUJOg0AD4iQMv/Jg9Ew0+7mb1yls2VSJMkKpW+QMcTwOf68Jz8mb84/30u
ks3AyEkmCbW1XvnSj76u4IniXL6/fes9i+BDV5UtRGrZMGtpT9Jsh9ZjJYnYi/dV7yyEU71Cj+M6
XeEipOZIzeYaCHd2l4MQF/DCl48jksRp3xhF4B/IkWIM2NIpbpb4RR3tiIjG1PeV/HwgLiqZGGNJ
wxJFMj3I75EB+/qIVfvlbnAZnEcb1C/WsTkMP0Rb4qKvxcUpeR7UfKmQ2nQdwu3Yuo20PpZ94V++
xZ1iNQsi5/NxgYpoUhhmeY0Ppr+o2AQCwe9j2ESPTZ54o6xeyXodJPKXdE4Gm6qZb6SLU6idbc5S
a6PrJ8q5BefmixHRmvctOLcw2510Ttd+RyX2JOb12jdnrFASi5imwS+jEL0lKFQgkzKzU2ycZCO4
fK37yvn77/MvhzxGm80MYc6DdJ1Y10n8UjRu2Aoypt0sW1XZnrimGhblvl1aRZk+jKhHYYX7WJz6
w+R3RzE42e4nOYvh84w6GwAozbhQy9zJm4MeeXkjUEPBSfjMoh8MOVMNiGArcR3wz7WA0SD9+8o+
lH1zEs6LFxgI1hvW6IowXYoR7oTcYq3Lo5krLGns+o2NKM6hGxL8RhUDW6mZv0njrVShezGudjao
tpX8uKxtu9q8kcV59iFq4kki6JKkrSsp35Xp+fLf3y8IbQRwXj2JUmzZrYyTLrFVxwDJsHGv3K7g
EMDOohd6ohVJkcZxvr3O0QgHKCSej6v12Obo8Ev/C9tekEDvgLl/VAfOt1d6WalziXvLr8MALAzP
ijsA87JGV1cK2tf3BozTPOX/M24jIUPWztjiR+mchzewP0ZCdsjSDErNHkjnToNDo8NQOEV1kLID
ZspdA2huvQgxat/rbz4o5zkqszMnGkbI5I9hoHuSjSUeFzN+T/SBngq2snMjiZ7OAovghwLGsi1I
whaVsr+xpummfyVejCliGzNcBnK3FPWBCLNqtpiMbKeN+OGqeXLiTgGH4moAtXg5pfe1L91qt8VN
HOLNnt6WQOA0HQ1YL49CFumdGZyPgjmHs7QkUZIJ33ikR2V5mvt7pUcl/9AnryCULAaAEQRV/iAw
V/ZXPyXm569r8b5HAcX6xDbdeh/NHC93JS+FTuu+esgD0fqNwFZ5DuOhokkE/4DoUD8M800BHOjB
ehOciNnCpRNxDqgrJ1rniYkRgVP40PsmdLYKqlPsL2Cwq0a7ujbRV68D6VnUzRcdj3NFJUlVVDnx
yK7Luz5+U4dTLErMRYbBuSF1akgCGg6gvWS9m4MeI/kSqb2ngjNVmWzBTYp0g/M60SrJo5HCFH6x
wSh26ppHvAl+zbn/+4XIj/rP+RkI0wfzvWJFpvupXlywngUZqjtdtdhjVNxnlmoPq3YKiSWYjdwP
ioQSaskG0Xi4ytDoTHm2WAXGfFLSh1S0MSD6+5xigM4LWK01UjwJZNqr+QpE08ufiv2Bzzp/PgCn
FsrU07IxkRNl2gNAFxxq1LaF1ojc/X1Z0D94qbMkTifCODNRekNaNL9PCmKeHXjuoFVn4MS1JNDA
nVFephNnaZxOdIYRT7BnFZsWvVuOSCg6oGlnASPdJEATZFth7N/BteMuh+ZQniRXE/yIf8hofv8I
/plB1qo2WoZB2QNQXn8B7pHfHhgKF6NZWA7V6+UrFnxLwjUGLfhIqwDEtmuGoKLMQGNdW34+63ZS
idaAdpCxPtwvYR5gU5axWtoT1FGBYQiKmg6MzICxv7IAC3sLEmi3O5qHzC9fhleAwV8+5L4fO98p
F3ZWqoB4BL7SHSVAuBDVX3o5t9sq9/MKvBJrLNow2ffNZ4Fc3mtkAxr+DSDnE5A4KCDbqSrrRe1E
2zMiMVzwSTKjUwYkYW4GPgUyu+l8Eu4fie6O8ya0kswkLdmMsPJg0eFxnAywqc92m1GHSKnAN4pO
xLkWHCcaowR7kbkFsFCvTY6qJHibikRwPkWz+rVpS5Q6qybx1wbQ2QTQ2UJsV4EXJpwz6Q25UZsU
9yajcFumjT1a/80N89t7q5T0a1tiKJ3SO6vxpvKRZK+RCB1jv5ivYg1XM1lzn++YhdOKIk+ls46Z
hvxmfAZP2yF+ZeQJ5Qn7RK8icMB3qKjP8eUskbOepKlA+z2jIU07q7eVurHLycJ+BcyoXGxL6wBF
M72FYfWFNoqjT+GTOn7LSnSDa+w9j0rDGGC9dGyCtvwZKuVpXsuDrrzotPN1HZMxFvH7Thc4mX29
Ov9qzhgVpdYbVUPRWV69afladr48iGa+mdJcuhnOGOuq76sUAI74FtGB1VWKa4YFJOzn7Rv9+Syc
GRZqCQK2EMXSCdtI4J1haS2Lfr3dHmoP83in5B6Lj1f/HjufRYizXM42qbk00QC4F1fJ0KmkJMjR
u2/oz1mNROVT9qc+XSWKUwBpJJj/4ws73TRMYTuCk2rBbC9bJBsPymusHXobZVS7cOPICZ31Ti7s
+kbIfLirKxvhXCQsq2rqypS1W/Bq0ICRyngtdABAe4pj+GjUPhHQLlwOgruRfiOTC4KhBdWfZBZ9
G5TxY5SaVpQveiRUfXX4E1EAFIMqmuAx5XyfFVdUX0eG4Bh5pWIbye2UeOLxbHZLnz/hbzF8qjQ0
vdnTKWH5hIKWS+pb5YG+LD4I0l3rLVQFp9r/aGdxXKpEm6SsTB1pL6JfNntkeDF0kVbuzv3A/wDV
A/+Y7ynUJkXKwnIaKyBVvD+CWP4ZnWTM/bBpW8m//JF2A9RGFGdrUq5USTLjvVXn1d2sAXA1WbzL
InZVTlctjVK8dhR+9SassKxpsbasaT5l2X0SKk4cfsn7SuB6RXLY/9/cWqM3EdUwGwrC3BzQIYe6
POoYiq5EY5b7yfnmQJxfLIEEuEgUJYXlNF4rbu7HrvkzuU5+MpSI0Ov/KI/cyOO+0Th0EoCI0OMZ
ip8mda3mNSaiy9sv922E8NYKfrVY7VEKykwnVjK7BU9j9dh3j00726nigtpAo54GZ2EIMhiRaL7y
BlrwdpJW5BbIwvHe8hiWsnZDMDay3oirbbsGfD4oX2zLJSJNFQI/IvTXqXV7ep2JpuZFIjjHbuWS
lKgalqVUA1yUMnnEAJgzTa1oXXh34ntzFN6ZRyADxiIOmmOHwvKmdkF9Unai0cnk3m1nvwcRhinq
3u9mHxuhXF6W1dZI9Qhcm6wXgqFib/INEOiI8r9dx7QRw+54Y80klC0rlyEmzQdXXrJgKleB79sv
M29kcB5DGcNZKitk59P0zTKoXYB8jNhUuysGO40d6+/siQyHNvSK5K1sAawnAoPbfwxvfgHvSvS6
kFMVVjf7xa156pz1ysCTOAvUo3Zqnnsn8c3H+CSCQRIpKOdRMrUOlRzFLzdaPJK8rSjdrLGoiCHw
xxbnUdpeBn50jX0EMs92Nb+M2PpVzR91JOiTXD6MKjMr2WhKopiNMTOATGMZ7L7rbCP10/F4OYhd
1nqM9H0UEo0zzZORCcnwuBg80/pCAYoJShvjW6sECxUEsx38ayTBvzUDIP2cQKOuapnxT45+dIBe
HBiGX/8juQkPKNGjChQ/1CeQ+XqRqE4iiG+qzLkVdUmkcawwxg1SKRBoNIHlIahiVxYplY8eiMj/
iz4g51GoNkrlMiInZZvA8k3ihZrNyAKQgxs+RhgczOKHhb0Kqgz7+gnaPI3qYM4j3DErlc6lTpDJ
KdI3CniA4mjSH6po5n7/cGcp3OGAwagaSolyYrd41HqLCqfqni7r5r6rPItgP2FjAGMWd1Opw4nQ
ZPb13sJMRiywsX+I0WcZnKtcY4nUK2MDYcTSbHs6CmSU67A/DUYVrH9dPpHo03Bu0SqaOjJDZKVS
e1MPgEfHLClgv0QY3P8QAM6n4vzgBNwjvZxROuu82VXc8br0I488AizdHa4V0AtFd6jbXD6bUCjn
F81cG7uhQXbQeIuzeAZowPBscelj4tCg8UuQZPsiSMJ/CDS/T8qXiWg/dWpDZdXFqH7ynWH6FIH6
HMt2dDRsRiUh25Kbe8ursK/KHNWn95l+lsx5zjmPExql0JzOYwyK2Wk8tFesg10wMjDRzvW+nz5L
49xmCUKVyVTUX7WRX5Ma+v9HdvIPPvIsh3MeI168CG2/3bP2Q4psyWFrnxUUBxihivff1MbgHIlM
umQqUpwsPs5fB+w83zJgk8oB6O7fTfd+n5H/R93TzcfjXEuaRskCplmUSUu8Ph7l/AEd8MsH27d1
C2yXVNWAAc3pR06WiBLAC7izYjfytybEOuvsjMp/FMMpRkPbXA4jFFuG/Es4eEbjqYsfSl8vH4Y5
ps/Kfj4MpxZlNCbZvEzo29CXofSa7D7CmpiF98x4uCxpP66cJXHqoHd1nIBEHUuYxDfqFzl/k9bR
uSxj99MQTdUJprdUQHR/DCzT0krm0qK0YhUwpRSD6GbjGHrrmYNoy2/Xbs+i+DdgoRkIYiH2jBNw
BLW0wGPzmRaB2cZOpD/2q9d0hfufTsc/BNGxJ8owzxiqzp6k5rT2qk2rWzMUzc4KbtHiNG/plr7N
c8hpuusk8q3+f7XlxJOgaLR/gYYB7gVA3QAB8eO30pMWrFUVhipygHF3AQOMig9tIHqW7R/mLIaL
mH0oL9qgw1qnvnXy4ecyBoniJthBv/xxdg2JnOVwqhcmkRKjrojHQ1rZgL5z6qbwi+YxUqWnmIhW
SXaN6SyNj44qqs3mlCC7rxYvXx5B2ZiJZpoEF8cDZoAtSsswxg9or9zthmvNeCD5iYq8gkgKp2tR
suZV0uLz5CT30aJ3+toICoqdQZqJAhLzZZ983ebSOF9X6UbbrROGVOdac1aYZ7+OB3AKe0Xc2v2K
dbjUtKuuO4yE2F04+MrYXoGpVOTZRR+P84Ttoi1xxhDFUlC39dhJxF4yAMxEpGaiq2U/Y5NlR1JU
GhNAb10CmJ06UGJfb495JhhJEei9wX7FRkplWlIWW9gyMpvUXlXNbubSIeqVPmd2X/qXjWyHAhqP
zM0n5JyG1RB5rNiMHxsz6BZ7AkJ26a+9rU72fCLBGoAy0UlPxuOCJDG0GTOzIdIjppOX9IhzKWwY
Q5UiFCMa1F7+0h3Fng/h9ZKDMRa87J7Ig4nUhfMsmdIDHm6CurTY1Gzp+jxWiW1q9NvluxWI4YEz
5nBYV+DnIBFtfxSzM6eHVRakAPsvifPn4xEyTFBrlisDBWWNwMybD61sl729RnYOrkuG7GuCVA29
HdFzQnQ4zs3UCTEVKWT7SOsROOfTeJUagte5SATnXRJzkEgz4GxScl3LbjU8zCLIZ6ZYFxSPhz5s
olGZuxZoix2aymUSLAaWJdUfofaYZkEpglF/H6q/JI6deGPaihyCiatmGqHJ9hz+LLuDOh0J/kNp
A0s/JfhSrahu9Z4+X5LKOZRJj02lnpEXELt1QWcLSgvbb3uQIkcPCSZMV6+7Y1BGtaP7qWe5qxA/
SfQlOSezZoPSGTLGYH6Vd5ob69EANol0wwY+AWjnWG+iDvL+uMLGMjifUpmRuiw6Jkh0QARgvyc8
6m/Ea47G4X0X9Rj/748WYjYSObdCV4tORYP3hWYe4vpU0Uehu94vwpxl8JsOplHESjQNv4YjJRuz
yNj1IeD0YMzaomUEwWfjW+PtmM0jUTGgaEXeUF2XZVDPgqqSSATnRkAWRrRIQgYR94el/oZJY9zf
ZTe8P1ttYP+aGmhBI5Z8tDqr1WVdy9GsYyFuRt2jCupD9DDajBMc1NIeQFUxEWYLxO4mRxuxnNmV
GdXKgRBMsF8zPLZ3xPUIMldHdscbjM6KzrnbC9oI5Kxs7IHbkK8omZXds5n81ZmeKeWOkfvLGNmx
9X2sQG0gqlLvfsCNUM7M2loe2prBnpracJTW5nqgiZMUsuA2WQb3yYdtxHC2lalNZKKHjEWI+Slr
G9kOsWgukLG/vnkWwtOUxareTHUPjA8WTIH6lDzUikOd+xlrJNUdekSu7KZefhPfXFX/HmIYedhG
NlcDaVWsq2k6xj0t6aEOAwuda/XvTLT1tV+0AsYV0QyGRsAP3sd01smsoWagU6cEKP+M8h/AAcy7
FZDQbEVflCfsdzE2ErncvOuwgq0Y2Mxh2HnJAUsc98lpfsVIMgXUp+73zgJaWfkAf/xTYIHMeXxW
mvNhOcMvpG6QAL7AnOXsrm7mFTfEm0Edj8EaYZ1sP+BsDsrZ+5SaU9/VGJLvvDAoDqDccoxrJRjc
lLFhOZptPV8+327yshHI2btV1W1ekIVNfU63bMnOqItDVWMZU5se+1x3NNqJWr+7Mim6UgRBCI98
zg5lo6rSckEvw5SX51LHrHfZu6Qs7mp58QoKSBAUIi8fc9fDnEXyVrmkRULCGi+UUAaLbj5cGx36
G30p2P5ht/VJWTZiOAPMhkLukhnl8aL+K6oOZL7NosExu1NcO5cPJJLE1HaTBWrTkmggTCWuYkxO
F49Y7pzdCkWnMpEB3yqirGB6d+lgXBodq3We1+DXc4vFqaiTjDfd4o+iDTzRV+LMXK8aY6QylJC2
B/SepDW3LayJXb65fSEAG6UA6ZNNnpQgAQoCch9kCPmge7ocOYqF2U4rFmjcfpYFTsr/k8OZclN2
XQ4YvV9NIUZGUAT6kTmOygdmhWAOef/7nIVxZpxMU2K1jYb+KpiPov/1gLlb0/sJAIL/7fK4SN2T
rF1Ig7nUhXQPq1XfW+CLsoDCdFkM8wCf1e18HM5DZBqZqslAb2vRZfTiHVLfDdHJnK+AAlbIt/W/
BzJH4Dx/K/6V3WimVacKXjeDrNsjWJpDPbSNNoiLx8sHE3wn/qkdYhJ21iqkIIv8TLpAo09rdRWN
/h9IMWWqaTpaj2iHfHQOkxwVvcE2XUjyzYgxhFXeL5KzpA+Xxexa0kYMZ64o4dLWSLBYqgyGg1l7
30qBbqX80QDIRgz7GRtXF8ZhppohK0+sx2Z+7vT7Sr5uqOAw7Md+UrmNFM5cTYx8TxVLfGNFupmr
/IWWskCr913CRgZnpZFK27lgaAe9KztAMgN/UnbD9m8rMLkbghLgfqFgI42z1ThdY1o0UOqpbt1E
qk6yeYvGJvpiLfaZsWLVmmNu99HkhFYh8n5MxS5dJ2fBxSxXlEq4zvWO3MVvWDvG4i32nohtAbtk
uRI1bAW6qHPTO7Gcojyd47BN/mWlTq58xaT5ZXXfXyA7X6jORfdoUud5SoGKtZzaI1aoPeyA+uWt
ioVeoSwWvy/cH48mW+qdPMvrOyAHhllWmw0zdqUP0FybMW/WIs6Q/RquqYMkTTfwyOUnk3QzV1cz
Q1KfH5vb/lp3ilMTmG7oFzeWs3ydPSUYvRaz7FFsxy/YEDn80Q7q5hewK9nYObXiKV4Y7uiMIXli
2el6I5miMtJ7cvn5YnFAoiOptwxOMZucdorOONmB2faoemwlr7Ds95m5A/HCk3IogvbQohqiY2ho
eLUOlc/GcYE5cGqD0Ft/CrRq98Vt/v5BfOxpU1nGShQwdxj4MxhCg9pj3GY9auSXJe2byFkQp771
NMRDxJ5tWg6qEJQLDV9Kf1yWsZuWbg7DfcO6kBajwJqqa66HFc3e5eugfNEz4DqGh8uSRKfhYlxR
R5g3yGGMbZN6SfKktcVdLInGrvZr45sDcTEuGi2rQ5Uf9Tj4zGiwi9EFBUms/ySAASfzUaWOYZ5y
4oTtwRi/AC2Mihand3OGzU9gN7GxC3NB9OslLEAM1c9ef9Ea1a6rH5L55fKF7j+ysbhBqWZqKuVh
V/WhShO6ILfTMQ8YlD5GUdbHIjDc6iuabo4G9L3oKQ4qj96LYEP3XetGNhd9lyqS9LFHUTs90q/Z
ITqVV2yeSH4WD27vR+GNLC4KZ3E6SMYAOxhORhBdKQc2cLN8JThfKSQ4YO7kk7vZCOOC8DRnjZYw
MEqGpp2c6sPis1E30QWyP3NJDOfVckubl7pGeXKOgkqKbct67aknL36eelUp0JRd0zuf6T3x2Cik
JOWxgdkzIJQ1z8NC/eT96Smk/N3NyDZiOH/VAsEV4MDAlpGDwSPYa8oGl9wOAD/r4Zebqz4QAW2K
DsZ5LwlVpqWqmAVkTyW9yTHPPI/CFYl9KQCz1TTssSBL/2jP2ZjGWkXwAAWxmvUVNTqnvcMU3fE+
xnMXyVEMnJ7gsm3vumUgJ/2fSM6LdbqRNauEspLRU0dpXxM8cyRwGgzWcl/GiXNZ2r4ynqVxDquQ
Mq3sc0wPmPNgK8uVjEFcSXk2mkM7PdTW35el7V0niIs13dI0bJzxWZncla2KJBZPKup0a1DNp7l+
vCxiz4i3Iji9wGCCmkZsxJfVdLUDw21iQzF/on5bMZxi0GZRAB6BKbleVg+y2aAMEnn9IiqDM1/K
+wpF1sFtislwYGxzvgIbESHozhlmk+mScbGHxkv6e0v42mE/94Ic3k0kaSSDvwiub3IUYMjmvnUL
8AGH4SmpB8uVI/vyV9qN1ZuDvQeZjV8yRxl0SWw2bzqNLnATsVBFsWlaYNO0ulb9PphsjIBfFrqn
61uZnGrIs0LB7Cdhjy+zURO3sw6jh4e5vk0BKNfO7mVp+7r++9O9V+Y3J4z6clBJgrlAll7N1wCZ
HkWuYjc8bk/E+Yq0y7Rh6OEr2GeLsTVo3puuAqAy/coSgu/utku20jhfESeWYk4KYgnB1Eh4w+aY
U1BBXKUumsuGS06mH70xlpzmIP+wBOXaXWisrXQu7cCqH5CaFhg2k67ZvRvf4wUZGABnqxxYB3iG
FcBtKiCEBChC/AezdlvpXCIyJyZd6wxj48ytsCHjyWdvDuEXFWkNl4M0YLOxdEDovrcwQDXXBVJh
t1clEKmeRo+R14eP2auxCJT1HzQJ03WKSk08KrnzDdXU1PWE28WK8ElB6wQQ0o+zEx8KUM2K1j/2
DfEsjDvkmi9tXLNnlDYGcepUpqtXQG9P4ES/aaJBv10XCnwpQjFUpBOdE9YUdaMVLbomOugWJqw8
Vdm3OQRo+nC4bPC7iTFAv39L4py1tkTlNCD+gIMyvUnlBzh1jHcM/W0UvUiK9Kxmup23KEdgvS0j
Qj4wZuyffPhZPL8VPSb4gAozkOU0++HfHQbFoxeMBmGxPLvvgxw9qcsH3stUNuflIWQAE6BZLeMC
Max7VCPsBelfYSv5KRYR3Qi+4ScAmaIecyRFbDkETCeVs8DD9MduFbGmi66Qi+pYaJajuMAIajVI
J6vsv8hF7l++tP3It/lMnM82rTiZ8FlZqKVAGoqBNIR9EJC+YkL4FmCZtnxQ3gQyWfp9STU4z912
0zwMHUHedUoea78KlrvqGDn5iQHDX5a1a9ub43FuOk+HseoSQLT3ozOkf00KBkGBIRwfqhTE0iLj
3u1vb3WQ81vF0palpEMzjByVWnadxYPkodM8OOQUOfJBOHXBsoRLd8n5k3yKJsNM8f16dwSVGoMz
Mt3oqPrvzM4CbdnNZje3ybmUrNS0Xq2YSzkm72GHvJe6RGFHYMn8MLSuYXglWyAm1r/Mau0blk/a
w6BROxINRe9HGkACqBb2NhWVHzJSOtKpoYT5AGKjPuOyavN8MNzFN/z0QfTW3m3Sg4fhtzQu5xsz
kpXtHDNYSeNEDux7sSxTt4trKehibECJysHa/jc7i+ScCOksfdByGaHUxHithGVOBRqZ63YU90EG
3jY8Hk5pv3hz1V+pUeUiEl4NXeGsE6J8XnxV0ugtpOVNUYw3Rt4elQGjuf30Pc9DW1fosaKFa6q9
nYQ0GPPyQCzlypRLXx/U2FsTADq06ZWZg4yY1JkbL8ZJBUeUU2b6QV7WoFVbgX/Zz81Uwjgv2CuF
R69QAMIw4knL8lAz6GYXBLJX6ZNxZANXgzueGKc7Bonvq/vck95EgBa72ruRzlnk2GtdiZ4gWtEJ
MrP1rscM9Ty2ftS5S+1ddm+7H3cjizPIZO2T2NIxD7E0t1L4lXRPOdg9GxA+ddarYnqWaFZ6N/Sd
Bb5f/eYZoeNdlpqMqm5ajm33IA2hPepX8SjIb3fzzo0YroDTFZZKpBIpWdl5bX0q10PTCfreu8F1
I4IzRb3r66yKEFxp81CVg90ZhX354+xHg40IzvQqY0mS2sJlkTtGc0lex0Pi5LZ2Go4YybkVJUD7
Gd9GHhfLAQvTAgIF8ugdKza0VzYJUlQbQs8VnGw3gm8kcRF8WOZ+aBKwaWKSBAxljVugml3L9CYk
9ddRjo7m2JxITx7M2rILc33+I/kmhuIVVTE0HtGl/X+kfdeS5Dqu7RcpgvLSq2z6LF/V9aJoS3nv
v/4s9T5nl4qtSd7b8zQTUTsaCQoEQJi1dDqNGSYrHQGc6h3tPFr3uzbTzrkp74Xc2JHgeS5Uu9HA
KC883Ja+bZwfwpmcYjDqKAgMGKeu7LrgMOT7kDe9yRPB5BHDEDe10SxF2fBBNIKzLFC7KgMOfMf2
Zf5QhPFU84yTa5fSrzqKDpyINGju0vrv728f2FbYM2URy70aYqyOD4YkZuU1iDYkE5lQJxrs6JI/
qafijBD7FqBO5YMcGERANa/1v9WV/CSTuQxJkwoKBlBFwI9aS0VHbmzzMn/rj9QHt5PXX2I3t2M7
sTS/2IWH+V1w/qKz/OknMLdEK/K+DBuFONV8LZRXTX0Af9nto90IAJ9EMLaIbHMoszgHyKqAYTjT
rqrnet4ByxUAjBhZtVoevNyGzXwSyFom7eoKdgIOsgEUBOL3VAWbuRbaiRG5t1VbPhCT2X6SxFhn
BWYxWatKxLbiqM7fKPl++9/fGsz+JIAJnkI9gINYhQAht+bCavcqoFWDfYshaQBETVbr1pfUNb/w
YO0A63ZbNbZxS0AsG5uRThw5F+7TPgqwbUyvpDbv67Fs7V5JDpog7qs4e8Re0q6XAsus5zcw7hS0
O5nNaziFR1XWr5oe7kIZi28Z8bBK6jSj5oeF6MjkRcjRWVSnowQait78OqWAMBypXVRAgQjFA1aE
rQRYToUa2qlS7dV5tsUywlqG2lqtFh4T3fCDtLNJInjyXB+qFjht4JO0xb78HgXdnVkEuyqtamfM
UzdW9FOT/hAEkNxo5WsDKodkKPZBgvaEHJ2mVjuDa/LQ6eZezsVLq6a7TCjuUxKjfAyquj7ytGh0
BpIeA6EBnkN9yIKXfAETlWZXI1OM2cvWJfJbIk0+VnEtaeofCSF+UgSTI5qAaDClH5HaOAFtzm2T
+1EvnUzxZ620OwOQB5YUguPSTA99X9lNpno0yFytmBytnrxQDiLLJKBfNaJ9YNbfgfuDbTfgwKqd
PRB0+dEfbo3C0o3iMM8JwNBbup/k1g8S1YviwjYz05PrGWzk4QMoC4HbV1pVh9X4aN4RSbTFoUde
BriBvPMjZdxFoAuRNWFHSPYCz3kvU+m+bGowd/b7NG+PdRPbRvRNHhJr0HWnTvWd1NDjlGvUQob9
ZjTqYQbN3qhIO90IvjeoznW0fYrr2gGgmq2KvSsL7VUOA4u2JLKEoAQX6zTbcjiC1AE7U5W2w7AX
fMbc4ME/pdjP0fqfiXRZKG7bdjT3bZU/IsHcVZXkmvqIjozsxa1hTQnel6bg0Pw6EO3eIOk1G5T3
UI924G+yFHSlau2bOdF7kPY9iZWChQDgYnaS7kszhobEygTwz3Ae4/FhosSfg/Q0ktyKNfPRlB/k
BiU/Jdwnsugp0wxeEHk/FvpZTdVDRKGbEnht3nyhdLoP0EEMe60D/eOLosQWeDKcecbOtoz9lyEF
Q4r0mkXpsYiTQ9krGVgRSzSwekcPojOKdJ1VR7qHuOXSprcJ6NRAemk3UvccJOWVarM9AQ+gof1L
O1SnTKhcEROFw35uxX1eqXabPVfYh6ln7ZoExKGxeNTyyU+F5jyXSE6wcfUgq9/HmdyNI/GaZvoq
CeOljZrLNFTepJlO0swjOC+qq1wrjTOO78AttASJ4P/qbqL3qa3Myb6LxAe11wZLSb5KyfB1zDTA
CLzpmXGfB+25jovGwhPtKM7Bs9wFk532oReH9E4OgXDcgliySEHUmEugDlVeOvB51FR4okFsIQ+u
LEMDY+VAC4sAP04HHMdh7B31V/48T+SqZ4AQwG+TuskCENG7gmCq59J+xiH3o+Q3unCZRN2RQ8zW
57WnAcomMCNHJY1nTMYvRQSLQd9/UyrjiJFxbO8HD4Ep7rBhjVdvaw+Tem1T8msMg8zuyvhYG0EC
7ILc0tog9SotscnUvzYhOaiJ6CpqYUtd6CigxxREsNfq8yGI6tk3hcCuNZzcFKsvpGkAo1U4qREA
hGx+0ivBFdr0SElQWXSYHHkwT52YO8qICZ1E+jrE4WLZ70pV2DImRjMlslIltyqcl5QG+GGYgJti
41hl0cNQ31Oj2SUprHiKn6aicucqfh/k2tZQ2Z31EGbb75JRPmVUBNty1gOcPPdV+gawythSq5/j
aJ7qdHKUOLliruoUys2prVQvQ2FWE2sR/30TWUBwdnINBdNS3TVxbAlTPFidMu2LmX6L4LKCutm1
wJGbJ+VK4mjfyYY7D40Xhc29Bo4gOTL35Vh7OhAntHl09a50Y6CWS2bqGXXmDADHIvhfESTXWZzs
b0fZjUx2HWTZsdVCkgvszSBBQUOXyL6aX0KVN6648eIGvw/B9BkmplWVBfAgY6rTrK8w0IMamHFY
apiBkxyW7t3koQq8rNz5oOywb6u29b77JJd5QgZwO1FJoZt2Rr/ry1J7S0A5jAcexvgfTYeL17rx
7PokkMmjO3MA5DWYmZxJOtBwlxQ+ba8ZvjHGmhvxazy8prnfNRw9Nz+hhEFm9HoW9GUmTyqEpJnk
Gkit8/haoJQzX2jFyfW2vyCmjrGPLEvAvv/8QBDVWcW1xzB4qriRcZxnQGgiBTrjBt3+ZkvS+EdS
KX0IYpLKVOwCcygyUELCq2fpPqmeQc6tT9fSOBLsqd2W9h8s5EMce3QArJbatBZ/L+VoAN9+JV8q
Z0EewtbRuT2rd7cFbn+qf+WxldMmKkVFKpGd08arjS8aMq+OB5ezVTKFFX4IYYszZpbXQ66KeM0N
ruhUtqlbCWqY2FLzGmLx2nPLGd34ZBpzywo5A82aVAHmdC97jd+DxGvZ2/2LovMnrZi7NTRjLQ09
XgM6FqiCO4Mgjn/J0cUlnMLT9mt4dX7MyzQv9Nbs5GRhkzC/z87iNrR99X0Z4ImcwC6545tbK9if
dFvMZvX+7s1xIv2EI+y9s+y1p+ECPgeH3GV49l+M02iLdu7mfo7U7NkcLND93DZLrskwz9RSUruO
Tt1SkSVYhsudGZTHirUgCuf+3+xef1KX8SY6SFhjrWpRybBS0Dct2mb2+LB05NH7eaY4ZI5+mw86
7IFoJrwkAX3y5wNuDX0gYiwBpNYvLrmX+ZhAsIZTy+/IL2b4x21YSWJOUi+qsDVFhADia377tDxZ
BVv68b382t5PO/nHbcWkzee+jBesaujEMNmFTc0MpBxgw3DMp9Eh7vvbeFrC62hZEeaNpX3koplw
Nu9nF1AW5+gxtaudsOdNW2yGh9WvYG7MiO2QAO0LeJz5KU/PZLrLOlcGXQY4rG8rvFl0WEliPmQ+
Swp4BuBAs9B8A38G3ljlxIkK8uKx/vyGH4fKfENVUtPITBtMuSVS4qRZ/h715atajG9mqNxXiXpE
Um3NeX5SK/US0eHexA4LKYRf3aReJCDqWED5updL9c1Uxf2odl/VrvnRDa2V5uPy6nekovPHabTk
OLOiQbkEcvqjHNGkMcP7XOx8YNpyEr2teRzM0X1oxdw6EAeONdFjONDH3hkDK/WSyrLUV6CUA+Vh
cEZc9uiHiiYogG55udhm4FsJZ+K62bZ6S3MInxq8VaZZc8KsGSx8Tc5V30wgVoKYiK4KsqyH0ww/
YlqDMbjR9JTiqS8Gr2H2qo+cPshNaSbKGZ/9SqenRBBTinSyeqnyEwYjiehN1ZNMvdF8+C9MH7KY
sB5WZWi0S5FWRAoryrNV85Y0bzoTSGAjea6J4yQhT481gLkaJyER/bB6QEuU85G2C2z/95UgafGi
q4A3alImYF0Dmfl94Kt7yVdSS0GrVXCp39sFKH4At2oXp9nNHH7ddzvcrcQz/mquaaGLrSjCSben
4gCs0pNmBRZGwQ5YoOC4E96pMi4rbIGFPdcoJjZhZI3htTcfh/BLCcK+2/axmYetlGK8lj4DQCCq
gLXWBsArwoqMVWkF+DoFuykzPxrpZZbBomQ08+624K11tA/Pgq/JeJZZTMLSkHG589MyUjHvlP3S
ny+5Y7S8o2S8SKqQYh5UXO4i/RXndjk/iIGb1pz36s1oBnUYF9I1g5wFIbKxUlfsoAe+vWFpyvdI
91UeU/zNcGYSdpB2TDJZLiKIUpvDAKqZbuZZBe/jsKOzAH+a5mpIRDzwDyR+MycPZOdq/KbRYyCF
IN3wcl6o4Xym39dvdbvFIGmHsUCQbgbBMqo7vacO7f0ke7tteDw5jBeBrZfKSGHxfX5Fb0XNd2V5
obF3W8p2dv5xsX6/F1bq5BNJS5EgpVMtYi8GjqwDrJQdYIqmu/ZIHtOvC779/EW9q+3S5qXLPBth
/UcZ6WWr4zQV47GP7yl1but3MzTDBpdTXqmXgZBDzGmB9qLZ7dVAuJgSthfCkdPM3BYDjB3RwCIS
8EU+i1HmWSjlBJXjPvWy+DKgNldwkkOeCCZ+0TiOu1lEvScj16bbmZJPeQMd2yb3oQVjcuCc0uZI
Q61Fb0A3paLyLDZeW6G1wIOB2G5/yR+imCDVjqFcdyNiZIYap9YONq2LH/1sOi1qWigFm1ZTii8R
WGCjWLAi3XT6+AWLLhdqgpZVI8cQzZTbprLtGT9+EmOKVYhgNptw9GMO1PcAjYGwOWOuch9Nr0HL
Y7HafoivToC1zFCNGnGC5Uvvkm8cUMk9glnxsfi+EErEmEYceCMh23ftQ0Emkk0DzcZCqPF588xO
IrDFg1z99hn+h+TjQwYTxGiZmLgheGvH+8WZVBib9gDSEjrL63faUR4uNM9kmXA2xCLVqgJZXa/8
CBNvDIHGmr4r7ejeVowjh22aBkUjGUUA46h7oJaHxf1gxrtR+En/ZlcC+ca/J8jWrNuKzkldompn
gOdtSJwJpDM9bzeT40x0xplgNCEU8RpDUqNL97pY3qvzaCsadw57M21TsCymGxg8BDDGZ79IpTqr
jAIpgEY6FxAm1oB1LkvB6pYs/dTmXLCyVrqXW3qKU2qbU+ZTuJ2kVt5qw7DT5peuPKZmDfozjF+G
E+9GbB7Dx89j4XWaOQRcbIdiIrChHEUWdoUuwRv1nCC0Nedsyis5THgQAFek6gOOeylaAhEWbCcl
6jTKU2qhGQ6oSpTdODI3L/tKJPOFxUoPDDLDvXTifa/dV7zEYbu6vBLABAsprzGNB5xZbIG0+9Sp
frY75XEGSuryyG523G+1eQNX8haFV5FcHojRyx3uhWBczfRc4vpF9kw56f5mEFhJYYPANOmxks6Q
YqLdVmfo1j6XERBFDTv7Gy7YT2bBhICKhlUmAK8YL7VywSPD0Nwy/jt4Achuawt7y1fDDs4Axrzt
zLZjz0pLJhIkraplaYkapeLXe0W1VJS2ERLskfgLy254qL71X27L5HgCmQkMddWijD7AE/yzNNT+
LqTzeZN4N5pxOIbSkkAUhCUKNPtuMB/idtzDt3BuF8/6WdwOQW7o3JRQZ6F1UH6iCbFAKlanwJKs
9pz7Om+kjKMYuy7aKyIIW1VctykFiCImTYqw34XJzHke8sSwbiOdAnnUStGZJlsXjmHgqn8xwbi2
eoVxHIlZq0FhwPiywTGHlwZc6rw0ZFsLRRVlDForoFb47Ct0KmqZlGH8LqbhFbHu0BSN05vC/rZN
b828QpUPOYxRh1Kf6XOLx1PjYrDJS51+R64SYHH0O54/386sVrIYy9ajWpqnTsRwyku9n5773ezP
h+r3jkx35PVMtt3g/ykmsqU/OS7zAcT3xKkj8B5NfjddBsMSpX3DiyPbbv1DEhMaSz3NsshYWgrG
aytjZL+ysgZVQM7K5H9weR9yGMOeonJoww5MfgvXzXwCELC/UG73ADarvBIIETxScY5xiGwZUBt7
sQUxF7z7obp0WJNsvGoPEAUATfI+1217x27mZ3uXwtyIstJA51U6691PNbjE+d/lSh8HuPyGVfwN
9DCk2YQPFWr7VPTTHvBZ7u37xLMFJh4WcdAA30MRnRxDTWqYYe5QuqcFRv+kUS85Lpxn4oyPyDXS
pm0MfVSiWXXgNxO1Q8yJmJrd9D9uK7b93P338oqEcRR6FLWNlv62hWV3qd8156VN1/+anAUyB4TO
IDHkrrrxzIJxGXLQkCwLMdgwtTKYsc4dOsr9+FBFo5tM9FGYMaOkpy6wjS51hZUAOd6BtvZICqxq
xianm8D5MWw1sNNDY4piREwceQfKrAlDjwWgvzknvdzjP9pbHyfNVgSpWGEsRsVJp6d2H35fhmIW
2GHzUN9HHs8pcwyWrQUCWEds9WU6APIK9RXLTnalnbOUh/60fXbLBIyuaZLCYj/OYTZPrdiL8Iv7
THVM4zIX3u2D274OHyKYu9eZIkkokjSnR3TBTm7+3PdeNLwKeLXclrSpDHaPJQzjY+KGbfVMDYnr
cmkim4AAVQLMyirdaSLcNY0lj/jDElZyGI8/VrTMo9+FWgRnrOd70dl46rwF9rr0s9e/4NMz5ZU4
Jq1BWbjMtKUSoUR7Nb3XEq817Zo3KLLtSVZiGFdflWI86ALG+uN96/UOQIWvKpC1S0t6WkifFxjj
AA+wgosoxTvO5bOu/b/UJzrtkIACQw2DNwtVnP7QeCZ4aoGj/MgjTuNZyR/2WBMtz9B174VgXxHd
asb86f9hTWrJL25ZCRMGxmoWR41iHkaoCmtI8fZKwz26Fnauk4tZAkN86DFPPbuJBFDAkNcs3C4N
rL4nExnQ88lmcOQir7elgwiGuOrcIonU78PfyMk14Nl57ertx8tKJhMXykBp+2nGtNGC1qwDrVmw
VXdhwltGm1KQdVi3b/ymm/yQx7r+MA2VSc9muP78aUqBPNC8h1Xg1MCmuC1oO0leSWKyyZhKfTD1
uB2ANRE93QsNq34NdktZon/AtiUvq9y+FAZmBjUD9N4sKp8xtd2clpA32LP3GxnzUB97gB0GVnmg
Ho9TfrtbowHsUNY0UQWn+OdLSLtSwpA3rHVZGK5AgYdh07vmub9LndCLbPEwusvSvPq1tKfWQhpo
3z7gzVupqcC+Bva2AvKcz/LbPgkw5Ld4nxSLIjap3sfx6baIbetcyWBuflRQA4TRA57w+QGrKq40
ozRSGVj0wQZEmZ070jhR2dtarLlZZ5yCqrdoM/Jql5tGu/oZzFHHc9sL6ojOkRqlzlBJNqib/CnK
LHCNch7dy337wwetRDE+oJoEAwxwONV03+4XGBcVRZgaowOck90cFFvJYe49TcBAF6rwNWHzRELJ
lmfbADmOgphVHzE9H7Z4CKmclgDnHNnLHxiVpItLqVkr7RyL2EpzHcDRoHPEcM6QzfvyyWyACAbd
RnG+GtioKDr5KJfdBb0ja8reJ+w4palxf/tIN++Dvizvq4aMdxcT9EdJMeMOW88giHSB9JzMXirs
botYAvofxrESwQR8semmVk+QxHfdUo38gWfRbQE8HZg7PRt6UYKejThz45b9pVBcFN1vi9j2yysl
mDstZgHVtAi7EY07e8jN4a3kh38g8UzuwN5yXW6dGHNzzU7qabb0avLWnyNnrh97805MrKn9ySWh
Wv6tW7KYq2virSFrCbzEWHwJygd5/K6HozVp72H+cPsMt33/6gyZ22sQEIUqy0piuG9P4QkLL1fx
DXi3LnXNf4hQa0s/Lxy6C2tZe+bhsHJUZTF1kkooSBJDvii7oOgI6pPeShbooiaZ157aznI/dGXh
dNCDrvugxjhY7zUH6aB6cwhaNHJHfkR7EwPs+pfkmni85JpjOCy0DmnVKK8MzOfT6iUWvgx6bYF2
MQhPDa2cduB4rO1At1KScR4UKAB1RBDMl66QYGEu+Vt2Bv6TFT/kB3Dk8ErIPPUYTzKDIafMFk8y
NzK2HEwApsq7fioxr4m1EdoAn4mHp73llRVZl1DAM7DGxiK6l4QqQ1Dh3ufBbLet22NfsBWtGpqm
77QWQMfFSzY3Z4LWMhk1kyAOBwxK4n2ZxXYjnrrquUcVWLO6CeKOavEs8nKWrZPF3AcSMsyHLVVn
eInV22huzCCIFXgcBfOfpPVUA4+/x6h0zOJoDpwcbNNu1tIYnyOHRFA6DO78tpv2SbPHI7nD7uyh
PoAv8Plvcr61OMbvYP0mmIwZZkr0x2a25PYZIxu3fdtmdXYlg22n6CQvy5LANCV/AcLRPbyCXiO7
dUW7+FLaqc17rW8FPdQyCVh9DRFwrEzQI6kRiS1G1rD0e6+SwlbAXd1y9mE2K8BrIUzUE7rWGJRl
10ILz7LogmOvRN6u2YAFC4QfSvWE94pd/0VKshbK2CKhzdQkv8dYFMOtQixXhsER00+8TyZtRL61
HMYKxXDMpD6EzVeqlbxoB/0Y7GNAGmCVGas43TfemsNW+FnLY80wrqcwCCLJCcJzuGxtl7E7iucI
E3JFw+2QbjquD/tgs9ZKCjIjx96s89J64b78jhEdX/dipwCvUfgoXxTH7V3SW/xVoM1R9pWibCab
pfIwKgHBfv5VORS/VBmUC4lLf5qgjMI69VNy0g8KOKu0Xe7/BXwQIBX/vRZsQTPWjD5vlQBVl/gk
NHYlurPkGuRnGf24feM59++3j1t5zHyuokSe8DVV5UEGt2r+ZRY4FsoTwcSB3OxTqkc6irNTbRXU
3PcpYOWqev/facJ4En2em75sNMAeJBjr1vrQykh1isLSvy1n6x21/jSMM2mSKJ/xfTC4i5ex7Bfz
W4Yt3+HXbSnLobD57FoK4z26gnQxpQjYXdScg374IhsRR5HNRHYtg/EcmEKLwCaMmfH2TXWiF/A/
PQC9FDth2JtwErtx5ofejWwTDJnaETt9vDRv8zWy/gGMK2nNMChEABT/DqALxZGZ/dO+3+eYuyu+
3T5SnjgWtoroSqCMEnzJgpInWIAHOJhuiv2zAhNxPDBmzgf8ffiri2UAV2cMQhwuUVU3DDBNjglG
jkJLYnrDSH6j36xk1EqqZV0DhZoituTysUgP3Zw7GvXiubAT9UeboAr+bii7KnAJr3HHudcSmzbP
LXYlwa0DsrIfBojE0l9F8MTRkCeD8R0yVmeLvIYPLmpA9CzIfNF72Fr5rnNMXz0XIMPK/YlwMjtO
0GEX+XRxHrJcRBt3mZFJYCTLsml84CEDbSeQH17+997d6vsRMzGoRlGSqWGSOvAHXgs7AqGPvNBc
69il5e4o8s6TcSsTCDwMocSNU4rvsfQ8KN+HllNE44lgvEpaF2qV9XD3dfKg9I+03AMN47ZZbLtg
fdmakMClys7gyJ1U6fNS7UnM3o4l1Wm1yC4ScqzVlFdZ3k6vPmQtf199oyCXMY+cYflKHiN/yM17
zcSokVo9SVpaWGpW7JMIAILxI1aNrBlw6Ipccjq2/8FxffwG5qb1TR/XYYS65O8RP298pefpTXTJ
zrwjPtcqeRozd87IkkmbGmi8gFrnd7nXg85GPiz8Hejc8nzYtrl86Lb8fXW+Yh+YLZBF8NZ/WZwy
iHHt5GA403VAkpU50uuCz3XbfBYj/9NtfohkInhRxlKSjMiYZ4xex6MVDHtavsfmmxxxH8E89ZgL
R5McMRZLUyi4JRd6bOxmtJNn6mNubD891XYRWgawfDinyrsgzB0ECsschinuIABqrDGxI0Tv2nRV
3kVc/p1bJ7k40tXHC8w0NEGpgJJlfKqSl/Rb8d20JXKpDE4g4CjE1ryUMRnNCOt0jrJUr6PSMsTG
GruHvk+d28bBu2xsyWsW0q7B1NXS2F1Q1YVLYuc72V/m5kvf4HU3lst04wTZUpdW0dwIQbTglHLp
552+SzGqf1ujzWimgZZHAgmQZuqMCY4dFZJgRIpPisEXhl/gqL4qRX2UAFyCLkBvt0lyl1P9b8Tq
qDcR3TQkwmLqYnVEVdoWGaxs+jH90cZf5xHoVMDZEO8V4yHuOKs/myayksc4ar0WqTg0qCS0dbfr
AWYVl9UBXOVOJnIrhlsNHJSZ/tWNcchpQJpy1paqBZAMFl4eZZ8t42tcXp7NtvRaEuOM0esH6hRS
CBRg6a46RPf16yRbPVgwFn8MbkZseNaezKmYbJoMCD5EDVZDkKJ/vtcC4LKFxDDxxsF8UGdYTero
iW1kAM4ydpGeWUWtWbetdPvzfYhkPp/UAxYmKfF867raHtPsTi9Si2QR8Om4AMzLz//j0q3UYz4f
WjlBrc/9P59vcrFMegy8f5ZJeZ540/+vRLHfz8hlMMtjsyHI/IS+KsNrnvC67ZvxbCWDDaEtDQNt
gjp6sWvak5ABWKoE1OXVGDkfiafN8hFX/p5kVaikGFNzyhoxE6/fuEtcuUn927bAU4jxWETNxjAD
dStKWua+GfXX3pQeYgNDBKX0ZLY8l8+zdiZayqmUl8Fyx9JTvc/c/li66UXZ/V2qs/pOTLTMBP1/
JzeXKeX6S+rQgw4qcOA0WAk6RaBl83lQQJsNnIXv5X9vMosFFHQD3th9h+nKa3FJ3CixSkBb7s3n
uwlEWL/ZGHfAw6uH/85S2EVMDGsPYoxEy2kyfZeliQd8LjdV0r9y+h/qMV4jTMhMy8XppzM5EqBj
1tT0R1P1VQDj3TZKjoNi4WvjDA1aLYCoun8s49EnPbZF+tIBfc+325I4t0xjfIZsyhhnKZfGie7n
wdMsnilv5YWnDOMy4rGUOmOZXut74R48Q/ZQd8eAdm5TEN7rZTNJXJkg4zQCWUoFsAWiEnKQAHU/
PFM3O9e5ZTjCT+2KT+eGz4FbPGqxzaNi4KnJOBI0iHQlnJCDiNlVbbt7AazTYUWteJq+3v5mm3nc
SknGh2S5MRihgCRLTKidZ4Elq7zhcp4yjPsQBKEQKYVZVGljTT0miwDGuVC1dzqndbFdmPjQht2y
zJIeTFEdvMaCna/ZGBNw6LPuNk4NtlrtwlsK4GjGrlpqg9Z2o4rPpArvUXw2oouY/BIpr5u9ea8M
0VQlXVEN4w9GgJAAH3IpJpHiriufDfPa8oYDNjVZiWDMIJ/7uNIHZDFD3lg58SIqW1H9pCncecXF
s/2Rw6wkMdYgpyB7aBdY6QFQWsu9WoqZikW83AXZFafgsm0QH9LY0ukQplmbRsAUbp3BLb80PyMf
OLwIXK2/QCvy5HGOkS2eAjU0ryp9cU/gbFH2ceOR9giS1Nt3dtMxgfDIMDD4BAACxgmq3TQpI1li
Y14f9KrYEQ1TbUZmlUrka1IEQEyJExY3M5uVyEXxVQI1kpqqmGxYoDhML8iQvnfKxSCPtQRojjR8
/e8UZNxfmffqmJMaz/N6b9C9ooFDEVjBsxWOz3n447aw7W/2cZqM6dMqDHJwXRFHiw5oKC07jIHy
PEt/5QZXR8gY/jRjSFgRGhT/QLSs7pXwToquU8+xje2e8YcYc3kCrr6UWpRF36sQMx36k4xUrXST
JwrkjdzmdVS3u+4rWcxzC/ynYVAmMEQFwHGmF3vtsQLXoN+chANBFVjd13+zyYCFGoLHnQYUwj8g
3YZs7INwcVR1u0si6kRB7dZmwjnG5WOwXkoF9YiMbQnjT65IyTQDrObhIgOzF7utC0XdwnzJ6yRt
eXZVxdiVApRsCTSlnz+W1PYRYL+gDQkmty2UUx0ljmqMu/9/E1+LYRIzYqRYfi4Qp8J6j1XWMLwm
vU0nTsl588xWyjBuCdAXmkiXvnPvtfvc+2dDl39mWxnLWhnGFU1BPCg1ljadrP4WDe6kc7LYzRu0
FsB4n6RBzQlDK8AEyqLXIJleOin7oRtAtwQETD4aL2GZnkUAQWvyT6HIOe5oy9OupTPuCAWMjMiY
P3WmsN2NxPRo1lmCMVhzMvtxHHm3TWOL/dpcy2PcUpLEmpIAwQd1bP0aIGmKPVW3oucI0wImnAdW
n9BnhPIuADZvy960fo2YIDnCBfiDvaoramFWKTrSpCg9rcS7oaf7TJzd22I2T1SDBA0VQlNTGA3V
fDaDpMMl04EwYP7SASkiHhMEF86X2zacD0FssReQ9G1RBWidJgK5k3VsJ7Rh7Kit4qfDdCzp/FCG
8znWpfMcAKeeD0exlRioqx/A+ONqHOtJGivc836womi407vcK/vME8l9HzZWFXIXGLbSubXI5e/r
cBNphags37B1xLfJzRf+sRKb7HgBuqTlt963bebfj6kyHjMMsPslDGgdxye0rZzOF6wGmGoCKD0x
BWL9ZiHj9V22MoS1joz7lGMzS8wc7nMULSHzpN5NgvM8cB4vPM2Wv69Osm0nKcAMG/azg9c6Ug4J
JXuaad9vX4bNjHitDOM+Z/CpCdmINXD68k9jGpTYIVjc9LPgq6MF3lDntkSeXow7DdI5/2cSqjH1
YylJxyyrvqVE5WSom2Oba8UYxzljP1bFXiDGdWJLrN7y5BQq12H02+Y0NYcRXL4oIt1WjXuYjGup
Rn3UweCxTGaEd7Oj7pYplOHLsi40+ihy/1W+8HHB2aoY7toc1CFCExVOUeVF5RnsJbd1Woz5j8xn
JYLxIUpDs5AWcMZ5CY6AF8KbvtjsU62+E4uIHQZ0CmYKO6/C2jLa2NJlUHVcQvFZUH1CvFDyxfJU
UscseR2lzariWjbjPVoyLw1GeA/iA4J3Sey+9oAEbnwttsDK4SrojFN0i3m96c3UaHWojAeR+jpB
kwvV9I5krt4KXt+3TkGVr5nQeWJNvboIsYHZCW+3PybHc7F7v9JoGFSogGMxGZ2T0SezdAXD8NW4
5dwEntUwXmUES4IyC5g8qcpfKmhtet5DnieA8SJdRLFdHOB2LyuH5EV5jr1psACB5Cz7uGYHIFQu
zA3v9BiPokhj2XcRrMUwYzsqsLmVvFb1tfmbyRNVQ9lKImD9/oPxkQaUhnME61Arp1bfg8TODO+2
IWwOha5lMLpMhZJmAkWaV7gTamOqh0Jmd2kw+l3uRhtbf47yKvvYGbXJUXi6LXz7HD/0Y7xkU5mG
oFNASZn0a1R6gNfUQTIxPfyFFOwJyKK55JQqYyGy2CWBGAK/jTbY3awOQ7AL5tw2pm+35WzC86or
QcxR/g9p37UcNxJk+0WIAFCwr/DdTdN0IqkXBCWN4L3H1+8pzt1hs4hB3dXMq2KYXais9HmOif8A
F90jHPBCf/AxuHnCZO9t7JUnHcvMsqfaiQPKeEs8ldc87vT3VYAv9vlCOvMxNTNCdWSZMWDZSIES
Nq4hmKe2vC6BZlvE39VGPPZGYoVgtZy04k4yWiddG1AallYPMPCoWZy8q2yxioETG9mpFB+TNH0r
ZfQRQeitLaE1zM3JyKKHwqjvjLA5Dbl+DdR4TA/laEwTgMr96DHv3kz3zfwLs4LO/gfeVJePE7JO
LkYDLWvUCgWZ3O/EA4rhVqbeh3XLsVk8OYynKxC46uOMreJ6eqjmQzv+krXvpOO8vE3Tf3Ea+XNY
N5pNOwsV7msqfLU6qMNLadyhtxSjgaZ+kzPOW9u0kxfiGA+3gPOpz2NEJLVIScRUR+aPb25NEVw8
ALbPM6tZ1Q8ZHkAqnsPhSh1uDHKsZn9NZSzYRlaTNlYicW5r24JdnIyJj4tmSfsiRLdY+lkfssA8
VUDwj1zhJvToUIHx8HcnUj9PzzJvnH8zhjUMRdMB12SA4uXzJUr6SPJJxSV2Q3WWVO1Q5rIdaRkn
9tqkfQT/mSkSE/tOWAf6LGescymPS5xR8ZXfWHP0wAxXw7IYjn4teqYL/joctQcd0OjXT+CAfOJV
KbdD2oufQBXsIg2RlliISI2fkGGuLQmkAFNYNvFFD0ETSnq8x775ZS/EMV926cs5HXSUEIXpQTHd
QcssRfu+b1B4MqghuDhSpBQIHyRapmy9EYSyDfIqTrNw89ldHINxPqm8kFExclhl46aQH+bM2T8C
VzMYp4MVJEkaFZzBfBjesFgBThBsrVvZPYCo7MyX7ihqmGFNr3T1Gwv8vWM+7v8E3hEZx7OWipov
A+bLqipxW2IGyqoH+yI2LfI/XxFF3s8XNWpp2Zj9hBR4uOqGW5mcI6W3Jl4PaksfNLDugMucANGZ
RXcz27CC9cKymJgFAOwAQ23Y+Psn2XxGlzKY+8LKSDZFJWLH2ZM8ChYGGIkryafBKsBVnpPnfXlb
l6OJSG1Qq1ZEkQ30u6XM+xh4C047/YqnaxBD7v/9zczpUgDzhhKhxOhMCQG0kSZdRYHpvbPwvCpg
KZNczIDM6DDwKi/bN/VxLOZZhfIQCs2KdSJidpYeSkEuilYs/wl20eXhmMvSMnlVBdoCkqrRGqag
wLBfBQpVTOyThaMZ9G+x8dulLOYZCcIgKqOOiVDwVZymbHWaUjovyjQ56Iv6RlpbsTjyVpneG487
UtnGeIVeRhYlUHnlujykBxCTXoV+7UVHQEZbmgW+2MxX390LgEe+6688DhzORbKd8niJgKuy0nEy
Ao6oLPWqEPyrcnfYV1OeGCbYKsy5iPQa6J1TDa5BzJOhdj7zaAk2215IMUQQeAOXGFwRn83UPK/j
iMm1v6EAsUzlVj5JbbpeN77JVuyGNrdtvq01HyKZ55epYaMKFTQ0jPQrfRKwRtspzjKnbha3QUb+
yqSOS5X2Nc7TiY5QRBPRaZZNFuS5VItMVAQBxIrGTS84cvdGy0JjYqED7VWKjbEls+c9+Y063mep
TAyk52phItcn7wMC8wFJzgHLC158/L/r5GdB1KZehAXlHLZJuYBAvOwaJzTcFtnxzJvd2GgKfJbC
KMsSRrIyGR1BP1a0FTju5NgHwnUcwEmf97X/a6rxWRSjJPGkSLnUVoA+pNC1x0g75XKPzcXCDldP
AQExiGv3JX59b58lMva5GAqMVwwGpuW6+7xGReteHL19EfRPfLZcn0UwthloRe3UNI3i9LEzVgez
zL1IuRcqu6rD/7P1+CyKMc0D9vMVIquAm8dWDiYB0vQwlSvnk9FL+HoedK41A/0owiKa16LQG32d
KU48PMTDa5bm32fk3rMwcKLeryaDnuYfQSw2eVI16CXWqeKYIDirgxLEq1N83+nfV+V5Ld72b2mj
qvtZGpNM52aUrSm21VGfm1zZTT0FLNNWcVC81tfPZrAvjnc2xs7rZiT31QpNx+54qQYqMMfCV614
bZu3ijdUxrkwFoKCdCH2uJOaWkEbQb6/lr9kQsCpHXE0YyPG+vwNGYOUTiC/zPKUoEbXLNaaYNOT
IgILf1F0vof35W07uxUrh7eLzzsia6O6KVaFAg5F0FpfrrtfZgZ2cU06Ix3mHZIqwo7+E/pbLqzu
HI79MhDslY7a6KZr6/cLoJWV9l7Pw9JrxcQrwOVnqVoURC32ZYZv+6qzbbI+ngVjspTYEBO9wyM3
2srv8DwwHHGQZNHdF8P7pIzZwrB3VDU1LGOivqSJa4anvvsx8UCreO+AsViRGeXA3BwUZ8gO0Xi7
Js/6cNbE2CpTYqkdd+CH+t6dy2NhNuZxVvIoofKOoGNAcaBAcWDwBudv4Mg/KEZ8ehEKY1VCAUx/
eQxq596B8wTnbfA+naC7tL2coGjAxTakb2zvhIxlycu0Cccc5pnUj3UnWzN/tY7+iT0RTIAzmWtX
CJUJEj4cCtNFYHZDKn9l+qNf+jzEP955GJuiy5qBliGEqRjpmI5Tb+/r+bZ7/uc5KYzpyLOlVIwK
em5OIBxInG5+oRB33b02cqIbzsNVGMPR9JE2GrKpOHLdBKmIAaO++iFp693+gXhiGPugIYVoUQRT
HX1Ir0k/O8NEjrW0cOwD5+UqjH3QowpshVGEFeDaqsL7YrVrDRX6xF5S01JjTvuMY43YEZgymbqU
dAiiZN2OogcwVlu9PFptXXFCKF4cwM7ACPMgNUo4KnQ1HPTv3go+iqzCeC8Kip7pFJyDceUxFiIC
0skUwtph6Ex90UGBQZ+SfifZlBNlft3XDZ6HZrce6wIwIEvSI8IGS6jqSYF+L9y0p86TjooF1DS3
fhoiS/pvms/OvJSDrM6KmRFHT65a8b6I76WUI4LzjFXGTJBsTYqpQZay6m9SfU2GmynR3V69EZHu
cT4ix4mojMno62TRQpqmjF6NVVXJwhriuX+nUx5Bb8xzIhzdVxm7ofcKIVrREkcribdGsSdlnReL
8GHt4O8fjWM72BZkKxhzGUa4qGQ9ENhClLR56RBPBGM3Vq2VZTPLVWcdFXeuerdtE1dUTM5JeB+N
CSymeMBmWYtnvMb3pWwnEubJ+mdDDvY/GEcM2+pra2JofVrjPbWHfrnK02PaeKLCKc7zjAS71KVq
ZWdoEZ7t6BEP4bVfCRZte09O6QqHhAt1Tb/OFw9PDCJTMm0NpH7494sYt5HyXstLOEXpYcC4QufH
4G5NRWu+T67V7ys252jB1B6ex9TKdM772vymF8KZCEYMp7qrI+h3X2EcDsWa3MkRqiUci7Gx4YvY
7EIOE8bUQofJ8DxUnFGcrVRJrlfFtIxQds1U8oWlxNChaBEh9cXusZmF3CoJcFBU6axojU/0kTN9
vOlQsfFrAksZK7fstngW5XHXivg5rREFsnZS4l+r/holbqP0br1wsBc37eWFNPYZNqFSpSJuWIxC
ayWdpQitFenC1aTJVjQU9/vvhCeOeY5hmql49UiaQs1JZ88kiBOKay3HoAgPSm8zYPw4mSF+1t1S
VEGsOCJUaMobIyGW1D7tn2W7wHchgXkdcp2GtYlQ7j3+TU5SEPl0h1kOOl5wsGksLySxT6Gb6khZ
VCCeRm50nyB5wJzoVXgVBtPLO9A1Gpq8+uXm87uQyTwLjC40q0YTCOyeF+QYa9f5+CaQh//4ERmH
bUxNWAymBsDDFnuxmNo2rTi66okBO40FO081H8qZo/TbT/7ibPR7X9i1tJPGRZYX5R1hZXU6e8Dc
1Y3h1LFdHDBL4hq6ZSwOb++dd430k1+INfWs6gpAejtVdgCouEXMB33qbM4X5V0cfYMXUgolSma1
hi9KD6on5hYm74+hh11+j7jY4/KQynvTiZefbTQKYUYvviljSaSuyfEeZlo4k7wCpbPONxwYFOJr
Xv+U290f+YcLgYwt6cYZJCpNgbK3NN6bxQS6lpchzwIZJJucT0ptxRc/+CGK3UXSMkIUUynxSUWv
ElJXWP1pfI6TX/UEuHBbE1760uPI5Ngvk7Eu5TRMajqA/4cOCsZ2eRs74muOHheAUCz5GXNZHNvM
0RuTMTLrLBdjkaJGESdvWXXVyL8rwSl5HoDzBtjJEKXSSsMAqJOzFrdjFczzrcGbEeR9OcakzLGU
khRob06e96cF1U4QWT7v3w7Hj5mMAZnDbhWkAmElOBjjZLHNcgZCcmkT4BeXnIBA552HMRsr8qai
nyVEBHWJ0fbyOGDYWE5WPG0BWcAwvo6ZYQvr7yrtzojjHAxyH9Y0d6S+85Zl8WLzl5SLrkrKI0Ez
hWhDbsuS5q5Tch8PmHoKs1M6l3ZmDNdJ8dIOujWXyTlHrDOmqjNJ9TfTQPDRr36frATA/4OlmoI1
E2zik+dBS+6ivLb0ZrKl+mlpQtNK1ma2VnkBtD6m84vKjsPkqBoi8J6qk57N96AktLJ58PKytTLM
4oUNUNBL81pVEFGCzVJppWBOX4W8+NGZWCASwF5YRi9KnR+qvnbbFLBYS2eHYgQEFtUt1/hNUxcO
usHX+Bcrt5hGIAC0RzTGQugIMZmAIrgiXGkGW5edfAZwpiLb6mDPyksmgZdr9Pc1a6sp+0km8wxF
cynlzBApJt3grk7ppIi5sfBjVfBMslX6CgcvbiOr+HxKxtOvoQEl0BHHtM7fmPShE14NnuwVXuTx
mpUbfcTP0pjXOYjV3I89qBY01ULSjI2X4VX+KbmZp55Vh/Mxvxruz8KYd1oTsgiYZ0ICU8fuUulP
+dy4+vprVhaUmrVAVmhLQtZuGyP/vS+bZ+gYN1xWQN5XC9TfIvFujU+D8TZ0PF2hurDnlxif2xgt
uuczXD31uWiyeOKEZhWlr2n97gcPE3e7anThBhmPOwhar6HnR6Ao+UF0c6imcWieAIDgqUfDS12U
CgKF45Y4wRqGgj7HM8g/x3qkSe+MpJeyBbcnFejw4oGOewP57yCdZR4qGCeaUVhurqoMjUHJ0QZU
rRqgNJ1PV7OUh+aK2BDp8ApyG8piqij6SrIkI9kWmS8rlGPXNjTXFRWwSMnLwyBlNsadefOfWx/z
UtB7TnMRHC6JJpTzgtc3hW7xrQbazkxXnU3dXn3Nkr3eD+9Lvwn238LW5/wklglmMm3sCk3DO4xy
izZcai9xDWe9W9EeBMGL6fCmkzbmDPVPEhkzOmOAwMjWHmsVyxvW1b+J4V9Vr2OORgtMw/w2mrUT
9YMlx9157MA1sNSvoRL/aEzTmpb1tk2/qUNxHKfBHtQ+clo02YZ4vRdD1d3/NhuhxKcfyljfEald
qKothmDyYCxfUm2wlPIOjOoaD9Rhw9BjbVSXZUXH3iHgNxiTZA5VWS+Acnqf5aN0GasE1iThrbmi
VMddwvGeGwkylkCIqRLTMLCAzk4bYxylE+MFxVi0mE3DyzCDux6y6i3SQqtV7hLxDnio1v7n/BrF
fpbJBEtSJk6zAdoMMIA+dtEh7s/6GhAe1sLWtrFEJLRTNVOj2BXMrZkzmYWJQEx6SAL1VFwTcLmU
PWr2i1ec6fBU6stB5JGz+rh/wI1bBFC/pGiKDJo94wuu3xCbwmSMK83vkgBUaZjbog67qizBl086
jyxj4+1CniypkoJbVL6gtiRqo5GxAt3JdNc7oV+4xRM6BS90PaS1p4D3cjcu8JM4xqcpedWRgcLp
Y04sIB0y8jL05/o32H840cFXo2tIGjjSENwBhAFsFZ8diwwuekObgQXShW7ca9iYky01LDnve0sK
MHIlLI5BU4CY+1mKpq91Wom0sTN7SnLESGY3nfdVYmuTB3/6HxmsVVcMMi2ijrJa7xn+fFV6igv2
LHCiCfdtoN8ZlmwVMaBiejvzluAPRt8/SWeMez5h5LROUZ1KVK+ZHoeytvposPfP+A4O9DnWoaHc
xxkZg16GbdjEILYCkgWqwM/xrfFa/9CfFo8yjYvP5Bz7dNXS4vkuzv2xWgJomlKOKuDg1F0QG49o
PA+E4x6304yPozEhcaNGZEyj90ZSFFC43wEgHYXHQ0Tnhd6s/Y+1yihBnEenECjPDrgUjuKBloWE
A8/XbL3ii8xJZ1+xXmKQO4PDT0RfHa00mUAtfLPor/tawRPDPK417Nu1rhXk4b0tlZQx+xgt35I/
oFGH7n3kgUwICrQbDFaj7ea0sOxjZ2HXrE94aRjnLAb994vQTI1EUBSnCM3Aa6APVugrLkAXQGnq
CJkFcu4ElZ/IzpyIW+rdVvGP4zFxQSKXyVAqMFG6+mPFrEgBxOJWJJwXTLX46wP+kMKoRDwlhtDF
0PJOKq0qTa6wCMIplfA+IaMOGEMoharCWM8CQzAlZSAW06GJDVscV14NmXqHneOwNcE4Use8y2Fz
aX2uQ30udVoAVy6JlVqiNQWo0ezr+mbMcaGFbEVwjAYFW4u4pvlWve0PtbfCZVkRyBQoGq1LGW8H
YNHWfm7zdlI3g45L2Yz1BdiukHShTHsdlPQ2cyss7tBZH+D/X3MTTeox9r4t45kVRdDkLsFE82SP
79hqa0B3Ut+R1Ti2d2uj4PJtm4zxFdS468iKPL0BI1/6mj+iNHlSUzu6Mw6JLXrCMfOGIA7kE8Q7
Jtb8OWHI1wTgU42CrSWaLSCgTRGd8C59GJCJmABEn2+EyB6FX/saJPNEMSamiaQqn0ok8CCADBrw
M0vN7OgRDHOSUE5KRLAPcZsFTd9YiozoTlWsudb9RZItYch+DYPg5dhMTuO3OmywKoPMUY08sbjr
4gF8A4CXTjrb7Ca/DmEm938953Gz205CKrdyKKB7krbYqLqZpydp8aXhcV8Kz0majJmSeyBzAQ0D
9ak72QbdBWIo3V3gJOVnnkPmXQdjriS9hU8B+rijNLmFQUc5+TmoP1LgcsoPnFNRLf73F/WliDLW
DYp8tBBWV+ADplm/dB/fouftDof5uvTj64oT99LvtCeRiQpbMzeEvqP1L80rtJus/b7Gz2L9Ct5u
h7Q8a7xvMRSRsU9qE6mzoaLmP2I8gSiAyg4P+vRXCaw9sXXEebSH6L7pg6Tm2A+OVVZExlaldZJ1
BsGban5PLorsp9jR7/sfOpaQVgxviUCikdz5Gg7hP8U+ikiv/CJeMFMlG7oc/a/MeFiUY6/cpjGK
cOn4X09Iw4cLQaWUNMZAEDZS2GSQtmGTVrd1XwooReMKWH4xiP3yIAY8UCaeCjHmKhVzvZNMzBaW
+KahbahWPv01Z8csvon1b5wXsv8YFZH++8UpUyHUKyl/r6WmZ5o76feJW/iNgIqqYaUAzSNnjLmk
dzwrsJlgf/hWRaSf4UKyUK9NqxvIMCJVtfua9rwlW0tyG1vUNpEKKxPIWSgaLBU/tQn4KpTV0QaT
M2Swb14VNk8tG/DL5xNdRSAYmJMUW1JRIOp+Tlhy43xqjig2XZ117K2KCaqd4RMwPI6dXwEu2loL
9Iqj1xQDRZETirazL3X7fk0RY0yiqaJT/fkrR/WsGxU6g05U3VSZSx1fe6/FbiRwPiRPED39xXWa
xKhXoKcqzlx+183YIXrsr9mvWEOdRuTt8G2H7h+nYrR2SYx01VacqjKcyvwrSm/DP+BbQ4D0IYJR
zzhq0iRW8TAkySoMtPY6Eexxg5WVkr1/RZuHkWRVlDGOpWCp6POXI0mj5h3o1rHpc6TuEPDKqhBz
wgieEMZsovYd52KDHREg6h5SIUWAo9wA555zli2YBwn1/H8Ow+ibZi6m3PeIYWXge1vpQcLAHoHn
ReDsl6fBqd/kQ/Ui+EYwBbxhDN4ZGRXU+0SJBVnDUM3wFsWHQcicMf753y6L0TwgmmKJu0WcJIcP
TYU1yquct3O4GbRcfEJG88Y+TjrNrDCR0AV6d5NnnJe60Q1B6H0hgAnA6lUs1ymvYYiuR4eSS4YH
gB0DiKC3koPg9355jURy/7ttF7I+hLJQzgZyVFkuUYWn8zmTPz+TyBpeFbSz6FL9EpDX6DeWRA+8
ga7tHO5CMBORLW2ZKnmGKoZ23X0TXSyknpuXwUmD3B2CPyqbXQhjAjKjH7W8bQnI6abCjSvJLlbp
Bp18TsbPu0KWBK/XS6NZ6BqUCkzDhxZZ8RiYpi08ITDxoJxWaZtOw6OK514iY0WiqdLDvoLd7QC/
RsDiLtizbbyO1nqn+8RdAqOzJvgxXrLIeRJsS6VrZlMrOmjstNhF/KvmEtRvBtIX98aYjijDgr20
RHCTb5M7g1mnPM00kP0G6jFn/yXQ1/UlQ7gQxVoQbRijNER4NyYC6FWDLg+68VWfKt9AvJday8Qr
oWy65guJjEExh0Uz1R69tjX6FgMFBiNV5VNS3gk1bxORZ/7Z9VidJJQvADHOcBSPs6OgOS8FsQd2
rgdg/WDg8H1PYAlMYpmP4v3+l+VoCbsya0prVgng7YNtBj+fqDx3icEpV3JcDGGMSVu0a9QpSLgW
rKtEtZV1dwY57B9jM078uC7C2JDSFESxoz3cRvaV+LiEf2nzOVt/7EvhnYSJOgxk+3U05cQRAaDY
XPXVryXipGrbIf7FSRhzIVeYcI2Xd9NLl+dJEB4KO7syrMhusSzH22/c1nPALhkYWwLwN3M52kqU
clJoWXw8wf83ACk1J4usgQQ6hP2v9y+W8EMWc0nSLPT9nGNGinJ1dlin7DEtYbzieckDskM0Mm6H
03qOjzzzwTskc2/J0I0iiNWQfnZv0hxjyq90u+lbCsAT0K1xwjlqGb7aqo9TMheYh2oxyq1E+xl3
Ijkm0XH6NWYvdeQJEi8qoV9sTxYTORahutZkwATY+xe1m7/Cq/z3CGRDEZPl9cS5wG31/zgZY/AN
uUC5v0DeN/RvwnguhseqeNzXEYNexd6JGEtfKyAXMctEwahu6gEVfHLiSrTEPveTrnbUvHXNCRx/
6xDUDRDD1Oq0ErTzpjpY5hrk28QHaep3QDQfJCN9CaPVSYwi0AfAFK6pHxl6gg0RONw+t+Yis1WS
PNbz+JhhttHMVRBk9ZZYGXc59oqLaDkZMyAe4uGQx4KzivldJy2Wjv+vmAB/0gozgAMNu5BlLyT6
VamFzrCSk0kWF9uOboKUQVF6T1tXa1xDdzEBk5hGdjVFb8byvArrnTijU6SIV0U1H8H+4Op144fR
5PTraI21auuqYaHh8iSHzdsg/zTbCb/bUNzcpDMEgJ7ugXXYLroltPWLrAugVUWAIYb3Q1wdkj6r
3Tgx7vbviKcGjGskrTCNsUzLnv1V2Z9kPUgy3jwITwYTbveLlGMsBxUrAIk/AhUOgbb8ql3NtuAr
J9Mhh8TjWcLtcUrpH/Vm2zTArUgBEo04NPk2uJRMOHyUb41fJmDoSncK2hTu9z99SbZNk4f6UEQT
Sq1yId+TvDymOvHnVPX+mxjG7oodcLYTBTmemeh3SVggOddbqA6XgHc7TPv4goydbUUTg7US/CPw
jD266i27xd36gxb/Jm88rvT2ApAxXPPZ03iiGatbEiITQS4R3BPBznPUHBTdnSa5s0J9dYRaOc0D
sUSTcL4tx9qzLZm2XRVNjOCu0/ipJFcxGEjNAzFP+VgjWOWhb3OehclY4EpXehKKKLBMtZ0VvSXJ
hdXgke/ry7/EIB/3yBjh3jAnTaczhrSMS8neo+MYUE4p2cP93fLAcv8lAv6Qx1gUIdKqVIjxDuiy
IkWO05weM2f1D9NunNmlrWwE+fK14pc2Lzagn2zH4ZiMpVErHUAgtMLYLqVdq3mBdlZybOIf5agk
nNBgX5bKzqcqVT72qo5FjTWEG8nRLGoLq5CWc1GsHL3kiWLiurUwZbnOYaSXLLYG8VBEibVqhW2U
wX9SFhSx8IEviphqGypF3cK6EAm87woaYXlppc/wZ1iA7x74+Jn0Kf/7jQH9+LPArq26oRcQhmji
oayO1fhH+cr/aqPKdkv6cTTV1YQfyJDMihjUS5zsT1bCaUHpQwp96pefbRVnqSgwpETZYkuneRox
CgX0IDqjtDwLVzJvI3g/CAah0GeBmawXU2bAdqggfCq8ldw0pZOPqd2DtmY5hGKQTdain1btOKKZ
K8/+pI6uDsjD6bCvMttDaBdnZ+xLqBsk7Ol8x2TT6SKEMV4PzMjhHvOXN4qlHqUjBtEcWvEUDjwg
pX0bCmLgz99hEaNuRayIKa3wLRrN+ypcLckweM+Cp6WMXcnnImxKGUhyQhmeuvmR9NejIV4hC3Nb
rXYx0RIMneCaJfqN5WPYS55MZifvFU6OQI+z81rYDkqmJDpYuBBJ9SYGqsMrTExa0eh3NTo3r6X4
sn+12x/XxHofIZJosKgbBYiq9ZqWspM0gF4t4imWOdqz3UaV/pHxBW+jBbWTPtJsDowGq5OdGjv6
DjYPd3D0o3BNHxAdfTIDrp/aTrc+JDNGtc4mvVvAaoXhSTTHQUALXDvzaXC6K3RvAx6Dwr9UYT/E
MZZ1kpdMjpv32ZbVM46llz6Yrnybv1G4W+6S5LbCfkhjzCqgZVJRzyFNm560+ElI/0gRP/4+E6FV
qySY4LDC7pDkmOtPbTxhc5cOzUdXpPm+r4b/EsF8CGOsqzzNU2qmsDCqldy8l+sd3ZV87O6iVB+6
PJuy7W0/xDG2VQ5VbVETVNEa7LuZXfFYdZoXJUgRZ/OeczSqZF8f9IcsxngOo9Rjbp/KUg2/JiHg
slGd7LPOGlrNFUVsyBdY5AMMKIaZbbDgcurovLMy9tPMFmURBszw6pJmmbErJLfIL8BOy0kzqYHc
OydjQMUK3rMdMMQzYKt8vNLKczZeh9lozZWXNvZUcwZDOKaLBebom6VPxRrnWqozGRJrgRHjBkvb
1vify2NhOeS6ACgtMEBoZP1bwgwe1mpA2HqN9l7kKRYWdp3al171K+HMa7Nw7o0loSkyIaNAjLKz
St9y6dwk3+TqNZ051vm9rbBzbSz3MiD0lrbTUDifjuFdcaIZBLhYjhPyiNLTXk10CAyrwZJ5HRC/
O2QHuknEH1TlaA8L2J+ZxTwtdEZB8XsAqib+3yDhPBvNUxrGziSmsBZgo4CSSo9qdxJwMB7D+vaY
2Ye/0xjjMrUZKVUNS72ZRUccMWh2bAMVu/LIojm3xzsOY1u0iTRKRcdoGgSg0jWmEwCgaXEMGHUk
exrCGJCmy+S5l9CYSrTFSc3EXpMRBArYKxP/ShPdqZXpnNfAd4gMrx6Wa7IU1hwZvPUfno/QGAOj
lS38KwVlah3Jo2M8rWSL5wlZS2vXijUEE8eicR4/i0i9CsqcqREuMgonKwLkQdvbq/K9LB4k/VkL
Of52u98pg2NQxFKyKb+X4y8yDCmWFqNDbR9PYHFrUJWCUeScP3fe6AK1y69+CIeQN3m5ecQLmczd
FlpfN7SP7jRiaQnSj7r4SzYeGwU9XQcTNPuaxBPGXGDSkFrKCCy2CYbeoXqKpsaes4NZ3GuKS3gU
xJv508fR2GZ8ZyiNUNPPCcoPs3gpJNVqjBXgH9fFnxCGAdXnn6t7n0S+uDqxnsY+N4CqlR/6Q+5l
PtZnnTKIbzQs5Qy8dv/mq7+QxsSZ2SLN8kRQK8g7NC1+S43ViW/7V7X92C5kMNFlkavilGkos+gP
7RWWf3zBLgPEDz6xC0q1aXPk8c7ERJt9nsVTCAy595KS8pY7kZv9v8XV5Er36fTEyNMQnkz67xe3
ppC2xrAgLX9KR7F866TIEiKdYz55QhhvIE+q0S+I7BxDeaknj5gVUHB+7389nqozbmBOJEGdWuyX
jHDd+QG4tCraz9oNyqv/TRBjLuahJOACRoxXS409DoBP7Mh42wFTJ9WNX1rOm3ba2EtH1eVCDRmT
obS1TuYEkFkpHtYCOvZ3umhAJhgWsUFVhEpj7vOwBTYjrw+hbI8dTGBLkcXIrMQ08pL8KK1OMadB
FHEi8+2E8UIQTR0uFLBPhiwhdGCtc+MzsPICMIl4pv93PsybW+AoIttyHzSVDCaGqR1kHV35NGlu
Vj/sqwe9jS+RwsV5GKNhLoAoSZX47/3V//8gjvvdGGNhdlEstSaK+BTjMgkaH5O05DslAwY6nz3w
RoK2vxxotkHnDQpElsw+ajujnmY4yWV0suRXN5305Of+l+OJYKxEquZ6RVKcKCmCSEBN27jTZ84u
6XbDDLOB/3sOxkwY6Wh0RYJCaefOTnmmA4uZv6KAR2lpjR+5z4M+pffwVR8+BDLmoqpSLVR65BZl
133PKqyV5BnnUNtv9UMEYyCAUiwbEW08NqqXzUEo/EyLwEDN7D/dD9trNEPDzKoUSTxJn5Lxbi1P
ZslxuZyPxTYXzVnp2o52xMIKTJ/JqWkf98/wLz79n2/FwkAJYowqs4woBaQBSPISZLLymZbhFODB
qK+auy+PdyDGGnTarPZAhsC09HoTpTcGz3zy/j7990vrmZmxMGqYUyow9w2cD3vtucUbjnqx7UIj
68MZXLOYkP4JLlawOJen0qOhyTuWrq09L0F4w7PU2+78455YY1AliQBiBswxj+l9J77ona5bkt44
srFYAG1/3r+n7YRVBtsDcBxkFaAOnz+kumb6mkeIy9NDdVNgUjZEuipiwDJxCOe5bt/Zhyjmzgwo
hYjCIjAcCpA4puuNYPK62ttO6EMENbUXamFm6jxNArScztiQIPNp2QL112D/q21abBTNJXw1DZwb
jO8O26xr9QHphYpXFJ/7yJ6Kw76IbT93IYMJ9PMewHuDAQ2PD6ODIAR93ei6caIz3euWOFezbR4u
pDFqoAGRIs9nnMgM4vPf+E3GlXK72qJTeLnNk8f7gIwqTJIur1pE013lZKRnBdyyvNGuTVW4OBGj
CsW8hFIZYR47A17IoMg/sxm4ZyvxzRr1QuyR5XFvk+pPmNVQ//nQDeYBV0YVVQLocqGCFOBvyoCI
U7vYoRzdd+a714GH57tppy4kMq69WfNMmjsofbeG98aMCaxYvRe1X7MQcfqSG/A7CMkvRDFOnRRD
WkslMkMFk/Wrg9EJh1ZEixvKHBQ6xq9VBUpV/06pAmo8iqnES4C3LdbFb2C8fl5putTSMt6kF3Y5
hIBvWKxwxYIqWa1av1FL7W3NY2DcYYsaGB32/sPkqC6bIGSkSbJqQpwrSgekraiq26SInH0hHOVl
x3C7vqlidLUxtqU/6MZB1q+G5cYkt6nuKQhxRk6EQ6/tS6z2P6R9x5LcOrDsFzGC3mxp2443Gm0Y
Ghl6b0Dy619izruneyCKuFdnpcVEqBogUFWoysq8bCn7PCh0dZmSBieoJY+msB90X5F3Yvp1mg+L
znv4UFeyZYx1NSgpCpH5gbGnI6u5a97JdygsOqovglon42l/r78jr1bHOJumq7rcbFFMr35RxLZk
Rx7yRW88qvvGHVwlB1w3PRQiZ1NXI/mVWcYB6abWkKnBXRHMwSe9+iW1fpSyfNAS5TypCg9uxPEC
rHDNEHWknOlDBYPcVnvfjGetOKoqJ1HlnRTG16BfYKhF34PRrPs+FeelFhxFOuvqPuudzpQ5d423
hYy7iWUxShcNaXEWn6cpsqflXVQ93fiatDy1Zd61ZryKCtC1HJuobhT9Q5vcFu2u+Sss5uVAqOLn
5GRu8zi2GqwGJG3RdN8kRyPlnYI1cq5rD60yqQlgCmM3CZRuRDi39Tma3Um/L5uX2cxtUjiL9cvi
6ZJxnJXKZCpZMSZKJ2O2RDxALibQ9/+0b9Jg2yeuYwmu9o9xHEB8mtAOQtJQgdJBgZoL9Du0I3g0
nYgAeza4xV3hl8/dLg94WTlviYwLma2p1OcJVaFi2SXpoTfuRTMwm0ep2MXoixgcH8m5y+xQK/iP
+zRXMSGXaim4F35MTQIaBlfIObeZl2SqTLLSDmWZdZQ/gOi1nQtuPJ068AXm75Y02kl0jA3DVcWX
CYKcw9t//JyMKynrpQtNFRXY8iQ6gIYARGhi4ORni0rY4izeQEmtwbli3GkJ5yjRz/V7CNI1sM6K
IiSGmMtutbkpiwJeIvP4EOfnYf7JWRu9yhsG2JJBVzdGX1HHpbTg0hDOBdDnxHiX64MeuUrlmJIr
Krtto5xFsTUEOdNBOJUWqotW0vOs/VC1/HnbwrqP/Hfb2BrCoI9tGyqwILTeuPhGeCp0zpf5g/+6
2GAueV1B3qiacSryPaiS0D7Vboo9wRuOR2XFWwxzpY1artRl0VE8Gp8L7VHX35e/Algpl7XQn3D1
Gs2kvuknBc3TeHCyOLJnK+jEh+1v8oeU/GKEucKiES9RReec/iGLTbxx16J/T5so/bHc9R6V8syd
5S0F0XDxv5Ak+8Pb8fILmIvchz0BlTr8f4/eLF4858pJwB5LeUfNY9pwmXW4Bpm0QG3aRawp1zCt
ZX7UsvwoGGFQCNqAX8lcPymWZYmSoUqixqxPNJMiLmdkx2V7Vk0sTHD6gZeC84wwa4KmfZKL4J90
RetxWoD7eBsFjoNYNUElgTUThFK/zeGnWgXm8JKSqeiNAyp1ZAaiK4YJx8xq8Loyw1wsHXYURUTZ
rKhzJ9X2GPHu69mWeXzwvOXQv1/drjBux1SKgGWO5hI+1skqSJXx9OPW/dHVapjrhYfDEGkd5RUY
H0PlSdP3mfY4C3sovIYkMCvFKRfeLPmqJ7+yyRw4cN4YgMQhenTZLh1fBl4iyvtCzFmDvGsblhb8
eF7UTpuBqHuSWnuWIQNEIRbbDmr9vX61GibYZkrRzUWFHUwEy8tEzzLum+nGaN2IPEmCV+o3utza
Jq8qwjkeLARAkRe5yyCY6y7g2ZuqZtfFNvjivO3V0a36LdBfFsdWAmuQ2YApF4+8bDglc+rImGZZ
5tFWmv0iPAyGv22Ofvktc0yqHaHJJg4CBAoG8tUsfsnFg9TqbmTusmriPF9XU96rlTGBWJG6RNRp
wyiavaJ0Sf7QyfcZtMsH6NAXQW1NnLXxDDJ+o9MkcSEloMK0dgv5xB3xKeE57xnB20LGbbShvAhE
xhcb0gNyP6F1k3En9wdhfNr+VpxbJtO/X/kniDjkgpyjrWeZz5LcvMpVsROVFiOJ0/dtS+vDulff
inEYo5mYciZgTUbv1HvVCwVbexh3Ym0P/uxbB3mXnpNbaU92vGoc75YxriTHN8vlDrfM/Bolu9A6
LFwpIfpi3TrzjP+IQysrzQIgCulWAwazdE3MPH+1ghxKXtzcgrMetrqH9mvbLw2KU3XkqcadWd5W
GmdekmeCeaEbcyILE5WETKbB7rLFDmNP4REIcQ4fW9FrxWwox5z23wYNEzG1r/U3mTh/tbLO2z58
nGvL6k+LRm+2JIR7J5N1nmqwHPaxX0bmcwhxdx260CT50mqEk/Zy/K7COItUTApjoTwk03iUMXkG
4CqYCWvLmeuzOXPuF++L0b9f3WRonTTDoKGVUHaHOT8Q6XEOOc6P970YZ1GN1aJnGYKvOnmWaQvG
U6R7OS8D5Flh/ERFhiWeItQVag2cjhEGzQanMvFPzjkU6yn6xSMpjF/QhVBaJAKPRNlwcImC+rXR
nA4DgqVXBkAFDDyIKG9tjJtQosUAyT5meOSkd1WCoSiz9EITk3QJD9bFMcUW8rQ+E8Oyxsca8uMw
HaTm2BN7sHiJEw3mG46PLeWBI96qUwlmyGHxZRD7ABR3Ix2Ae0JHjkfKsV5du3wxtorXm1LZV//M
kWKo7K4JRMxQOwM4cAxPBfYvxTMS1SicymDhdB8590tlUo08G3NwSqLnrbSS3YiVL1pnufgrGrKr
BTIuQywxEtRFKF1ramo3YRLkReRjtmy37Q95R58t3nWRYpj6giPefin3JIgOYAl4SmebigjOO72w
eSWAdfDw1coY54FDoudJiKOvBnQkNzpYjoSx3NajAqIzYn68rziAZd4nYzyJXoPkdKHU2SDOAHtB
nz7GhLeRnEyN1aDuQ5Bzpwrwf+IBFCQBCeLbEuSUhtP/kh+NoP/gWJHQxP3B+YI8w4wrqcIZk4g6
Ll4CKRXjCLwUJHHGo34a3AX+SzxCStxJuCRQHLfCzso1Y1fPeY2DEy3nLvqZ518a9YQRfU5izzPD
5B/QTpCliUBwWFJS2xyfW2QJfe6NvESbdxFYNWo8VdqxnwDPgn4YMPu5O9ny2z+13cK39jInJViH
uF2uAQtlacV4aYoM0W1Kylczm4NQN+0+tAJLjIhN9OQQgxcizwHHDcNXDF55EdFyu1A7u9EMHmps
vbZ+9XMYf5OWbbHkBcotws4Mlj1FUYt34i20hgDorwXOV+U9s1nZ6hYbLQCxhIjbeaY5OxVmTgTg
jXW/614h+GxUhZ1ObsN7AdBlbEQpVr9a13RBnFFod3tjV4xPhc7BHKx6GhP6SRK6O5JqMMFBEoQ6
jwYkX1IU71CvfRrTn6B24jkb+t/8towrM8zXyklbZnqDjjuExMDCLkGoHUAvAGAo5l34C9VvACmu
zNFVX6WU1jhMYN8ASiRUZjeXMS5atsCy5bYiCt62O/uoQWwtjQkPhWaWEWYAkaE72TfNz/0QZIix
az7Vr8jQ7Rm68JlrufkhwtQSQuLbtn3eB2RDxYK6Y1ahx9RmT4Lmqyk0Q/1tE+uu5mo7mXSz6ctl
nBaUaGmoQCfpq3yHdClITsqB8ivparBtkLcmJkIUoqnVswl6wpwcJ8FtpMc6etw2Qf+Lja/GCh1L
spUrDT2QdCgO5MhBsu/26YHXBlmvHVy2jiUVk0oBPMXgzwCkZz4038AI4YZub8e++KYCs9R7CHmH
+cibz+bsoEmT36sLUBErAWsUOqqRatpLt7zk9U+j7jlvbfrdtzaRcR5zb0V1PqI5kv1KdKfLD1Yb
O3F3Ew5OLPMuGs8Y40KM2EjHGu1UcFbe9NlwwKRXkKmxT8LRm+cJKiMSx+mvhvKrb0c3+WoTDXXp
J82Az09EMbanOPXKKvLGODmrEU/nYzUpurLFeJFKm8JMHfDBBPG7Mob2rHpGgidCOdg9j32OdzgY
l6H2YyQnBq5zk+70GUxLNuE9uFfD1tVyGI8hTBIGX2kNXDaP/fBLNnj8Mbw1MC6i1lqREArhGgVf
DTU30faWwUOtcJwE22cmddtB5g5HTgf3WdeTM4zuezEOJiu5TWtg8sr51Bg1J/v/mK/euFdsrxkF
/REHD1NogiSkjpAYQVqKP7JMt6ehaO0k/BGl5FcYduciFO0yTZ6WGY3vyHCNMXUB4XNSNbFNqBeA
UiALiPogiuD3E5K3VI8dcdAcvR29RG3tsjBvR0gAVXovgsAtjpxEHB5Vs/KNiHxrIT07yaZo622j
7CW5emqBzJPD0oZI0XstJ7cq1NssvbQHIffV7qu2NE9VPQRVD4q3UrI7rffETHEy0XSWWgqWFlyH
ZXerNENjS6SGgK3uSd2XiIC7N0w4+IvtM6J9POyu7u8ip0ZljcBskXQXWzutvIsnbzuMbF9b7QMc
d2UiXhYhqTtUT2ssqNCHx2Hs96U6vYXye5EavDR02yNp7BxrH+e60kNRxl3KL0l9VsxTh/hVOtuL
4u0bc3k7o8xz9GkR2tPXJlZsQTxn3IISzwhzgeVelkJZxAUOa6c277v5SHh5C8cE26NCczEb2hKI
poS4k5jZ2uwYws//sleYLf4cI5Ry0lulQPqlY5B5id+m7LFvePnXKt7l4k1Z+e8u7Rdpngz0OiKv
DfetBLUYoGN1ux2epSpxtORmMjkgqe3Ng1D754WFZlFLCSUvSEPLSUf566z8SmvejNE6vuJqafRn
XF0gqN6Ustni/UEc0akeOsyex04EpRWQWxz0k74nqOv0QeI2R+NO99Jn7ngs/UJbzpaJvHrVZdAv
xEIpAxNFdgg3OsShBHRAwDHPc+0cY0zozVWrUEbQ+LtRupfR2c7JCdLeSs6D56+jcq/2lbnDSlKV
EYAjKKqfop14ju51VzmoT5R80Ksw8Uslh3lTcLwjw1xpIpPCiim4qKyfGvOl7Xxu42U7CfydNk4Q
xrET4ZrGwYnaZ0M+kfwbgD9ASqnjj+2rzXn2aKycsWam1YKZP7y9v1Duv+UY1mBfQCkaquIjkDAQ
UFZ44IT1auO/H+43Drm6yuZyymfcu8qWD5DgoYSf+tMC2WZMpR/Sb4vXB381cXNllEnky6VRp6RA
vbGYbxvyRpJvS+9ydnPbif3GJdfpUh2pM0ahsvBVzG6s6d1qgNva9cXPXviV1Jmd8BL47QOpiYxz
6Rui1NUA5zwPuROOht8tUAlUYs4zaL00drV9jAuJGkkm44jatzzNx7CH7oJifBH76RR2RmO3+fQ1
TtqgrSx7XtoM5IMYSjZHf1FBMS0MHcdzr/carn4O42SQCGlKARneD1awaKceVG+xhYfQ7yG1J39p
beiSud07X9N0nb3yyjLjdawyU0jf4HoCfvIwe51TBdZDE9ACr+DU3oJh2OVr4pqRzSfG531sxvuY
KkkhlYhVo2hQ5Meyful5bH28bI8e8atgJQlhRGmfMXQ7BEJROt3oZJJX9n7Mgyiv1xsvO/nx9ytT
gzrkNVj+6fz6Bw++q79JQbMvfHAjcUgeeUklk8LUFRm7YULHvAF52+hIde8IxbEBhGjbA3A+0Ie7
vVoS3gCQhIWKB9gGnyPDq4sD5O+2TfCWon7+QGYoFGoUgVMqj7Vg1J+KwbBn8OAvEIjftsQ5Ciwy
SR/SphclELj3muC31leTjJhS/BItGLMBeeW2MU401z6yqKutK7IGxCRaTHOU2SEvwq0MqWLLy1/o
BOHoiS7Q63/XMLkcQVYkJMyFrmslJEZxQ26rMHXCZMLbJjpIg3rPWSANMH9OwlAt/fzhpi6JBJ3g
pY2azkPpT8f2dahtDZQosh3dZoCpP21b5JwUVhJEjidJEWY0oYTpRqkPcz/acX1TofKybWe7hKCx
MKVFM+Uli7GwJjsoCeRHDPBcBgrokAtiV5CxKDne/+NVs7WVjPcfRAuVCuWjL1SfhB3NafsvlFxt
PBrPCkiS3QpTyKXd7ccz2EV4qcR6Y+bq2DAxAObVqKuRBWofHF2dnRwEZwSdqwKqxjjY3l6uNcbr
G2Qq6zT+gLUh3tjkLHiGo91TqHLkFq/b1jiXnoUv9aVqLkKHrS3w2DNiL1YSeJpzlZxIYnEODi8R
ZIcU1bRPC5kif0zdnaCzVPuxW0KmsXbeajs+pgihytv2+ugt2zg6LKwpGQcj1CmdcGc+dsmLmHjb
/z/n0rFgJiUr5qyI0BAVllehuCvJPR6wovTfyj4seAnU/8usLwDHqNbrrDzqyw3KWtsL4X4cJrM0
0mZQx4qiD2O782oIKMWxnb+abyCW/bIEo9fciTsS+9tmORGUHUIcxamzdAjIuEl1lE1vmW4Jj4ef
d8Tp368iTTSHRZpNlMikPJLcE6eDlj9OFN4b/Le1MG4iDvv/T9CjQWpCuRXqU86rlnF8r8L4hk5U
w7GZAPSuFoegxFBIO1l9bZPMzcBtrkz7WH7cXhRn936DLg1mXolSCVXixQN+Hqn/z1b2q/RRqHi0
rpyXMAtfysxIHCOU0D6SfNnpHjIUTWh7KXZHkPvbxG3tHgKq2aPGwRNxbjELZUItiJS6ATwMIW7V
nNTiYVqcgTsyynt+s7ilLFZyqQbG3BWSDOFSe0qM6pTq0c8arQvViH+h8WkbVvRqFsNZMsP9PFr2
opa83ITjFVUmN9HiVtdUqvWi3ocByGOCwpFuBjfEXDOgYh5kN3nehZMNsRinWRXjMoPqEPRWnN6N
dsUOvK8BCPKTfXKnOfm9sd8+t7xPSv9+deszJe8NMaGOuT7k2UH1M79LOfvIuY0q41mQk8Rpm6Gb
BvoEwHKb52n4aTb7argxOxA4/Mc3OQtvkow8DiHGCnMn/VD74d0SnIgLVlkwYocOD6bxkcdthE6W
7VskFpDHIzJ0+l5T/Gk/vCxgVVvc2JGOqT/atSf64Khzegd0Z08LlBxiCAjGX3kiDpwYwcKcxgUM
Nx0tWrVmUFqAqRlOG/G6b5wroUmfz0s6prUhNFitPJ8T5b7qNE72wzmQLLhJaOZUSnq8PcwBxdj0
qZYOlvCaNe72ueecSRbTlPeQRx8mBNSu/rHk9+0YQRLAj/sg7Xwt/r4knPIvx2lrjCtRaiHq8hQY
KrmSn9VowrPqS62Lzlh+08zlZkp4euIc/IHG4paSDnwIGW1h0vlFTOvgPSB6JWg0KXyRct0MLuiI
uBQ+vLycxS2JuZQsMaZ3Pl4Bi/vPK0AFSlPxUPrhuK/1MbLLm4OdIRRKXRezHqsUDx8qLR+swMO+
DXiWeAefyVqyQW7HYkCBQa2/5+WPkId95h1I+vcrRzzos1rKVE+7KpFPjm9R+TpOL1Wa233zEo9f
x8rfvgEcd/HRir4yqBeVBuUHlJuHtA0IRqyEuTjIhrrbNsM5+DrjMBKxKzEbiZeT0e5boBwAaJPS
cwrMHODjhvS6bY2Thv3G7x1pYNOEHJFb6u+qcmOBWV/oYOYt4krc8UzRUH61f6TpZ4wwTmB2gpQI
0eyoMB3AX3JkLC13pp9TQmeZvI3FyEKxQ0Y0VfddZ8dybmOysKwcw/DS2Jm+8UDCvNUxzxx5niaN
THhKRZbT6okjGDeKbleZZLcdJ2BzPD5L7Z2m5jTqFjI70/LCxDEayD/XKfTNea8C3omna776YoPY
aBVRegB0ZR2cHaE39q1fSn/HVHXxSTrrKoqxJRGoJz/6ioIdO8urBag/rYGP5zLgcdrzPD3L4S0u
0yApI/or5nO5l53Cw0yDXTmCU3ypdzlYXSXgEOPJ5vG+897CLJe3BDy3OcnUJwbmQbLr2EafzPxB
ocgqnTD8qUY2xoa87Tu+7lFUXYNCjmKZ7PsnH/Ixsswa2BwFLZZGcNLwaTTf2iw/5vqp4vGvrp+a
izn586np2jqRY6qNhRBtRt+FGukrZ0Xrl+1ignElzTi3lUCphtUwu5OheihNKHymZeTOavWcmjx7
f/hwF4NMNpKjtznMBB0TzabaQzG6NcV96FKyKOOA12Mw73gVtPX4djFJt/nq8uFJVxe9ibOS7scT
svK9FJCTuhs44Yb3tZj3TDrkQypYQF3G0suofYV0pR2b3Ardusu6LIbxJJKRZYY5QsZl/E57NCDb
ugVZDkgRFccAyWPrlA6UTjkBm3fuGbcidFk2iAp6je38WIyYHQa/lvyjzva0PdCnnAT5D52HyxqZ
hKQqtDZVDHgV4pSQGLMtoLfr2xAyhtLBOEN8ZPHAYBjwVsn5gOwrRhticxlahFVNfFcjTxSOecg5
I3+Anvy7NPYRMwjA1SuUlg2UEK7uVBi+IkcxiH90NiUx03FmXlW7vGlzW3RRCgPNB7fNtx7RL7+B
cSvq2Mhq3DdIH+rwzZybnRX2d5osumHxLDXlV6HAuEE7BUuVvmz7z/WbaELm0RQN8PGwH7aE8sKo
U2AyVSAOgBLEPLi4CzlObf1D/mvmI3O/uvANeqZWT+WAFsHv5dYZTRfEwpzX4rrnvBhhsssoaqwk
nkA4lBTpvrM0OywUp5mg7hXJvp7xLj5vTexHS5eoiSQczqb+XuuTp8a1ExYqZ+fWvctlUUw4KBWh
KaQeNy/NpdfSQIBTin1iJPcD0r7ts/CH19rFFhMJcMIiI2zxlQh44ClZVOwm585H6dK3XB42ff0N
dTFGt/fqSGQkNcQpHcDGLMhe3Ca7ueQ903h7R/9+ZaJFSlIaGUYes+WMlp4qd24YP+jR7HA2bt0b
X9bChIBGkwrFMlBi1pXQTy3te1pZ4BX51SytQwTZbmXNA1DZE7rFrszGDdPOSePqZc7VU5hA9MiK
3Ek2DrOV+JyfRg/97xWpy09jAkVSVo1GekSnHNkgsk/M9n0v9nRikVfK/wP+5WKK8SWkSivTrPH8
ls/yoUxtaZe/xkg5TxhvcOiECFDJPCQdZ+dZcGc0JSA3ixEHTfEwKE9Wta+kYySf5O5J1Dl6WKv+
BRpbsmWYGOAzmK/cmbk2ySFBKt++ZIVnkJtkqJ0CWj1t8mP7s62e3CtTzFdb8spSBkiQuFrm69Wj
GR/b6rHnDQ/yrDAfrOrLslJG3PfQDCWkmJ3fqVVvy1DprmKehu6qu7wsiR21aS3SFkaCTkWjiY7S
jF6XlwFM7bd3bv0BdGWHjQJCs6iFjPyZOFQcCiJw5+onnlxvVAeezpmJkEHMg45X+109iVd2mXCQ
LeowmiPsWmnnWsVTFmaOKL9otW9pRy4jGXeZTFzoxnoUSUmzdhU0vKH62kvTo55ITpToeyFZfMmC
7iMkq1Slwht3hvBeswvN6SadDDD1FPY8WWBA4NWdOUfKZEJIGM2jXFMM3GJ9K9VvveGnkEfmKSeu
V/quNpsJHmU6F3L9ofkCZS5oEQyWVwPUAP33Rd3P6MbKpLOLgXMr1wPklVm6+quAoqcohMgEuWK8
H1BAzbzsrD91kFDE+/aZJ5KyGiCvjDHuZsmEBaTTuDBk2TXWSzlySi30dv8WGa7+f8bHGMYUD5GC
xWjSLwmMSmniTdA2m3sMbDS2aryLxN++m7zDwfibWYL+chXDYjjv2/YcjrtZiWw5dLfN8D4TO7DT
a4lmVgUSwd7/0K2nLdF3qtUNXb1bi4O0WX8/X/aRHdORyFiHCuV06F3DpjFWetfvhrf0pvUoEQfZ
kcIuv//HJTLeppgtuZwpUmryQwArk/txp2GMkMrJx8/c8UXqTH4/KirE6g3QeVpsJ7KuFlA705rE
cKCNyMwTHlJsKHFTNJcjV+K0ltdd6cUcc82WsRaLJUHjM2q+T/LidVFmi7JjRKCUgKABBji2d3M9
sF/sMTdtrktD7hLUo3M5C/T+62BinAlVx7a54TKm/eFwXowx126KErmyciyu8QjEekvfuqmP1Id8
gDoftle2fuMuxpgbpyRhEecpPtwsBYqyDws3Fe5agWNlPbT/a4V9ps+KpKrLbGBQV4t2qf6NSMIZ
mnPbS1mfsLYuVpjA3o9Ea/sB/rAFEEp1oN/3KDwooCauj9MxcVAEnyFZlXoWsZtX6y4NZs4v4H06
th0pa5Jk9SroIwG/OWqx8L2eTCdeSDBFmSfq31WIooMAxS4EKejmyu0kEmxvwjoa4moTmLA/y4Y2
iSU+aHoq94a/YIK+cYm/OJHTOv8LHYDVysSVPSaeZ2TEO0VCD2XJTonwQFujUM2uoXBbvSyV00im
LyXvnEWuR6bLl2aju0TaeTIXBc6NlmR6l3hgtvCj5+bc7oQX7R4dfBRiFIAo9ybHF/BsM74nTbqU
iCbmG8VDspN27W72Ja/9u1GLq31lXM7Q9fHUgtDVreWT0HtRbNqtwElXeNeS8TRWJilt8UHfNftV
vIMGcmX81ZPIhPaPIVPJCuY41kqXazPleP5QLFUEwKw1vwBlXNgWDlF7jrn1j3Mxx5zGZWlGy6rg
AuR0n5guEYKlix1hdEm/l6XeNkNOp379TYu+wv8skDmKyaLkYi1jdoTK9kZA/YiaMznKgdKLDHbl
GW+8tI+3RuYAmp3c1UkFjvxWfy57RwNmN7+b0sOiuWX4GvK+4PqIwdUKmZPYt4qadglwceb4TU6+
a6V2SqN0Z2oROotKEE4PtSE6nZzi1cDNndbdy2V7mSMKJJAQE0rTR/kXtONkC051Uv3ilodHXg+E
F0N0168yd2PQRAxNowxSWreK+GAawbD42vg3NCqXvWSrEcWQJJBdQiJRQbSXIBhAp7fkRKH1W/3v
StiRA7nsx6kysRIsyJbnL3Mf9Dnn2PNsyJ93S0JrQZNjRJm23VflAkUfT4k53mltSgjE8JKpGIao
SDrLiREDri2B8xdMyYNd/GpPYILyBGd4a75AvN0m3990m2LF3R/RKye+UK/EpLOfLDPLS4u8R6cX
80ngI8LDGAcP2fPNfJvtP7IwbqlzLXH4ZJBxk2k6LpZJR5CF3T/yDf1uCSjPlWzH3l88wT8ZY5zk
SGYtjFUQMBntTo8eZX2vynYxJTZnF1cqi5/sMK5RmYikqLRxUp4mIHsAOfX1fbFHtDzzbu/HkMnW
F2OcIqQ1hTGtgCOiRZ3pRLWprYchUHpbJHaOFvN4wGmhqD5U+/1RsEsg7CCu9vYf18w4S7S3eyWu
G1zwVLwBJ8RxmA1ntn4u5vMyjh4hkEOay2gH+aQvUpc+c8zTT7e1DYy7jJN5HAYB3W4g7eo92qeY
p1OfptDRoDE4o9U4v0c8Rj/uPWVcZzTXUVoQHF75bN1WD8qucOpd+mi64g/jvDjxrg5ChxyX1K4D
XjbGuznsU17JrEzPKjyu52Dxk92yM27muxDTy7ofHyYeJcpaVe36TLNv+bLsFXOm6if/TK1AWR64
EBs0ca/qo+iXnnoU3OVuAjfu0/anXYn6nwwzLsns0lFcQuQZ4iE8KLt+Nx3inbwzOUN+a++HT3YY
TyTnkiUoC9JbKiNgQXAxgs9NHCWgg+7dOxfDvBJ3P9ljnJGqzhEarMChLre0FNMFoaufYjf1BSfG
2Bro04IJPMru9m5y7gkrKjlo5WiQlpa25uaYTcmeTIKzbYLe9I2raDEeKe8qPY/AHuWilEqSfZXf
tG1vK8JDxQMDrhU7P+0h43T6Rja62UDEp84vOSaHekf1urPb/xg5LMa9VKipypMGXGoDNq/ebaFH
HgVJyjnqvJ1j/EmRDlMUVj2qBfNjYviG8bagPVvflylPlGwljbnaOEOk2edV0jdUwGaMEeCG4Ps1
El8U/aLabx8DzoUyWHYAMsxKXVq4uJMv+ahJAOPduC1o1U37Q5q+4IXd7bONz/55UW0tKXoEMShX
vE9ehhfJzf1xFwXGg/A1u+tuE7/7vyeDn3aRcRntPEdNPOFUqMKwN6PGw0/wxFDx/uNO0oVffS1x
boAy6bGwESXN/jbxtNRROjr9+dI64DV6y3jeibeVTAbTNqZSLLSIqhlnuQ/C+I2zJPotfncSmmwo
OpJckR0HaLqinqIOk+JaL3hV1aEpM7rGNLhC9pbVgycsk61J9XcrMg9QJ34Gepnz8f7gPP79CWxt
TtcmLVd1pAxCLtp13fnDrB16tPpmefHD5UUAbVNSNHdtF33hrH7lcYeDczHNFOygGiKGmglUS7oX
X4Zg3I0H41Df86tU6/f8Yoi5EoakR1oVo6RqhGfS33bZaeBdgjUE1KfFMLfAHJWOLC1spPt+n7vL
+3SMBlx0LQD0ySXv+aE8S+h533E2cT3LvqyNuRVRTppE/OgCHeh8YeRBXi7QDupOcHn6a+vX4WKK
uQ5hkpVRDjVeV1ePivaV8G74eo5z+f+ZkJk2E8YBWkxzoHizyw6WpwVUNokHCeUtgwmXpTURcYrw
pcigHqX8VZ4Ipwz1h6z0shImUI7VWDciRZYTpz1RoEwRAKEPuKS6I0cexGGtBvXp6DEBMx2EpbM6
IGWoNdHLfaB3XWhIPxG/28vH8jylnCCznrX9uz52HGBW21pRaZ+z7yzbwNRSGe6a2tYx4cc53nSn
NjwkOxGgJRmpE4kA743HhXFLfiW7JhgC+rDRzj069sKMATs8bLizKbw1Mk4jahVh0iQkcNmg2Gpj
2pW118aneOTFNU4Q0FnPIRtiAQkjmgL3br+HduNb4+q25Mx7/uN/3RWahohenQg4NHNWSr1P00TA
HW6S0IbW1WOepbaqZ5xFrV/lf82whS7LiqPcGnABcigPZIckyPY6YINcNPv63l3sMCFEEUhUQvgE
6KWTZUP+OLNjN3Oyfbwz3yOu6jFn81h+jUQlmjRMJuajFC9dEluu7nudx0b0h+t8WRNzHjIzC6NM
QP67fJfwpK2+9rv5rvyl2yjR+7XTvPPQ1n9wVxeLTAwpRByLRMKjLzxLvupVgVzb5THbD6fKL4O5
5V3qdQ98sUf3+SqTm+dWjEQBrCjzQftCHRakcvJ3/XF2K4yZQT40GHip3B9e7hebTHAxp3aa6xon
Uh7qh2U0TtkELT6D2HOqnqa0tPsRoAOxfpDGZQ9iCqcuq8cS8KpeBSgobu+EBkOvRfa07eB4R4oJ
RlnRW5oew8tEra+0QQNoSoaZlm0j6070snYmHCW5numJBic6mbeR9iR3pQ2gTzm+k+hEqr8Lfhdr
jIshwIyphoqeD2XKw/MDdb/w1AJ6UPjp+S8Q4Ih9/xpjuTYiI4/yWQGysg17dwCRXVGXdqlHnEWt
B4OLGcbPxErUDfOILHnWAH4pbN2IQYUe2ZLylxWtiykm7gg9UHepilG70U/vCi/cjwc6DITqmUN2
vJRuDZzyaf8YZ9MJ9VJaVLa+982gf8oOoRue1Kdkvzj/j7TraI5b55a/iFXMYcs0nBmFUbBlecNy
usw5gOSvfw35ux5emCZeyRstdQbgQePghO7iItogLnFUnng71yiDN52GfO1SoHzwUy0TKuAB5UJX
j60nObRlpHQK3lt/qz3gPytlQKchdd4Q9a09ADpFeBVHum18AucZFF2m0ywhSYxu8HvjljIf1gft
iLzT/jH8Qy7g+mkZDIqMrM/wrPvZCdTd0flaTNGcJOenlIX6uG+P57QMthR1JEhhD2zpWnTUD8W5
Slq7sIwjCC9+7JviIAyrNDQ3daJloPB1S4jwGNN3cDzaWameIjB9h2LvEMKbOeQtjkGZIWo0KzRF
2isWJAkUzz5j5LB+B2/r2mlYpo4IF8YUJxh/EJNj2j0VxjGUP+xvHc8r2BE101q6oUmxd42nH2jT
4HTWj23wsx9tfuE+F7ZfjL+8kCXmUMSGzDVacty5uzGUL0r1PBrojX6xui9Tc1b12xIa0PKX/VVy
PhfL0iESQYwKC0miSf2WWtAvtNTPXffalsrXfUOcC5Wl4ejise5ngopxlb1UoEVvprPQ8yZJeBET
2/DWTqIx5jGsSPcTmoiHQ3GLSgsgpL2DzN9hf0mcw6UysCFOmqKlxYDUQn0/kHtx6BwTHU1pbXfm
88xFZwoLvz+5rv7BwIZF23NNC13foNs56wfasViig9iV7lTFVh50e/FyDxOiljvzGOx4XsIEKl3e
TGIsIhBt1E8igLG/06V/Bm5pcjP+lGRJ1XRZ1SHF+9/4s8xIPpYLIhTTcNL2pRp5VRR6R/+2hSsD
zBcTehKnNW0Ea11KNKAEoH0SwaFAp+AGyDpwHGS7BLeyx3wydR50UtAoqMtr0CWm7tAPjooL1orG
zJYXEZqUxaVumx/lJDrWlLiVRpwhBO9IPZ8GRL9lVN2SZDhAZdlLlIZzE23f+CAUNSXNMsEsyoQZ
kaVVXQRmR5yX8thfUvDU9LYKqejFoVwros2nx9kEgpVJJshYxgii4BHiKFKeQ/Isg1Eg43znzVfu
ygTjR2ptVbo8IqQoq9RJIEptRYudGdIToipHqzRnyD6TSH3dhwPewhjnkjTICkSJhSbzPjsrcnHM
ICAMopXj35lhfKrToyg0c0DcrBVOhZi3SaUPpSpwVsPbQ+bIx3E+taKCPaQDhkqQYMCQ9tPxMHSr
jUkWV9+K/o7VmzPM8gjkT8j6lS2Vofo0T84oF3aM8b+8DKw8IN3TTO4Irzq3jTW/PJ9NlVlDU8eJ
jte8NkRPQgFBI0X6vv+ltnP417WxSbJeKsJJSmYE8fVDEQcJthGd5T0EVvJjsoRQbPhORl5/B+fD
sewZeVXqGAwFxk3hMcc0Rax+7sXjrAYa5CQ6qBzJwf4yqcP9DqrXnWQwRBwU2QpTzFPqZfw8Sotj
SvXBQlEwFxI/V6fnfXPbD4bVrjIAUpihtagpIkzlng4KSe54ozodJuQqTL+jacY274tnmntUewzB
Rz4vZcFbL4Mu4TjMLclQHhmk2Y0zSHZK/6ih6kVq7Iy55u0vl4MqLLHGFDWg9jJQXVuUR032avI5
47US8kwwiJIlXalZSYcN1cBoWuVOlD03aBLeXwjPLxlAwYR024MbB2Qk9bmpvhj9c5/fVhM4V9Tb
vgiUgdPTtx2/r/yEQRa9lgRtmugT2sVUlV+dwmPzybQxXUWfz9zO4O3YU7LQcQpxDfTZMbkIuV4M
1HxwDv5VIog89Vi/5VegRPCuQ3c1RiOdFWzKlmiQREBksciJXUi3ZQ0m9iO6bmxTdPc/3B828mqL
OeC5ETdaRqsm7af6iCfCbXRa7sx74jZIe0b3vCaQzWBTllVEz6oumSbz3crG6FDgRWOr+llOnoT4
3pyeil6391e16fRXK2yDUp8tZBZnnKvknzG+qVTwAYY1Z+c2kWJlg/GItAkbYZTQBBXlpyI6TnIg
ZYGkub3OmWXaPFsrQ4w3DJKWRQgrQWXh00IFZQMQDumJV6GjR/Q3pF+ZYRxhLnurgaAQVO/TY9wE
y3xMqi9J/Qlj+4N6/Lvvw6C8phgJ7g5NcXVTc1RDsgkZzlJYf9o3w1sSdZPVORKjKSsLnRYdyeTk
git0l0m1yfSplg9RxoFAns8xEWITDX3bERRS5+5HDNdTdUzTGu/Q8aDKO/+eH4uB81BOhzjs8Fgb
l3MSfZekIBV4+p28ldBtXW1b3EWFVGbAuqRwiwQVFx3aoQPvOc9zawYJIhDmTiYVgKDSvUogeMrh
jZLosO8D+4ux2HajmNSmXhOYma3qopitOyrVB0HlcbVth7qyBkQDBYgoszR3Rd/MRZoiXzCfaDln
CsKgOrYgtHznI2tlivk++rCkaYhbyjWG8VXqi2cxwVuk5gHcdnfFyg7zhcBxIZOhw2Ou84q78alx
wFglOlQ4U/bNADNdbu3OL7zmiu0b4tdGsrG7mglGoajIlI2JB9uT5vemF/PSwttucbXCoDchhpyG
VBsqS46R5VXJB42rqrINP1cbDHC3mIeuGlqw/8nckaMzGPMbyUN2kC/Lg3KQHIi9nYWj2YJ6nnMD
bj9PMP4jYzRUMXWWRL8WZAif5sj9ZWVii3VklxmIQ8hBCD+WLYZIbufyJpS+7h82itu/3yFXowwG
mllFZlQ1kcWKXN1qkQf8sW9g2zmuBhj4m3XRTBtRQA9pJx/LVn5Q0sqVa/MoNyBb2rfF3ULmnJXy
2CkG0ipuLKd+2vZOJTR2OfSoTM6nycLwEV5cC7gZiGi96zK5rpM5eoaelmGREISbBYI+XYci39w5
0qBknEW+NQXsfDK2lqcnZTMpEaKL7hTexgdy6m+SgHYg68cI4gCqHd9V36wDqjO37xq4w232a5kK
cwrrOQybnpKmR61wNy3k0IeaL0gDp99u+7Bfzcj/vdDkIjaMFGxLbqamR3Oanq2iOtRR9rDvMBzn
ZCn0azIK8bDgqWVFX+ryRtcvCxIefcrpPtsOPK+rYYKnWoi1HBKUCJ6So5VDpai/zNMTXgadym0a
4C2J7uwqFKiXlCSqiHC9x7jn8oyeqg8WSHS+Da5CR1tfqRj8iCcRLyfN+2IMkKTNIrSKBCDpstOg
PgnZqSg4T0gOVikMlEhTLBI5ougs3RbKNyvkQBVvCQx6ECiLTPOCz5RRec+PcnKQ0AKw73GbN4wi
G7qEjLpuseKDZZOmjd4jUkMIPUY3hXXbqvda+iKYXq/zpCe3Q5yVNcbxTEjWGQQZ3v9lDc3jhCpq
5NCCNbdeRl8bv8HSyhbjeGKYJQZYwlBG9ZLHxQXp20l6pLSVijPdkjOvp2l7lknRJctQVUA6m81b
mlirswbVCR0V/7cGiimQj5FNW57HoLcnp7wr0E4Fbj3MR9Cozqjt4j04tfoRDE4VY5Nqy6AgXToo
56SWzqXQ+5rcvedyWZmhe7861KYk4fKy8EQB9/igohXTF2auVt7m8VoZYZylVece7wbEH6Ov+OM9
ldauz+q9cUJLtzc4NTdFswlVK4OMx4Q5RsDyBJuXZmB3j4VndAYHhjB4VsUrQfDWxqATQc091zvk
TIpqRqFnerHm4Wn/ZG8HH6vlMPCE4d+2JhYyvXIunFVVuIjTpdXrM9o4glzWnLDXfUzje4YkThxU
2bxgVqYZ5CrwiCp6Ce+LuWqdvDBOQj96dSmfxWXw9YHHJ7+dW1vZY4IdTKSnWjUi1kfHPShFiB2P
mq111hkQ6gzSaPcgotOm2qmyJVCyJ6nnDYxwVszS5BrgwdKTGcg2QJJdVE5mV9lDeV/UrwvoTfa/
LM8WE/Po0DqM0wFXatb6sgXpw+fedOMoiEt33xDnQBgMmmjm2GpZbqKuW9D8V3Uyw6esm29HIvJO
O29NDKIQdWzzUaMUALp6aqYQFx4mblDLskN5+tzH+j/7S9t2GV1BekiGkLjyBucrCJPNes5UDURb
xMFr2yl9FDcd8R6kiK5wFDgJuM2bfGWMgbLCGqxKbFucB/Bfd+V0LND1ojUy53v94X79dQcZjJ1a
qpUobdE6JKH2Qcfy8FqsKhuT92B6XDhR5OairofOYOAyi+Oo0GkiqQFvB8rD5UcDTLz7n4nngQxO
VlG/yDmVokjVb2MdkKq0695vBs5SKD78Hitc941658oZskz9VxM77B6I9qRIvYfhDCTHBrtLOk8H
ZzmRY060//aC3jPLwKSRVEohU5ZD40k4965+qk6QgD7HfoZX01zZ5I7OhSAf+En305PlVoF8wGj5
6R2EyrK4+pIMfHaRIUJbAuc8T2+a+aClgSL7+x+Ss8MsTaCRt+jp6DGzN/rmKTvRFHQc8OvFPDMM
NMrJZKZKjeJbDZ6ehDwbsfXZUhpfDUt/buIfVlU51pBxHgKck2AyOCmocx32NPQr26BNiY1yccyj
jtwGrOtHMhmEHLpYKsQGS4sGxJgTZOPS8tDGd1ajuXlROGFt5K6aRrfgiT9NpXLolPxl/yNu/wZV
EXUkhCywCjPnxJznWcoFcBAQp8bISueEF/N5cvC495Eb/75vjYLVb6djZYw9Ha1hAc/wGF4EAXpe
wbx83Tew+dlWBhi3bxO9SEuaaNdDT5Jzpwy9eOD1Ze2vQmKzxy1ZZHB6Y8vE0quts8xLGWzPHfxa
hcROqhYQQ6WFJNqVn1ugD6CDAAhbP0SH4Vt3zAEbPHqX/X2T2FHVPBHloiS4qweQAqHlP4Oe+jI6
+x+Ht2+Mu5eT2WtEQMalyp90/ZganP+/ebOsto3aX0F+SxBDyZYE7xrspXcWdKuZ8k1kLpwbbBOR
VnaYWxLTNH1l1BCKiJfFXcLFDvXXvnyI+vFY58JkL+Z8SHQeodjms35llbk3F0KkRlRmxP6Fdkpj
84AOL0dazOcmi+/7VvMhifqXG8pgg0q6CckeeMWMdDH6j8Sw9KbkKVG5o9IUTv8MDJLIAENejV0k
0GEoSpKI15qvWO6AwWxK3pT1tvZ93xO3o6rVZjI40RWhnI0CXGXArKYRFLe1lz3LaOwvuUpj2x13
V1tvj7qVW/aq3ikzDCJdVh6tgJIrKOfQNbxeQwaBBnJ6ZPNaVjhn4W0DVkajHASzWgYIqb9lja8p
iOUOkLDa38ZN1NAU0AIpkmigqeu/By7L1apMoV3mQt7Aq4XSXuboNOi887a5lpUZ5i6Os6kf6wSz
2eNs2aNCgjBHJ0L3WanH4O8WxCCU1M9JnhjIe4OwqZw6jK98ShLCgQ/erjEwhSknDLNngEF1dEPi
gRpNyTg5I3owfztOqx1jECosSdKb9AJZVMeINbstD71+6QVU7939HdtueF2ZYmCJSi0unYlXMk0G
U8LR3LQRufjm0frQg8W5gqJM3NiGS/4f4+TbN+XKOotQalqKk4CEEiTD/Rncg9GJVtOc7gayZWj5
SXxeRwTPGRmkkqWmXsIJxSZTep4VgjrMVy3z0uQbZ1/p2dn7hAxCiYMQz/2Mp1gtl87UQmY7RL5Y
XYJIS92ljo66ldhkiRxjLG6kduBl+TkuxKLWPKdaPbQj8i/xY2a8RNKPvr5TsovSv+6vlLOhLFKh
E3QMa1Dvu6Nki8shTR9Sxc/H474Vnqe8xcErQByyRSbYOlqKX5Ac6O9pcqA8jw4lCypv+bMC25H1
1TffmqxWFmNhziYhp+mIhxYPwQJUvOJ31aZMw3OgcdbHAZW35a+MqUKeNEKBwJfMldeJ2qHQv48d
4Zx23rdicEUVklCEmBg4TftTGz6jr7qRL2n0dyj81oKwWkuULfpQaXgl9HV5EOfnXBbO9Wh5HI+g
J3XnhL3Nqa7M1GNWGSm4yd1Kx2AfmgkKSb0UreWAaN82ivapmRo7atpbUxdtTW3dNs5vUWd+bMXq
VjQXF+wqJ6WYAv49RK+AvZ/GgEytyu2SlWgbikzcDr11FOeFc0XwHIbBF6RhamzzhARBe+zIq1Ke
2/AjZ4fpdbmzDHb2XI1ADz1L+JDhZNMDMPW4GlRba+0ZfNSZS2wetT9n49iOzCKf+sQC2x14Yj4X
MVq8fuwviff/mVAEUNX0ZBghKB8TdD0LgVVo/r4JHlKxaUy9wJVWiOh2puQbzQOw6pL6lofYhwqA
ql9TFbfpvs03ifW9L0XXvToLijy2oyUj/7xEs1s2CghoVNNXCLEzzXSKJfXbKkWa84ta/ChydB8I
5VmKBbC7iq4it34bRd4g145q6qcFxP5oSz3HunabpqUzGpZdIvAoEFBNWXEUU/NDb2VPU6Jd9EJ5
jDrLM+TRkUjjhZrEbXrhfTMGtBZonUgDpfqkXbrQUnVzwRG80cnvpoN4ju7DO54XcpDlTXt4tZuV
kbQZOuTfWCv16DkjrwJEbfL2QuaPdV9wXmn0pP7+7cDKqcimqmmsjqChK1FmhPBJyFqAQk10TKu6
1bT6nPW5Nw3hF5WA+MTK35Mh036ZZcsjmdZ0alqjtIaeKXQClidVkdD2unBccxunrmaYN0bYSmpG
ZFw55nLUlsc8AYeKt+/927fa1QRzqCE+h7zagC49DOYKIyRwIHs1xMTrO57GJM8S877oEzNVhRq4
PkyvkuX2eQAiZiPh4O526HZdD3OYp6QxUkIHbPTsW9NA6l0ezqD285JIOkUhV06F94WY8zWaBZkj
osLch2Q55N2ZhK9/94Hotq7OE9ELksszao9xjdrfhD0LQ5CYoEnJ1kJe5py3e8yTok46dekz5Fm0
MnIS5VO8PJbpZCsQLVlAQLG/sj8Eiddvxdz0Upzni6yBNkV+MA/TcQnKs4a5dw3s+Mblfbh0Ncbc
+ctEdEkREWoPyOfI0bFGWkBwszAQhpss5PWhbBN9XBGCLRCUcpTGUoknhGZjbW+ke2jtr22FUsWJ
bn8QXKRnvdDhZui2BxhWphnUiEpFVMgM3mDlHuTRvhQIjgHqzMUR3dTj05pxzjVbLejFYdDLEFhY
1ZfQimxheBXUU6dxIJe7owx+zO3caYYAxnE1rH4UUeGiXfqTBro4rVb9kMg3+gTBBTJ7oZC56pw1
dgyqS61HS2lbPoaT6hVT7Igqb+yVt34GcYwqm0ITF5RrksEWSHE3SLpd5hO4qK1g/8RsHk9dlFUL
TciKxXZoDY3ZZG2B5LtgfdESMF1JikPizyYJ7ZZwTucmsq1sMYezVxNhSUWKOxI4vO24v+Tm35WR
RQY80aE6pAiIUGeSf7R65bRV4haS5O9v2jbMXKvVIoOg+pIuejODmPSnqnziYW7uOTtSAUntwptU
2u4RX1ljIBQimRhoVsAqFP0T3UFL/pGSmeDgRzeD+0Y+dUQlz9c4Fd/tQ78yy3yuWUoMUG2hJL9I
AByM5032iNHmDMK8mGzG4BKXh4+7UgZRQ7SQEkHQMXr5LbojXhYgU+Lp7uw3bnJQTjF6xRzhyOuG
3z4Dvxod2NxMNIcR6Ur4ZSc9VJlh5+ElHe/RKavz2v03Y8vrlrLJGWXSGxmyzQjyxkdVeUkXT23v
28HOzbsyv8y4SjiOylsaE4tJedkPJMF56H20U7uUHUYwbOVs3ZHa1h6oSK/Y20lvC5eYh64UPX8L
pFeLZdA1q6JkrCyq5/BJR1dmNjtF6Wq4F+PE7a1nbXKJ+aVVU1cU3JhLgctzXzaFk836IknjT/et
j4W39HaGwYq31/L/rzSxCdurBTPgY4S62kA+EO0eLVKm+UVEya8wvwpcJjWK/3s7y8BPL7WSUdK+
EgiHKvOjwCO543kNCzhNLIVCTbmnyHnESGvUv87dpwVp55aXAnt7vO2thUGZoctbw1xw+GbtdUlp
0QPt1roWezLiUtNMvb4QAiWCBshiBeii95c4Km2I2N8OmMhRxuesBGN4XHniiMIM3oWxHLmFLt4o
U3y/tPnjHOknq/xHHN/VP7363AxYmWk8tgNI1CjJsky8PDvNvNfadmHtaoNN+ZiFReamAyDOkBU1
wfTfX8TY1edXCTO/eaDRv19BpMupqWxPLKzsMgFfZ3TDIFLNyv4TRY0hSI+QY/Fi33K0Q4pBsvSr
ao+e6tPwT37cRy2O+7FshANG4bVhMtA7C+UZ7amUgxFaSK09WR/3DW0HJL+An53fUbK+baoa6Djm
vpXe162vty9/Z4I5qoPSzrIkoqtHMu+16DU27xryfd/EdkV09bGY41oshWnOET6WFnkyOk/q8zjd
tN1pQcfJ9DgUTlTfFENjE8Htx9QpS7dSOJKKvJ1kTvEsTHEth6jhS91JarxYejCVYH+ZPBPMcesk
eWqUGS1YswbSfgPCX7UZJBmPpo7+0h08Ymd1TMuM1dgAiKvj7CcWZlhAA6FXs9PkkWOFytEUVM4t
zTPJHLZWjpUwpqospJMdgfywrOTBDMvTIGV2qs+nstI5e/l2hPZWycQFJjirYqtHqTm/CR/kR/EB
SlKe7OVucuoOglfigZc4VGtC/CYcxruMW/d7C6r2fgETHbSVVpmW+JZGhLAJXur1mXL7xyeehArn
Vn7L1a6yHWAoz6yEdl1UrV9E4HsyDk3qQ2Z+3z15ZpjLPxUx3IAmXJwA41CHgyOC5Ly5sbjiQTw7
DKDUVWNZA6ZE3Bw5B8hNSzeLL3vZQ/FhKez8owRZkkKxRS5X1zZryBVl2JdiibOgGwOuux5PYVqa
Bo+1fG+Ci9m01fv6TMVomjd97SaAvFB+eBetweoH0GO0+pBCmI1TbmHlmfXS5h9C6cmIW7DIcyo5
PDhVGKABjNXNUOJxZ96OKDQOh/Aiv4LU6f5/Gkk3mc8j8dn+qAaIrmRRF3WDOQxVK/5PAUDVzml1
zKvC7WKoW/Ha1bdv1qsdGliutnAykP1NZGyhlGPwpvge9yEarefLZBanORs5d98fQvCrOeZMyJC5
L0ZKvdJ54aE5LQFSK+VZvB89E1S48Y+Sl2Hg7SNzOFqjWzI8y2VwUoDwtgsf1cJpuU+L7Zvouizm
vlWSmRR1hoTwYqAJ6KwLvsgL/LYj/KsJxtc1xewktcXONeMHQf4scln9eQYYJ0cXSxKJWqS65Sfh
XvG1c+TVog3KITt6joMME802z8k5zsfmL0dRAOX5gEHUdnwa5ENnGigBy3ZIPoo6b/R8+0r9tX+s
xJqE+n2rWMiVFiMEv9ODYtly81lbbul0dsJBDM5esulKzNU2EloJVVfKHueueoyWhnOSOB7Hdjan
odJJk4IIAbzNR13VbsK6sqtRdfbvMN6B/U3EfOizoZ0I7eqYXMEWf0Re5nQu6Jn8wrVc4/kv7TEA
UWtNbOohqlHyIX1GZgv9RrjFGteCJlP6GQbdfYO8fWTwobSKmcQmjtWkPIqTIyi3xeD9nQkGHNRc
zyHtBxPF+CGML3rrgpBw3wTvIDHgIEhEbLIU3iBlEA9AGViJgebQY8vD0G2EnHeYNneNDjgYkmFZ
IsvjWmn1UkyQ+sY4JjSHQXy7yBDeJiPn42wHpSs7TFAazYjS2hEjf41HecmoLKJ+Ke9jP3HAn3xH
56GXE97adubnjnLMD+RdreirX8Dcw0RL2qpJVbSiy6/l4E8Fh21788ut/j9FktX9G+a92YmpBnlJ
KbYt5OJw0SfaN3S8qR0vPcGzxZytWNPQTbqgl69GHdlAOaNzenKTdRh8JRyf55lijlVmzij5xhbS
mv9EyfdKcSLLV2bU9zgx9jY+rfaP/pDV/g2tKE5xi/IeFaWlysgoDkl3s08FEOevuaNxAGoznljZ
Y07agphINTp0uRn9qVxu5ibI5rOWfX3HeTYUjJZjKtrAqP9/VzX3SZEU2Rud9VdItBrpg5Y9GRkm
UnkpWfqffnt0XS2xme6lEeZO0RUVoW129zbSByL26qDd9ZE9+M2x8CnQR358iE86J6uznctaGWee
udIsVjKqzRTszVPpF4fxNNxQcgMcZnt/Rzev/5UpBklGNewylcolG8V9bQ2IMV4UwQnll7ry2mrm
ANf2i2FljoGNop1NYxIQEFLxRFAp2uWTEdkdscEmZxwoBzr5KqKPlteVzvucDJy0ZbEorTwrriCc
5imw5A+qeTuL3/I8MCt3Vnjus30cfjnq2z6sjh/aZrOiyFGl+CkSiYvnq3lsDZSf5Sdc2ZAAmg/5
jczbX55ZBl6iopLroUCbh0Ikh1RnJYfSg+rlE2d92/fcdXkMujQdMQdJwgsXIhloABZkxRZGk+Oa
9JvsHUEGUgojnBJFWMCgrHpgMZV4Sq28zWLAJMliedRkBKOC+qNC2aXDWJ/xqBu8KQLOZrGZ6Viv
OqlMMJkphadQSl1D8Ook4UQ6vJPFNiDWAwkLiSAgHT9FjwZEBvsXy8NTJRi99q57mgPd4zWs/OGS
+eUGbPp5mqDLVGfIZTaeeZC9xAN/XhnMfvTGxBLyeaS2s+1X/GBbFE2MtAjqAlhuLVs7thAojZ3q
TrKloHIyp63fhNepfgwlZeW3W2xf39cFMzAizFU0KBE6d5V0dErTOkUmuAHC5SWLk6Nq5Q/74Mzx
UDbrrvW9YSplQp9Lld1qFeiKj3r/SU15pAc8QwxuVJqgmlMHQ+bsCOqxSTJ77j2z4zFhco60zOCG
peSJhhll9DWkNzVuUo1biufcZzIDGkNflapJBS/UQ4F7W3fGm+YhdUe7DAaX3Mw+broTrlIfhCl/
97EYOAHgt5Yc4wAaEkhZZuKSNDm0WeFCUTHYN8XZRjbzrvR1GkaUsFKqKz+bh3PSTRxecw5osVxY
iol2hmFCt0uhgQ7zdhSdTuNUQrZ7Q66HWWFiD9Wolm4KsQzB/CJHvtrd1Kh3z99FcihAaxbet8pZ
IR/00d/fvu1uppVhJgqRJ7wL1QVkqVCddAw/eaz92M97W76gGdiB5PqnyAGd85PIezVxLTMAYtYm
5pZSZFuIo57GY+ZRDSEbk0PqsXMnr/J//i0PmshZNA86FfrFVyFJqFSyBHJ6yp8YHlQnx/R8/Gyg
Q02/zFTyxkk/NjdQbYWKnvUa8bR3uCtnIMbA6LJYjzQxc0PlJPKj6A2H6jY75LaOfDElSu6e+IjN
82MGccbOyESMQCKP0R1640GbnxXd47gT/ek7gQqrfKMaeKPOFdCTTMd4+WSmCNM12xguJAko76Bm
uoLhQ3pg1j2xqODiThr/I37e/xmcu4lNxi9Th5ZbCa4ldEFvvWbNbW15qXKn8YCOs6WsIE6PtrEs
MenTyALZe1U+phPxyiTjOCwnZGdzKSUZDTHqkKFOoR+Ijxf0KKJD7pzz9bZXY6iYz5bBpm0wDpLL
tVaBZxhxk5ah4Ju4Rl6D+ufb/sfZXszVCnMtgbaolVIDLTbV3Lpyr6O/pn0QkzIQu/JM0H6Hytti
mwaPZWH7prjaZS4lXWwGMlO+WQPj++mL9S42aOPX/2cz1YY1mPpART2odMO/bNDvZGZcmWEexJ0i
VWXT0PgkDcrhEnd2nh3+6guxqWlNzyZNoITTtXmojAZagIOdpPdK4Tb9XTq6De+t9ofo+bp3zC3U
NNnYqB26/9E1SNuu0DWYOTltu/rZNcifCN8GqqtF5vZp0tYsuh6jV+AtdfToqSk6d4zQNcy7bDju
zqrr1JPWJ3IHdy+Tz0rjzcpL3X5th38a9LTN0z0mfPY/3h8yJteV0ZWvLjcSh0BgCX3QXXrMRpBe
nwfxwRTQ8t2fLWW00+Sh1M5m+Myxy0EPk0GPUSCkT0a88xcMiLvyR8lO3ewgXrQHqNp46WnCIDCv
mX57Tmt1GhgwMao4xDQwmtroXJFgd076JAWmOzrJBROljskf6ueaZHCkTwbNMlIcwNEf3fEY4wKz
zQuU65z0EQPPftO/b6LuukqWNZ/IaG0rM8w7J1N3kyitZxU8kSbO17MYWAn1cem7BRuZDbpr5ZXb
GqmjRTw5Cp4ZJs4Fi4GWxATtncqgHaZC8SNBPpsJxxc5h5tl3wx1sNblQoqhB+lSkUCDYNdIgj7h
4CT16N+DnV8nzWIwpE5zoZwnyskhq7aaUKqC9EbWC+DWV7G1OAVD3qLo1q7Odd9IYDducDv3ZnGL
OcGDkSWBQlRb1hJ3/yzzFsZACDILtaBgTMod64cR/WBzoManqr2dU867h7cmBjNiPZJKA71Tbk2e
9Dzz9NiwSxPMkMgP7S+J53gMUIRzOEqaOWPQWAxm/U5tjj0I9Pdt8K4xi4EGiJVGaRciTqPkd7rT
HJTIVu5GQAPlUIGIp8DxiT+8G/91QZOlQcrQ34rwE70ZvUurX7QWaniYTT2UHuj2/P317X8tk6Ua
SUJdSYUWCC/Vt2Nz0shNot/qPOmdP6TvrmtiMCLBlJk0qxhkIU54qC+l2zjxU3m2HkK7cOegd2KP
p/m87/DQyfzv2Zq7cATRLPKrYuePsysl3pAezBr6TRyH57iIKTKYgd5ctRhGeDzEzSEh89g4EG/v
7OhIXOs03gpu8XX/o+07vskOt4AZeAYTMaqTaXvKk5dY+Mfk0ZLyTDBw0ZVQza0mpLLkpcEY23Lq
K2T5B/Nde2eKpq6BjgtCAwwCLmU9ayl91um3lMBHCsbAQqOB/AwKANA51DySGPotfsP3lT1mXWMD
ucRURYpT7dHSMA3ndMw46atNx1uZYACwK/JkagqwzxmyI9cdCOt1O4y9Hi2HOq+Pi0Lc3nIYCBTE
ccrkFrZEzKnVN3XzYlRnuQO9OzrivX2v2wam1cIYKHx7Q1QW/Bwj+gcqe1058iuVZeoP+QceMHE+
lCb+9/iKI7iJxh6ltKnzoKSqkef91XB2TmOCo7iR4yQqERxVdQtatslJopzYDbwcHBGQYEmswh64
rQ3bWHHdQ40BwqXQSGsNiC9+DoylEEiekB6jXNteC5asmtezsT1KtbLI4KBaz1IrTthIiMEHNIAn
B+lcv1hfMEx17B0wcH/FLWZw5u9428tgYmxNBiShAFGGQM6GdsibzANjhT0Mia1ID8LfOqfGAElR
FXOYami30Z7MQxYg9QYYqT/SQglfFIa7qQyMqAJIGJoYkhHiKQLTqHVPM42jDar+xLEe6juY5Qo8
br46Vx+SxZUSY2HihC0tynPUfcjyr432aKr3EtR8prskcvcPyB+OOwjWwEGmydqbK6+C0ziSE3Rt
opmD9lhY58YZg+VuQv64P/w/3kObgYh5tcY4jGmC8iAR0RTYF/cl9Ib7V4J37bs0tVdWGC+xymZs
IRUDt+yqzyha2ml7qc0mmBqeqMj2m31linGRpEtCtZxQF4VsiY/sEQR91CNN8uWndzVUrkwxntGD
wXAQRmBZqJ4H3dGrSzl8NKsg6Y4cn6Co+/t9c/1KzH0TGW1aEhVgsvwfad+1YzfOdPtEApTDrfIO
vTsH943gNKJyjk9/Fnu+f1pDazYPbBjwTRuuJlWJVatWSWcdvGSJvRJ3Fr+NYlBacF7ELqvgusw9
TyLJpqWbhgIlZDu/qWYaqSJFiNhygXc5KFT7xKvxLtdEB81Kd9I4xUyqaewZtwIZF921fdKLWGrr
1l1tr8NqSwovC/lo5F6TwTjlONLqJaeEFeVZfJHAy9h+k+6lk2LY5JsWRLYZYqwW4Db5ZgKA33jM
j8MrDwO5W/XYHpQxuVld0r6swP+n3dKnTfuI4o6jedkZfDhO81gG8sP1T7n7DNhKZMxvVtB7jlEi
QEc9/iq+oLTjCo7+tDoLWCknV3QzX0rt60J5+sPYoZq39SKagL+tre6I+bdV8UGKI3cnsnqVanCk
7Tnp7QkZU2y0LMolusNFFu+V/kmUAkkO59mRiOpgUXsnzM7149Eru6ZJjEU2cjfrsYbqy2LcJeWt
9TP/nd0q2yMxaR/2MGMSe0HPWZgeK9nv1bc5fbl+CHorVw7BdnyForJUUoJqByv8+vm0Dpc01uzB
eFiHL9cl7U6vbE7Ddn4njAbIllACdvNWn7OL7JSUFfWkf0kw0AiSEHBZoIl3KdwyMJ6sw8DRD95J
ZdzEJqiCVzEToxWYEgPkY2bu6fMlrZ0c0TuRn68fdS+ibk/K+BijG7OhMtAGFtuzUjjErN25Pmvy
65+JYbyIpa+zlNMqY20cDOKZ7fsSfe0nDlaE45TZ9i5JFinrV3y2Xnto6nvunAXHSyiMlzDGbLaK
GSX9On6QooPRvJZFhdmtU5+ey5lX4+Z9GsZL9Hmt98uMV2iaIHkjxKsj8gTqUtvSDR5UlndzjIMY
ywpk8o1KC1i0hI+Zz2D8oIq5l/DmWELsA+dxifBEsh4jkrSxrlBUSvM5zNf81Cc8PytzZLBtWrXu
ZhFbFWhFCcfysNPytrmoR7oM0nCixy4FB/Di9k76XgIi/ihgkEBweZNouznyxsbYLm4cZ4Kqf0zP
nFHX8uew9lC4+D9WDI6r52iNyviOMtFlIq9IGqT+US9u8/lgiSeNt5B094m6PRPjN8Yamaa6QmE6
b3aHC01cCyc/qXZzaG4FV334I/+h0g+98YiJaGGaT8CHrJeXVr2JI7+Rn0texsVTFybzUOY0LfQU
E7uDkgYjyLRiK3KvH4QTiVXGhQjYr6qmCzD90WAdclP+S1wrLGYcOCUzTgRRGd9hiVXSqIKmgjzn
JWpi2+xTpzdO8XTJ2sfrJ9odxNiqAuM7plwki9hgBnoJyoNg63jJ0OEcmrUZjvw2GxjRWbGiSzwB
KOuQIHrg4Rd4Os+4knIRcxm5APKp7qHSZa8Cg7RVDy8ZmbiKT+3nShbClpyyKhuxZwpdwMkRnSSc
LV9wlNVWAszB+cly5qG2OV+SLUGZmpFaA2WTlhPxpyKXXpRjFMnq7jPs6O5T+TfaJZuPyZaeSCyh
I08Au2/KYK0P3RAO4vfrCsP5WhrjOiK5HwEBTjR3nk896DuUOhiExVYb4lwXtPu63h6G8Rq5mv1v
hhDrNQ66k/rxT+xt90gohiO3hMZTDMZ5LLVSWFmO9LTzYoDp5rAMZ+zGk+024KMYqEZf00LGjSy9
2qyZDi8faSdrOKYKVp4aqoNlpE1EkZBoe3IUYzf3UWRVVA0R72ydOZ4kCvoQI7i4ZlJ9TwXBmVrt
plysb2OnBs0oB/qQcu+UqsIvx1RlTGbqCgSzk85LMViGUH3g9WY3PmVe5eiH8jQ73UE9xa4c2xyN
2f2IG4GMxjREXzUzhcAJ+5uBR+mezbsyrM7md4oK5K2x2s8MNuKYS+1KqSxaunGbln9osTwqAeGe
6VS+b6S2crh+vF3L24hjtKYpxGkADw08deQp0kMSH4l6JDMnC9/VzY0UJvZMq9ViiSdy/b9Ba3+v
JhJDXmWCp5DMYcphELIoQlNIViqw7N3Jo60ZT6Dhy0c3JxyftQvdRF3pH/VnDmWksWnFA3aTZsC4
LB5Bj9cC5h77pEYMGxqBAs7IHBX61FsefuOjbSSz4bUHK3CkAzQqYwNlhMkrFcvcoiRMeO8N7hmZ
MJoaaov+E55Pnde9INU6qA4F5+qudpO/VGgDZK5xiB95EW4/l/w8IUtmWw6GoGFMGS36xWkViiFy
lkvqm64lHinLR+bzwOO7QXUjkenrKLWYSha2cbtL/pfWBoV6p452J74MEhfzu2tzG1HU42wyVwz+
Vypp8flG3wrLc3+YgsaJvgAggJRMCejrQwTqOsx4O0V3OVM2Kss6z26I0tyktIPpuT0MwXhag+FM
eT95irOb026OyDhNUTLWBLBbAMDAdVEg2K1hUWa8YE7/l19iwUYK4ystiWBHUomLVB5Hvz2U/ngq
Q/OQODreHLk3fOPpJe9YjIMRe+t/j8dZ+qmJbkJK22o4AYenHYxbyVQ5kQl9rfVmsKiPkqRgP6O7
KjyeIt5ZGCdSJp2QSCaVI971w19teiOL3nU/xRPBeA8rGZZRt+Ahx9nvG68uDqrKiV8cESzSthir
RFrrAZNPi68LYRcd1Z4z88H5ICwVhKaLfb40iCpJdRmzpzj3a91NJI4y74bIT11mgbYDidesj1Hg
kxo0EO5l7aTnB6N6nTXRtoSXlNdo3c+ENwJporXxQgDGVysqiSBJm281+cXMPC29b9Eq0W6UNVRr
j0yrLRq8QqbECdIsRYQEdyBrtK6k3apHEQTw9S34ce4AgZWOKpbTKF/ksAwih8eCul/B3RyYqtLm
wMYqqKVEN4TSZxodtpAOxmE46kekJbfE7QR7xJ6a7iDcrF7hCu785Y+swWSch9GaeBEr+MKVeE9S
W6oyu+at6thPHzeHZLxHY/Ujdo8B2EEOtLBUBHCIdmT//9GtcvyvybiQTpYKHekjaIaX97r/GvEo
7bmfjHEgbdGnTaujFJ03E6birCCKW7uZC6fOu9VZ9W/9lNi9/o2MTWX3UumqgjzY+hw/GniWNCT3
lFgEgpCAtw6jrK2qPQ8GJj/jiuMjeIkSC8vtNfxWlYXmX+8a3/tDg+LXeGrx3JtcCiWQnNT+/1nB
zslaWKjuLFWJmFKKXdPSetuaJoekz+kkn7RUd+s+f7quwvutv0/1spjUpRtrkOIQU3Wz3DZsOttg
XVDNQfMPa9eBh8EEqM0r9HG0jEXwlkVpNNGE8orSPS3Flwyg2uun4jh4Frsb57FezRg6cKPGJ2MQ
Y0GxeGfyHPx+73Zzd4z/6doOa6EW2D9GBz3aP6qcaMLbLqns9CULsG0UhWfZpoSYxgF0pWf5fTgt
vPcsJ85YjBcy86mPVh1uf+26BsTouh1L82s7KxdZTG4qs3Sm+JtgcXM1qhm/5mqaqYq6KQNVyYQb
QkwjqsHt7bYu3SgIoskv+pmm8mC8/lF517/ofoz5FEZVauPqlXEah7FD/TFFQ7x7HVIwupb30frQ
Jpc8Cq8L2+9Of75u2YUfIKUgw0T3XOv3Ivokc4g5ALc9la1t3DdPPdBZc4/Fwtel7lr+p1D2hdSL
gPWUA+ANozlftKpzRrG+STsliFakQTnvab1rIxtxzPMoq0R1EowZ7WJw6WAkoE4Pavu6JBLHFnfz
uY0cxsFISW/MVYyQIsWBZvqFdZOSH9dvbtefbEQwUWsuhsmsazQOyvZNzVd7sDjVjv270iUs1xGx
ZIUlOlyURMtWDZl1MzyAZ9TOYrB4TNhZj9Hu60fhSWKOUsurOA8FjAqb3MXk0MivCzpXlX9dyr7X
Vz8PxITh0ohyrTNRvlmRsqmeFBJfd4tz41L7TfyYu/6Wcy62SadJOVj4NTipMXoSYskWC0eBS1K4
VA17uCRJteApNAP7WVlEdIcKc6k2uECjXZwVLzr5h4FORXIeexRX3KxzxeX79dvcN9xPkfTsG99k
FURdCh3eIpYWFBs6O4p/pq2fg5QWQJM/k8VkgzUQJbWIXRSuWHi5tdrCckgE24pDMokcVdyvLWyu
ktFFecyVVRsAbZTTUM0ukfqUTy8tDpZd2uXdiA8Jl7d4X00+r5LRy6ItLC3JqFM6So+jW941X4mT
eFkATNQ71gwgjwctM3c7F++oHz/ffEKCnfJVB2YnPGEwczO+Sm/DpXHq7EaynMp8uv4N/8P6/jnl
x0NuI62aDNmIYwACe1DsSpiASP3kOUONQwg0ilL11y/XJXKu9eONsREokHzU2h5Zd5y8DjkwgT+q
CKUITj+Sey4mIzAbRYDSY0IGWy2fxwWN97QOqzI75oP8VVpmLx7izI8y4ppE9LRlBJlOYRtLZZM8
5qAd9mPC5x3Tn2+OPMZzVWoD4FdKhMR2fW4V//qd7qZdn9bxkUNsBGALHl7bdBF6DHajWXhujBIg
/xcUHA+dZfpaRJyh4/GX7JdRN1IZX2OYw4RSHBz37Cs+ZZVKJQcZg7e4etgGuTNqHIfDlch4nEKK
MJhEGZ6mIxbu2Nop8cbIAde+Sx+h7c82da9fLNcYGb9TiHXTWzmKTFL9JC9BnxwM/ZiRl0n5mkah
sdhDeeCIpJr5Sy67uVbG74xSV2MlBuyfckaUrnQy8Tq9TP5wjp0Ssf7wW1x8mzj1wWKxUR/RsETQ
1uGQmuz0AIqrAVJaAyTpGpcxiWZYVw738SbfiLLAn1gZlH+yd0VnpQ2o1B5B62p9zJGRZ85d7teh
Pi+TZUtagc8ytRqFd4M+0WNj8scKi4pn41Sk3amJiadn9YEkQHXXsx3lum2BQbIk3S1Z1EtfvstD
u9qlMNitOb53KlglVPmN9GBqje5E1OnQTvvLKqRXLcP3yWObmIUtYmWolUeOJBhOkRgAdGbPmvDS
d1oYN7k9arW/rKUT54k3KxOKNWWH4GmEul5+kTq0IwzxUDfkFRugnLyonUQyfBWfQyBeslRBp2t2
Wqlfxq5/kaPGHWViK5N+WGsUBFTJwb/BqgnT1YT4xiqV0dZj62CRGO4WWAmlukF3B4UOPTtrWO6o
ic+LGNlSop1EcNH1VWKbeQlGouNQYDteFDklNqc6rSC9lAIYB8oh0DCckneaQ4TBwzj76IIK+Hs3
tIktFerPMrVmuxK+FGaNJkQ92DNdEzV/KcTGG4YotFLZ7jusxq20A4qSoSKudrdWzjJkJ1kWMztf
0bBQR8eCI1Z6g/N642RILGUH9mgVRFTQAs2FY5P8kM2fPdh+QaQFbCdH+ziW/Euiqc1SUdAKFhrW
Xy0/PlpOfKAcobSz1b3y2iIfdnrFuFjclzgJXTYX8Bw0loM/0c3AbtDYbSjegpcUe4rAxuRW/nSq
XSFcCjt7vX5gTmhnoWBxbEpRSjukLUCX6rMs3GOPr1U+XJfC+YAqE9kFrN7QqhXeSp9qMF92j11d
Y5+N5Aj6+yLwdiJ9oHyvXSoTvC0VbPagFQTQ2FpdOTc8EmPLFKHI7SGsyCuYnM9pftFV4SQX6okq
L9HfJ41czDUpbEGYbMkClUr8hkEEPxWk01jBs3flX5pUOB0wo30l2uCkCOlA92INfpdieRYReOn6
/uP3nyzkFxq3XFhSmRJc642vz25evRRa8Eef5gMeufHu3VomZTvh05SAiGg3WFlXKRe1eosJJ+HZ
HXXahix62I2kFOu9a7nBM5tyoGAvxHt/Mh56Gwilr5TVSHCxNIpbFeGkWeym1yyOiKJHaAcNs7su
qtOO34smXJOziCXjym3U/XX9Ovfr7ZvoRU1hc8pq6YeckI8xbzLa2A8cRE/qY/kieW0QeSsnTeVe
KpPsVERcI03FLJd8Xx4SzFYRX/0htl7vSQ7cRpi0Nqp3Lq/vyT0mk/FEhpoSLUZ+DFTzwfCbAEw9
R7o0MgPeneclOck4i+qf6skYRQkZQbNioEtHEV/oOGbwHzW7f0yNhfM3yaxZJV1CnB7yOzqV2gTt
Se2dxY/sErieyJlO5XeOsnC8L8vsFsnlEmsIrLTxf2seh0t2yl3i1qf5OLnz19Ibn8HAx0mQqUpc
8Y5s4XXIQMWS9CgUEiH2xH7AgK/gjBbAKmscTMridEnBUVOeSMYhp7Ks0bQcUS4/Nylg1dYxwvsu
Be+XGmTSH6YLjKOJjUJXJFCWYrbsLwM5iXJQjWczDqKKg3fjKg39vhtjz1ZVGkaa989+FAC0EQgO
1rS/UlIH3c986yD8UHmNJU46zhYTK2OI41Gn8DOw2iRh/Ri5PSDqkhOd6oAHguEpKONetHZoalHG
UNAAqGeCSZrlTp3wbkw4CrLfBP50m+z4/qjNgPd9rESOXhuLhCUQg/nyVZSSgwmWqTptvUj9KstC
imV/IBCYoufWSmzB1A6D8C5L+bMRvyd598axUI7rYbHYud52a2RCl0rLNu9nt7sMQRF0vnEpsC0n
sWNHDg3Oc3IfLb25DCaGjM2MRS0rghY2x2K6rAzUMvOMNj41iwZzST2gN4NS6m/EpA9kzXInMTsO
9ejLpvbSJMNZmJuHrpEeVXN4MKrvJd5Reo9R7Qgk0pwLonX+K95EZTSEtG1u9gpm//Q0vTW69nbQ
ycHUk0tmgMNquVOExiXxC6HPlpFTV+ekRyoThGpJWGNJQBAiZPSXrL8FNstTDR5ZKkcHWDh3LxZm
ZmQQU4+NXeL9aPJGCzlmxgK4a6kwxJX2blasTEkbNZCsxs2qn/Wocr4XVZ1fPpemiDKWL0gWJmH/
7bHEuY07LYI+V/kxrnu7W24IAa9an4B2+cd13eDJYry+BA41PWrxllrd0l8HvHhrX0X7m1c43FWD
zZkYfz91miIUGcwlM9wky+y293XuZuddPd8IYVw9USe1mE00BsSj5mfHJOg9R/WJ98ibwd7VhY0g
xviLdY76kr4Is8izRiz3syPlocIb+/rH2c/gKGZSx0y+KbMvz2WUI6lS8UiiU/m6kx0xlQ+SUTrf
FF0aDhfR/qE+hdGgtgmUjYSesqKjCoht90XxbSjBoP+2Fp13/VA8MYx2j1oere1Kk28wRBArd9K6
v6CkilKN9HJd1L7SfZ6IUe5pAYxfV6HcguCPAJ0IjbP83tjM5hsxmj1jvFvs6VpWM8NsHa2/CTYw
LR7SfCSJKcZKyr8WXwKFnuiDnh8T3ry39H6Ks/kV6JVvvlxcNxkIaYHOglPCzE6TAc+cBMa9eLDu
6dQfhsrP0pfrd8v7jIwJ6GakzTllL9ewJyh+lNqHLr+ZBw6zCNcCmNDVZHod6cnHUw10S4a/htrD
7Jh2f8F7lJt28w7FBCtLiduuM5ADY/t7WZy14YcJLEJb8ux6N1p9fjA2WtVNuwpdQukycye6X7wO
S020yBFvUTCV/THI3Ea0f+89uJFK3edGTQyzKLFTARvFF7xDVUD4QKlfIC2lj6fsUX+4riD7keUf
42MnkCwhq01hgY9craMy+Ys0oad+UvovAyeEURX4NVx+CmIcylzOcqQv+Ghxizp7Uduyild1R9yq
WC+SWoakmBfOF+QdjvEsaad1bZWhIpOYj6buz8tZqV5UM+wrjgFwXBjLdNPoYoRBK0SAXv/eDG5W
VHanhNe/1H7/Z6MYrP9IqnGI+o9ZuL+blWB9txxK0iCB/0WZHF6xYL8kspHIeA/JUERTsAACT89m
UOCx4gJr7miXMrQ84311qie6IqZpAs5JeYbHuJNUXZdFHZGG/N0n6ZxmOpiu+gQmAMrIhH3O/Pba
PiByc1jGq5S5Fssz1r262HNdH2q/ckxULrJAOwmXNtTe6YbJEhDaJZSBN/xNXP+nfF38t91HYkHG
TkcFQ+kdFbUfCRtOet6GE47r1BnnkpZlUSwCrLDqXoQ4tTO9c0F9gIpsdOB8RI5N6EyikpQkiqoF
xkfr8YJdo7KVBOsJnSHlfvQUECeuPbD3HJPnhSKd8TNGUxIxTyG2BVVjHJZufKwxKG0FlZvc8h71
vDMyDqZZWs0gOfADS/Q6Y6IyFx2p+sq5SPrhr3hOdhawb9RsUgpYgxpo/nRD3O+T317a4A8zS53x
L6AsWUQs3EZ+UpzIBGDQVwGVXl4HihMHdMandGqbR22CZ5PWvFlRMJtfapQ5s3uy2lgtztMGjifR
GU8idJiblzMYtRr0h9xtfq6GTTmEIzv/4HaPvL50rn8vnk4wfkRp6jrCbKXsDiK5MUQSqE0RDgpX
0TnBjUUpjqm8qnkF3ROPiv9m2HQWvHIOsa3/+Fvd4ajClLOGiZfEGowDmTuxnAURF0rXTNGFCr1s
FyB4SIL4rGn27M1YSN3zkAicOzUYX4JCBKYpIsRXMXdb8RsyhiF7+6PPxj7nG8FKKyGnVjbfNlMY
zW/99OW6CI7qG4y3qNallLIJHr4311s9tW4G8jZWJkD0CRjjFL8fzdi9LpIX1Qx6s5tsshHToukE
ZJPt20TnKO/XE518xd7GoENPNDlITox+7BKKLkYqAx7jK88dG4xTUWL44r7H4270SyzgAHMu3jzS
PV0imt8QTuLAMwnGt6CDk2dgjUEIX14XEurVu2k9V9OL0HPMgBNGDcatjJmQyUMFQWX/FuuvynLo
uvs+/c75eLzzMK6kXNEXmujuOlqgXt8oIAZT9c8NRmFTNDfMH/MJQJlz6S12aNyB/d0GRCb1ogde
Jsg5LzsKhr2bNZgzULcz0K3to8bRxdFeEvNbkuc/rx96H3T0mQexM2FCp2gdHupIOjFmMwVjGB+a
Ax2y4e1Z5jgVdiysTKVKW0yYxmxEdkJABatabtzwWFN5eTu7IBhyAGsRkZHUgMz3nXE/y6s3i3Cc
sVQ91UPmmZP5pM8SfpHuiSSTPbegaxBjjnXsw4E2N8v4n7zrlkLL4UWpOsmwxegQn5EY+eAe5zyI
uIdm/I6RCfk6Gf9DVho+zviFepzmAMp7sH+CzpWjNjTwXMmS2BGwUQKSJlphK4t4Hw+mXbe5O49O
072LwIgXoH9RRbtIMRdmcAL+/oDS5l4Zt6PXQkcMgqS6TSPHAO8z4OvnMW1OpjKee6G9mQywlkzT
STYyJ0pKT03KIMse5KX+bpDCieP4SyK3nM9NncO1C2F8FPqERmQOJfID0ElNOl0H1Nwp2AWAjtdZ
J+Vh7FKHdNWffgjGafX12mmriEBKEXzGiToq+Ud2oF37kbdtmWPC7GjYOMytEVUwLck6DpjWlwmG
UQ7XNWs/alumJasWmDjYDbAGEeVIoIibIX3FeqW+eazAYyudyzwUh7+uy/oP5/ePsI+fb8K1FJN8
ELFS3BWUn1USe1P0rhd+3TwrrY8Ss50AVPJb7PaS9imUyem0eiwEq0JhEu0mLFVcw+lOt00b8wdu
zOXn2s/IP4UxqRyAlmRACwtOCBBC5UHjspjs68SnAOYBmNdjIucWHEHxYuDtSWfXi0AK1DsLuO4O
/gcNTk6W9R9ZzqdMxrMCzzTpFnjMMaY0okeTeWNIXtWPDoDgVq8cJeFdIeNbR+yzXfKFgvgO7VN7
2zxHSAXUxzqMbo0PinZV47TneRKZLM7ApIOSx4gcceN0aY4U4Of1M+0nGJ8XyLhQdDhJBPp3DPAW
7pjOF7M6RLmfWy3nIB8opV+94qcgxiv2Q2UOypACZ4BRjXb93hi1I8dZYAmyN3fYjJeDS8GYZqDl
iY9xKUedZNHRs8Luot7r5co3Cikos8UXJROLNCpflVWnAACvlrCDIs4xwjUDc/rdlEr/+h3RO7j2
q7OOVSrFIhXwPtfFUCK1V2NkSKwcTXcSHnUNx4ZYTDTRiYldu/Dhk9k5CjDDmNL3MKMWXj8RR61Y
PLQuLmY3m+hlWU3jxrV+0auBEwU5l8ZCoAcQKRU6ocnXW5YFaRta2nuNcaCFo1i8G2O8zkLMSpCo
TaaSSwZP1701967fFs/LsADDeknVohNhhaB/+mBVrD/AabKNaiG3+Lt7IF1RZFM1FNUyGIscjZbM
ai2BDzM6akhf8sRumlfOiXaTto0Qxhqx9eF/kQe5/pHy+6Dcek9Cyrpv8TLSXU3YyGLMJ9MmhUQl
8iFyIE9JWPpYOUs6x/A6V3I0pw6MA17JDmlsXpVw17l9SmZfT/M4DxqgyeAC12q7XBa7ix+UPDRk
DqBpHwK9EcQE8rHSdJSFPpR9BgFninnZFoimMPKNADi4u9WBfK8MmjD62rwWnM40R2PY95TYyqIu
dLTDA2RC7hXJWeJCtnhXyZhZmxIL6EVgC7sW9ae/iQ+LZ/0AbNo9xYphd40fP/Iudj8t21wsE9/z
LCcNIGqg+WxUz2wie54rV9JIMBSKU6SpNye9h76kW8u8EuZu+rkRTW99kxGubdECfwLRc+YXuoO/
49bOldoZfmSYnrhukNQGfgkxG2H0+jfCpt7SsLUS1/u5XJHyhvCAGfuebCOHcS5kaMpCL6Go6YGy
hUw/CZY0xE9pmLjTiXCKNft6qRs6wLuGorCAODPVMDj/oTPFY6U7JgZG0vXt+sXtO5dPGczFxVNV
YswOVe1Zmd1Rv80kcBE2tZ1E93HlXpf1H9r4KYy5PWxHifpqQU0NG2bE/NBVqb2a4awr3qxeOvXH
aGEP+spRjf1KogG4k6jKkmR8vPg3uiE1+dAMH1yVnmbTLehKSFwLLfHYMy7L3eAubuthwgK1RP1h
QBn64fqxdw1hI5+xwdLIczUvUFGIrfnVAKeeKhSXPsHqr1o+9923uk9fr0vcdTYbiYzpkUhLBww8
Yb/tYNeFZQuqL5heJuecq5V2zW4jiNGewRrkVijwAKu82RfC0bVsWvwqcbUqKLeGN9OlRbD8SO55
T5ddxd2IZnRpSeNowHwmyM+Vh3mebHOo7EJ9aIfvMWiDrt/nbrq3kcVEe9L0WSz0sPpBX9xMKS99
unKiPO+TMUHejNclaXQsEyFgHSoudRbbbX1KMN12/Si7PsVQdPyxNFFki5RmS/p4LVCkNMwbczrk
2pvEdZI0lv3ijDcy5H8741SrCtKM6PerQRLmvvBQOMWbjrVEJbbcSV94zIe8IzGhteiEpdfoGC16
LLMWakVoxY/Xb22/Krg5EmPDS6yYEliN6JG6r5S1NXGkAKu47N5psZRt4HylfW34/EqMASvrIiQl
5eFSOreUE6dfvayV7d9a5AgwxD/awNhvkfZyZlooj0fFZUoc1QD5edZB886xxYWR7TuLT2GMxcpa
LY+6AhXvXeEWeawbod4gvaKMGGhB+7H6ixxNbEtI/N96Fm7OyRhwo5FKqCo8C2cjiLKL3npJffhD
FWEseBREg4D8DypyP3kaQAMF1kYl5+hxOIghcB9frsvb93+GaMiKbpoqC3xesmKYlUUDA11rR80l
zhKnQWN6TZ0y+X5d1D6cxvhHFosn00m9JH0Pxs8F/PiCjezHzW7IY125cWVXqEzVwZhSSETyel3y
nmkjZqvY1IODSjJzp9ZayIm0gDWlMit7EcczKStP6Bfvupi9u9yIYYeLQALSpRNBXoL8ztbTQAD/
+PgyWhdS8kLmXijZimJeOm0i5YjOOJEmV1iULUIReeu5dy9NkUGEDA8vK+x0SCb3SibL6NZK4h2Q
OY9oZLryGH+9fmf06lknL2+kMCaVtGlllSKcfHowj1LYhy0Is9G3D66L2c24t3IYFRhkQxH0GfUJ
WpUfgjWknHzH0fsgiVJsmZNz73nejTh2+JdMfV5EKdhRZMuZltoWisd1fku4YEmeHEYPIj2TCJmg
csvRDFRHCrOgCuLGVg/FmwGSeHIkz+D5WidOZNmNZNsDMsF5RMGyF2S4/Bx0r12wvKeu6aYv3UEO
12fB5XHu75rWp5qwY7+qlhW9OIE2B8O003DWije5ORTaSyn9xiN+ey4mQo+ZaBYV3fQdqe0hb0pA
NaOwtHgMqXvJ/FYME5lLcxpLiRKvKNXToPuCcBLG97W+SGh8Fg/XdX/fkDXVVNDCEQ2WiCjW87GQ
RCQ2K+hF01slP3J7RLutVVn5lMFkALWmkHgQoIcfiMXzANygElB4ZO3wYFq7z7+tLKorm4dYAWSk
UiT4ROlhPiunPpx860iBmDynwbs4xjcVRZWYcUSZhjvJ7pLvTYroAYD+n30exjNhtEUQ0HpDSQfo
Soy2ZGjaau/XZfyH+/vn+7B9tRShX0xzJE3pASnTI5gBnPLl/7g7eaVGzr19KMvmA2E+rNUzrK1w
S90zigMG69Lc4RyIOrZf48bngRj/I2Qa1mvSipQaYBOkP9xUzzrt5btt5fCovPZj1Kcs5mVQNoIS
iTFw8L3qEdnTrGMt9u7cmq7SvAvlRRJl/w+Px7ihCjoRIVsCwOb8Qf/ukNs6/KA0fOVp+b5r/Twd
44qKop0SWUVbRWmQqfT1zZqrztoDplp/o5N310+2rxumhYkxC8wyLMwM6VE5GRKMt7VC0BZ5WP9V
FKt7XchercaSTIhQLd0yNBZkudTiZJFpAMgSVdLyDsBUXwV7V3/K7cUvvw1+fWkdyoUZg+zduOOG
ZaoRjHb+Sz7jOUp1GrKyXyRXHV1Jfs5bt8SIDXma5XMp505dX8TlZRZ+JCtoYnhLY3Zygn8JZxwK
MRpi9aDEcLXCmYe/MPRZ5W/CyLHADyDxlTOy+Eu519WS6BAzJeSprzHIFteHTMbDISvvuua+pr3B
CGwv0+JUuegOVmRrKtbVayYIJckpUondLoAdCXoWKtpwU1cVCHjNe7LIpy4FJFBWbprmy1irtk4E
GwO7B7UwbhtQ9KyiYktphi0uWpjKudfExeOstU7X5bZaVDdYmeOoVgWwi+qv8uB1ohVYxHISuXES
oT83XXtRihcQVff2aJgOLMBPBiFMJvUgW89klp4RzYJZfFwazemmXnCyQTtIwnBsi9onNThqr6vs
XkK1/WossFTrktmU+kICUFBBcbG4H3u7RjZM8YnFI6m4Da69OPoviYwLjSqrraoYEtNJO6xr7xRV
diPTVQH6107KgrFYz5n5TSxmTp9mxwfA/hVFES1V0Sw2IZGklXRmPEru/yPtunojx7nlLxKgSFGv
yt3udh577BfBk5Rz1q+/JS92LHO0ze/uvg1gYE5TPCwenlCFYoEUnkTjSHhMiDwTTDxigBwevCsF
9GNqDNO31Mt0+antuAR6O1fDp6UwsUifVH2vtOMKNL0zoXUc3SPKNVoT7ekOLNLOeIMeEheT5k54
w0td7l3qn4yzKLOMyjApPVDGK6+jr6geWuh8vhO88iG45uWSuNYYWAkFpa7joMN5twZIoEBcmtj6
uT0pIAqMXV7H5f55+HASNmJJhXbWpAJfdrTKpwnpglX0jf7IkP/rH0Wf1wy5E5BvvyUbs3SgqprL
Iof8Rxa6kyD7jYK2hrR9K5XOrgPVot3kXD7yuzi9WSFz/mpDDWe1jPBBx5dxprdNqZpjmgnQZMh4
PNTyzi3/aX1MDCMK+QLVdexeLrRHAaidhlDN1l8HGXRUanUYMVwfFyAUDoOjQFDyUp7UDnW9LP0O
frNRFiy5mcy8qc2kA/dXDWnSGQ2c2uCA2MCditkb+vlcj+ggzXLOY3r/MKPeQwxJV8Hw/Dng72IF
AnMEtzmhMxIdo6WpGGXJ7v7NdnxYYZ7SXaKWBijnAYeq00ioU7skuiWaf9nK3gABNuLDDLPrRqYO
ohomayJiLSL15+KHhlf7YKlonLhP/OQItYyGc1nzviCz+6XSgHetAz7N2bFavoXRVapyNonnzUzE
OoRSL0L3D2w3am32k0sTNwO1RM6j9tyZBvrkyOtSN48LQ42HoEwQWiWn6qBBkiUAN+KqM8MDvP1v
9vuWes9mbgx1eRhOI1ioURly+tSjxB9j97Iz8A4lc3vkijY3clAC4xTQrVJybLOiMrUmMQNRP6lc
pm0uqDI3hgBOQbnNgQL0dbY65G0EC/2xt71LzLXOrVecqIbnFMydkdAp6ZMaN70Eh9CvtOG7kvrc
1y3nEma7tdJQFIxifr8HQ7/36EHxEkia8dpYOLvFdmstatqU3QzoNOTuSqmJuwo/tlpthnnpVmLF
ObOcb8d2bpVLMcS5kMJc503qQVo6M4XSQ2Jw9mivfXt7olhqOGnJSppJimSLd+kbJtLcyZZsPJae
Ywvofi+8zqANjBxu+MJbIIMYuaRpwVIDlJKDiCaI/kxW1UToeIae/H1VTSTX4Y10e/nIcU61zMBH
0lbTHGbwyFT2ClDuKf09yII4n5S3svXvG+iAjEWgFhUIMOfc0erUknBDGieD13TBM8PAh14lIiFV
jKuEVKZSDk5MRTObNAxXRJxrixMeyQxw6EMtN5WCWRFSaBixSTNbXXtIpfmqXkIoyTde3Lfuf9sq
BjyWuenSMkQEqFR3QGJTA+EHr+i7xxS9dX62ZqNLwqg1UwcnzEHF1FArXAZ3nEFonlMBD5TSXEhs
ywKIjWtdMsdwtgIqgAC1POjyzHkY8WJsljouq9qGCg2CA3qWXAM0EqnVOPlh5eL+H5j3OGeB5Yzr
K6JMagZAW0MRRLvHwNat6er7SgHWHzovdJUfl7eUu0AmEFGWaInGAlBNz5MdWdrzgCVKx+Za9I0D
Nw2zxlJ/pCg+ImyFQRhQ1cjKWMKD/uKJlJ7lAi8kYkJPBpDKVabjISmrCN82Q9Bqc7s+yNbVralJ
wUwxHUpPK39F5q/kr3xqNd61zirFZ4o+9aGIr9o6yDfZkoncQWoNICBpzPYmdHkgup862HxYBnnU
XskWrUKw14uPsv6M+qFZlOGVpvyU5uquRjVebA95MHIQYf+i/x07s8OcGA+lMVosMagR5OcCwn9p
Njk0lq76oHcTTBDVNH8KUXzjXMX/gBIfhhlAjyktQyWHI1GESGX+NA4P448yvhYaPxPwHBlMdb6n
g5WgG6E4JDJPuI/7A5gPXscE5yZJgYWtep+lhd3LMFIWuhVT9YR2fGhV1ZNVx9qp6JOruBmOcd07
aJ20dDXi9WDsA8fH52BugyQZKqHscfEE8gsENcxFv1oaTsliP9r6sMGgvxBFzVSQDGPkRnMQ4gQS
VInggnjVlGYps0JJ5rws3tvH/0SL3xZZ9bh0JFmCDB+eYWFzO9HIFLUZTyXdKoTXRHsN+8qO88LV
+sUdhLumDCxS0u/KBE3kOoaq3cPSN19TCb3i84Oyzr53Xzuhc2NNcnVh8jhIuiLlpV/LBDJt06h1
18Mlk9Pixv6C0vnKgCu7qzYsvx1+PwD4+DjMCUgLXUL1HCdewuyt+B13Ykl92l4VkBRUHy6vbf2/
Li2NcfZZilGBnRGjDQqYsN6U7CutXpqER0fPM8N4saCNeQaCZ+TuGlSojNALu8kuxMIfoA1xeUW8
80sZb47iue4THWFGZ0uu9FV00Nt4bK6yGXNmUJf2jdv8G8ckZ8fY2UBCmiDQ34PQY/4WHOOjIFql
Zzi1LTWm4qhXsR152SkA8xa3TX2nOrdNcrDacercBmptVPCWZTLDfnE0EGo04n3U/WwqNw2dTjlK
yUNfHi4vmrOlrIZcNGCIqtRxARfJKzxzjJ6S7l6V3/6bFSaIaaje59DDwzXUPhsITPPYKbrM5spo
7ocvv88cKx6H0RAFaUkAkvweTrSgEV7l5FP3gddewQF0gwETzHzJigFtFHD/PFJiqeUdKt6XP9p+
Te4j8cWqw7VTClqj9au1juLq/vIMbnochv6+xYtd8qZfmN8HV/G7tPWXzuO1T+81GX/ySQZVwmaK
l0yG/QV11COxzjHiXcRINoSYHjr/e/ImWc46Z88jYf2H8OxjHxmgEUdwM4/te3i2Pq0LtwGJAGQv
RluzEGXbBi/twttOBm1GZSJS3iPNE7XHWbMNw6Kac3k7L5tQRCYnO+U0CqiB7ESLIeBuaX21C8wx
5pHJXI4CFJFJytZjK1WdhCRcnfjZ8jSRu3F+jtJvAi/CWp8C/3zngNUUf9882VsSS0LbwZBRVihL
kq9QJudca5xLQBEZ3IgMRcI84fBXVVq2WrP2yIthaZ5q5weQWPg5t4pyGUIUkXkB5XVeKumalZ2P
oqVaI0Zl1yLR5ARXos9DkX94//zt6Apb2Gt1oy+Csl5zs9rN2r8/XdVn5MruAx8zs28NBvWIjvEy
zb7sjJykuiKu98Jm94JA6/NZxvVKzslBclcNSDKaYMnBCVvFZUZfOxDOCVgP0SWPYfCkjKtKjRec
atKdGoL473ppIZACAZilAXHsj4AXoHJwBNxzn1e5UKLQUYT/RKceGFq4ka0WFp7rgif7qGTzvIe3
QgZG+lInU7bepklMz3E5XhtNduolehUL1WyhogR9iwkDBn3G2U/OYWRrf4oa06IWYbjW2rtWnm+X
8v6yx1wOjhS23IdtUoogwgtmyKxxKC1RxqJeq+41B3F9wQMXnjUGXAQpLMEmi1MIPm7TKFpfwhyW
qFGzj5tzrf8S2sG7vD4OPL+70uZA0LjXGiNEANbRt0ZDW/VDwFMJ3Zu23FyoyjvcbWwsAu3VsMUt
gyE2b6W4K2w9gDipch6cAH02tb1y18/+MJo5iuAiZwsvx3rKOyZszNeaXPV0AmKLr5hdr6YT9ClL
whlr3mts/LRIBlmQHtPiHJ2n4BoI/flLBPhcjvMJCmdnXrqK5/UMoFCplZdiDcJI8qDHN0LJaW39
h+Tbb3h+Z87ffDHVSBewF4NnZ/aix7WAr9+vezSfEPVwlTa41hj0CGNdz5b1OY002FN7F9xK10Jm
/6VZnfyseJECJ75Dr/BndGwhCEPUNVqmZ3Be2G1tdlc1JA0FDKgizhtt4lYelHtq+IoZ2lwW7L3t
w3CgLMrobpMJy4Id5PGC2WNkU1HOcBQfVA4e5lOBj+lJdBVMHUuJWfJmIffO+dYogyygxxKVRIXP
GJIZCVfafKjDl/8/lGxNMFGLWE89ejlHfNcFgcOI4VGkuxretMEeRG6trF9345s0a8CU9t5NpoOa
AsK2883Yv0zQT+oVRzao/d8WtX7XjTm0mFGStzUePFSAFFYoAYpxdUPM1bxsaA+lZBHTSpQSTRJZ
9pyyTLNhgr/YELQ/ho10FRj6YZHC26n6F62VxsYUe2vOLZgyiQgHVPNvTT6blWaYfcW5WPb36fd6
2IuzjeSyrRUdVfHMrfPrALMNjfgSqJBjLczG4PUy7maat4tiHDxWWlHoFmCW6jWHHmxo8QHRDkSe
eNXd/eP7sTDGzQ0VqQNCNSwsxyM0aTzIlFqXfWEFcDZi3K6F8XGC3holCxC/9aUDAjnLiByl+g4i
LIPyuDJ4q2H8WwpDYRyzNb7JbwL0S/H2ZX8pGOXCVAE1FJ0B95GGYinlSNF10ikeTwQUYzSwqxT6
OHeXP9q+w/229EfzT1pICakR2mdVfcaI17EKsrssGuxsCq1xDF6iXOD4+D6ofphkHp1z1DbzPMHn
StBDJu5QXGn/Yn7WwDAaEIFKsq6zM/llvKzpEPRehtTKCrcor7vRv/zhdvPZWxtM6CKmdZsIa+hS
fQeRutV7gTc8ZnYJ0uwAyW0XmRBHOAtWh38rTuKEKIiRMy8X+F70+sPrN0tdXWkDtWGv92MeCbgX
pdwe9fKcg7PMFEZ6kmhsKnLRmX1OHSERLareJjLST8vXJaNncG+/TD2ae+XxOgaTXCHPV1VHH7pg
/FIXIPcIAntWf434inOFrGYYQ4Ok8oditFodeuhgcwjMshWdQFqstpHdUYAarsQjqNj1Fky/UlmH
JrvKjkJ3tC1EPS/Wx4qZ1+5M/CT9N5GbvLHBoKAUJsUgJms+9WawVTRLlFbzzTijjXyVu+PMkK9n
988N+1gQg4RTJSfjtJQr5JbX6dFwFK8/8EkweGYYNMRwYS1oFdo/0rBDkWp8kJXSlBdo7HaNldaj
Fc2NNaCx+/Kx4G0Xg4yLKsSB1uFTytCskZbvfZ04Jek5UL977W82jDl7Qd1CV6AL0IMffSGoywV+
3aJc8h+tMEcricW5zaZopVp+aYjTJlfJ3Jtax6mM7V4mMpAKIj9ov2RnhHOK2i5moVBqkmWEY2fM
u9j/YlM+LLCTwYJAJ7qIOMjl7FD6hAqvQDhevfsegYLs36tglZEIqHOqcn0SG/6Egtna+yZdK9AZ
zCEYyWPife8j+uMQbawxJ3ZJg1QdRXyzMpGPbfVW95VbheFDAM3BtJieohGhZl4sXl2CraSWz1Eo
fg+NGT22anIzRP03oyuf0ZRy7gLRpgVUGFVIb6WVQ8P2Ki61p6BBJ06XZO7lrdjNUsoEqk7gOREV
maUMz6ZGEAQFTYlhZhaH7jZ5EMHIivfTctfjDZXfCGg2Olw2unsoNzaZcCKkZDCSAgkfWrt6cCOJ
d33s/CcT7LhKGIV1NLWIWIj80owh6N1FU+bxV7435f2x7R8LYac49FSZjbTEe0zHzIg5TLWbq7ET
TRWG60unTcdvUOFximZB51mFTGygtVYEBtwurH19WlIzDZAhWr4mdWxraMsOqs7JwxoJHPKopuTH
5W+ym1HcngkG6o2yURrMECNEUH4WgxumPkm9eqnMUQDdWeTg0pwWRxTvC5CF6f/qbYRb0xAJlaCX
yUAxNIkasQkJGuDB4xP/6serfjhqvDLaLnqB9YjAqQ0CCoDP8Ucr66OhlLifRYkc0qw9CeC/u/wd
d90XQbBBiaiohK3uDiQWBW3CjZn1Voqh6+UsxU+XTeymuOUPG2w5d8kqrUs0QCTeWEVsjg5o6Xyw
H95rd8B8YMnjqu3MrSKvOPWHQ2/MMl9P6kPaVWvTa+tUh5WzITwKFjrlvMyP/1UZcrtGBjSHEqzJ
fbxCdHNMQdceH6B1cvk7crbKYDx+kNE2oQT4jLryc8TAV/Kl7DjR2nrr/vHJEAhi0loD6QTbYgoe
LqVWZJTGVGLLwS+lOlf9ryE4DTyf2H0abQwxQUa7GPNYCVhLWGZWmjp9flOAprJKzRZDHTkHo/cv
0I05JtoIU9rSeICXJ414HLUcXDL9cwK1sl7/CpU0P27Tm5oGD0apeEsZOEXEgat1PZc+7Po9Ni8J
tLsWRayJeHTWX9NiPDboAFum7DwHNefttG+JopCkYfRaZ72kXua6QCcIUrFS5co9lqhKaL3qXJ07
mbPrkNo616IalEqsIg0GNVUja3AvyZlfg9ImOxKR4/P72LGxwZwrtK2LizQgUz9aBK9AFB7C4/yC
HsEBqqOJOfu1P0PJi2N21z03VpmjNo7GLIqKAFSkmdnmfhe8QEnditPTNB+LnEt8zLO3XgQb9wgT
Gg2UIqcXHdYEcOQWN5HbmeMZnTbPvbvKEaa3pZv1Nq7jy6iy+5bZLHXd5I3pZU5mkkZ4y7RKjufr
YPaE+IKMBtrxG7jqzCGrME3EY+beT45plID+UCUqBqo/m+3rspJkGaFaXtzO8otR+V3kymps9ulT
LrhVdrVgSPbyUnev041N5hBKDb5wQJBm1yY3bV5n3rDXbhEZMpK/F8XEgmOgTlmkIiZJ0/ag4C0t
N6mP6Q6fgpq0SOSHOqM3opFbFQbNkDI+R4pxgu7FQc4jTIiBaT3AqDyeW5fXve9df/8sg214SLtg
6RoFqA6+dVNIb0R0JGpjaAtVbzaob1e898reoNM2Dmd8alimDuPLSN8ouOzXam9wWHOfqs9b2fof
/QGrHzErq3uky/miFw3QIZXu5te4eh1STl/7LpxuLDB+ilxC2lY52trToHyi+XQowui1EiBQm0u8
gh3Hls5gXWHkqZHGmL2oytol2ehleFNkouyVwg9SVbdy3Vu0l1WzFudfpHssKfiE0d5Px9aFNsFp
baO97Dm78cDH6lnKA6Mai6rRMOcZQDXOcBNM8CjqcS6u+p4z3MJ7u7EKO+E4EzlPcZmMlnoUncwO
J2T70vOKfu1t4hh2z6ta7r8hCPgjQAWoSiA1/QxCyxhWVCxgs3VWsftVdV59Uc3OwXzp2tzECQL2
L7ONPQbmyzEc2prgXKxqs5WruRn6IDqU1jDCBvJbEPaPPq8TYn8LP9bInMUkS/somBCYloi10VE1
5/cEmoBgqyrdy86y2yaHR7chr4Rsosh2PKWaWvR1FEIMBXo3xFpWBbfr0E+d3JMfJie0RLSM1l9X
qt8SVL+grLz8A3bxfWOfOT9q2GRVMsBbKyK4URI9C1rIgYN9wPlYIuMx45iA2sRAfr1oBBAgya9C
GDpLPdqXV8IzwzhKLY65XI1AgmUCY3B97LPBXH5etsH7WoxjCKiHNlncSHYjnAPthNTN5f9//4rf
bMcKd5vIQukHdNrXSPF1TeEZwQsiU0tSK0tahoPSydBOqZxMhdRC0nKQlLc0BrSbNCiGUhBEeygf
g+A7kRzO0naDps3SmEhCV7I6BFMJspfH6gCmm4fAi0DSklvCkyOj89tey3yjie5Im0dozTPNxBiS
PA3aLMHJVQ+862id17x1Joh3s+7fRb8d/X1zN5tXlZUqQncEZiB2DAozKwMvCTgGQGfGuWN4sMHW
ZQ2xDvSaIFU4HotDfC06qTN6pZVb+pkexIe/VI406JlM58Li3QEcV3l/OW7WmRpqQhM0Wdmov7gI
3h7opH3/b97yR0fTOGokK4CLy4NoTXZrZnb+Mx8cDRWsFvPLeNNYuZ2dm87Wbnnp3H38/9hIBkpo
FRtpGsC4Fn4xhmPSjFYdvg3pkxp8vbzOdzWsP6OxD1MMorSiGtE5lPGoJ9NNGc9fjIqadMmeJx00
RktzTzLj0Kqdp0/5SyErx6ap3VIGZy1pwIXzJkCjnLRJ5WB20eqH7MvSNvC7yVfqX9VQOXhIoHtD
9o0o9eJo+TEFc21mRn09CeifAs9M1U3enCRmNiwHkrS3kUGPimzYNZEex1B5xASWJ8+JNZKhMpc8
+jIp2lEaiBfn6jGsFtvQE8x+gTIauqoh6LEMnZoFmfwWkZaoga6yDkEViBOe1Am6SebcremXWdCO
uREdZOVL1NFqnau2u77+NQyjW84yWH9uRFJDMUc9L6R4iroJ7bOyBtU+FdNARvPWGeDeVjNLGxRz
GJszqaLjLMeoq8rPl7do19vBl6pRRZXW8vdnSA6VetVoC1Fbn6ZjTIa7vo0fL5tYN/kPJ/gwwSb7
oFuVxHqARlqq2T1ez3VkloTXL7L7otE1HSQ8EiiyWIJPfVj6aI7WPJUUXxlBcxqJfMAsoZWCwz0x
BCdLDP/yuvZzSBubDOYPsoFp65WYaw3eVNByDX7gEwgF5a5h83jodlvC5I01ZqdSqZvSySAirA32
SrSvPEMPwrCmI73RjqUdHRWTnjs3s+YrHibuQsaHbZYBtFL6XiAxShpoarcqefT0aHKDFKoUbWQO
VObh4+5ds7HHJGonuU76ssJai1MGwjPtavpGDxNU6AVvPlQWUhGH6PVf5ck2RplgUWqyrkwExMU0
v5bm6zpsrKWMzan+8t/8huX/7BJDUfVOF9cMe3NQ/MCW7rvjZKkuuYpdHjXBbniwWRYD92VbSlK2
+s2qONyCy3J0V3oMXnjwD9WiD6xngrt0VBMSGgZqUkmXgZ3bMIe4PKlGbc3tz1pvKghNVV7fDdcL
gf6j0r8m8jCZja6ZETgFEjCXxZF2rIb+Ie9qSxVmpwgaU6xQwFE7zsNg/+x+xGvviZvNLd+G+Zzi
Qb2e3cnGs8sODoGvYuIQ7xCX1zayi4AbYwxQCLk8ZJECBOzptVAdaXySDZfjVDwbDDxMGABMiI4E
5SRB8Vx1EjwkcfUU/vq4gja4DWVYl0e3uMeCbWweeGyfqtpqHVQo8WR4n7o/g08AfMSTL758X3Gw
PEkOmC/uLy91Hxx+X1mEWWmDsdkwTQG7uQLlgfhodAkYnq4Crjzy+nS7cHGxVdaVKW8pdIS4bWPO
ztoDS3/ER8gRXIcWOO5/KryMx4owlwwysJe3RO97DZn66at61EGXjqKq3ccIBiGixG1q3vWYj3uZ
TS5VSlUpxro8I74vhXsCspmGE11wtorNFongYknjBqFmjhcJfdFSP1zuRR4h1P7t9Nsh2ESRSsYh
TpUFx0t+yQoJMxyhKYjngWhmOz5ddj7eR1v/vsGNPC3TKh/xzhtLkOGBgX1QpkOtvF22wvtu6983
VqI0Nfo+xIroa1cflfKYCueKJ9PHW8r6WTdGkgTdQwXFuzGdDQylIx+0VE488Phj9u+fj91hwC+P
ML6XqICISovApWV1pDc7IbQoTa1Z9Ye5tYeIK6jOWxwDEp3RyhD9Q8TS2MnjSg5FbpGtdPVrXQcR
0Erzl1M0f9uX920/n/dxptgGT0WpZnWagU0U0iWmDJ2ylXfPacfcTKThkGjR2UCR0ZCW606pzFyo
b2vpO9WpH3aKJRX0jvODOBjGNvTNcjWIYFdY+ZCIB7oq6C98JzfSeidgsJ4XJ+5fq5v1MzHUJJNV
+RE+NbgLWFg0KMZS+y+F8Niuv11eHOfcs1rMbRAHS9vipU6D5wZNRUUW4aFn1xlU3xZexMBxKJZQ
AXKy2TCryElExhsZz0N+CDrOZvFMrH/fHEhUafF4UdBSrUM4SPH1+TBmHGI77gYxyJI0kiIsLfxB
9RR3iExdNyHua8tu5yVf5s7kRZ8cJKMMyOSklLS0BJINeV6YuWQ4UjP6wSS/JRNv0m53vkneeB8D
NUkdCmLU4EYr0/Qp6u/CGFxc/Xwo6/EXHafHDmlAx5CKswwlgyLjEgKt9/Of9/fvRyjbCJ0ZwVAO
YIrFxx0Oi29YP2dXgb6PbnO6MvY95cMQs4sqpiHAgo6Yfsy9KXqZI4fwOET3N+7DBLNxAWn7ol6p
HcXwLEbHRcPu5a/xMJuXDzHPDrNnTdrOZZiuACV6Qn7X0IesPBkpB5h35/s2r2e27XPNfQigiFpf
z90J71aX3AaJ2Sdm60UuPWlr6yTqLflzSdE7oD0STplg/xb8/TnZplBtlIaslBAJrexNrQd+E2et
8PBeYf9wvj/srC66wRBVz8AVnL3byR4XGzHdrWpqnuwuX/hwz3FDjUH7rI3HPlaoaCsTsonzL2nK
oJBHOZ+OZ2W94jZL6pdKTpHYw6mmqlllC3rlv2rlzPGQ1c/+PLuGjGl5amCUgQHfLjcyIoJzzp61
ylKIZyDunqTDlOBFejPwBvzWR/cla8wBljpdK9QZB1huT21wL/DmJXa/GZUJQaMgVBLZwLubKtRy
wgblCB1P22FEirJ1ctJwPhrPzLrMzdakPUoP2Qgz8qSYYj86Y5TZgthz4G4XIzarYfam72upAY8R
AnywNAtXtPWqxTRijpXdcAI9EYiHMPNF2ZnHdIxkEi1AorjJQINpTnpvKsbtCDgPOKZ2nW1jij04
wjRjiASFMDkRTwnaYicpdUXhsRIf4/gbWpzcyyD7Pg37h79tDDJnaKFtI0xwcFt6mK1VhEHxp6sV
BgUH3FCB2zhrmgD89gideGOdu75uyIYOkFWpxooPy2hnjVF3hR6v/HNIaisSeE+MfdTbmGAukT4P
0nTq0Ewn3fROCH297hsezhgJKo58rs9dPzEwEytK6Owx2Fu+D/s8zkJ8yzm4LfVTPp6T9GsmWg0C
+8vbtv/lPiwxKBEFadfTBXWBllxR/W3pOdHg7rnarIS54/UmHtOcrnW26TWqHYNUdlkf5a7l3PG7
MLGxw2zPEIlNMI44v1GGLtXJcEio4KJQOV1Ge6dKkaBJSdBpoEsa4+RyLwR6WqODLJXvIqUx67I3
KQqUxks5PTfNl8ubo+xd6VtzDPjFpOojOoDULY+fQ6105mHwjIk89GpvltSwtSVyRkxoNfLs6dLg
agpU79qHwZgsJfopFPkhkTDYGvV22RaYHZtMFf3pYPo3a6O0ywo0hJKM1mHtUIl3AniZaKTZAXo2
qP5DwUHVkGat9MaMwxz9QeQUFJNdTw9dy3vV7bnhdqEM/EI4vEDODbFTLtevc2Dg9+ZPlz/m7gne
2mBcvaFqoIgdUl9FiQ6xcjEV8IiLEMFFyr/xKHV5olW7rT5bi4zzS1RIp6LGhU/OIYQ0wLWM8XpH
8toGuPG/qADs4cbWIHMK+rwPRHWRRDsWnvXFVvXDMFnTbOmJ/R8/JpP8kOOB5H2hiu8EbQRtCCh/
PasQG5CcxpN4uZa9071ZF2G4ClSpJmpbrtZGD5ykZXJfyz5nRRwXZBuLa1U0kqVekQpqi6tSOKKa
FxBVgiSwPtRu4fFmBfagcbso5oYOyjgoqhlPSVxpV3mquP0snbRW8JJsOnAWt2MLIceHjBALJOBm
VxoK2V7xbv612Iot+YKlW/mpPvTuYok2ZMJt3pTS3on7ZJU51bE2CHG3it6Nx8Br35ldu6MG7bHV
Go9/fq96+ckac77FICKC0kLjcXC7Q+pENxgU8ypfAl8BlokEtxdcS7fkXPoZN9G9d9Q/GWeO+iSk
CVlE0GWMaLaorwtodXbPqYV2Qo/4Eaa9nf+4o8xRV8H4OOlCgKq6G3jLQXsuf1bfMFLuUFOx0BTv
5nahmuG/yFF9Widz7kmTZvUCkWs7DM+V5uX0EPPYUve6Mrc22AwnJZ0wjAaclZzzN0TkUJ80LOTe
/PB2JYAzDrwMEs9R2RQmOkhELZSUVe6tO0Ch/FV9lFDEHO3CEQ6Nxom53ls8mVD50wKZk09mqBqP
CkQ8cX9bKebEaKf7EvokkZ5zB/JImtacsu46TFLUvlP9ClU3W8KIn9o8N4poEfWtTEY4FXiLgzn7
0WbJoZUyfwgGfyp1p4wys29eh+Jbo3VnYSbndlK9us8eEyG16rQ/K7LMiYy435AJjRJEsvKCGUlb
Pnf2WqNDX+tBvvmLwpl7te6g9adPyACatISpYYzDqmcH6o7mkDvBIbuKveV6Oa7dEeh95zW17iV4
Ptlk4CzFkD0YXeEl0/fAW2t1mh+5jW98qb/Kt8RcOyRmtNJKNxX6eFue+Z078JN1Bt6mJRvaXJ8h
S9k6NYjA0dc4cbLDO+HmJxMMiHVyoEVLA7weXHpcM0h/1fF5JV3uh2SwSylUZU4XfEjVE24Wu7kJ
br/LN+9dySfDEb6UuG+zswy0Vl954oR7GdxPi2QQLKqKKlDpiBrrAfUD6E+Jh/IABjowxvO2bCcc
25pi25JKSiGRPuN7qn1lRzImXZAkM661t37kZR95ppiknBSoBFE5BF9LzQzVuyR4jOkTyNmCLrc5
N8+KThfQiyWNJSEI4MJGwMw52rlx9AqXHqAl+bo4OTqEeFNRvJuVnS0DZXmdYhgLfr92HeROWZtQ
YTE1FMztBPSj/0MkwVshAy6zVE5G3aQQ5Dzl1ysro3hYLPTfmcmRn+HkhGYsl+zQkJF0Mc51AkIM
JXwKw8JcosYM00fOxnEQhGWUrUI9EMd14zqwhCj9ZGq95ocF/RbH2bU8VG5QdrEtBtN5HGSML082
3n1mTbXbvK5tIYq/Xf5BvJUzcANl+kloFOietrLwGIiiWciSMzTJATky87Ip3tIZxBHUtM+bFDKa
qorBPTRZChXiUY26l83sAihEEjSN6hhRZPN7eimgVb/GgYc6/Ci+BsvXbHgblmO9nAsBY+2cQGL1
wz9O4sbc6seb3GggC0WtpYMCgqTWMaKvqyDZ5QXtwsrGAnOpd8siiG2OsFYvgytpDBx9hOiFUjmL
QPy+43Ek7nrExhxz8CYQ485yOiogRnSbwM0p3E7y0rC2Ly9rb0xAXtUs/t4o5irvxiSOF4rMzWiN
jnRarqqrVS02uePddTyPWFe82SINqt+VNsHxJnftw0MP8UF1kyOvKMPzBOYo1eMogocCnhAII/gy
2i+NED1c/mbrEbnkbMwRWoapELQZ6DGQL8v0QNrXIH6Vo6tctTMeQS3PFnNHJz0RBKkAJoIJyYzo
a6pAL7KzEs2N58hUeJQHHHNs5WxIK1KnZQn1+eHLoL2NiVcsfhIdMvkObM2XP+P+ffbheiyvStT2
i2LEtWLnkRXq7tJeh6C3Lx/zVDdFJTYLxU/qHBOxPoVoB+WVhThHjC2odQu4wRYMUYO63FSKr7Fy
nbdeyxXQ5n1SBjiENg+kTg6hAe12NqgJkE2ZRFRCB78eQeb9zqLp16JJrrMz7zBwQEtjUKQrIUmf
IVa35/FV7b7liktmYgmYZdQ4Mz97zYlbHNEYHAlq6C0lIUHY9au3Oju/Hr3cI1Cv+T/Srms5bl3Z
fhGrGEHylXGSgiUr+YVlSTZzzvz6u6B9jmcM0cS53k8u11SpCaDR3eiwlugRBzhG+wxAljwkZd76
GJtSxn0UST2McjYXbirVvjDdmCRwp6m8kvKal3zjiWNsiy7UfSRFWCOwyBQDhFlA6UxbSzHcYuQN
hq+rDWrLqOPANrPwj2k01oUe4+k/Tw+5Mnh99KjmX0YAvYxBYcm8pN/6Zfgljh04KpZSmTIR4hIZ
WZumdpsMYYH4Vk06x5Gu+4GzJCY+r4twqLsUhPJN/Vxnj50hWGSwxvmuCW5FAK9G3raZWQ141LM8
JjRoZblLpaVWndnArMJRTr+lBm8g4g9e9CyEueSajheHWCYKwH7r6x5935Kf3SWYQos4VaT1R9vF
ctgrrU/N2EadinTz4lFu2yiyNJfy1+f33LQl/ezPnu68LOZS16lY1EPXIpH41ruapxzjK4x12uaV
fpB3/avIaT7gKSFznQGjrxfzBHFz7tTCj6C5GaqTkvAYszlXi21Hl9AOnzaTCkQadX4iXWKROnns
8njX1NOeNPkujGeO0v/B1513kn7TRfRTF8SoInlSwRJsYQTYRnckBqFu6bmBCe9e4GfyeJvJRA7z
PPdjkdHUGpjsRfgdjEnuBXB7mf4H8bKjO8mBm4ylt2lDYz4SHhfrzPOmJERDTqF1AePvSMfmSbwZ
XNqarr3wohXeZWARmvJZ6MwYA4TAD/Uy0xt1R9D2GLe29PohnvxGc+LqazsEf/OGOt9BlmBTkOUY
WKI9tjaO7tU4uZP07GbMeBXpdXfzS2dYek3BIONkqhATDcVXWajcYB58kE17KUY2MGK73zaUHIX5
QAW9OLo2judlTCvQuqbvzRxfCQGGQVAFFcPG/XeSGLOSl0mZmANsWEJep3lyKlF0AjG2Gok3k76G
IYqw5LyHjEkJSmmowkIDc8ZCvedzv5g7U/0eZMQTBjAYAVt5nHO7UwVPi9+nMLIj4N2r5UMTinYm
5n5jjLYR5tc1HKEg6pY0z7bZfTWl78IiPwpVcgzLKbOjqjyS6TnrsAphvhsHtEErwh14Y9CPDEoh
lI6393A9y3yxMiYYmStAe0oK4spkT4daYze2qt3sSW7KbXTjuFCWwzPv4miMgXXkEPNpUHcJeZ5K
joFct8nALtAB6KZKbN9K0bdqNCCF6CzVTTDsS/VYFLuW/JAAQ9MknL1b1/SzMMYYL7KShBhhQAiS
2YJxZeaeVL7hHbJ9QqvXV0NbGEDQFFljW1fGumklGaV8UEqdpG4vF6+GsAcWltWZvFf86gFdiGK0
fBEFSSxptqWtbGO4yvMXies1P9ziJ9N+IYRVuLhWMaCDBzzNFExfW+pQnGonXKO9Hv2VjV/eosfy
mPxNhV2WLwQzx9VPfdLoHVZn7uLvdLwgBzQJ+j4mpFkrn+vCVjMIF+IYx9lnkyIuKOE4wzP4A18T
J7flGxPpCsxYofgduDy8BM7psY/uPA7qOYtFGF7NW4yvUe505fdtXeSsiX1qq5JiLn0CM6hIj2IQ
WzKvg5m3BhoXXDgPUJQIszkh7ZKMjTvlkqXHhifOb9vLWLUS56Nhm46GsVOrIsMkiZz+7PHiUzXA
NN+AKrF4rFLeQ2Wtj+9S79jXcy6mSVktUATlZraBowQEw+6QHyYQz2Kweh8daaWk3hVoOd9e5tpk
y2+S6W5f7CaANWO9prmy6ERn/WS3vgpVjB/rvn7QwAOb+HzajVWjeLG3jA0pZyT64xqZpk7Ci6L5
0uhfgvF+Ejgx/rrfupDDmJG2XOpIJfE/ZkTxcheE4SgrmD4qXT+4O8kxwhpjOzpjwqSHlCHdTVvB
vwDXwpdvxZvg1DsFJgsTt35V9uqVxJku5F0Hxoa07UL0GigATt32liR1t8P0veiq52094dxqthnI
HBrA7cyQ0mpmakVlawW9zHOW60+X84F9agfKSJTkI9KdmIU/0X4Zw4lPAETdEy+9N53hZXtR60H9
hTzGlCA2zBWlx7Wr3dFtr/MvyjV66p36PnQyTtTBU0ai/H7RlLmu6yihdckmuyurb93wnFRBDVz5
o9511w165OpKdkVBuI56ICrEvLwLd7X0jC+uujkC4XYccgW7i+wcfRcuHwR/dJSF8Io/PMNCGMOy
hIkSER0v7MahrV0RqLujG4S/SEOGt4qLHsojlzyI6vpG3EAYw6KaibzkCc4zeDDsycOUkD0Bvh94
X8NOf0hlsGB+dMulDi0pKl+31YknnTE3whKJoV6itEYbWuhEvuK3wKTnZVp5Yhg7UwRFBHYCmRby
ad8M2c8Y/P8fiPKo8m9tJv2OC3VJBb2cjKKBlXawkS+0uyq367ePPELH7a3imDF2KLuZtTqK0TCH
tt5bEuaukgEL2fyXl5CFvp7EYZpDVfnHRtehjZZ1Hb2otH0reC1+pK/bGsG7BJ9msQEanqYVsgaj
Ldrob8TbyXiJD+BvAzga5R1rX5EU2hbKMdXsjEiOPEWQmzA0Q19bc7ATeHq+7r6JaJo60UXzw4pf
KMbYxcaA0T/0NeKFq4vdoS8Uu0fH6wgI5u21/MFmoe9M09ELKrNzhgOK1dJAwxPKSUxbXnVwF+47
t98nh4VXplnfubMw5mZlRodW3rlFQS99q7J9kHIyqusbd/77zI3SO+AAANIdWI6YXZT2ungnR99r
g1cfoZ7k88X9JYbtgAnFTulUpB7/ad5AFbSzAPhKgXQlm3LH/g/NGzyRTKYddIHIUbULhUlbvAlW
KR3cwSZWsuuuMHZ1Gz5t6wVnJ9l2mCFPe0VoYZviSjsu4OSYcMdas/eTqeeo4LphOu8m47fVpS7k
tqIP3tzVE28uTrX68O9WQ/Xy4kItgmACKgphT4U6HQBVsvBFTEur5k0J85ZCf7+QQ8olqcAaBWs0
zd4iR1/mqrRCk3B2jHdp2Z4XJZ5LYarRJtvnu2GgyfVc+ZnexIM7jlb2qLZHfRTc7T3k3F0WZhjQ
UX0c9sisUHqKYQbhtcjRuTW6DDyVzprAmIe6EWJFX2gx3pM8OoMp7Bb8i14ltMoudoX5JNr7nFkD
zBMS7ei5HnfqHa9fY70CdPEdjBlpSFiO5dDjfgM5tawNYLYKTiyKdpHUr/OSPAOC4HkK7ts04/kW
juxPlMr6MnRRAYS1jxinthPHdGm/YnL4qx6OX4v8RKqM1uAkklP0ORh1Bvy1IxlfhuhmCO1JuM2y
QzTut/Vnvap8IZB5C4RLlVNYXtqdQqtdFOWRCBaGpN/phAWFahlf9T2XHHH91fhfpfrEt6yqS9tN
MqwXUP8tpfuRo4s1u4tGIMXyuHm3jeYnnuUq0xM900DzZ2bfSnhTdPQlp4Z3cPQW/Nn7fOJXjpo+
aMIavQ5T5BeRF4HsqrGl2O6En7XOCXV4K6K/Xxg0UajkOMhk5D2bg1oDYJQA5hotdoW3rRyrcsDM
gf4ySQU3AnPj5HIWhhScDE4hEduYgGc71SFIcLRDr1c8RaS+8tMGnoWxObrJFMd5qpDMpclP3Wvt
YN8dSjQ1xB5ven09Pr2QxfjtXFv+k+/sbZQ/vdRNr2DEbOWu/SBB7X4E1zw4tlUndCGSuWdNa4y6
lhFK1HSKARxWfSEaZwt5IhiXLS0AGut11OGV0BEzv5vuuvDntkasp6gvlsH47EyQF2MxUvqSIIf5
rnPQaQYiV0Db7+G6J1f3UYi0Cu7rj6OKbPNLN4dGA+B5NGss6AVUrWA8KtGhMh4566PHsKWF9Dsu
rlYgV0ZITKg8+da7GO0Bxdp80zto83dijzeJyDsw5uVcY9q8NkHZ6WRFbktjfDcZ4i0SQbxyPL2n
W4tiPLggDH2qF2jimdu7vHjNo/dUOqmhn+a1FQ+P8V9Vby+UhLEbOeh2lUxF9YcAy73QfA2stIA0
/XdHxebmQkOITKX/eCMNTryjBsN0a4fC6Yb3vDQnR//YFN0wd3Gb05RZHNnq6CbFDtAAJU8heNeL
MFaiLgwtIAlaCvKfI9pB6GTZ6KMDBdTW7bPpz88qEP3i+4XXd7UaRp5P7FOWrl0aUqsIkSv5fe5u
BPkr57BW/f2FAMZuxHO9SGaEGRrjqnJmu9uTQ2TXNlgib4fdW3lS7Om6euA5Zc4FY5NxumCi4QVY
hY4+HM28tg3k/HST4415QhiToRf5rIcd4mMz88bkWMo/cqH8KxmmoSqAwFAVlo6rCRexFEodRfay
siPSeX33JeLiKqwf0lkKs5IlTpQYfFwKoA1OYX9DIqyp8LugsJXsblsh1jftLIoxfaPcBGkTI+ys
+5ux8zvgQnNJZ9YjirMMxuz1HcbJ21rH20h/F0cEs/qTLJX2UptWqWv7UryLZ/mUivnt0lf29vp4
W8mYwLjR5sFokYyI4smumvirEX7PhtJaip/13H7bFsbZTDbzkQO2Npn1ArEn8fXaE+eT+heYB7JM
fu2lyURMYWyKSpkiiQ7WjqZ6a9tjbjrbq/hDVHaWwRg/c0nmRAlpJenKuBpOxFaOkWGZd+GpPOX7
8iW9Ma71922hvK1jYqZJqkddbwrEFdKzUfQuiIubjpe6VjnaYDLWbxm7pegDZAZMPSstaQJN3DJ4
mKxLjPKgkXCXkwiU3Y+mDpQv40lJMAxk5t/TApN+AcaBQqDDV8FJ1ws/Mhc/beMfRlFEVi6n1qB1
HiGgIuzJjbGkdgH0BSHPQYex1/rGQwjYj6almTEeCMtQWyF4MTIjOg6YShljjTIwuHUNSqS+uc5q
/QZj1Lt0iK+qavKj5DkfB845r245UqgAtgbmiKSwxzxrREhTRCNFf58MXpb/LCeVc/3WczEXQphz
lUypGdBpT8sw5XfZzbyg8DpkKGibXMUjBuGtiDleIpXgWKHDTmbzlA6+lDgtr8d2Nf64WA/9hIu4
NOzCtBMFxB8RqFw0J4v3RLaWyd++DeuVyAsxjAdIF1LHYgpFbZB3jnfSbrI6HdUyAgKXxie5xWN7
WK8PXkhkHIFuJG2soTaB6tzsogyPSdD5hjZZYYTejp+218c7KMYjDGomgfAyRGAKzgdxtgASm6NS
ti1kfab8YkmM7Z/bZGyT7GNJhk8biBXwwuxjO/1ae4Kj7fMbXnTKOzcW0VxXhQpUJP/NfeduiGQg
4CQwuPhP7ruwefOmvINj589IOUltmyJUHTBtBJQpd0LWSL2h+CZgFvrK2VPOyamM0UBaX5vCEPGj
dqM56SM55G6EGiA6KMAvUe6RQ+a2KdFb++nVdD5GFte818poUBoEj3M42maff83zgUchs+oYLmQw
lqMgWZKSEraQDq7EoQUYnKN+3bj9qQOvr2Tb31Hh1Lnj5bzdZKzJmI/yWNKzG43E1lP5VhJMtzNK
zqmti1FkHdyuBHCFjBEeRCPqQwXJAt2s3wdjQepIelcGkWPsP9p0P5/UWQ6zi53Q9iH4itBj4Dd7
AuYC3ZL9kXIYOOjdN6/NB/NbcQ04o/3sF8Clp9CI5eu2hvLWymxpE+S6AiYHDLwaM1CUZVQHvyUI
KLalrOvLeaWMfY7mwGikHmHzBOokAMMOs6tLXpp4i7DflrSu/WdJjF3uJTkzGtqTEqLhttZAEVnx
qOf+YCjPMhhzrC1AVggSmhMzX9Xwh2j4YrNPq0Pq+F15rBJXRCMMppOJG40cnfmDxTzLZo30svT5
FCD3QtvoZcNRdhQTIFdRFqeuri53vOnydRf+SyKbrxDzoCzFBSYsGJygeAowPT+EgPaen7dPbr2r
Tj8LYmL1WuxnsD0g4a368nX9SJP64QG9dS4yPic6XA5iGuAl8yciODrDZi9GoqtZsWB6K8xBwjNm
+yUvOc1tnAvAJipEKV6Qz8faGnMvpuANwdCmCgwHEQ02Pc86U6inDbtCGLuimXIvthGqPo3QOCO4
QoK2OQ5peghK0Vqa3lbq4KGKKxtW/Ov2IfKUhTEnEyKVcNRw/aL5Nqn2cvkwjkczeduWwruBbOeQ
ZOi9IQUBVvgGKtTgW3qt2pI17caXTPJNsLLG3Fb39RzXhXoyloXMM/oFE8SYwUP4aPgy2hNJgjbn
YRfbvSM64Jd2Bj868NqkeFvKWBuiGKDBErClYnsyxp1c7yLDkQmnDWGNOAQ99r+eN+zEjFHWEbDR
oDSjLdwke8nDwOYVRaiRXxZfeKBdS52f+eKd6XR2Zf8Pkdn6NTx/ARMrJbk69SptuRMPiyOh96Z7
rZ7E295TPlBjpo7L2fYHk3MWyXj6EWA86SjjWhoPxCdX8V2F6nD1igLOKTip1ugA9ATHOu4m3h1d
97tnycwdHdKoV0Udke8A9kfgYUW2ULsoSDg65mIb4tHOD/4er+vSWSpzPWVVBX1QjkPuhwVDNXdt
ewM6ZXtW/qrUd6FN9EMu3n1Bb8xaqdF6i2aN/c0k70PFzYYvf2UHzuth7mQwhBkpDHhDWnyjcVPW
HQ2ndSQ7joF8kjroye+9baHUw362rmeZzH1UW6TTy+IjaqMY0v9l8vmrHPDFDjKOfoxL5NRpVYw0
p1I8tJWKoX5eDphz5RQGNDAyJkGfNQWVUv2tMNpj17R/hXl1XofCePWyjkNhqtD/L9fBYBm5bEXK
/DNGLbuU49M0GnBJgFyxk5F8CwSUNMXAN1FW3z609U6I82eojEICB66cSwpMlZc/psWJy8pStBiw
KtekeC47Cjwyqgon7OU+Nhn9jEDYhaK3jOgaeQnVrjGgolzHe8mVd4G9cFrLVxXTABwuYMTAm8ui
AMUlVtjPyLUozbQTasnWusXSovcAWTYZdC9m/qPMJE7WYNWiXAhl7FiclLI6J0h+dkXiEJCuFmVm
B+NsD0LB2c1Vk3khijFeU1xLoJZD15qZvyiDHekvscjT1tU47UIGqyYSKUgHameAFcw+5VGqvBD0
oQ2SO81T7YTvNd5gxh2PVu5j+vWTUbmQyyhKqzZVEOcfioJ5hNfWpeRRods9qe9+FNnDT0RUh8QG
TdYNfzaXt2jGoo2zLgopTdIlZI8RfLs2rwriKLFs6yMnzFi/ERcLZcxaIZljOhN4XP1e8ZB+OcQP
qZ3v09vOjg68LN32jdBYgvVynsOWzHjc0hkPOnyv+Kon73immu7Pnw9PY/mVFaLNU9iiUZSIhTNn
pRvngM9FlJZEg1OE8OtFxLFnPJFMrISUUtDoYIFzJjX1BcwhgIazBSDQ5OsAZ+fNYG5fck1kwiSi
TyQFfDSFt9BvJDO3yiXeK3PiGzqvorve2PVLQTSRMShyGkpjWUIZ+0N2Aqe529r5l2lnAIRV9oaf
YAC35135tO0etm+AxtIOZEOVKl2PBOsIOhRleKvGqxFcCl1uB+LDtiieTjIWpowaFWyl8Ic5KnuA
R1eOokDsdLyulHul2XUBF5add3qMbQFkbx+jN5yC0RX74gVUG86M2Oiku50bWNjOY+r1R5End9tc
ayJjVfCQD9U8oCqKzrLqLRJ2Sce5BevlkgtlYayJALbZephR+dUsgvEKySrt5jh60U7e6fvtc+Ms
5yPAuIho9aEwjIJ6nwU9ov1VHbnwsNsi1p8j5+V8LPdCBonnqphnyABc+UnDu4CC6KPC9pDbU26R
exlPMPRI5Vbxhbe89cTShWzGonRaL6WAd/mFIQjqptTu/sEQ/N/a0DmX7uOLLlY7l5E4RPqM3hTz
vpxetD63FGEfmDuZR03HuXMf6YQLSbXcN6U5GhiBOID2Hr1R/4B2cnEzqW3acAQfleILOVk0dKQO
MMEYXGW35ZfsPvdDn0TW6Cm2fKJdtyqPMIV7bow9aUShNRKA4jrK7JH6hFS1JWvOlNwvoT3OXqzs
g/4QFIck3Cv6I0dheQtmTEuHflhRAmQn2s6KfWT3fvwNsB7v4GuVXDT8OKi8jTy7wvMQH7foYpfr
bikB9oueOtWPv9OX84xurVeoqq+4ooeSip35EReljhO5aB/Y2hdi8zkmZmlirfStGe/0VzpsTkne
ySt/RIOzsSxaChlmSRxMPMzK8tZIjioPUIenNmy6J61GsgCgRAFmpZWdAh+goX51rHagnwaC9F8i
RZzNC4uMkugluFZmBNai5DfJzdj7ROPM66y/8QyQaOsa+E3AcfJ70qEXG3MuMAAF84kZxpN0pOi8
0S6/4V309dM5C2JcWxjWupwGiCtbtYwsKRRfZSF2/upunYUwvm0mRGwSBWre6/13AGMdlCz2+3S8
rVvN0ZTkJhweDKA/iql6h+YrO+vrGz0pr41q/ivX9+tL2ApA0qppulTIfAJ6bN9r6bHWfo4tr7Sx
7mDPUphEgdQoE04PeZUEPk/+DnzTXOVl3agT+2ygzzIYJxdVndm3BgqIKTK4ox/dlM8EpWaQ8jrm
LReAezUPf9ZHNulPCjFWpRQ6L388P4ad4gs+9eCpta0r6570vCyqrxemKZ50XUgodUFTDrZqgIwE
BO+ZeUzCH1nibsv6gx08C6PneCFMk6O8bzO0VI3xU71YxfB1bL3SOBXSixCehPY7Ca6A5xoOHGez
Hsae5TKOrgMy1xQ0yJjOw4zKRmZpiYTWDvx/4b131nP9FyfHWBLZjJJ+bJEnVa+qk3mPRqcDKJq+
Uo7GxQ33xKKTwpm9vGzvLe8cGbsitoZcF+qCtwEwRYTvUWFao/6atI8iAvZtUbzbxlgXXS6mYBmh
m4p+aJZXrUA+ePx3MtghYVEOA7MaMFvSL6JTo+qVINgLNd6TkbMUdkqYDBmQi0vMHklaggnaeN8V
o9dEPIA9nhjGdpBq6dsFpPFO2J/AM6RnB3PgPAB4Iph3NoDz6zSQsGHKcGiX5xxhPg8ZjaNiLEtz
ibZiiZTI1xVxtcMEjavF5bs8Zw9p/QPkiBwnxlsQ/f3CVvRh1xAxArpMnuzr6k41HrSRVwPg2AWd
sQukrwGFmyO4T069m90Su01dgraljvILH6KD6FHOAe19+/6sd32eTQSLS7XUi2oWDfIUNE8IgGSn
v0I18Okt39OmHnXHL978IWb7ZQF1xjwo6KuMiIigEFiSR5oi7P3uaQSzpOzVHr+RiLexjImoU+Qk
1Yw21ysIeSfFF6vOM9TWC+r46/ZucrSSpTMpE2LGQ0o3U/FNwyPFVzV2cymzOo6F/cPj4dcesjQm
ySAW40CHd0e7d2XbxKwC+IrJbQwyGgwOJjv5qW7t9jjwDC49nI3Qw2DMh6DnQ9kZuAp6KlrdeBvX
z4V4MwEpaHHV+XV7P3lOmiVlBm4e4Csb5HzaxtNaGxMFdiDsouB2BoFseZLoP8JVCSfWc+4j58qz
DM25ng29bqLyF4WuIFuKchU2Pmd1nMCKHSswMUxepYOOXIXxpoGXPQoWz+jVZyCxi5Yuqode1fDD
m9lw2jh4TwyDMTZKgshgSAiqWc1brR4JyDbn+DQOdqWEdqbZQmyLY8Txo/SibakOvT0XVrTtkZtv
aeppPlCkku4/GS5eGvsP2bTz3WDsSzVq0qh0eNZQ+AvQpN/QBJByUIDPXHOoN3lawtgWseyjXJiR
KTEwxQDs0f4BBFDbWkKD3o1dY6cLgBMuyRNtJ9DbQxi+Bz2n3MYzx+xsQZIm4D2n9nHowbqBDqxf
wA2UB6OxM37zKm9NjBEhjagApA3q1wG425kcgpJioFjqiw53F+1EtNYXFm8MYL3b5uzq2MJitsRy
B+Q22nM2OTL6nQunpJ0KD6YPqDW8rnnzZBxbyc4djABqzeIMjq5ZGmup3VarnbF4EYfboX9RE07e
gOPnWHaRFvz1MqobCFLEq8x86ZK9mtpGw9F47i4ypoOoqDFIMm5XhU5Lef5S9nujs3pwOcYPCoCl
+n1eWUu2WHF7Nyz7Mva27wPHirCQC7Mq5aURfIzABofaVwFEJAFKiqctnJttMkZEmoOkz3oEmHNx
C3CMIDqiILa9Ep4IxnjEmA9RJEI7sZRip6DTuZ3NRzkyHrbFbOuFyVYPi0wLc31EUFJrVpAdo+XV
aJw45b2S1kn5fl0vky0fpno1ThFFOVKQtppdYmuWekB72cG0FZ/Wu0bvnxQFP824vpPgalU07Bjg
Mn73LJlUlB1wYCA6ATpGHjk5mZzR5FGk/CEcOcthdL8JZ6MuOmQbxy+Uiy93p536np4mt6C+Zbd9
bn8wzGdpjL/MxUgvEnEGlM7N5IU7BXlADLPtemd2SoxD85g4/hAUnOUxKp8EmIeeBWCnTVpgZdJ1
Gx1qzZXRmWggyKsf0tnTMl6Exzs65hKMqhYnwNyA1ZotdMbZwQEIJ9fVrnw2rxBR7uL70OMNT3Bk
su1CsgpYhZioaKLpZbsW7go59Uj7c/v41q/dr91kG4Z0g+hJT+Fo9PFJKyxRlC0RjMjz3bYYnk6y
81xdNGllIuJ6R/tqT5sd33oPExmWaPE3bl0lTbCLaqoOhmzCJDfbYShnCTOycKFA7UzR3Fg+hP7g
zifZo49UjccSsRopXAhkIoWYCKLaiijngdLQymTdCviGi/6NTxHWhQwmXTEA4ViUckQj0yLZUvhY
Jakf5LETz6KbaJJnSHgIK/2jMJiWHtaWbC6cd+OqQl58Ad2Fi8g4CsbMUFW85uZ0X4yJJaW3Y77f
VhTeTjI2UqpmvSYR8guF5KRNYan587aAVYW/WARjHDVVmvFao0CPuMqaOPlainBgLL9NZsF5v6zt
F1CA0AenYiqWsDFArRoqZi+hhkWzAzlmpX5r6oft1VBjxyoFwGpkUVFF0RDZ2XVlMkshb2F8SXZr
qNed5hVDiHFQNw11jGVzGrZWZ2guxTGbV+HGBeoIRtvoRDsA0kPyVfHmH/mVAjTS2qGZ2sEFCfkN
pk6KR9ruEHsR5z1K/cnWkhl/Q/QoksEMDvufYYgZwzvLbOnDyWxnJ/0bOOXL9TK+JkjGsBdaE550
2UX9z8Gwpf5l+wTXleR8goxniUHIrUQaOk+zLrJL9JzKieiGMw/faNVtXiyFTQ8vSpTHgwhGCPGA
gQh72an7fK+48453PmsXDD3yIia5oOAoQv5uJeJxNmNlxvul1ywzvWvNuz6385hnclc9yqUcxuaW
g1IkgY5JGSjDQ4ARrkpRrQwtl6Xa+6MSHCS92U9lZoXTcqjQDatXym777FYdzeU3MDYZcBV9hAcb
HSAGn/Q1aDZ24Sk9wT4j1u93yjtHHt27T7ovqRodiJYRQzLKMktZoI14af+nAxuR3TEElTSdwBA4
d301P6GcZbEKI8nSgj43DKjS+q7uFfcUn5bmW/MbHibR6pW+EMWojCQq+VIrcCxS68rz16iJ7HZ4
MgJLaQ2O9Vi9bheiGK0x07jJI/rYHd7kVLHMebcMPFgHegobp8SCjKrotdHCCqdEG2BoPKwB7whE
PRztW79ov5SBLS4MhTzHo4aYdAFBZyzeNOVBFSO7+RvgCEWWMPkCL2aabLteG6WpkFBkxB6pl6Ih
dj4voIjn2Y11hbuQwzgXNY1yBdNa/yh3d7tYmLU76GDmqR54o9CrW3chivEhbQmM1jZDdqCUNVuV
5FOjtU4Jaruq5vbCr97ZC1mMD1EwTG6kKuI2sXlvBashb5Piku4qan29sdvxWsvvl4hXVKV/9ZMO
yipYPCgSjMzqYKbmVTDh5e6g/3evyG9tKh1HZbIkFfOgbWxn8Jwc47S6qZopoRPWkCWg9v1u+Oug
mQZhAUoGbdmRgPc1HTOkdsA6B06ZkE4xYdIQhX93W+5qN7dyIZcJS5tWGPs8+Q8mnGAVTuUY/rAP
D6nde+JtdG1Aeu6hz8bJfJmTzlq1JxfC6e8XMXHbjmXS5iAZr0i0l6PO1uP0MRF46Lur+azLRTKX
Q2wWQqIZcgJpqN2y0innHbKCyXitlqmnJclLk8pOOoZfJq0KrKT9OuvN96YHlM3Me5munTTiTVUS
CTFkhXUNSyrnYi2icq42p8a4SruXXrurEfNtn+xntwDlBZQygiMiKwZba+xIaCJiIapjTsfJ/Arm
n6Y6dur1xN3dz2+r3yUx9oA+glOQx9ImtzmzUHSG7hDLxFQxlCbk0nCvBGO/y2Nswpw3vRwliKM1
slcnW9C9knjm+L4AAq1ST8rPxOSRFPA2kwkdgjopTVkAZ8cUaV9JLz0Y9eTF0fQgDSI6B8cf22f3
+V78tkK2xkhIKOdCjAJckSa2OLiF9tx2HAfIWRJbXTRCJQpi4M46VfQ9Il9IKNjZUl6L+Tcijvf/
bj1M3CAt4WKqFD2/WK7ncG8a91V5ty3i89P39y1j7Oc8aH2lIOJyIi23TO2WS8HI2y/GUEqkmtDF
g4hZFhqLALIFI6qDPZvjMYW/sMYB2BL/bkmMdVQEwH80M+0akg69GVm6zDmWlVfA75vG2MXZiGfJ
DALMEnzMJALU5ACaZjxsAOXNfXpypTF2QohTklS03JrsZxdZLF8KrfAU72mqc95h6mt7+3gHxpgJ
vZb1SabQj/0k7jM1PCWNcNcYmdvlT32s+9vSPocMv28lYyE6M2zCtsML0SCYfSqmPdg35AHl7OCx
BMuPEi3/7/zIbwLZmmFR6oquoU7jKL1yEJTGnoZwP8sP28v67Kx+l8I8LuSYDL0cIxJSFegE0hRx
6knGbRRyrNFKj8rvghgTMcTGJIcgcHW0Wti3evMi5a0lksZpmtkazfBalb6PIm0ZBAS8Juym/ls5
6bvYjO2x5sJ5cgwwW0ZcOlDMy2ANoPVSafBz/WFJOOfHURi2cGi27dDFA55tbVZ5hXTdJ/5cml4l
H0bBIcmX7XPkLYixJYJYTVE0IryszevCLKyufhyK7/9OBmNNhmyYC8QCgM6vFRfvAT+OAXDNjeY+
PxCppqiKboiAvJFZVKQybJMETH5IpJaj1wp7MGMq6WHRDpqW26LgzLyOn/W9OwtkVLMStFwJGjyt
2uA21m/L7iBNHPXniWC8l6EIsV40qESKuk3S27a+GkpOSmLdHJ5XwfivUO6kTjMggr5Dh2MJHjD1
udOe2r+oVvx+QIyuKUmVywDTRG5pAbaZklmNYYcF3haBJaBa2O260otA/hm/C9xOCt5GMjqogl10
6UpENfnY22M3PZXTz1kfOXd3Pdg47yXjyUxpHmUd9IuO0QzHOROhGYu3fZl4Iqj5uHgamagKLmWA
C2tMN1V7rDKOxq1k334/JcZhyaYmtbEMyw6snGo/+qU/YvJ7sTpXsg1veAjsWucENH+IAH7tGwtA
jrd2XDUC4g0DTZayGDuDWu0BL2GNgnGdNHeNGO0WsIDp7W2MEatylDlfsO7Ozh/AuLMyNFUhpGlP
eQARl7g8DsNwJSymuyQ5J7jiaKLGWI1iGvUpmoDQnCe7QbuSzaty4lxpjo6wOYNQD1NByrCasnsU
tfFRz9v/I+26eiPXmeUvIqAs8VVpgmec474I9gblnPXrb9H74cyYqx3invNswD2kms1md3XV98te
KFoEFzSqOA+ibAZ6TUp3qEWn2tYQcVQInYILF1nTy7Hc4znHxK3Uq/yJoFRagRDRj/bavWjOWrQi
LkAYVj/I6YwGuGxuZsO3jA9D5OaCSMvP9qCiYGrmOKB6JO/K5FrSEruC2Gj3BtDdf/s8XJAAwRye
+RlEN+U6dynQruVko6F52YjIy7hA0erKPMkNREEwmuukpnQjp0I4H7vfvhbcvgQjfmzH6qRIkSP4
WeuNvxSnBVZMpS55Ine45rcq20BBJBC5Hd/mVqdosZhKHxhFPa1/i0d3II46tTs5OkqtYcdQdCvL
rU6PY7G7vKMrMJqvy+ViA7EWNUdLny0XXBs/i0OzK3zwZzuTMwFEMzU2OB4d6Yocio1w1IfFuD/3
GhLFmiQDWytx3xNiM1peDEgEkp3qt3aKcZHOrg/QXL4RVqXXT9s/tj5LOWe3WDUYkMlmivFZ5hTA
HUIZ8D75CH6ApmkD+IKbeKE/5qJPK1ghP5u8WFEZRzHmTMsitcsucM0ZnepZLT7lJVMrBu4+cPJc
ddJpdDQqAtyLVs193iwI2m5QU8xGWBNeTHTbdqpTBpUgRVgBiDM3Ou0uO1Vnu6vUfThThl/Dxf1b
wuwe7EiM4kt19p/4Surqrkik7S9PtZNZ7lKw9HFWx6RiIDDJYe3QTy4oxqTvV172Pu6an/nL5RMj
2lH297OVViiZLqqEbMjsap+SAYx0E1obmibCL/8lLJwWx90PpKZjMRC8/PLGZpQqkb/0vokthVCo
n9R2KljZX6qZJ4NcLim35jwrUaa7xnwTm6NtyFDPPE7Dpp8eKOox4WYSPqFE28ndG3VNmrCB0Igb
jDtL/b4EP4b//6TTV9/kokxaVlJiZGDVrgbo7xY2rX1Lub/sFSJP5EePl0Vu2ja3MOuGONq81U7p
EC/5mJzmfcDsonZN30TV+/W82ZQVjVILICmTW1gejYCDV4DgZtZHO2+SwpP7fTm8BXlvx3jwFAom
ynHq8LSJZrcVsRauJhcn83xpOJaHME0G4NriMdlhiPg+yLPvQZL8InHwTZorEc33asZ8Zo/LmNHG
jmnAmn19qNg9dSi9ypjWiKgRJVoXFzPpGBkDXo4oHhSLk42WV84j4KV9vptyzOUXVvx82XlW05qz
hXHBswtnPOxlQEe02Xwo5dmORxGD0OoxOzPBBUrM+UVKL6MgEnW1nQRvkvw8mQJov+j7cJFRARx8
SnM844A7p8FmUJ6q8rsaV+7l3Vo/aqZmWBAyM01V4+w0WtWpLWMFbb34nmH5B7tIoP1o2YGdu/ML
lOzFnNt/Ds8giJwZ5YIxFLgGXQmRJ1lmZee6cjBxuNQRNNik9+eh88AdvTMjBdz7Py+vd907Tsvl
orJkFmFCMtZOzx/k+VsvGhtgUeKPJOxsZXwENqMQGGNsZ/Sp6GtBiVr2cl+UWK+fqtMy+GBFDV3t
AsybSv1iS5nXgibI1K80+V6V/cs7tp6NnJbEP+5rIqlNTwHnYSLQkF9fWoe95PAAcpsN2SHVw6gJ
2Ymo5NYP2T9L1LkAFfR9BipetOaWTrbl+YdVZV5lKILVse9x4Xvxr3lInDTE6oD07RTFbtOfaflo
EYzr3KuGL08C5jHRkrjQpCvd2CcKweh/DaDgbG4bS3cikUa5yAoXnZQsCRs8vJDpyHfzcBO2r+oo
6O//5bI8fRz2G87ytmiQo9+aTtpdcmv6yzbcWA+/gVCRR11ZEAxFX4mLF+0U0zJjHC9JSdwRLq9l
uz75KM1w2yn7RlRSXU8Wz1yeixLp0I1N1iEthdLIO/XDfewYN3TTOdJWPACxAvH5Eg11LmbIctVI
MWuRQIgwajxzelW7fUHvgvI4DkdVgzjc9JiJzrUgEupcCFGtqNObAp4/SNchPc7Z3eW4wb7JhZPF
P/1nI1mWSUcO1/R7Yt5Vxa3SuqNQ3ukTi3/JDhcntDJW9CTDU1Qh8t6M6rs+mJ9pXYx2lS47cNhA
IWZ6KiW1spsmtZOq3KTmbM9x5JZS7RXh6xDGjjoPt1mQaPY8SU4HOc1svutT4k1R09ohhtrwNHLS
XIE0IGPPXp7xWnJ0fbTN3Hi+vHGfvDeXVsSlTKkB6FqeoatuHeWdcSQ3moPf4Blv5F03bcYfWLuM
i1yx54/MkXfk8fIPWH+6nNyfJw0psrhBxxMlzqrdG8VGX1x9PmrhD8tyu2kBHhc1hWm2BVYFDslT
hrf1ECJsYdmN3+OmKXDsjJ11aF2GVCpvso2Ih0AUxXiceGy0jU5V5HGSAXAU4CYb/V57LL8vTote
OUjeBXXdzzN16ctycUzLy1kPUigHWRW0fimGBYzwZ08hEgaqmVjCrPlgfrPSKLYrSxrtosQDyxxB
atXTFzABRjaptV+JjD4i9LC6eH4rAJbTwPNvQNum1jJbIvpWn3OPkh9ZOG7o/FwX7WFpjqWeyU5d
IY4BD2UVybWsAq7Y9Q9dGLyHGHbPRxQBpXlnQVC6ixufSsEzZDzsOLb2eXIvyeMmm0PbIDVglV29
CwZkbL1qW2rs1KmE/m2KsePQHifDgSzHro+Jl+q1YAdXg4olg1sJiEtN4sXdI62UoqzCqyVuPwbA
6CBjIu3wuL7siqvZ1ZkVLiCHi6FDcBThX62ht1d0x8Yc3mmFISez+DkZIjob0aK4SCwXmVo1gLFh
aOVGx4hMbu4a46WXvcurWk/kTsvikQUSiSwtYKw56k35rnnLFb0eoZnpYLAVhaUMqPdJd7KjSH16
9fI+M8sF6GzUrX5OEE163e/N27lHQPYsGQxt7mDWjmCRLDheOmLc1V321TJECt6bozO40Oz8xoDG
0XZClipt5bfL1laXdhYoOUdJyxKVyADGAsOVlGMMME8y76LEg3inLMpKBHkdD3Nf1CkYxhC4F5BT
Tc1mKK7qSpCgMk+7sHk8hNFA2XzpdKynJe3WyHSf5tBCUsBTUW2rqbVjGU+0QNte3kWRVc5BoLzW
N0aHbofWHeLs2ky3RXBV6vdm+aQSfxYNIQv20eSuV4p7phpC9KUy9fuwHKqlPvTaIthJwWXGI41H
vSviqVAYueomnm8JKO4ub9pq0Di5Ho9zz5a6HecAPUILTIdmXLodOXRSZRf012VDopVwqX6v1Qso
gXB8NeB1wOzY6CL+blECzENatVnJAJ/+nMKJtxVGKkzHxJlFfrNVd5dXI7rzec6c2ajKmmKuwiVX
HVNghnZNeKw8w14YW6Qv7MqIvI0LEYnWxFklMbDfvtiBzXq7fKDCclW8aI9sACLxEsMRQndXL7Az
52An7ux5pucVSWm/ICfG2PhwNEwkHLbVgy1KcHRF28mXLSFpnZQgw2Stit/qB4lv7VDadiD77Pcf
hnf58wm8nge3piXFpI+BcftRGfaNFbvzjPlOAA3KOXUvmxJEJZ4sB3OlutpPiIWg+ISaX7pJdwZT
NxLsoMA/eJacIRu1su5QT8+L20xBGjXZ0vTj8lJENtgRP3OHMCgkGg6oO0D2tu+PIOijwf1lE6In
M8+HU2LIIS1ndJMnDNdLPyebeuFhQiKN8WyxCtu6H1gYt6KqrJufbnm2olnSJI3UCK/xssvDXaJf
Wbljmb5gUawg8+d9eDLDbRwxGn3Sup7haAfMt2teCxrkzta+G76EkpcIwyBaFfuOZ6tqMFlZAPGJ
6zdpMRITI6YPDub3mloT3B4rkxOs5nBaGfspZ6YM0kfTUOPcggu1GCtbjt10OaaGX/W3VnCTaFvS
3Kf6jjEITPPTEgjcnoW9SzvLpWkg7J2TqkH1Ie4BPs0+5PbXkLW29lrAc6JelBWyFOKSOfZzzpY7
6XIZSDmWG14DhWDLmKKqrkzE32jfCla2ethO6S4fololnBqSY/Am07wieMtlt6reBX65upwzG1wK
02PEtFIISnyNGtsUnk/vy/Q2p6jKtuiMWwCLFG7fe7i1BZZXK/dnlrkSZtYXTYyOO+QMghhoUyvC
01X6riw3IWr69mRAiapIbAmDOPGMOafL1lfPx5lx7jgG0dhQgz1gapyLEiCcOHES6cYSFfFFdrhz
WM3GbHQagI757I3QBK6qDQmdEQMIl9ezesWcrYc7hHFWNpXc4JrO0CwA1wo4wZERgKL7spnVbOBk
hnLeEsutVo8Ntm00Wic2JWiGQdhulOwWgJRqGL3/Zo5zEb2O28jQcNb6HCCCpdlURuY0GLgroL80
Zsq3y+bWU5Cz5XFe0fc1KIgrVHE6l8EWcu9z4PgxQNVotomwFi20x3kH1Zp5rAjQGbWHF+Y73mO+
9lZss/fARsb68v9Xx0SkPlse7ySVSggEjNE0iBw9GcHGui1D0dy4wBN5UgaCSmY7pDWSfBAYMEGp
3yoloti4fu2cLYaLw924tKVZfaaLkFi6ylzj1nLDHYSPDozgn94KqdoF4ZhyqfCUYOQzq4D7CKg3
SN9J91EQQcS/fL6Avfp6ueSYo6g0BajhpAXN/TDY1ZLsi2p068pyokREKidwQAiBf7XXN2kW0Rrn
mfFvym4LHjQUOTzNrnfoNP4UIiMuh0NZ4uKHFCxBmMXIgjpMHuJqMe0y7DbW0jsdmcCo25ee1BQO
jVF/hHq33pc2Hd5zOdjGKAY2SfyQ5e3T5VN/2WExC/91D6wu0ztDi04OO/pkIw6doqVzscU0AhWC
1J3m1vNjXVh+VwLFB3Y2TAX5lxd02U9lfp68iIIhoTEA7qVS2u23ZYQmn0jcQ2SDCyVZSIaprDB+
aLUHEMfamHwejbvL65BFp4H9/SzVqvNB0uUQxdPkMHrt+wBNhtrJN9JD9LJs0DzYBZAO0XVH+LIX
fSsutjS0meuKqUdKe8lrn/N7cHNuUyfctYf5u+SrnvLSbkXFTZFRLryMJYgAAvbSnvrJ1jrVVnLT
juJxr3cirWbRzn62bc52Nk/SRgsx1g4RncmVPMlhF1AM/b94YxxQnWZYtvwhFN54zMn/SJ7/Cdoy
D7tsC7Wpgx4XbEFvDOUlFhFdrL8dzwxwASZLgghjLLhRswOaDR66ydDaZbdpA81pUThbPwRAeWF2
Gjerxn2xCCBZsuTIYAu0CnVq1503TyKm3fUenvWPFR40QQe1rnXCynPfWFJS+MlNv2kOmlcfmThk
Odit+6kDdlSR8YmHqdf98mSfuyNyuY+zOcc3C2dbDfwuuIrCYy/MYP/SU7A0hYLbX7I+ffbMJ9WC
0sggmMBnfCjBr8KtfwKW60136mZ2yb5y0gfzthNu73r4P5nlznpO2lpTWzyAGE0sg6qWdu8EjmqP
nuRFDoiU8RR6sNzBsWzVkcDQAhVVpz5IburGLnkU1aX+kticfhDnVX0VN8RU8YPQwyfkxkq8aPGL
iNoDoq1xq5SPcX0jj7sehNJW/xSTN0HYFewID5lUaD2C3/kzg1N9zaMf0UN8jB7wKRzG3NgDqbkz
sfrAi7xIBAdZj/n/rP7zNJx5QYtPoS2JjnLMr9lJHpkKar5RFxt0aL0/uu1jAyHZwFE2sihxFTkg
L+qipzQxLApMNitASs+FH9/FT6A1OsrokAcfMcCixBU9EIVWufRjCjIDik743FEJv59cmjolSkMA
oMdgQi/9/lD7ETDw/9XPFC4hmUujmCPGnR9aTvur2Y1HA8/tHUL/a3oYDzqGC0RJ+3rAPH1c9vez
j2vV+oRxMkDmhskn4Vs/OMiHBN67XlY42eAykwVNVaWj7AbAS/i3Otboso6d6K5ZjYtUtgzdAm+P
zJcpgzjoaGwhLqrKDDoBZd8V9X4g8cbKREoaqyfyzBS3prhWaEhKPNwG39qzN1XjYThCqPy4PnQC
YhlJtkCrp/PTYvkYgFHCQHqeZordKZ09W/qVVCk20a3ELsgE8fPsuUYvf5rzzags0INMbFW2bI3G
Xqg+V9poE0yPSnVm05GIuunr+3D6fZzL1n1iFHIG8kJ18qVlE8RXBZoRAaAF0Xu6fA+CUlBWWU+U
znaE89hhJCnAg7CYHSaXcd9MV0CTeINpp7vK693uGo512yeO6HiuZkpnhrlPvpCxUxUd2WAq0d0o
032ViEqZ6w582k0uvVYGkI/NAUSEG92rUA6Y+41K7qkI4iwyw12wGGzJ4jzFgUysrTnMYOp3CvlA
RKUp9m/+SC0pJDpN09R0yl8cepvLeb4Ax9rF71TdjOUCSeRXmqLGrm0mEVPjuieerHF55txmWW4w
kdnQCh1F3fcECL/gYSbfutJRpDujFHSB/+KJJ4vcPUEbqnZjgG2c9zKkZjM3IDZxwsNt+HNwGIar
caqfwEBPRHQG2Fou7Sx36pZaK6exRvSh2x5ScYUfucWL8aD5uR/6Inzm6v1/9hm5A4cYalJzQvJR
Kb9Am+vF+m1udpCAulNEz7x1xzztKHfExqKLZL3CK69BwjfvzXLfJEdJ1PkRLYg7ZXjThe0Uonxu
0NcxHO1mLtCZWDwzx+bNtST4WisUoniKnG0gd9ykksroscNPRkf22bNO8gq/PKZ42AUuvp0fblqX
bDIPyDvXvJ3elO2/uubPfgI7PGfXvKFlg8yIgzHc9m2m6l2bKrsgC0T0VYLvx/M3q0MatCk+L8Yz
iVvJ4ORSlr01ISx3w6MgqxCcAZ7GOabF/2Il1AUbG0WBDTYzcMwju4fbxRUR6K0/ZE97yPM5J1WB
c2AiwMzO7LTXmZu41IveNR8SK8Jn+fqb48waF1xKC8MGFstlmLR06oV3oMm4rbwBTtLh4Qx1d1G2
vfbxdEmREa/RYlIszkcUOstQuwV3b0peovyYQYaBXOeWf/m7fVK+87HrzAwPVIuKYVFIiCGKqxyT
iCHKxNPWVrclxC7lu3KfuIR1ShyI2m2zTePmfvWT+LoAc76W9p7/CO4FTRKl6pYKAXTsn8L0aip+
GiLhVJEJ5r9nRy4AUXFuTihFWL2BCiNay4l5HWqq4Hm2Wow4XwrnKGlWpGMV4ZYFbR36haTYZZHk
yEXhKU29KSZopwaASReAiRrpMara19QodnIq146pVB9Nbh5mq7+jQ71Zps4xZukYhCS2u0wTKFSI
doS7tSQiB3KpsTiY7qP0rtF9U5QErOVo55vB3VWalAxGjE12y6x0MsOyS5k6lx14Las5N8HdUU2d
z2WdoZbby7thSe1lOQ4QBGu2etihNC6wthoHzs1xl1UIQbVJYkiVikIEBqOtbvNSXGV2ues8BlQo
HE3AkyKIA7zABjWiIQ+ZLIUeHqS8cI3RL6PIHYTIsLV34fnSuIAzK+qkDxo8lxGZVbfxvrqCxLAv
llNV1nLDkyUQlH89i/hi5tBZeOUmUvGrI8t3UJTue6WP0F8n9qAX0HxUa7tWWlcFLyL4j/ob+Krd
ROmD0Vm139eAc8uQxo4x7D/2Xt9LW+jz2EQyQI8j7SaD2kH7SrLGn6fxIPWGHYCihUQimorVlWCO
1QKZP6WaxLkDdmwxMwqM1OAPh8IPduqmRWNIRLS77nZndricxQq1sk+ZoAabC0ORf1PgusudYc9q
t9Ud2QnJl9fuc/3MIucNKWi1RhLAonWHOMYKxcojqrdusk3d6E6UEK2e4pM1vtyuRGbQK+xYjeq+
QIW41LeEvA66O6KsFQkT9lVXPzPH3TdLvmiGXua6WxSh05m9o4XftcjrZjfoPKXBOTt2ZPMvAtWZ
Te4CwljxEo457nOlMe12vJOmpyF8G/WPmdz0lQi+sZoenZ8xbolapUUYQcV9p8ouK/NYbuWFj9YD
E5jBmIl7eXGrfdJzc9zqBhDO5pDHYsGD9UtqJ/TodYs+IWMGD91/0wo6N8fdsmCWSyO1p+C70QbP
WCx7SBc3qFVnIpFoaZcDMBjsv0arpVMsMsbYSbDJ3wyvYHr6kWF8pboKwIVxDSBV5hFXfxPVNz51
zf/MzHSQi5iKomAM4qvdUVeVxGLd9Oq1c5NbJvfSE5uGdmczyCeoP7bJ8ZMe1p/eLn/O9SWfTHPh
JgD0Pcs/tVJi16w3U45iTqo+XTaynn+cjHARJs4WaVmYJpwOmg3J6aVf1vj9sonV6Spd+scGPxgn
zcYyFRJuGm3zSQ+zbbwFFfpOKIMl2DGeCUdWi6pQSxRr+zSyWwg/G29ZeaWmnmBBzLEvOIXBnbOo
CVQpDJEpJxhK+jzYwe67arhQsgHJj+VJAsQPc7I/7VFJ06EfAjgCl8GRIQsURUbBs8qcoYLCEWlt
arkaUDFQfrm8OJEttsfnKboEvou8mVQwMT1q+kOuXud6iLGtWz3wL1ta7Sno0mlZ3NlaIm0x+gbL
Cp/je83DmOI+ctV7AAF6N9o2G+OevSKFrcpV9P25Xe5gaYkOuu4YOZa2ya/7Tb5hJD46mMmJ29uX
18jC0qUvxx2vqpRbxdSB+iyrzg678F7NWkHJbf0E/7OLfH2hldugilmYqMYrLXWV8UWpBA7/l/fU
yQZ3j1lJGpaFiVdK+K5sip3pjx6A1eg+oRXvUa99Zb2L5hll0/FQ+gQtqMvbKFojd+BmLZ3Qx8DA
WDFgdDB9TeVnfRK9KtgiLnwrlbvO6GQCZKoCqlV7s7NA5jHcS7fmRsXdKeofitbD3WZBhGbuOMWo
aef+qF/X7S5uHy5v2Wf/89Jy2G84O8hja1qzyW7M2uu9bseYLpTb6aBu2bSJYctOto1902WZMotZ
l60zv75knI8iqVlXNMHR1vQrHW1qw4sKMAf+6tr7OLwaFRFF8l/umJOHcrEEROp9BFo3JrI0O5Wa
OVX5UuENEKa2brpyL4Gl01FFBbf1C+dklYskIJSpwGuNmy2KDwa9luParlCqEdGsrbrLP1mr+geJ
b0CzYqlwSS+qE6pXgfGUC1n2V3lRTm8NlafxDbIlQzAGgIMV11gFlpEQdS/UCTFutYGKyRV5rEbB
oVvdwLOVcU4KDEHW1jk+WwBqayTgYMiDTpD8Uo9CBofLzw2Vci7Z5WbB9Jkxulj7UJMHsUZp7vpi
u2ivqvyUBxtrFE54s7j0xzE4Wx7nlVRW4khTGI3DLvoh27XDZITrA5tkrxxR/W49/T+zxnljRIze
qJhkcQu5WM3J9wAvYprRZsG5jexi86/C8plB7naTB4pZYYKHd0HfG3AOFj9S6l8OJKsX6D8moDbx
NYpFhjyBVgyyKQsBjK5unG4cBHf0ZR8El+BXE4uSmFXHiNJIB2gnuKHip25yBlSuLi9FZIe7xMoy
HQEaQdY4zH7H5tQPkXalFvf/zQp3i+VKrVtSgMibm6HbToAX6Mv1MGp2nBav/80Ud4u1FHIIJEdn
qgtdiEZaYL4195SKavACv9Z4pOhEjAWYK/j19Brd6n7ma4VTfmdwsmYTPY0f/3+dbKqcIqEmcZFC
qQZ9thhZ06xJDgGWv5DVzRAUm8vbt14dOPn257rPbmhl1IqlQ3sbSB7WtW+d/GgAKsfgNKFfCgrN
LNT8PRSBy+Krl2fzhKEIUGm6tXUVNY2tmc+mvJeaTVh0gstf9ME+r5qzhRVZ3pdhhJS0cbNHw4m9
7kX9xrgcgdz5CBwiWBqLa5eWxn2v2QxNGsggXqnBnp7bc/Ew4vBmjVPGN61xc/mrCU4xj/8r89io
swDG6OgX5l1juFl5EKK8VvOnM9fgQnnaV2a5MCk0pTedAP3ywbITQ0Iu81AYjlJvyfJfPxoXzDOt
gESCCRhztGPd2NRLbsJjZsc7shmO1FUEcUrw0Xj43pyD9o9YMNcsKDNa0iHWb/pC8ekSOgWGd2kp
aj6tvzdPm8pjLyZK2zIogSRh0M14W2/QZd4HB/2bAfK3ApPJoRsstuh9Jiob84A9MK4sestyYaDo
X+cJwwupU1N7dq/Lt8QDv5IhzIbZVXLhRHx2388OYG7mGHeMPyvVMirV+T566PaM4K65G7eiyCI4
ETxCL54tk+QVpjMKa1emz7HukOw6EH29yzmwxtdA+slEW6IbGR++m+p2G2ynVBBHBLmGwsURLdTG
JAcRHxplXt2+Tp2gLSlIsTWFSwcV3RpiWUKBXX8wNo1vbBY397LCNlz5DkMQI4SQQcXmXg5YglCi
cKEkUmg6a2xOWfmsvk1beVPvuo25u2xGdJ658NFpXSYHLYrBI+imMQlpkwKkeWj3mM5U+QkR8Z4I
7jO+7NGN4SD3QOG6Q/Ie9Lkj09purRzkHRhHEDGRrBdATqGDB1ZIcR9BZwqP6dab3HQb75W96qtb
A+i6yWGw9jdGATC6upO7oV+JEIWCzeVhFoU6p020IISonTNPkLAJHXm5GouDVmBYuhS1ZgRnja+E
FHkPbDdpkXRbTzSotyG1jjr8yL7sMqIESOVykiUbFK2lSLR0wNgxoYmKSwpIcbljivGirG7dYZhG
H5NcMf8oDkdNPrUGai4tWnfjTag+xOrBSG/S7vbystYP3MkQC85nwZdUkzm2C6DS7CH9Gwar+eJi
t2g9XKIfmOlU5S14FEzVAI3otZrItg4G0YReLcDkX17Tukec1sR9KRmA99xkcGUt2Rnhlk43Uv1y
2cRfouPJBvsNZ/tmKe1ANajzoo07PkdO5ld++TN4xODzrvCibyAO+fbvOp5U1VUDbiF/9sjPTEpT
C0pASO25fVE6bfajTXEbL9SWmvSoQ0t4mLN/weelg8Phfxb5sGUGUpgvCoCDyYIhsbG0qxyw4MqB
pI2gtPKXLPxkinvXGkljyMOQ/E53Fle2sxvQ2dnowtsGSn8ioPm6i5zMcW5ftMhymhCzdvW0AKR7
LMk78CaXfURkg/N5qygXE3pTGD6T7cBw5Obe1ASnV2SC93Rjjou5gYkiC34Bf77tafiWdqIC6XrS
dNotztklqR3aiY0RKfpVlN5MyV6GLum4vbxf66HoZIXLaCplVuWMyWqo5Fs2/FhSTOc+dItdFlt5
3pixd9ncakiCWiD036mMQTP297PjhKHqWI5YPajqNjL180reF9Z1m/g6CQS52vrdcWaLS2vUOR5y
MgAypyKZXwD7GLaMjpXJTcy2qF6/fpbOrHHZTVBGZiqZGLox5+G5iK6pqbsznXY0V277svfCZYps
A0FEMTGXMgSP1AAgJhIVgldhs9By/t8O63w5DPUCAx13EDW0nrU3nMSfnzUvc0PvPjyC24ANPiX7
XELBlrUtRNQ9q5MX5+a5kLIk6TzUDRt13ek+xrB9/WXaarfyVeCGoAvS/OGIFMy6zv3CUULBHXTZ
uwA8+Opdsho1sZKDMJ6mvlJDcdbPF6hjbkjw47Ibr4aAs03mosySR+Yi16hroQtK6yt13Mm94KSs
JnRnJrgoo8mBVYZs2gDHv+l2hEAdufUavABQhkwzwc79GQaAc2QX6/8kmblzmTXoQAaFjtXET3S4
0/JtAMYZOoE5RcEEzOTNimB9f4a3rxa500lUo1ADpgujVdF9I4PkI9BQRpt2ZZS4l7/WCkTjqy3u
bHam0al1wkiEoJ1Q7BgyuHQqKO88VVeDo/iFp/kGuq8uzoUIcvPnd/xim4c2DNBCGbtZQgl0nuxF
zzAJ/WgWsR0UjPOxbUVRT7CvfBLbZVVtaUDtoakHhM/7+DR9IKAj8lnf51fZk7blR2Q4QvUbdrS+
1hO+LpM7elHVVxoNkUpYR6apvWypo9zMPoZLASsSXY1/Hr+vxrjjN9Z9XpSRzNglPBAlWRh7iP/f
RbyvJrjjV2nGNGkjMPl5AzQRyT0TkglquzhKnPgC9xQcPp5ztwjjalKYBHKLAfZgk6MbG27nI7ke
oMWCfuVdvFN81g8KfdHk958R8+syuevfXBbo1DGB7jpCOvtGczejdja5QyTAIIjckgswamVpaZQy
5GBbokNZ4xX+M9AbR6Ses9Lm/boiLq5AmHOoEZkZ5QEbggY8dsvgsbEvOmmiFXFBZejKRJdMBLAk
Ul/jePIyWboeQDBfVo0gVgq+Es9BmlG5BVEXYkiUSBvQnFw3Omi5mzi6V+bcLeViFrkkO0EXjrPJ
XeN6ikicy1DclW8MZBEm8gXT1h5/D05Xk20EQhICdqIumeQiiL700bhIGS7vZhebB8sUeKD8Ser0
hwVqULBAUg2NQm5RNeavCAlRtNDK5ShJCXhYAFxKouXVbMi2y3J7KQHPmiRXAtW5oUnfJis6yDG5
oTXeRDlUnHudOC0B1l+PtpVSukWvOeC52Qxa5FsaiPAn3ZuTxLbKYEuyyNPbyGuKRbEjU7PbPtwZ
5FdrTfeRNLhhSBxlaAIAqMG7TuvtEGeu0rXf57n2wqGwZ0326mr0B6u5laOysJswOijWcKiDYDMZ
kKAftIdUMTaKMfhqQd4tcIiMBKxSTZZgsvUlTIsfkHqxwXl3TfLxWl30h9CQj6kefWeSlBBHghZM
11+RcXTIGLw1U3how/YtkQiQQu8zxSeXRhfPT3da6NYqjF1dth9R+qPoYretXwaQzBfSuC+hXix1
pjuZ1Q/afoB3G/K0IOmuXqsEum5tDRbH0MvGxdHIYpPWskkGRu9AdpJFspvJfM5MSFrUskdijOpo
g9MY8w/VjDYxKV0l+xkY89aMdTvqZ0eeIIOr7SOZFrbeLccyTJw5Qnm+mfwiHPbxoHlSPTpl1drL
+BbMLMlI/LzOnqOp2Epmf+yixRv1bI9er1s17TYpj2aDIYG53XZLb2cm7k258XWaeISOXoJhdtpY
+xTS2nra2laXXBFjvB6MFPmffpPX86FMC8fQh3uQwdkD6PLLLPOjubSNEW5hWvuuLV+ypNnPnf7R
Zd8tYgELZZqHxNIkW+6faBzVNlGkndEv22BMvdbInqqY2o0GInYNurIL5nto45LyZe5kx8jKB6MM
baWAE2NU7XUpuzuTNHtSguM/+RlVOoLsD7y1dw18RlokAeRqpW2BUHt2nrgTm6YaZH9yXMO/JdUz
P7gNj6x8gN9pJ3fUFemfCC1yF7+k5P2itIgRrRdsupvYI07P+BTY2GjuksTOnPDl8u28GubPFskl
AkakxSUJkRkH402cbaL6/0i7rh65dWb5iwQoUOlVcWY2zEav1y+Co3LO+vW3uL7HI3Nl8Ts+bwYM
bA8psrrZoeplggb5wEH4jY7D3/eShjyrh3HRtWkqZvAmoq+dmnNwJNjH6pYOrfF8/sbD+HdbdMkr
W3qaS4PRw0VSphCa9lFeTBfh753izlfkYX//tnwXsJZIoqbBLEvRbQAZzCrGgzAcnUS+QwLAXsSn
sn6aZ558x1aovTLFOi15mcO2SfAkI8AWfYktIT921a1UHIbqtgRY7K9sIx1pyGt7zPmXdHE2uhZH
Y/IUrzkj6e+GUGWbkUJrHdEB6MNR1j7hPXM3Y5y1YfYamCCs6hZcA5o/Vg4D6NypIETzF+3Sv6+Q
OfxRSWn2IlrvAqbJdlUcoyq1NOgbcLaSbhXrmtcrYo4/+DPzn7P1FEq6uwTTjaGv+8kBcqjo8t23
Rv/YnjHm/KvALSNIMeJRl3domxeKrwqXi3wrpl8viIl3AwKNmjLDe4hoo9NVkiNJqY0pbW+REktO
Si8voDEg83rYeEtjol9JHXtTr/BsqZPUWZropHeQQzF5FcMtUFyvjol9E2MGo6tcIxEPDSDpuc08
oX7W+6f/9J1YIu1iMdKx1FDQFQPVkuf0IE3zoS5S/7+ZYcLCUBJGFQ09GE1UyqMitY9K9qgaNW+g
nXMiWPLstMoapVYRUqvFxwhYod6W46maICjzSVG/mP9eWOu3q8uSaFdSnMZNg1UtqTemsS0E7gDi
q/2t23TIq4NgMABBejOVEmikokFpAHW87CaP2l2H7nyRCmi4lb/weK54qMvS1aRFlowgqwBD7LVo
G8in2NIh92sH+i2fSiQYS2881DyfyXEtBgMZgybOzSzjiR7Xtz2qqYnU2DHYqCGn1HcvOa8RkG7b
DkKxmi5EmNS2VNDPttSyN4nmYZh7h/Pptp5460/HQEUfEgkVXPRN/uwFrc5g/X/uPdoDMtyEj7xO
UN7xZyBDF7uhwevrn+bh7jB60QEys5zLzDse7KD8QIo5rybMMouVvXiLM/rS1Zw4CsQTpPv2CBJm
JyIWl/1q+4vpMiiUJORR2Q7ERs/TQZDRgI3SpLscKenbZAHx7w2rPQ7++MK9CNtQf7HIHMlFl6Je
QhjntPqVCDkNRB68ag3PBOPEZCELxKxDmjsqz+JwlOPnduJUOzfoYChOXZbBHMMALd3JiLk9JA4p
nzxaKjGZmLuJE38PffG82MuH8TweFG7PKO+LMQdyKZMxzxtc6UjwouEka6/J4jUqeAC8bvjctS+Q
K7HayhLFzuqkp3LmrJyzuW9B3ioKj7oZKY8C/mDOELB+pfyYfHymX+g9kPza3Xc8lSa0efURNTBa
jskcZDCuBJB96A+Ztdg9OOgwOIh2PjS17aPLNl5e7NJ4b7W43mhKWdGp3U5FuddJakhMB6dWccvy
qe944SPPHBMQx5JeqeaMbyn6VCdtuJYcOptAjuYtuoAX1wStfeqBgZ3nF/4Qil8WSk/ZaqFd1i16
p6GPLuxUdzDBNhaBTSXU3KI30boNUrEk8amEciTwuoO3EfVimh6wlWmjLWvMnSKd9VZqA5na6NF+
Zx6ibp5TSdRBDAcJaKIzZsZlymItxcu0UDV3jANPQYFtAFX6/onZDClXZhg4G6NwEfIcdQujvKrL
z1OKZv7cygxeV9jmrq3sMJim1+WYLuj/cSYNaoWkf5aV8VVTc0vRB0uY9VNX/ki77Hl/dbxNZFBu
KMtFkqj3M5DPK8T6uhYxCC0kj/tmeJvIYFq0LGWejrgHgZrbanYumsiOqs7pwYq2b2k78rvsIxuc
Y1YgiSsTuE1rarRPEXGYZdwFHmSDINoHYOEpi3H2kFWREIZBHtOSxumLJQffBPODyhtt3cSR1aIY
2EKqIl6WAE18U2/VyU1ZfzKGxyy7ats7KeFV6t6PG8HzrYwxoNXq1aKO1AElx/L2jZTivj5SROb2
JtCf/c4LrCwxIBXPfQYAxs7RtubFaa32O9VsoS0AzfO/b/P8fVkMXkSzVqdxjyp1KdwV40cyPmVo
95ENr0CTcfh9/xjyPhiDGsuUTxVp6YHPrzrhVQtlO239mtxEy7kqebO6m950tY8MdpTjlA2Egr2p
BUgwfVci+TCIaAiHyN00zLxmYHoA9j4bAxp9pw2tVCJP0Tm0RzvzUmKZ9mQnDyAVsExn1nmXmndQ
GPwQOqQhcU5wqUHJI5cPWXmuJ2S+r6POi6avY30vyLdl6BeVvf8dOajMRu2FVJAyoSXQqDRstaus
tkyukkZqrbqIcysszFuzDT0jL519wxxQMZnH/1QkXZUOSJho+bfarD3xSZ1DzuI4x4YVG1FL5Eri
EdkSgrFa1WnwIafBkpZPDSjY9pezGdReTig7B6oJYtgrMpx1i8aq4Xubcsri2/eNSCqIBhQoFTP3
TVpSLRtMmjqTZLtro2Pemk6Kx6lcCdetDBmhuX/cX9JmuhrTSL9sMrcumQsQXczQNaAPVQmEOgp6
uJFioMGOcSsdOea2T8TFHHPr9LjV26hB3x11bOpX6Vo6CPbiaw4tfsbfSvA38LgiuUtk7p1SaVK3
KOg8RkboqFyHCJSt5APNoMDYo/5tf4lvYwrvgeXXElkm9nYqGqVHZcNp2trpyy/CPL7GsfooJ/FZ
MPoHHWUySwqTKy3uroLasKRqsSHKBo20GZS6TYhK5JdyFFzUDa9rIXCWAnVEsTiFnfBtVD7EUmfJ
nXQIzIKX+94+4JefztxX1QjBNEUHx7Tytp4+LuP9/t5s9PFR93UxQCFyFVXLVRmQoUXqRfYXD/ks
b06u5MfOpRO50b2g2gF3Fmcb5y8m6f+vTJq9aJKgRB2NpvP1L/Ep94Pr+DiBAghVtFdeHLX9Zlkt
ke7xyl41EhGj8MA8qmyDR6Ed+2+saHweZt7KmFgAsvTSMlJBdZmg+pNdLy2Yf9ygGyxVupIbpwp0
eyFXTejp1WdB47ywt53KZV8ZsGqyLEh1Stfw7xR8OIDxjgAo1KJ5FmkyvCrsDFPOS3pI54UXLvL2
ksGlRYTUjBHgCfHGq+EWoJMP/eDYe3RWB1Sar/sXYXtVugpRaTBbyiIDSWTS5U7o8YKPG7snd3V3
FfKSZtvO5JcJNgOSRv3YVhlMlEth1QPycrep9iiAXzVdvDHg3GyeNQY5dK0OpXLCEFownbPYJYkf
4YbJ52Kx0Lyxv3l/QJHL0hgUIdXSCzXtPf5HjKECeRJCbsxh0CormvD2DW7D4sUeAyF9Fkb9ECOZ
FA3FJ/hKlEuk7/smNlp7KTJebDCwgWBFHXKqEqJai0c+FdfZU3rIHD20gmvlRkVyVbSqG1Q/bcoa
sm98O4S62GaAhEA+JgZOyo4+PmJAksi1FZvHpkCejhNB/cEXX0wxqDH0baIsElCjc6iUVOwGCTgS
oA96j5Yff+ZlkDj3jJ0WbuXADMSoU5xYuq8xlVOOjw0khfe3j3c8GOyoym5GBgKpIlU7qOQgVpyw
cBtpL3vGgEU8Q7NvFEAdTj1YeqLCsMQT/4KP+bcTyE4ETyDmC9oGe4VeoaD5JA52yJP75uwUOwFs
jnEYjgviC3U0HqDa9BSTgtOIxvni7LRvlPWilhd4ZDUSWG7PQoUeKI6JP2Rnfn0QdrzXxCO8nRSA
HRUA1CkxJJoEXIJ0+lsc45qvvJ5czg19N+PbS01TJ3j2BwP66JKbXIP2B8GVUUtXn7nZe4rW70PY
ywIZQIg1yCeME8xlUJBureIRgm9IaIxH8cBLn/C+FwMIqqIWmlACy/vyQ9y/5tOVwCOd5IGOzLxx
8maZhCLVqb8Y3eg1d6eD8FwewXFmR675tI8G2zWXC5KzA79zUdZFI+IVJ89PxhC4dXRvGsoHQw4/
9UH+aoqxNXXVTTJBK1sSWtuQrGX2xZIck/ZbBgJxSyLVYf9H8XaZhZDSyGe5RT4R+HtU5h/DaB6h
S+7uW9m83jII8jRVkmRVZ/ZZ7uIlNSf4sGS60tsrozvu//3tDwnBMVFTDJHAXf4eWyf1qMyagIi3
QUGclrPaZw1ajpJNrvnKLVxrDK5H86BPYEOhzf6Do2DeJnSNY+D9HI/lsgdtbt5qbcwnmqCN2lQR
0l/Ep7agzupREXDhO1XGTE56wqWAoFfr3S2/WGQBn4RyAgzGLV/q+zApXXRDRpWPATKH89l4hpjg
UCyXLFJC3Ij51DxVHkaWjuDrsmqoZQ0uDdgMV7ieOIOE8uaZXy2PiRIxIjaihAt/Np/eCLUeKZm7
ZGEfUaZ2Q2u6im3dByeDLdy9leqO6iv6QL2Rp7rL+yFM+JiGkVSWBi7fIv1oo84fFQHv3JBzxbdr
80TSCGaNMGXPtjUIjaSncfuWWpnd8Ar8/J+GK3JU3cbtj+SqRA/imTd0ujEQh6BhZZS5I2YvZ02h
oYetAUeyfNu7tFSROOG9YGePgk01R+qv1C8mVuoFGEwzjzzfuH1PV7+BuTlmlaCPCUSxcMcjUli1
DXrYGJlcwe98iBO+7p/mzcN8scYmU3tFy/pcw+gYZWzNFasonaa+DU1eOnzz1KzsMJdGiEYFXdo4
NXl0o1cvo+G3Y8yJXOnOvEOAlQ3migRt0WgVDfxj+dWMr9XwSplA2XMoc/CWCbbAfWZvBhYrg8xV
GKI4H8cJsxZan7uiUlvaXN7MGDLXOidErxM8Y+hFzeyUSmgZcc/JWWxQ0Px2XFmSvbTIo0bAEKMj
f8KkWm6Br9yJIJmhPXYfhjf+iPaRr962fWQMVSLQzDJVNuyFgvkSLvGE91X5lMH9o+nZGrQRjfAc
B7wdmZKLJeaD6kauzJNEayhD9diPCSiYslOPubiiqPwQUxJ9DFZNqJibumFjXtaqUHIedAifJSKv
wEKv/vvDdfktzLcWBBMldB0tNAOmAiEv4wxXxRcMuiAfZgXnzqXDsqKVPaNdc/b37+jW3VFFhWDe
0lAUwqZX4imLOrBJS06YB5YZ2HmQWfPfxFQrI2yCRUFp2+jDBsGI+GMRbFFGXPfvxWsM9L2huRve
Cv9gtUMxDKPNed1CQEp+lSGuqIlenyFPWv+Ni8bfR2uVLmuUjeH3yCqL9T4YqY8S7ws0GoIy7DFx
hhcNWtmihxxSgbY1wTHsv/hOK6uM9xBnKa9VE481QwN70f2ImLnmHIVNt7heGeMdiFBpQT9hZeO9
8Uk4ExuOEUTw8mOJ7B4l1qx8Xj5l8/hdlsUGVvkUtt2c4eRPzTGN4IrCGynkdXVvgcpqXSyozBUm
ncgyI6hKjwbax4LzKLncVqOtqFSlavC6ShQZxBm/n4t0VBQauuFcTJ9iiD5OL/sngPf36f+vsuXB
3ChpSyTJ6Y3MAVGXNyYmx8ltfg1NMkXAr6Fq7ABoYgg9kanmQCecmuHO0I9L+2l/FZtvPnVlg36s
1TI6M66KBiJClBhDzez6RwBxitCN/flsnCtXvJtO1WdIwHGTNpunYGWYubekx0AUTjhOQflBmhBa
+qR41ponzvo2P9PKDHNR1Ujs5iB5a2dVPAw4e+n3JbSo9BNtQ9Zyq/N472ieSebejkJBKhnSh6iW
X9edXyVf99e05Z5Wn4wd+5zScdFVqgE9ZHZsumL/KpOHKLkqW4uM3/ZtcdbCzs6AR2JcugmhOVHl
m7JUbxsIuvw3E4znbyRzbM0Uj7m0So5EDfwk+rFvYXPQf71jDBaII7gysxBErZDV9cKr5aA9TQ+T
RUmjKMktuLe84jm66V658++cK6zT/V1dL5KpKpRNccqRws2OE3ps6skynMUfXNWOPkOQBeoTvNzx
ZplhvV76q1ZWh6aLxr6fcQJRq16OkPNIXdNuHQj9urkXBFyVo83wbW2RgRFMxAtLJsBxgIviSNNU
qlf7pguNjQ4kCskJM4wi73W6+XxaG2UgJE0KaTFoBwAlKqe86/GpO8S2iv6l9DFw9w8RB690Bkh6
dOUpJUDfybraGifDD0h/U+faSalEb98UD5R1BkHCOpTDIcPEmnAgJ1h8pIMMIh7/GPwXHcpT019V
PhpKn/YNb72qVhvKNu/Npiw3CD5/5uspARltHU35ekj0SrMB9toO80I0BVMZug75qTe5mc/xSb1F
UuVa81KnuOHRt/HOJjthE6T93PUZxWOXYGg9dYVbecRezlhc5/cv9RdedLiNmmiI0gmo/0SWBk9a
kqAwSzgdNfW08Htg3u9/p83XoKpdDDCwAlGPiMB/IkM0uVrdW4rWo9vsCkzyc/9DbZ4MFMLwIF6W
k2K8diPYSaHN53e5yjupFDnff8nLD2GQBtEJxg0I/MPPWd+3TKMTA1V/chHzJE25C2dwpumnfNZU
PBMx8j1Ap7JAr4odh/Z81zq0MSJyjYc5AhmmzEMbCiZ7K2XApmjqooR2HNqq009oSdatyUyOqfG9
zvprFZLuHK/4Bwy/7CyDN5EM/c+mgecYMa8S+JSywryNob9g+hp0F+oXzpHa9lQXewzmZK0ZGjPt
/mjdBE3CgO/0JrX1wZm9N/rlg3Ckyl6HfbPbqPrLKqHNsCtPBR47MxsKpDWGzEtIh1f9k5HbEFWy
9+1sVqlXN4YwkFM3ciT1EhXO+Bg9xYf8vrS11+Au+QIpZafEU0p4yjERACpfj3doeWtkApxWGxRj
oTOfgfkia6AkuOsKX9T+pra3XiET5KixqAXtuNCrUeFBD2KzyBNfy4+0ytBY2hc05HHOzLa7uHw8
BoXUJC1aJaDBIRqGcvhe4YaWd3mFtu2H8AXtCAMyndoGajpRAAd9b/phqexCPShN7qBpSKj8Wr1O
zA8mjmvsjN1dH4NBjCdkw1sqgztV1UEdqkUjxVtvlGdAKTA68CvZHJAhDMiosyQgBQTHGI6ftelG
T38IwsOSHdS/mYlXNUPXFcXQ4KKY65DlGcSZoLjmpHn8ODXpa5jLR2SFDmIBfmvwu/fJxOOF2Pb6
F5vMPUgXIimxgsWVGPrxIb7pKbcBeHDzp9KJXN409/atu1hjroMyBVIU1Sh1i7IflF4huJiyNngD
TTwrzBUItB6zcCGszDlS90FlSdPktrXglvNXDoJtzQWsPxlzC3qzUYywgSnqamMwCYe++uYKeJM9
m42Aa0vMYQc1SNDMAhJPdXkbZ9BldULMIwuFFcRulmqWGnpgxuA4vO2Y6fK9mKMf1O2QSB2I64Vq
sLMqvl0WmXcCeTYYn9opyD8KCQprtP1K8cIDLao1VwQs7s3tbPGHpHjHg3GqejuRLAqwk2BkcdTq
ts7vI8lrAo4X3YaNX3vHJnSlsJvNOEASR+t0m8SKVSWBFbd+EX01Mo9zDunFeR8IXYy9g45yDAXa
Pkk3kRbN6hqNUB0GBxW7OsUe7yJvP/MgoiiaiiaKOksVAm1KORmAZKiSDQ4BeddyZYAHpb1W3IJL
AvHWUvFueRdrbHalSkJ5mdAf6tRy/1lMwN+VCd5Cej9RodyYZo8jYqJ61Py5whkiINqYQOldLK4o
xAeKbqaRuEoXu5qQudmsWEKHIR5VtmooxMhjBBkN00dsZxNI2o6Z7u9/ns0jvvr5zNdpK1kxxhYt
XZF4t5QvasIpTm+/plYGGBTv667S2xyesMH0CbFrG/6CyoW6qp/ehTZy/JzS1+YdWhlkgFxI+5QE
dIhzLK4K7aaoXrLKbqJv+/u2nSNamaEbu4pEF1PvVFIiZzJ4s5s80UpCFjjFl/mucxcXb+4v5MV0
oNcB2iYO9PFWyCA7FZ4c5gYkeEQ6YS7UjcjZQL255RbZNq/uao30h6zWGPRmC51XtCzVruGr1+gl
+G6glUG/l1yIJmJ8ggO4m2+KlT0G0ymJtABxNdzc8DMJHzXyYOT3nO9Gz9vefWUwvRYGTcppj+E/
L9DYBWPBtQj2TuHIyyXwvhSD59UyknA2EPHWuVPlN2J9wNCynj9w1kQv6c6a2DxMWC5GWw1va3ob
zLMh33z8WfHh9UFwVsROT4qNEtdCjk8UZZ8VydXD+zF4kjiXa7OjBfW5fyCcTcE0mbLoIDuljQ6D
A9Ibj+B6NVe1XT0JVuZorzSztbjDTeWTr6KDpLkdYt6RO1DDWy2DJbHWD4k+AUuMG/EHFYSarrrS
Ec/Qcfn4xqTpKMfofvi7x7yuagSPJcWUFOYitE25dFkDB119nLzsTjkEjnhXuRq0XBJk8nhlvE3a
MBS+ftljLkVadY0C1gn6mJ+w3wXkaopDcluD75JH5LWdklnZYu5EoRmaplXjz6dRbReRZbwqiV3h
+44eSPt8QUC3oCVcm3/lGH4tks0diIuwoJuFoDVQF52e1FB6+9EHCER0Hinx9gv0skY2e9DMUw+h
e7T/Ng4lD8ndCsGwo7o/07GpRxMIPKzZBs/L8hhHG5SGMPc1WlwW7UsCdySFltlxGrR5B4UwF2LU
VLEQRBzMDgvrUClY0Lm3nKJDds8bAP5DHHdZEONhFfTKhuZbLcmnVwADP4fFpl1skBLjFui3Ez6r
T8Y41aTPqgZA+rO3itbOl2uaQ4uc6WGx57esFuYS7AQyZhavsWsbZi4rpf+/9rN1YvQm6D2dEq0z
BerCneFAgMtIn/YdBe+IMLBShgoo9GRUAs3iBm9rO2wFe+TpJ/EWw2CJORaQAYoQGIUBsoJyEFkY
OPLHGYQsQ3b8bwtisKRZUkVoQ9wzcF2K6Zcwt4uRs2fbidXLwWCnHMveiGazRgBLAwbadJd4HRoq
M0vwIZ/nlC//aUkqE5DX8pQXA2ZHnFkpn2Ujyaxa7ewu7Px9O7yrrDJ4gS5pkPyXiE2gj/Y9Eb+p
DdFs0sxul4LzVFHslBQPdVFA/Uc4xmZm79t/6w15H7T8OvQqAyVyDeG1poP9BJxiQpvaLflgZokX
aYk7BTXGuForKRdPTRcQpY6u0WBCPp2OgoIULCbmhaB38uC1lpDirtsPxWg4+7+Qc1vYdyTedWpq
ylTHJ22tGINlVZ3d5OlfJTJ0UzQkRdR1yNf/fvkzlHyJTOVidTmyNTTMlTqnQY0C5fudvlhg4KXO
YrzxoefgSOVZhwBANrecj/mHw3QxwSBLGqLtblzQr06pITBJAb8Q+jnkldBmzTm4nM+i0tWuwDIz
E10kYP13lvDBRPVK9eKSAyscCFOZT1KPoVxKM2opsniKks+Qjwd/wH0Ye/sH7A9v48sVYD7MILR6
LpVvNZTRJc/xff5dQC1sQb9gccojKz5zc3X0Vr0/CxeTzIcCzW4J0kXUwCcUiQrwY1Yv7WvroNXf
K/zpNfi8v0TeTjLOIAshU0Ko7PJQR66uTZZoCE6oNAdh5vkC7m4yzqCvh07K6cOfQH8u88L79KY6
NAiaFbuxq2fjVucElH/IAfzaTI2pRmXRFOK1Smt8171bPVHd5cghx/BT+H0EZZNvnuRDCl5q8G3g
ofCfdpYVaDCTpBsxewO3BNmJ/HMj+V1p58LH/2aFcRJdO6txoFA29TnxJEG/rifi5Rr4/QyeFtzb
uNDO0dQYh6CrYC9WW9w6Ohcy+sk5eALfJPZ0wcCrU16D9+Ws2/mRqk8EDx2K/xhXBm2zjTLuyQAD
OwfUOECjMUCj1GU8dDrwv8xGP63geeTh0dBNXoaM7uHeuhm0CRrSKxHl9QiE6wB84mDzaMdzlti6
ZpUdHtr+LBw09ZAbPJ6ibcdwOb8M/hhTrIttilBNlSdMLyt+qZPD/gFS6Q3fWx0DODqKEAWE4xBz
huLVlM2yXXZ6ZC2kOyxBZAei7oWtrDlJkl61kXkqB/2pm9PEzor4KVdepRIU1kUFMThQI/eQ6Mgn
K4kzSDAqd6N5nxTjlWIGx2BsUovk6msb5N5UD64hB3eT9lmUfkhJ7haT6ceo5mgRyD6HHyDutcS+
OesKfFUJ4rrasM26AMPpYNgoWTyUIpSLpwrTMm04WkqA6eQcMUkQ/ZgAYBFkY+UyPckiuc2F5xql
RSM41tD72988DnpqDHoOxUCqgqZBlvlWR1U/uqtKv2/+yqFefDdjJcmXKjByNNQlZfLUNoWla+W9
NOZ/tZiLGQaeq7xa5lRH5kiIfHP4RkgC6QnFkpS/u0+/DLHVjSCivNZ0LJHGIiJEqyi/e3cy/cHv
rzR3/xNtF78u4dtbZLQKRzQdhCVyCJQQTxKEBINjeOyvMQPk8N73f3iIXNbFYDH6u0g8lwMSJ596
UNhMRwmU3ei5hsS2R6Czx80KbcPDxSADyFI0RUUcIVbQUqs60rW1oD50Agf8Q2jYwczRmUdAwN1O
BnTbJZfaSYfD6atvArhdG6/p3KKA4IVT90/VfN/LnBDlD3mGyzIZ/C0jpW6gK0Nf/rRAlbrBXey3
DuXD4D/v/pAaulhjMFeYGqPOaRPi4KHXEtZKX7itDoq/uPQ5qR4LNOrtn9FtR3YxyUBw1JjDZBRo
KDE7u9W8fr4bCSca4W4iAyJSKTRGXGJZMvEqdHQmXvCtVGz1XvYy9MgIT/tL4tpj0KRW+3KpaUsg
uf8psR0+pzEiZxocZDZvxJJnjh10EIw4TfsGfUfkfnR1NDuJd3SKCrpU4HHiXrztfP6vD8ZOPFRQ
NU4qzPVgoJNiynT42jrq6X8ScaDf/r17vphiQGXQwiTBI4RmNwZnoK2/LgFFXOTRfkc0WJ4hweHy
xSPelrBnl8EWnUzLNFQInSlIU0XeBLobduojsXIeXuTK+graKhtL/t6+pC/mq8gjqeNcCpZoIGz7
MtUEHKBOLOxIFW6FtEGbAo8ndNuFX/aXAZegE0Q8SpDai7IB+quQJHLFCtFDdr9/IXjLYWDFCJIA
jY5wekHxIVKsefQjbl8V/SZ734zBkV6d2ixAKgFVAgmcVmDrtxWIi1FdapqSTb/sL4mXVGD5BboA
Yzqt+Na8iRL6A20wpo/j/E7m9oxRuHi3NEygSeDBlVRDZ47jNEdGkBG8U2sMFQx6BGqY6klRk8rS
e9GJptpVptiOJNnbX+PmZ1vZZdydKshqJg009l+Uo2gUIJwcMTKqWvtmNm/5ygx7CguB9omhkNsi
yF6OWnOuY1dJfC7z6eZxXxlijqFmLJM203aCxjirgp2jcZqMV9E4cBa0DcgrQ+xZDILBKPO3kqdo
U4W2BYzUP7lIK59X9Nx22itrjHcTokCLiwQnkTagGyfkticLcgGY+u6BUstkRW5/EDhnY7tStrLK
+LgwjabZzAPJUXqrONa34O500uf4Rj5OJ/S9fszc8cp4MA/7Z2U7zryYZavJtVjX3UBlxdUzHmiQ
X/XJXWm+iTFQzfn8kSeOzbVI/eEqhka3zP/X/TFb7xMbvTMIMpvDV6rHnZ55BBSbYe1qfYzLK4g2
yMFCobK8VYKPZfPI2UDOJWA1M0xdn4kxo/NuQKoETeeZl99MCQ7L7I3e4ubOeGiejQdeRoiDJayI
xlwmutknIH/podgpIB9Sf554SRre3jFAktZpqxWJASUf8dzM55HX372N+auPwwDIIieJkE0woFV2
edv78XfMBE02hJec6J7Xb8JDEZZJQs5aLZZBWwfuesP/6dGG0KKSEuhveeBdaN4HYlAkGEpjTkc8
4PLCTzVHU6+78ZVz9mjK8b0jUzEuKNO6AVt5NqOwBVABqWjjsXRluqOHngELXdb+vqXtk3AxxNwi
RRALnAbEqCA68Cth8ENBt/dN0P3YWwvjlHuFaFnawGsZ0zmKfMTglpS7qeEJ07kQP+4b2760l/Uw
nrhujWqaqQ5GUlq65ASpk7ZnM+RgA88Kc3/mVM6jDpNhTtMcSDHZOppZwA0DN7m/mu2jdlkNc42E
IQn0xQSGk0h/VrrqmyT31mRknCEC3iFgvLDela3YqogIxcAlHUgWeLOrvHUwVyY2pEEVa3Tgqu1h
aa/U7BAP3v5W/QEELnvFuNkuzKHMZ+AkU3EJyOaGbnOIr+m9+V8oCDkrYsvJTSkI3dJGkK4Ps5M8
x644aq4ih8f9VfHMMC41Ccx2CUYc5xmqv+ptH5y6lEMlyvn4bAFZVqIpVTITUEO8fnhNtL/pBjR+
fRe2QFz0Y6eMIQrvYnJoa28AISCPDWLjOoIzQ9cNSSeUC4JBGEkKJaXvY7jM+kMjOugN0oNHrobW
1nzmb2YYbAnCuY31uqOVjfiQecMBNI2u4XSnhuZ97ASEkGAwMY/1Yf8QcA3TU7IKrKKwFNuhBJw1
mnnSisKSl9Axlfo+ndD0DSQ1Nc3OpQnl7e6jNL8YeezL2idhaV2ToLoC8r1GUTmeY+vt/9t2MOCE
lmASLAPiWvVcu+JtdDStycGr0g4tSgJq3HXW7MmPVEIqeEk9XrcNvc+MW/nNPANaQpVnbSTijQKC
OK/3h0NKdbG5rMU8Mwx0RUavjTJlhZGq+0S3zF6zSH1TSnYluEtzjnlnmfuxGRybU7NfytIEtfmR
ijPEbvo9+jJLmKiekFo077TWMh8VazzwCmVbCLreUfbFADpcsGckKeU6p+2D4Dp1lFvK5tb4+pHH
rL6BbL8ZY5BNyoO5VShP8iJ4bfuprG+MjBMLbL28frPBBDdtZqQSMgCAHn9wsicCHanpkH3prPJo
oO4YuFT/izcxzlsYA0ZRrcdZuaADrE4epfCLUT4Jyus+INCjzR59SSKmJmmSbLyTrjbURq7kNpKd
vExeu1L30cwLgei2sZWwPutZX9j7Bjd8BDhNLgaZjdSHSIDAOQBIWw6VmFlyz2Ny3yrC/2aC2TbI
cU9tbaAHbLSTp/E285qXEWkbtOo2h86lwW+RWu0hdqCz/Vcnf70+BtlJkorBYuCg0JSYhsRp4qR2
fE2nmQWHV9nifT0GzeWoX/TCQJONrj6I0zHsTkQ41J3b44n03z4bg9CSNBYg2YNfrJTI0sIPAa/m
yDsXDAbrdSanaitLztIjrv8gK8/7C9i6S+vvwoBvXulBNWLY3IkVrw4eYulL+hcJ5N/OHQO3S7U0
ZRjiumo9KNyUOnrRR1WwpmXkrGXrTby2xBY0zaDr04mecOIP15QsIzyqJxF5ef5oyfYRMxSwcKEN
+53MMomLLgiLEAmu3I+qM0mdPL6butSKSl7YTe/leyz6ZYodnOr0rBDjHNBAbmjZrbUB5Mevql++
ycmVnGB1yxtL0sUa4zXUIGxVIsBrJMfu2PrakfaaN37Pi7gooO2tigG8riWJkrQ4eBQQCBrhEi/1
w+v6mHvxmZfx2XS861Ux2KekuqFEGGhxSPGtiK4N/SnOHqfpe0YwYSfdGJJX1vdtdwiH7/v3i3NO
3vHUgFwwVVocyWW+WrIbEj4PsV3iAYVxpH1LWyH6eon0pq9C2GVpETlNeMk29XhM5fQwBebnZYQq
Xx0/7Jva6iDDRbscEgb2KqOYwoVu5080RwIF5W5wZJzb0gJHjGfcKjwGavrz984LA4SGpjfN0sNk
Id6VyouYPBviM2dZvI/FgGEbmHFnEtgoM0qB4YHPBIU+2qn2U/Db+BJ67YnPK8SzyyCkOeRKphQY
0R0qdBPLg6fVkSUlpbOAAo0kEydq45wUNgoVQ5BCpgUARQxvCGrrWWTNtT+NnJwHzwyDJLrQl7jh
CWKo/yPtunrsxpnlLxIgiYqviidNjt4XwWOvlXPWr7/Fs9g9Go728LteGPDLANNDqrvZbFZXQY+y
3I/1foh2NS+0OfmKnYAC310emg2+GZiE92TXHSmBAP+SwnE/tlUthnLdBHKJXj+kSzHD2h/y9OG6
+3G8gG1Lq0DH4A0NlwPBtIxIdQOwr7SHWn6c9Mj9b6boale5gswt3s0FFXz4jRdPbj88ZOG+M2yF
R57B2zYmUQxtmlV9hdOkGt5UzPZNizvzcCk8G0xmMINKIqApBNNeglOkfMdEEQDc36/vGM8Ikxqy
KUozLRUlTNELnjLWt0oWP04hj7ONZ4bJBERplHpOULlqseLP8Q8ygvl7Gpzri9kaKVjnb5PB4+aF
gXangRtw82PBVC4+z2l2NWDR8TQICtyD7lJMQ/dnCEAw8EScEoPu1ZVUzmrAiTWmFoAfRP7JIz8x
xl3cZE5eL3s5Cm0tMSwit7wTiyabazaZcmOQxKWUISQN7BIQ5HgfDO67Q3tSdqHHY0Pg5D2WIDPX
WyIkJrrxqYBHXexqedvFdyOPzIxnhrlRjeIgimIIgtRqbiwdFYWWTs6SdfbYd///uYhP7kK9dp0u
srYQahVFTKv3bphNh6jlrWb7nvNPRWEyiaIaM3QdVRwW43iTpqeEcHqkvArQZLJEpgRACqFRipKF
4vkpJDD0MeJxCzCZx0VkcGp2k0kXbde3SwQncOLX7lR5kBizx/sJQ3nwCqe64QKhePaYvDFMZdoJ
Cr4QRHRODeTQiyd053MrxaAXyBySm+Xn9RRy/dhVRCaDSIac1gtBtZk1/a0c/ZjG6qmZ4xs9hupz
aY6347D4aTa7181upg4ZlSdRNVHRv8z7zhBxBbkpWnempcyHABSI2YOU7pbak4vddVubS1zZYr6h
GsujGjZ4Ji6M8Nj0lYURlGdF/5CCP8ZBdgvjThB5cI3N/L+yyXxHqgW6dCYO5jJzotHKu28179V9
24Qqa3j6VAjonT8Hcw3hAUVv0GMXCN7bzcGLjPIe+O7fCjgwVP9th4noZphn6HHjUwUv1V6xc+A3
cf2ntKDyqbzjQiM23nPBCXgxx8R3JOdhAxw47W4NTrpLnmJf98UTqAo4brGdSVaWGL8QOnMCf/pM
Y9vwiUN2oIu3GxeHyYmqu193Qt7XYhyiUPLMiCZFcuT2pRHFWzF/XvLfeEBa7x3bNwkmoopyFcLT
i7txeE4Wd1E469juzVx27fzz1RnS94ogBS3YbaTlvoTCs7ArG9swX9v5Xp6edOTIdrQjnjATZ/vO
33JlVctiTNyBMdNJy18iZL5y9VUoOKXh9m14tTSmudAFYqqpDeoZYQf+fOMAgjg0N9sfXWi1zuAC
nbpreU217eT0j7uf/6bVwqIxqQpzQqJI9uGu9Q20aSgWgzcGt3knWS2NSRat0fftMPYY8FOdcHiJ
pB/NKNuxflPm++uOvoVt+uSETL6IVL0puxErGm3aEPpLJzPyJF/wQa37yAtjnmcw+UKQRCAZFzSk
a+XdwOz1+G7y3s82H5pWOenckV99JLFOSjLRG112MvyFjtq5yr2wnDmdqls6JZ/dLPfZi8oJNpqB
vhS7q6/GJI2uLJNUo3diZEQ7G1ori4MjCUYvqdy2FO5Csebc9TnuyMK+ZX1qJFwq8PFmWy8dQdsV
mMU2AkcOnkm6iyKe/29Wv5clsshvM4z7DiozuPRlfxTVU6j5keFEHWcjectibg2JubSjUqOsmjA8
IsrEDjRx35s/xWay4zK0p8hwJ6H1r4cCxzVZMblKDntlgMSOkxpPprEj8ndMtFnXbfBWpnyuAvIQ
LMsmHr/QKociAVSsGjfa5R4vf/A+E5M/lDGPg1nHyaIlu6F9i9UPNXWUlCeKsfkOuYq0swLzKtKm
RGk1EiN5UEFEsLJY9U1zxMCIbUCSZw9BKavwY8mevl3fRV6En0nPVnaXRVHwqob1jbZ8oL15KggW
Hqh+JR16EL0GNBzjjjctzKtBWMT3FApLPwn4fPQ6i+c0wF2rXevQ5/nQkblPh9QbriQUmXrTaplx
MpEhG9H90K3ZxrPAzWSl9rfeSUDV+dPhMR7wagXCXC6iIizjaDo7J/EKb9lBWUC5+0ueu+AhNXnH
N6Gtg9Xiih7SchhQRov+jo7k5270VPsztHis6pU+fWBiNn+77jecY5UweSUWhlHREX/O0Dg9FN0C
T0gfRuVXO3Emr3mGmNJELHBXAhIVhvA+OYdPxSBYmoE52aOo8djWtsDf6xOcMDml1hcyzBqyZXGS
PDrZVJ1DkEDw15JsWgZJkHMinEzGWyKTYhqaxsYAS5xQfMmj9k1uDiQqjzHKvapIedX/ZigAL6qY
4B/Hf4y5MhMTI8sFyakUN70d/dJOb+afGLONLf0AAXHX5FPubN5tVjaZ0iidUYHhMkd73HTgO4dc
0mS3YCL4HSohiLFfVkc3exULVRDJgWae8xmNhciW3gZLhygehl4feNMCm+ecohoGFK/Bl3uuCFfG
mrYGHRuUZpxM+xCgXgq5JFXm9Bp5NhifNGQt0tQYajJR5OhNZHetZ2g8strNemu1EMYntD4GcfmE
K3Uz17d59xOM2C9l39xWomwXRrzXuG8rm8f3yiLjEaM8SKMWTfS8g6Q8Xk6poAC//N8uyld2GH8o
ZAEXt5peP0E1UB5idzh26A+Xpx7Cr5nd88jgtw+2lUHmcq0ZQtiLAd5ZOg+qOfRqI7jGqZStCeMA
/Ov11hgtHP7ig8zJloVDQqYS4SwewLfpB1C1nT2KM+TBwLdLlIsltkQe5jJY4mDCc9gv8071QFiO
h8V7BQtrDuG+3Td28kfo8K45WwyB6wWyhTKYi3RDK1AZUcnSZo+7AOUyOaJV7Khvw6766HGOS7bh
dX52I30zHUyo3QW3vNHa7cNhtXzmyNOHqoi6iQDLiDlGvPcDdofRi9TO31U/2RW+cVu7fLJ/+lu/
FC4rq8z5l0rJNJYJ4iR+HRzQEoMcrTuooOWkmBDeXnOCkp2UjATQMywhsDoDGJAJ+N7+x6DcXhRe
tCQCVV2NpZbsDUFIlHnBuFPjZNOrNk1Wi3nU0U3FXwQolNqeKxRouRUtoX29cNms55WLaeYrklqr
tapFIZgao5vEftLqNikBRjWd64a2E4Eq6ypaj1BDYnXuREEN1XRAg7kwLfQDACw0wDDXe7MHoRZu
n2PzVL9YY8HmYzZOI6T14Ccm3r5GeSfJ8Z6zIuprX3xxZYOpM8VWLrIQXTBHhbzzOx4hwBPQzaCJ
lWzhUDqFb/68bnHz7ENzC58LqodftJGboY0HMQesQIqdTj0I4557Qd48+VYmmHStgoNblUJayMbB
oUpTuxsfwcnpa0FumRPkzaSF44HbX+qyKCZhC/EY9jlUJ5xC3yvD8p7m0cv1bdsGSl4WxWZqMgxE
aQnOoGQfYMoO47Qv+i0k1fVbHerEIpWW+ln45U6vLB6agbM6NlvrwjAPIILGg2xbW71YW7PE2b/z
5emrG/6zgTITwi36QslUVxSOh02k0iBmfS8uqZsMia1qr/LSHtpU301N9b5EsSWBQawbyjulXixd
VO/VIdyZRV1ixCi1lnK2dJXciwRiLYPpmlVx6JLIH3ALILImWp0sHasALajCgIBszpsa374qqqYm
m7Iua7rBlF7KEhrjEAOAKfvFXoGOY7Ar96ENvSObh2HdzH0rU0zNNaRj2+AQx8bpdkGsMvGH8lhN
Psf7NrP7ygxTcoliAsWvDqkofO3d/lYCpEX6g4LwQOOUWDxFpe0ccdk/JoAxp953rYhw6oW3uJYO
DWj05ZlHALZ5Mq7WxARt1kf1qNA72qArdqxC9vokAeDfFfdddCN0d8PyG/yrinSxyCIc6qIVaklF
II3CSTJ9oX6fs3soMlqTYqlCbQXNU4ZZCp5gwHb8/rOdLLShEUgbxQ3qZV3fz/2zzMPT0I//NXgv
v58JXiGPSBGVtDNSHOXQG+K7WsewX2tNUWdxHHHT3zUiatAU1VSJHSvKZ4xVZwtCS+2tBR35FOIY
0J+3R8miWTA85c+FO+7mhpOhto9+zTSJLpmKZBiMt0A4OwiaCIGm3CTP6a6+EWzzu3QwDzme6uXH
68vcdM2LMdZRBKNSJ2nBjA19SOnBnAAJ2AMdx7huZjtRrewwpz+ahNpUC3j/onbGcwMtP9E7G17n
/+MGmoyXJEswjTkdJvhrzARPybhp9J6MGp9P1LOZQVYLI59bBlKcF5Eu4ZFjlg4Z2mfCPjQ4rwvb
t7SVDRp2q06B3ph5GkTIifREpnVTuBd82Zqt9nfaBehF6AR1tSirTPKNWyUaS9R/6KG+D/FbUXua
7l33hM2SaWWCybiTin8J7bzXr10X2bkY2mPrL2gVa7dLxOuO8awxsSQ3YjMOPX0W7819P+T2Iv8a
pupbY0rHpMWgU8Kjvt5MUZf1sVyPCxEqOQ7xrSBtboz+3J2K6UcHkVMulRL1rC/JcGWJCal5qcZ4
oF1p+oaRu+1L9FTsqI4bhrj24huP1mXT0VfmmKhalCLP0hFClW0LJtUTVJzljAO02u63rGwwwdT1
mjE2JfCSfwGrE0+pLPORgiYIlNGjB+33ku3KIhNabTuVuljioKS5IsXQZeBIj8RvQeoFYN7bdd/n
bSH9+SqO47jrinxGx8+oZysUxOOYtra6iLzTf7NhuloUU6qV0oTac6Fossk2g5uuaqww3S+yaIfG
Tl/ezby34uXj+uI2T5KVUSZ3qFLVRIOIDJ8bOKxKNJKi+VvdD74xFfui1K2+k31ZKnnZfrPmWNll
EoocA8tLKDQ1O40uuBmc8iVwhkOM9kNgAcF5E3NZjHmRx2QVrSvk1sR/DhoQmKEsnPwmtqniiUzV
QRyeUhEnpXyZgBGMbJJiXMiMrnRHbcqsNPlFqvZJmIbEgr6ic/1Lbp83ly1l1ZlDE2ko72own0DI
RS6cJe7vESlAqc7fh6mDPl5oNSk0h4NM5hQKnBDR2SyzzAb4ldAna0InGL6F/SHkFZHbtchqeUyW
UcEVMCxji6anLx+ggHCQHvM9KNq8mP92QZPwlSTNDsAEUq6NoO7GS+XoL0JpiapTZX+K8b1C7sLl
LTHu0tYJy4n3Cek+XbPLpBpBjapwydCMM1LrfI9H6xqASMUSvej4e7PSGIv/u3DQmYyjKUZj4BUR
t14gBSArnwenSoM+R/oGDXa53UXF43Uf5RzsOpNtCHhFpIIO7pWBu1S7XvAHDDhOoD+1S4P7tMcJ
eFakuS4g+lAktAADgXNMAUeO7lKFz9DOwS7MA7BspzRUYKaEC4B2bmqvzom57IgEvj3sprjcQaDv
Rzgp/u/s38UE88HKMQGTibJgRpQIHsYgstgTCACztQo62/uh5Hyuf0kpF3vM9zJKZdTnHJ0y/Q4v
Ng6QQBgqklz5yL1pbH+riyXmPMimHI+XArIlBVKho+kG34JnCg+b/Ngzne7b9Y3cHibQL/aYw0DK
s0GYVNgT0RATB2WnA81XqGCg06dvUg0diKnww16+LdFFMsXEJmPgidAW7pv3uE6Oub58L8fa0o0a
6G/p3UgXTsn9L2XVP38iCyjoFHGMcynCgJXX7MEOBkK+4sx4ruECFqGVd31LtnP4xRxTmMZJqw4T
VDmd3nwjudeqgdU2T9dtUP/8mt8uNthzIk3IUi5Y0iRHFvrjaHZYWs0JEp4R5qDQCrDhSDEeNtPM
Cic77W9KEQrQnO3atILbloLXDJXe8j5XhZIRBEkCB3HqeUFHUXoqsuUmJ+NBWQinwKa++GXXVqZo
4lkllrrT20iLcTM2cCUSxPumOmiibDXQEOhUJ4cPl7y7K291zEFUTZUagTocBzpufLJb+7Efuqmt
tgAmYXgDnYb4Lfa4PYDNLLBaKf2zVittki7r5AnnX2NaGAjAlH9xFNzsTHIBaN4Nb6CX5q9rO8vk
t7KTdFEoadsXJMhR/2TWgh0l+yh6E8zGuu772/FsEDx9iQZg7Cynf5X0fdAYaNosT6Pd7HugMJqd
cQr39O7HF5re7kit7DHBlppGJ4oyNnNWz5tJ8b1haVFyZ0ray3sr3t7Ly/KYgIDIUSuHCVymNe8H
1a1MwYr1fSW96zEnwLdLwdXKmIBQdEFPVXTAzjIXMjA7pngW1jjPfJe8omwzMa6sMbGQT1kzDTUY
pMzI0u/UH4pd4CSEFmRl1e9DdhagyPyQe1/ZKkJlUTSgbw7OUplVZW4hb0+iFMnSuJGhlECxxcGp
c0Hby4fQbMX72hbjK8C6iBNSGo13imPOD8lTC8H3yq1BiSJawn1yyOyKs7P0M7HRtzbKeIwYLsRU
ch1PVp0/KH+YA+dWsr0oRYb8MOXLYyV+hqUszJRgUYNxBxnhqBntxbQj4ef1wN7yD2gB/G2Gveil
+WSGSQcmK3U8pos/NR4h3nUT2zt1McGczcoUjnqpt0D75bKLW/qtkLfudROb6WK9DMYFRC2VDIlC
2aOT9hD4vR85EJmrXNnDiIj3O3Q4MhSR8MoragRd88+ZvqvMCXuGakOrwANVpjuwYLipwpPf2EpK
azNMWSnV6kiiEM8BRqNbhmk6kf6tq+5ryJuG/Z+cHeQZY2rKWTMNTSoGOgwwumeqeWTczCttzaEo
18439wnETH7r1FwtkpU+DMt2LElBM++ZpibxhqPyE8qHtuaJu/KDOyS17fD/fDuWhVI1IfmTLD1d
J+X2oMI4gQBVE0u9oYMj0QGgZYXLr7kdzRerjH9O1TBpUYbbXK8e68IxtYciuK8E3kekHvE1KV3M
MEmpAzZaGcCP40h3FG4Uf2+eoVQGHEflSo+9M72af9CNnXdc9fjtIL9Ypj9fFT943c4WFSTWTivc
C2SXSJwGI++z0Z+vfn88TGIWUXqotoKoagpwayjgyZ53bvG+E/35yoxUBtkMkDc6e81NNUNLSAKk
NcwBb+UN623VxWu/Z3JIHSCwRxEbphcWpXiF1swfmNaLbeUbvasap9bBGI6D+tiqSptw0j5vnUxq
iYqmTNMSE/yDVNhLAI0bA50FjVgkDp3rmWXzy8kGUQwd4F0g/z5v6SSUlAcL9Y6R/1S1w5jTmQ4e
K9R53OCL52uyLhqwo4Ol97OVKGnrtgtrtEviaLYFDTMPZuZGSXYvZIOnJ5rbzIkzdpC86t9H0/TK
KnVb6PY1CshvQN9KluGmExsU0sG+zIy7PM/vhwSsMUMyWmZZ2uWQH/NCAWeXzONA3woeKOwRXZMU
XdPOnYyV12WqLJC+UFGkEd0npXCItNm+/hU20YBrG8wpDDAAGXMDNqof8yHc6UdIGfwUXMkHpMaW
d9Vh3PEu5Zs4/7VNJuuBYyUaRypkIPvSD8rWHTjVLrMgsP4wn+jT8nJ/fZVbvrY2yOS/xBAkOU9h
cM7LoyAMdlHnVhlGv1GbYY7XkGT8U0DS+dnZWkE1MzWGSxck/BjLj2Zu3V5WbqqJN528ee+SV37N
JKQkqzMSKfBr1TpTUVn0SE5B2J2DgDz2fmcudW2OWZk5T3JWQdzAMcqjJIuWpFhyyxtu2Sw14OaK
AmYfCov6vH39TAQtWjqcUhJatoc2tqspsWTpFYpunOSz6YLyyhYNvVVoxX01jnM5410hbm+SBkTn
xvwhmJPdFAb4/39gotOalfFlEJMnE3RUpJn2RgLWHJUHtN48m1d/CZOhNCEzQyXFqo0GD1UGMkv5
I8t3Zux36S4Wv1+PhG3H0YkoaaCLBFaLqeeImRAxy1EK/F1XBXvdrdx8r3mVn9nDt+v2NnuS8sUe
2/ADRLBpuxzv+ARo4/a2e4I4Hqaz4gMVlyYP9R49H7vyTWd6SV643fJNl9KBuTRAUwBmWGZzjbor
enQ1canOUL0171A0odanndnYraMfEEDtScWD7rjLOQCGzQu9vLLNhGiXyu3UpyNF7J/bPrt+cFun
+I4ZuJ1QeNf3+V++62WlTITKYgD+hxjWqvcZjZjWz290t3ZUH0yqjrDnTcNv36xWq2MqBV2a2hlK
eKhcD70LWW0f4nj+X2Lh/8NwAD0RvhzjK2uM10bVlEuKiEl/ALofwaO6U5z8NOPNI3X+B2HtrUfr
1ZdjL79114+VVOFFojh1e3LU9p1L9coKm4fFP6NIr6yLfd4UhyjosgHr6oCB7zzNpzcPqi9fWeO3
4Wg4i1+eiNu9YALjg3J7xx8cv+FECPvKOalmAywU7nfFe+sqvyAg7kZO8TZkTvKmWRJ0XUXLvO8S
C11tjunNYvPyUVkq6zId1KQJceWq3eChuacnmO6GJ90VbigcK7NVZz7ycL1bpcD62zKJX26WOZNC
ZARhPGqG20gHfeY0mnkmmKQjVVmvy4DUOWpzSE27Ng8CD23L+2psbumEuK0VQIc7jJjWuj3VkQ1N
anPx6/nH9c+0VYSuN4xJLK021FKsYTVj7mbDa5xwbnC8pTCJZEYBKowxQkDP0c6aoIgGJkg1ceb6
PeXOh/HSls4kEhMN5MEsMcwg++YdnTOSISW82CBSPwoOL7y3rYEiR1YIEQ2RMBWNTIY46+jaGoey
TLe2+aijqUu5dvV73lPtZjitjDGenRV9KFQmfKJtTmFjS/pzkj0RkXes8cww3q2l3WAGOnaQNkry
xwzJmPKWRXjJ0+4gdVXhPC9s3gTF9vm2Wh3j8aSeU3Qw0A+ic9b0LTXyTDvwFntx0YNyeDeGTa9f
mWO8HsV9n5cGruFkudXzY1V516Nqexc1XRMJpL8Vtg+eF3kKoSRgNdNll4J9guy76lYV9tet/Muu
XcwwN60aUrCGWaPam35MFRSZdJAMWtXbeG9IVn8qvVa0fs8NLyYZny+NOFZG2nUf6n0kOGN8TGOH
8FhsNnMsqEb/3j/G2RPJSCRQnwIS3XX7OXsNM/l7mDec3MSzwvq63AwLadCeg8heOj4v4mEcA84x
SDPOlxJgtRLGsVMi5XnQ4RE0AxwZghF+uk92qcelZaKf+osdU5QAWdfBK8U+HKRRGKZDgB0TH+jM
U08v3cdwoKqoYBbk1oebAXQxx9ZQUdxlkgbkv5P+Wv7CPtyjjUXZzQHY3NGyLfy47uybH2tlkelk
pGKK/rvaoy1ev9bRL0gEO0bU7K4b2YzblREmoIgUmKSSUC7p9U5qd1MPsnHyGsYcx9sEqeAV4e+v
xdZGY50UmUCAuwmn7gW017d53twsfbhPh8gJyIzLqLGvzMCfjInjkNsXl5VtJrYg7aPMJW6sTjDW
IBm8EdTUakSM/jpjK/pRaMnkTip/pIN9fW95H5CJtro3uyrXKbRJ8NLxZjT25eJcN7F52V4tjQm2
Lu7KuqL3wWbwh+zPUdwRTKKo6U7KJlvUec3cLXOrvpPIVBt1SObCHBWUac7igZt5F9+UD/pj/qK7
y4FCQrWP6M95l/k5JxY2v+G6FcVUVZFiFGNFFeMGwSODTXJfMDAH6OVBaYMbPU2eyvlYjxySC2kr
ma3NsguOI9EYZXqrxqsNJNd8E9pE3TH00WWw6cgovfyGHcQH+fG/WW2tjLNsynIRGOIko/0W/CGe
RQCNn5W72P0+AxKWR5263Ti9NPvY2d/OAMe80U4ot8606epu2qmPf9WSKshax11vc23SFMbm8PUK
mexjNk04Q7cYVYn6ooZOpNqmWnnm+AD992D8KaTHpXGFnPNVOR+VZVyWYomIw4he2VyUgG078fQQ
a14bvaSFlxovUe1dD9KtPLBeJZN/lkzpyCSg1JNJbofZq67nrqJzW4A8M0y6AR+FGQekoD2F9jum
gTxxtKqdfNfswFOEW29xo97XvCsBzyiTgKaagC+uQUYQldkRB/2JaNN+LPPn/7aFTPkqG0aNgXDA
xcYAjJJ3ZeTmtXvdBP0K13yRyTBT3tbCHCHDaMCITSS2iybeXTdxnhm9ZoNJJ2lfq2Jq4EhXhseJ
gOlzxlBJEXmkTw85Zu7jwXDmdHHCOX6GMtYHMKy2MkIUPXidcGjVcemKJvQ5lcku5MCNVM2aMALT
yveB+CCqeHHqIZajN24oyO4EVuxKyJ+WCKis9q6UIrCKxS5+kTeo8X7Wf5qDuc/C2tfAea9J2W0L
JbE5BmRM1N3STN9lcXhUoemtjJUbG6OVNMUpU2Yra2VLTxsoZiUvZTHsIEpskzl760lp1yR+G9La
bXvwHDXifjRzr1LwJFVGXhXXdimJfqUPLqgjbHAL+1NSg8lEs7KiexmE4T7vMZ4sYTpYjevAa9rh
iCHwXZWJtiFXdpFJXjGYr5kRH+L6edG5Sh+0nP/yidAfMCUToAeokuHnq0a6mdeQIGgAJBpAXx3Z
/Y0igEtCw5wM2GfvwsgSONlo0+8IqHF0UwNOkZ0zBle2PAPRgSqBQBteKU9tv3DuuDwTTJDmwoLR
MBEl+UJeq+Be4tERnknBvmzaag3MpklK1E+6CM2SorzTBDQelsJJA9Uv5G5nJL/KLtiZg3bQ9NxW
QmL1cugSMj8kGEDo2+xUJqaTVphEItAMaoZjNSqunCVOA9YqjMvlwOxM9ehGUuVM+vQjGKdf1wOT
t0FM7LckSqplAsQwmO7ypnxLSP903cImnxuYiP75zEzoy7WpFSYlxv8bj5FCoqv3u4/UFl5E8Euh
qT3nlnb7O2JdK8PsGGqZkGiWRaROZXZDFR/faXvOAUc/75XPz84mR2E65QaVfRC0lyZCenLywdfJ
e8AjHds8bS6byI6fZkGZ4Y0L6AhMX6nKMcktfo27mQBWNujPVwmg1Cs1LzTUJNkpfqSo2u5YjgB1
U976ypcSR3y87hq83aPOuTLYTmZUiTOicyqS26IT7DTBAKpQtlaENnUeLi/X7W3XlasV0l1eGSS9
MXZaiV3MlfBhAA6gGDpHmySrLKSjYnwnaQIxpdCtIrAcVvNzl4vO9T9hswJb/QVMQuq1JA3lEnd3
OrIMHoLdiM0FHx7nSKdhe80vmbQ0ZbopLRL8sp1JjVvY5NSReBTnGvLrxWNI6htM1O+vL23zJXZV
7bHxhhxnpIJCSxUAzHQPKgt2eCCPUNIuna62+OwRm0+SdDMVTLWAxptFnpBGB/I1Q1MsAjsecKGp
JTzqroQXydQOnOQj3o/OvI8OINp18rck4XzMf1nxxT7zNeN0Keu2B8SdEjDFu9jNUhu9zMLCGMpr
Y8eOcIp5dedm0KzWzHzaOoTWYTHTXdbtpblR04da/wgMq1Q4uH7u7jJng5HqQ1cDcIHvOTiCFdm1
jxm9RxA+2fV5oPUM4IPu/c/Ys3kevJnwVstkTo20y/Ksz0b0O4fabhtlVxfxWz/xSHY32zNEwqiN
ImomIoJJepMw6ni1x+kkQuum9SMvtdO95GYHbttue0UXS0y2MyMdpNYznPUvPlXUvuh9QxwEZC9n
kPb8pjvq8/WYpA74JQ+sVsckPFCpJprYlOi169/V+YTXUGvUd1Hw67qZTXqf9S4ygUDGehS7qPqr
p5+dBsd8LwAIT/3uID2olKySCqrmTvFnzQXA89bIBISaC3psztk5pb5lMXrjijsdJdHWKRGUCWKy
xi8/NN3iIVt5hpn40Ish1TMJeI8s+WNOj2HwqGQnhTcvtOk2sgQsjqgQ4O2ZZqix5E09ZSY6T8Mx
SjxSe9VvDayD+uwfG0w3IlPCMRv688D6fH6SMX4ONijssHOZnb5ddxbq5198cmWMibhWCpu4D9EQ
jebJUklvgzbhuoXtjs7KBBNq6dxFQiWiOajdjBjPQbtOuQ+8SATFZ/UK3h+7BHGqyUVubDZ1MHIF
HQ1QXWAi8HN5oY/iMoJpCn3r2fwoYsUrSO9n9RvuVZaoNA9yLvqBInh5hn4h+s2cVdOv9HVj/zHP
Eq4VpjSr2Vlw2Zmhx0MgxwLWMHA3KOhL8orr7a94Mca4pamUsZHLqDAW4y4E1ztX5mo7M192k5X4
TowgVOYMVxPV0iBdLe2ao0plfW94hNrbEXZZCuOQvSDqI/CZGPs13/rqRcG4Kl7lOV9ns/BbrYZx
STVLRYgm0ItWcjCFuwbi09IbKXdy9byozzoxOfY2uDFN0SAynh4Ujeh4mfzsjIuijVVYZ6Iz+woG
JioQ5ZtuesCbw0mCVxB7uYkBTPY5Tkg367MTfjbLnDh5HzWgkAtp37g90Mmu3B3eyON0oGSj2QP3
VP3q9J/tMSdPG6IUCoJChL2phPLusjPt9r0GFIzSUaqcGverq3y2xpw1TdlLpCikxYFI+Zz9yEls
GXJp/8c9ZA4WMWgNwZCwpvkAjYMT5RoakLqMH41Fn9t43OC8RTFpKwbxHFEXeEpaHEv5rQIOZXau
L+nrUflp39g3xFIMBcGUWgD7w1tZvzeBhS8HK8t5rMGcpbAoLKmeGiWS6c51p5x4eGmLeEJv9BNf
cXAWZiUNhhosEmZ2BzqUuTwlJgiJZzdQf031y/Vd+5ozPu8ak5j0cIqDRMMd1GiD71o8v2bBcxuL
I8RCwC6rBHYdDE4d//9fRj+bZTLH0DdDOBjL4ozSXu3uFzRSi1PDY1Ha/FTqeb5KxOs/e1hOI9TA
OwOfqq4bR8DjVlzJT0EmeL+xhxcz7KGoaAKZydCITmTuQeeqaMccfV09OCnqY59DTC5/v26Qsy6V
ORiLWJiKOBCAQ9JaWwGvyqJGvt6ZnETLM0Pz4qqVkTSkMzIggJ0yVY9GCu7EqAWNHA8DwjPDuGDd
J5FUtqkI0fajkdwuyx81V6VmM4WvPhHjbzlgJkE/ITkoPlTaIf98iO0F50W/Bz21x2Nn3AwqVSOK
DBF6FGpMCu/UfhgbuqJFPIUYtNMKXwxjK5XftOhxyD+SloMA2Mp9piyBcQOCyKDdZdNrF+hCp8AD
0yC4Vbv0UKmGNQXaLtB5JDvbpgw6sEAkSWf7IUYqYxZfRSaHu4npse53Rgux2+frHn4WS2FToClf
zNA/Y+V7KtBpiinDjHhIHykmpHACB4AkvBqQY7AH1vWw2MTWdsOr6AASlVr6Pffg3/qO4Owx0RoX
VVFiL+6tCb2HJRjowQ8tNH/xxtvsno4+QwxoglII1UwWPdTiH/wTc+OCYYpr44zLqkswm0uCQbXW
zZ5xAQT/d+wvt61jWJLbAcscuP//gS5qEoP5JihZMQPF5JV8kTqjz4Gp6PI7OdvNcm0Jubukr9c/
7lbAr80weUVGjxSPw3h679r+UEqCK3aq1TeN+9/MMHmln8NplkBL7wzJS5TZUx5bY/N23ca/fKXL
ljFfaQbJgRA2tOr40btUeSFztH0CX50O4f3sYFrB5tFq0V/5JTRWX4lu7yo0+nqZFrWfsK5K3suG
eYxl3tz4Rhf7sycw4dcHUjGGMvYONej/kfZly43rypZfxAhOIMhXkBQ1WLI8yS6/IMp2FUeAI0iC
X99LuztOeasc1u1zn7Z3eYAIIhM5rFwL2XqxovfezYjJ+yZxjtfyvK/Pg++bBJylSGovvJew7cYi
ooX38g/UZ2P9PF9DWX/ptZz/LHF5RQPIbZiehSNn2TNzjTthHfM2Rhfs++NwbZkLA/ImRy+UaDOS
IxM9jXvnw6oom9DS/X6hLzLX8wv680AXNmRkIFaeusmMIIMDPn4PzQxjEVEAdBJCuqPljKwcRFTI
PC4D57+yrD+LX1iWz2VluxSP6YAhy4XoOn0n17RYzwnI36f8zxoXhuWmyyRaisoXFEAWgPNUxezs
1NQwYii55+9X9vP8kb9b7sKo6gJNbyGwnykUB3JAK43Q3lRgzC3WNrseIVw7KBf2JZa8JarHkdf5
puyPKb3R4rX63576izhk8RdOy6kE/nDcKfeODoe23Vf905W9u2K/5CKX5MqYp+L/BlfQco+GjKXg
FwN0XddsOMitBFcTRqberix7PuLfvbILt6EHPhT2mfyfsDPZwHlQK09chlbQalpfE4n48oUhnnMR
ZMFLXYZ0oCv3AO1FhBWMD9ZyUzdPKrsfRHXFrr/cyk/LXGxlSzq7whSaFQWGG9pZseWLuwK3xpXq
5ZdXyKdlLrYuBV9H2fvofDiT2k45SXyAr6+8ni8t6s8a/7R+Pl1TwZg5DQEx2HkuCocBHO8D61/E
44ABvnoFGw6/X/B8mP86Dm6AKI1Q10KvDt//tF6xZPUkA7whXWzbJR6rF3uGgvd6Ilcmdr5oycH3
flrpwjVN0LuscQvDy6M0s62i9qlORtbF5/mnLqz+B3qeX7+vP8924Z2WmQqZK28BOb/DKMi76ytx
zJebB2oFNyBodOKv/HvzHN1iSrnuAW9LfwYNcP6Lw3r7Le/XRfn+/Xv68oh/Wupi91Rqe2hoIrJ3
0qRxbntA6a6Vgr6YZMAb+rTG5X5xgZG885gsKoQnO2xWBbRdB6Yi+vs8mXft6H39SCTwCTyD710y
n3ueVkGWoe02AYyffzTgzRv/v4fSz0/0nyUuG9+5k8/lXCAg82drbXN/TRYVTpncfP9yvnRzn5a5
CGAmF4Lrle8sEQ1+9M6z5olXtCzNrtjqP+7yL2P9tM5F+EJm7S3eeSId8kaAgnkY8YXQ6j9yiGNM
tzbQYO0q214bs/0yqCCBex64J8jpLi7EctS51hw5VYPeAtOyTaT3SwoArjESp4IGyhgN5Oi+39Mv
jffTohc+3edl6qbtgFh6uHfsW9Ndf//3v35nfx7qwpn3yxT0TX6eMkD5yQQl1xBX6lU1yf9qmUuC
8Iz7i51iyA5ce0dFjrUvQ5ezQcro+3W+zj3+7NclS5zqNbx7jtioj80QJgzBrfO4cJAMiRG5V1D3
Xzu+/2yed3EQO2WhbKLxciYDKhq+lbTKXdUiwKDG/SJo/P2zfe0o/qx24WabAvcsAj+AznnMq7fO
jOtrfBnXlrhwr0JXXjedXV/u/Kic29nZdumVA/d10vvpDZ0/w6erdq4cDcJQskQBBkr1HNJuM9G4
6l88fq/yVVaUUSWTYYg6I+l95tBw0FdO49XPcBFBO/U4tVSdcTk1U+fyDNCk5VMAqsQpMvZkix72
/hpg5GxJf3utP6/vwn14kyJNcC70tvb4QoY2DAprn1Xy1S6CA1KtNa3Ku6Ycr+z3FygZOH/P9hHY
eLigL3lpBu0OWadxZbpJcfR/NQ/iNGD0FXps+AiHPOz72AP2YUjkL32e+76GB/raJD99gIvNHlrZ
GYaP8GCIzjCdM+7C37TQyZWY0LgWal9d7WKbJTd6jNLB00xV1CChyGMB7PV63KrIWw1P/dXH+3uE
/7y/ECNyXMze0ksukS41g56eOaGKzT/imbtuTUHyeyb5/N7+vz61n1b6yzpFiqgeG3nGr52J7NiZ
Oyzfj9sgwQu8s9f/1WDxvx/vwly1GitPUfR4HCjlnseY3Y2TnKunAp2+a5v55W306QkvjsroeAuv
MPoV0cGNvTl0FfQrCPreq++38ks/92mdi0MChepeuA5cKbrerA9ufNkwcW0y4vxH/jJ4L6A2OKco
6usX4VANMbvFp7iKOhPg/bRgBWAVNANHhq+TprauZBZfP9Of5S4uI9Cpu2UKnb7IGOqKFQVNfMd6
W/jpv9m6P8tc3EJ8cMfG7bGMo7K46IxQlzwMsuK/iXs+bd7FWS+5GNIKBfTIMLZmf1vyx+8f4+so
/9MCF+fa4nOR9fz/GVN9jyASqO/5rgapUbFNb69F+V8g0M529GffLo42z1TlKBcxuNr6d2Y83rYI
TbrnOsnDIV5ibx0gcM3iKrk2xXB15YvDnrfCoo1zNqqZJqXf3Hsp/0mG8Y43oB3sUs4kOJeduoNg
W6XvpzKLmmDapNV9A+bHJev32i+TYqp3oJ6/+/41nF/jdzZyEd4WZcELUgOX5xCkw+m7pq/fL3D1
6S8CXEO1pQEGGdw+L2fQEX2eN9j5FbnXKwwIr6rEXJHQe06ja4xAV+zxElIgXaJHoeE4UTiGcKbo
b0X+4/uHu+JhLtEEjSiWxskQrmmMKVQOZqv7bJP7Xux0MrKcl+9X+xKx8+kIXyILWllaalzwRHL2
jhzw3qDwHnvvsR7TxHLcU1eBvQaDJBQqvoXJ5xDQl1WBDnpX01MLuVLTplfcxNfllD9mdTm9TAtp
gNIfh7vKOjuc68pi/VgdO7PZGZOLKuIUxLPhxbIzx5DW/jHwH2x7YGT2I1+Ob99v0dmI/zrOZx0p
4gSWiZYxvv8ptp0mzxupiUJw1uyd8p4Oxyn4OeXX+Gy+PFq+aUJ5wgG18SXXlGsKf3TPNVOlXzmU
62VYq2trfMFnCIcF0kSsYdnoR184+kHXs2rzcy5QzndeJocw6NEjyLofRrD0jHt8YCny3abs4pGT
V9DtM6OZVrafh9Uybb0hQH/BSiBYwaBaveqK5c3ofjYoIQ+jv/YN/ub2H35uJ6KwHr5/D2e38dd7
+PTZL26PuqybNEvRe52oExZq1Yk1scMB1KryVqAK9v1qXx9CMCOCjs9xzyyK/37t3iyXxprOrd5/
GKoq1Ivkc7CwMVwgsmxsij3vr6z59ev5tOaF51x06nmegddjrM1tfzK3I7Yf4IT6LouCeFoBERER
tCGcRAKWCFVW1mI6WYZVGFwZk/vyNOJiQ5BjYmzDvHh65c5KShcVTZU2u94PmK3UWkLz4ftdPtvO
X+/00zIXD2zo2tUYbTznMWel5fMz/k/kz78wYcs0IYDogK+Z4vT/+10GtaUsYGHP8KknVce9G0RG
fdOqj++f5qs85V/rXBxRL8vF0J3N6zzUbYws3dJ7sPKt/BVGNf+ryPpfy12EO61bWQYIvQGJMNfU
fHKmaLJjFVxpDXxxIf1rlYsgp7NkAG1KJF+6ebcxByyD/VwOsUOb0EzVlXP3VRvzX6tdHLwul6Ty
HGReneW86qqCJiZJBq5/lJ5inSw1s0trYr56mW2SfP/+vjiN/1r74jTyZhQzt7H2HCwhL7eLE6l8
NxFIE5S/Tcms5kogc23Bi6uls7U0fPOfND5dYxoempXuSlynsj9nJRdm9vnBLqkNKIYSa4F2VdSB
/cgFIgHCizft5syVeg36ZoEz8MpqFzlSGpTadXN4TgPRi51OoYHxateKREnDrNHgWR5XAJHtPOKD
s7dfT6K/y3m1W8BwOE0AR1X39bDsHW0z368wYG3dZVWPSQ67zSE79YT5913Q/HBkJZkcqpYNY8sa
4e3Q734aUmvnjR0yGbDwcm7+rKoMSnFDzFFphVhiGtN+RFTaR1NKQkdp9KAGktTNjL9j5h7Lpy11
750+MBkUlE9tmkLQMYhMu2HKC+LGdFWYBeVrbwNmbI3bSqGNYPFiZQXGuwEZMyi9/7RN9ZOnTTzL
YMVtemMt7taT6NaMy70z1i9NISTwJ2GVsfGYysTzjqoDVsR2FXuVKEbLbUleIPf4mkLPiDuYL6P0
Ns3neycbQ0LJc9rPoUoBchLBgWfpzaTT+8KsD407bDx8wXz9OIOthOXz9Fw0xc2gdaL48MRnEkre
PoLAVGKC1H5VqtkbFsYTJguNRWPfUH1cRj9cliz0RwgrkB7sxNqLg5LueKD3Zf7uq3wIraKKha13
euxAvaeccOieS7telbI5THbOAtH/DuZglbrmgd6kMgiFxz+K9L5T9N1DpJMO6qG27UOp5Ri6Rrsa
af7QSPlB2mrf1fbOTY1d4TUPeqAPwrY4FH8NGGcbg1EOk/z+lnotQkMZK2L9mg0/tnp6OwfzbeEj
oKX5JugXiJc026DpHJZVdGfn40NQgszK8cdNnTuJD7Qr8zqdsrQuQdq+mBiQL7OXNuuP5WI/ZtLY
ztw6GRi6XzyoZXVc/cOaX89ObMo8IkueKEO8ABL/omn/YPF0bxL1qCd8vQRM5joUrr+apFi5poIf
ayKzIGEzYkBYyHgozsSt9u+gquNUSxa072YzhX3msooaUW2NkSl+B8W8127mRrNrPlpEb6RrP5Yg
KBCVv1vMAWjZDtzU6aHzCFS/8bVFf7eFF8IGKfwmdH8rf5vXZmzSeke97mbMQe/Z2yuHjxsnJ1Bz
Bid5tcxsSYPTUHotag6VH5pDEAbLsnNUvkUH9FTzYWa2vbBywSGzliKN6DKulXK3VqA31biAwc0T
SW/08NTkVTRBmObu0bCym0I3iUiDnQMZcRcYaU/VrEhLKCq4Rcpw3gIWcOeArGJvWc2Ge1AK9pzt
kmf7STuwv0El2mgLpnL9W5qNG1Vm84r7fmW1AhL1/etY9ruxcKNmhD3OGWoYS8bm4LUmVqKs51zN
sXRpNHn9xIS09yof19ny2x5bzoppeCh88TRO9U3uFqwvctYvtWB269xp+2A37c8i15RxMsW1bfyq
BhRJZjQGZh76aloFfvsBzU/mW/kOW1WjEI5I2vSPSgicMbVsVK5C1MLWIO6HmCRw/MsoQ6JpVDT9
indumLrgZ+cdPpyodmJp13aaJRXv1iOBceoJnA5mvEC/sG/adbUMIe+H/ejmrDDf/dmLiDexHrC2
0i8QHRZTbNpL7GRLJPr+YIMH2S+m0+K0rJTLZrbdSDVQcNHgxWgd67BMLhsDFLLd4kefnTwLQ4k2
AYWF96MGgEOrH1yB3ng5Z17pURjSDPvqdjFTxKGmmZQlGGxU8JR7P1uXQ1ud0wiSlmt/+gC7Bqjc
cLott3ketX4KXHQ6oF4AOL5a9fP8m+NS6NziLp8FSK/lSjh8T7z0R9qld1lpxsJ7dK0lrrQKZ90m
85TdU8K7KOBe6A4lZ15ghJardhk1fwIWC3HXLNa8fXdTO3bbNHQ6vi54FQ1FNYWEkI3rQUZwhOp1
J/u9MOWtWU4inBcw43s0gqBDWKeECXM4iaJblYZTscr3fy2zZTAuNUDDRaeYPQRrpD6HrMtfIH8V
9WcFNO3ae6BGtoAs3dKmRF4N4/LnEkRYlrnKUwGvlNW/Uj7E5VK9TdzX8eK7LMdxQF2W5V6OaAt+
hZiaZSSL7b76VXO3Y6B7W00lIGswCIlUzd72Dhhg5mrdkBa1nGB/nkx26BTWNGCN5caZdH+rxo8L
u4oLvtwvafXSNsGTr/MzFddJagxEEIDSeWoc5sDf+Kaxq5r+vW38HXHkW9k7NZNB/tP1fJ/p1L4n
Wh1yqp/IAjPJcOJhT+FsygP1OP6na1a9nh540G08YYV5RtdqdndClJi5dyLLLPae5jkbWvO+z6dV
V6mCdfWwAtX+ZqwhUTYZ/VHlcxTghuGSxzTVh9H1477IngivwFXawOdm684Xd3r2TwPPErvmcKOU
0WWOZvMu75ujzj6q1A7x29GY5UcgKCO7aCLRngw8m+U0sNXKSMyu25k5dO5srQHQxgBi590ZdIlz
kkWOVWxtuzo42t14Rnd0fDiieujDLkfv0VMbwL3PpeYbOdj4TLkXWgo8R6XV7lEHo8xIy12Vpz8a
WcAgxFuZ6qfJL9eNQdvQc5uedRPZZHTcwDQ+FJyzcqzt4A1xQOdVVfGtETRxqZe9DryTXPiDZ6A0
0EzrQtnx1KIOUVb9puf+HgoC7x6Vfoi6WzxQ1EMyjJc1y03fwuWpeqMRk41uAwp23BtF+6Ad8zbg
C5pXxppmPG5TI3IwGGGm/BdWCVhJ/bCuu32fLgOzA8LAeRQ7ojrCa0P2LCM/JQ12nGcr1S9M5B2g
a93WreZfncHva4ARSIM4wNbhKKyVZ8yxMW7HZnz27PSBS4sVnn1SHjg53Gyd0mxrKG9DPANwHb2v
IfXHaoEhgwm+1E2rUBo6hubpY12POwtjjbPuG4BSxgcwV6+oVewtXCxcLR9CgV2+dvjL0oKPfXKM
kvme2lvD/NPwvXUxL7Fh5ACsW4fexGTG6PZhkU1re+KPGOx9911nB93hKBMkJAWoz7TxS9bjapnK
LXXakvWp8biUulmNg5egh4swznY+6hwMQVm6PC6tsxp1tnUczK+DICDH9DyzpzSspuJeBnyjBGqV
CBx5l7/xRsy46tV70AImPJO3aQbfaxpEQuSJ1r+1tLbZ6IGlCAzoYmQS5Mp9TyKnmB8m3ieg1g8H
Y0g4hwKsXd50lXfTBrdoVODJu5jiR6yyiFpnwcEu2IgUbkxR9PHKFzlBby1VESnQT1cgN1/mcCQG
M0WjWOrXUQXFQ5rm7x3PkzHzHxp/SM6XWDOSZ69Gt78NGmbPs1iNC2qwFE59QJ5mdC4B2rTbdyM5
LIbzktrmpimW166YV52vb217BL1xvvIykDQL4y6b+c3c043jwhnOEfKiu9ou1l1DIwy9nuxe3Zo6
uLf9bG0DizLmP4IAPK7Naw5KdsNoXs/BIEri0KGusRu5Zs1AcbGpdxPt5noyQseZ+9CGNAnGPlif
K8itZuHYZZvawRUPwquAZbSIxSBeu8nedfPMFBzjmR9xtgbW9dW7EbS4D60Ybxejp7CxalBbnYn9
nMGPi+AWKLSQjFnYW+1PZeYrRy4n3aaRHq1Tag+xySGC6owraUCFUZIVBD5jy4SeROsMcCo2HEKX
32SdkFFu40gqZ9oQmxNmBSmCJEKZ9NFuMrXDUrNM7NSLFgJkggIZX28GJcZxnLveWe6E57FCditS
a1bmBdyxWuczAC7cNV+6OdjRVp0KwwXdjxdO+Xvtncx+TtJqXE81hH1Ut6tM8qua+ygzcNsNb5Vu
7/30tjemjZWJbY0pauioM6dr12QYN+OUrrNqwSnId06dHao0kHu/qbdGJ3/YMxII0o2IXeWmrxVz
3WXvd/Lds6cinubi6Uxzz2u5KTOSVH35gIn0j7KbQRKH2Ni3yBN1O8Q4Mj9qcUcmDdl2/6WuZ0ik
WUdN24+aQJFD1t4e06crRze4FZ86ChSAFolrGC9ZOx3qGeHGnAooCEg3ypT8ZVX6H+vJpyqLFC/v
oJ4TY8Yl7iHZIF0ovnCMiS9zxpog2JZFe18Z00HZ9nrwlnDuwZhtFQn4fnbD7K1yC89t4MZA5N7I
8jE33Afc9Kvarj+gksLcFjVL9VDleWgWICiQdAf/FVWNSKjPd2D0GWLqDei9TccWjLfDfILADROd
SOYUDGxmnQy0C9HwiTxtrgbJw75AMrj4UYqnNimEAtKOya5bDWpYZZlaFYCvyBaED1bAWkSLueeF
JeyAgGqGTrf5jOKisbcL8CmaZVgAHu7W47Y0kPoKZy0cGaI//jMH/E/O4BKdmiSf+E4awaGk9wQd
gro3tymQUnaFD+iLtzorbwIuH2wtYhI4Kz7XMfesNSLMtegdRmqVBA18wwTF3LyMNfzZ2IhDXy1H
Q+28kiRLqW6WZdoFcwo2njm2awf5VheC8upmNjPA3V56oEqCoEuo4e46gnEqa1KosHUFkpj2Ti44
bkLUd64Gn8AMeWNdsrFtWUGbTdZDN1BVIfVPJh/fSetvuAFGgDlYK2cPPMdvrZc16ZYUfi99lkZx
O3biNnXRG0ek5kw286wunoN7hMG7gtZs4SmY18iLMQIjZzdZ2FD5VrXLviuH/ZDSY6mhEKEz2Il+
8RcYjrRIXOXB2mq9e2W1KKLzV9v3nkanflzqApolWr3W5sJ0kx4tWoVtXjx2TfokkEa1OA2uBc7d
Kb0jKltBWjW0JnCIdJBvqcmaWs3K9mhCWzu0u2I7mMUKNYx4qMVNbyqo5fVsBst2Cx2j0c+ZXU+x
bLqVoQL8dzi2JdJAKKWLFkpibRGXeRb3TXC7dFOspLqRfpsQg4TcXm77kT4JK/hFSyOqrC5aujrK
qiC0J3nMh9e+rrZ2qxgf1RpXRBJ0xQcFr52BMgratC0yH//BLZydQeqtKrufIEiKwBHfi44zY8xu
3In+stx0i8ETEODNrMvsbYDfs2W9mkFvkLoN7nH6NuiRtaU4ZuljKX51+hXX4rpFiuePM0ZIxEde
gAOhbm7HbIqqvFgvo17ntmZIdLqomYJbkufo6HcrpxeMEP8ZBnQqwKlA6+AuLwhrxTn+ymO3QMoV
1LvacEVoElj6ouatTL0TZEp+T5YRKQtHR8hXidy8ICiSDJgKsziI1qaUgV5UQ6SlvW/NbGUJ/YFo
C2VbD1X+EoymuPkMPmxIlxmsad3QHceV4XkHz3XXLm7JycVMdklQ/fBvsgwcBekSIjllQZ8eZV9T
sBPi+Wywm3UGSAd9TLZmz6Cg2dSASMP4FQOqd13qactFNuMfNFjKnB9FgDLUJKr1KHOBMhC/ATNH
FMxOSPz24PUZ5pnHWBnTcanNcCpAq2nY47luBh7ocTxls7OSLahP+lGHZGh2tCdQldSrSuiT75cZ
amrF0TL4jkIX2HbySNrBiWfkaNcY3iPVjbS9+67qwrY/2vap9dIV+OsiI8CdnMH8icWfHKM4FaN8
d0URlefVUfhG3STNbrGzoYvSlGdygRIBLgq8rScT6RPcx8MMEpPGAdTc8tHJsta0LG5xHSYal7pc
ihPx4C795eDRBTfNryqFkEyhN3SAhkbH6aNjgsqgIkj9jF0/WndFVcSDLDZD3sJ1qfc2H1Hskhtf
DpsJ5fds/FhydY8bnRmOXLeCRDxACaV+AKA6tgKUPj2XFeVwm2q3CcEHdmiG9rEx5FND+ap0slMd
ODeYUk6mSW146+NGdA4kAIsOBMWeMpMysQwPOXV3OBPMQYBLbfwBKNqmsI1mpHciH9aFBrNZma6U
0JGuVHiuDtRph8k6sSobsiv0sJUdcMmIlFsL7DltHuXTsiIKQKRqeuQQiYys1n5quEzq0XrAQY59
G5WE5gVEk+Ew5zFSobvFdD8sW4VCTZuyck+1SZDheTeo77AelKi8q7YcaRwFpVOpDQnnU7KUoAzr
1o8FtUHPE/TPTlM8OgV5TCloH53+bjYLuLPpziPdjT/NIFSZoH2DkVbWLe4Rstxx15B7tI+YWTpp
1Fb2s5OWT33g7foui7TH2Qz10eoceKg8GrvlJPIF2Ul9dFxxHoIFbTN1th5ya6GKnzlRMXXUus+h
VWfWET7DrhuyTYeSYGFgMnic4DToXd3yQzGgdmwbIbBjhzwH91flg8U7d1nWOPeoBOLxu6QLIH8r
mhiUMIDnA4lUz+TgzCbzIQY3K/fg8LcW2psDgj5V8ZV2JZ68EzcT4sVGgEjWJb/BU7cpWjPugzbJ
rCCaRoEr/pVP+WYhP0y8kJn3oVWpZGx9ltvORjhtEog5kSi7WGdu2npeO5n/UdvewFre7/js7emM
7mUboHjWbUdNDrMkh3zhH4BUxHnRLWHd6SRr+qd2QNqXGum9K8aR0QZzTyM46vAEsmxikg3rlhsh
J+Mmh6eTuQTXTYPreCRBaCJttNAHgC/UoUybTdodAe/eExcEZYPan5n3JC6FYuwTydHtBD8rrRyc
ESeiYBbrXAta8/CnSHBNA/jNtnq1+iERXhq5mYArWzAZaEmKGXuxcjrAH4nXrrNAQfdYI9StM/zg
gupkapwacJbVgwuiTPI2t/XR8MeGFboEgisTKFioAWQAlFVTuR+LUrGStMzyspvM/mVBBJ7VrQrP
1SfPzaCvZW3BtrrpBEXoTD/cOf/VOf5KeiUCEcM+4Gk2DbFv0OrgrGrHtRidLcFvO7w4GHOFqvYc
FgT2DOGufSGWxOnpHfR6P5ZMrlrXYdXivg0UfHKDeWzT+uClzQNpm41HIP8k3APy33UGkcpxoGFa
mknbyXgUIj4LWPoBXXtLiaJWnRDh31k16lgCKBIh1jUyiIoMiW0bCoXJAvLFJbnLlSgAA3gefNAR
pvx3T+TxXM4lFVJn3VSolvrJ+SAN5q+SuK+F3fbM0sgm4Xqc1IyVntbeMD7kPpgoRfEDNGrrwBCb
89nqLZRNwK/Qu80vcOvco9nwuyxBdDa9VCjWDBz3LhdPAN/HRfmzz0FtkeevAUm3RTVGfuPfmz49
x64PAW/WPfKapbV2Vt+uTfOFNlasQGkElBNKQe79lLs48XYy+sYNBrhPOLqsyMu90tZpSvunupwi
YN0ydn40uymec7f9PUqVWMCyTOa8w+jipspUOIwYqoG6BsXYkGzdx6z/WAx725bQGqQimXqMKKBU
11RZyFO9CowKjikYFpbraW+35n6k2aZPAzagI0VmM/YQvI++PBoFmKd6940G7VpxiMEtThGp0mVD
bwlkZ8ZOO04k8A3TI7Ftene0d7doWMS+n0emVUed62/lPCCEXuTR7+atEhZLIdXSCGADZLPJ9RgT
koHqx0UgoukaG/lgBdnOQ9UsRNnnLq1dDIpYieZglDfRMbZOiHPhh/Ig9lFEry39apryeVg63Fv2
bdccB6RXXaOf29Je0yATIAEJNPNr5J62F4P0irU4W4H/UGdq7eTUZkvQsrow3ia0H4wuj5XTopCv
bzsKjUh/DAeY4Sy8k+dWTy4YJJxqjGX60FjVrvZ+juCGZtQaj1KQV+X0zKzlHqw7O3BavCw1Covz
sgJD2boX5sNiyGOHTIH7/Way+pWm+b4Bw++cEeTyeYSfD12c4xoZ5SRKg4mhYn6nEukAeECBgTk7
6LmeNxbq8pQXz1qZb5k3J3X21tTiQZRI3yhInKlrVBvQNScZAc3X3Py0Uogn6X4tMnXbYuIH9oBk
aeYfbjHf0emjcshB+wKBWIOCYS3/D2nf0WQ3rjT7ixhBB5ot7bF92qolbRiy9N7z179E3/dNU2gO
MXfuYrSYjjhFAIUCUJWViddC+Qz15ft8QT3TQKesnnW2Fo/w1/b3oA5eVAdfyJj/Ehr5IiDfZVb9
DbUy1MFF8yjmyasZZoFdjMhoCeJPNRgtWa1vSq9AirB51s3+oqDYOZaPgiD/RArmoZJ1T+g05A9q
XPtlY/4hzS9IY1zQUnHq8urS4FFKlOcOCUK88n7gUgkmqvFcNuLTYKQnURPup3TQrDSYznOcg+VG
O0ZKfJfD3zUARvG0n+5HwXiOU/NWifpNQ/QM8YSodKRnggxXc3BML+M3rQtuPVpSpox4jVRJuMek
/pwHv/VURAaBWAbBhacp7LysLLRnw8fTxY7TzNF1YFFVafYiytY9ZY/B9KUHBUkpBEiLRUiVRl8E
qTk0c3UrxsadkXmc1PKKfJGNM/+roUVeXrZXMTJA6z0h/y+DWRY68oU1xwXuKuJFGxMrbObHWY2P
Wl/Ybf8dFF1uhcRLYE7uLKIF2AA+2xjtMExOeD2cpGbwtKFy2yhwkK5B07WU3skGHnCTNl2MVnMk
otsJXsySIFzGXHMR/R0QqDhF+61PC78oTZfkuY/jyp3xQyoBil4a/VRGYq3N3BFIErQVPqRSG3p6
0F9BJulk/dBY4RAcUiE8jB3q4smkP0lTBh7Q0GkyyMqCdl5oqsTuDXo/rG+mipJjW4xWbEiHGk8Y
IdA5IJGtjoQ/IAbynxCbdFxIWEEIFwe4pfyY3eoeqU87uNd+Bk8ihJ1Q9rfFs+mAut7it3puwRhh
XhXB343aDfKzf5rXI/QiKRqQFMZXzQcHE/Sd1GNpC/b0iLLKfQjWhfGV15HOtcrgffJWaMamgNX+
pJ5UkBdH4IAlVyp8B7mDQ+ho7j5C5W8QRu/jZCA/YiyFJtSfaFd654QHqn1bHMwrnd3Y46rw0EX7
iBt5t8ZAf+IWXFABrnXAM2mnyC5uJbq4yVU5lR4o6ziNVxKdrT1rDPRnmEqtB3yBKirgjIP6B6px
jxPgdhqkxQNX5BIWc2eTAfzoE266Q4aqyGjLJ8mrvOksHrXb5GZuDO7e/bXbgNTBRXU0oUroHpBZ
Sh65XEBRJ2LpSoS5vvmdhoJbAzWxb+VvZvEvM28AqxVcdTLbiiQjzKgPs9ta5K1bzsJt7K6ysf2s
yuax4myj694tMngfHQmuGE9BynZ1SyEoPDYQN7c6+Wl/ZDwzTISRQAm1kBTVTXG5UkiqfBdVZ5CE
7VvZkL4B3PF9mSQmksyAgC16ADN1d5mBrFSV46ihTnjAvVPUkWNHDU32OEbpj350/fcpZAKJKTUV
uI0AaCdoyCFeCpiRJR/zS/2MarTdnpWfHIPbe+3dIBNHZHQFBj0unW9IxeATxCJedbs80nb1GI34
6ROP73J7XnFJ0SQJ7eSExaB1RZ0MhHKbi6f6rvDwgvlE6XnfCKuf90e3CatbmWIcMheSuCJI9kAT
jdIrG8fRiw58WB2NRx8WbWWGcUh11LoMJUnMIUrEw7cR5W31q9jRnOm/IdaUxJUtxisTIihGmIBc
luogD18USz2Bs+yhOwSQm9Ft2u8ApJazP4+8AVInWoWS3syRmgowwAC4iSh6Q8WIWQktV0AUMg7z
9+b2Xo2Q8ch+XMJKGCj+XSWeNHpT+Yq7GaAAL/uDetvAe8tGP2Q1Ki3PzWaiHe2z6hl+7gKVkfom
ssuf+h8j+gkrfynsfZuboX81NuZkSxUtVRSIqjiAgczh0wzs48gDj/NsMGdZKCCAyAniVtpdeuET
ka5zddgfxt/sYVUxdVHXwXjBrJFehE09amjz/Y8mde7XzkX2Oj90fu5b2va8d0PMGgVmLJOmR5vd
QIZH5A6AgimyZ7PBHbLqAY1UG46rU1f+4BRgtNBMEURFGisLo6tRJIQh7RwjgLr9HgfO5WZzQKvf
ZwYUh1I5awqiXzcr57w17VQdbsQEMe7YHdUy5wxn0xkwEFE1TUPDv3/6eJCqULyeQMEO/KykX1E3
WUbOft0MsgpeMJqpUk1IxhcAf43LRcBpOIN2PQ3vNST9czmBUJx0nxrqNUDDQM3Xe9i8kq7MMhM5
BGkDASzs3jfdNLf0teOAtL/3H53yjvybnbsyx+zcOg8LQy9hblF+5pqto1JiDsd9Z9+OSCsjzNYt
FAnP5BhGOifwcWU7I2eS2uDeBWFy+WQi98Bxj+2NvLLI+Ic4NDEx6bAGT7TRVu0vB+VO96Fr/Mo7
+OmCfNhZqkTZAzUdJIKMKTmUjKKWUDgItcRWAfhDodAEdnl55Mzi5hZ7N2TSnu5VXF9ELQi1nlYo
xgdolU6W2XxZdBHsl8aLPDWoN+OMHMJfSqY+RCCaRT1r7AF6Gskd2tmtJtSs1pgeOF+16a+rr2Lu
IvocDa2u4quEw+LRVmukvd8U4ihTNG9dt0gy0cjy12Szij1pWBetNsNackRuKXeDY2RL1nIwjpkX
OOpxAMMpZsEJb+C0eBIc7S46cdm46ZB2Vpxtnp8SaUbiCB9BmaTxpjoUBwV9sKnzD979PFs0rq8W
XVnSgggAuTpUDKV8bP3cl5FtQIXigXAId7iTy0Q8PVlqHErYNNLNPJCntxvYybiELiqNLkAcdn40
XRUtWZKbO+O5cv4NazweJ6v1ZaJf3hhNPEb4hCo4AQ2g9XYsuRyP5e0jJuQFk/r/KXGkp6BB+xkq
TK+DhYKr3R6zM41Kkpu4/YHX07x5ZqlEkUVDBafaByoeiWhVSegDQRdtZdKhjqs508LLVG0P790M
E2zNqqPZcdrkY0SnFPjLekgfARI+FmT2Bk3iHJPbDU2rYTHxr5m7hEwDshpKKlpAw1+NIvLrrvPG
8Htv9qdw1o/gzXdas+M47HZ64930B4IeQGn6gZ4rsj85lA8P2lPnzDLBthZ6PHXRzRvUyhgT6KRQ
VsJ+gDEjOWrmIxkf9v1y+xz5a91YXh6zLpOlyXDfqNtLsbxK/b0IGF1W8Y6R7Yjybod5aS1BipZY
4JqQE6L0vjkktaeT4Buv/yB60d/6GCnfbTHRK2vArotSNB6qF+OEwoybUo5ET/ALl3Lu83i15e3D
yNAJlBYJbm1sBGs6XR5EKAmYh+KIws/VuAfw1WkO5dfQRZPBufcg83tSD6hal0/6F6oOtL+Km16C
7DrISA1TNtmzQYgXQ0xpnlaZjOdJ/tyqAWfD8SwwczoStVpMqpaA8nc9o2nE/LI/hO3r2moMzCxG
5tCRvIUnAndyWpzURWfw9xiilfQphPI3r0l2O828MshE/XFWw6omGegOvPhOO1Vein7g7qBd0KVo
iZfciVz9C8/qZjheGWWOAaBrILRCWflK+RShz9p8Lcbn/ZnkmWBCcSMNQhfiaeSQ4FtlemXxpSGv
+yboT3zYYatRMNG3qrSkDDOMYsi8kLzW+aGFNF3zLPTfRIDD9o1t8VKgVRoU74YGxkRZZGJgQIpe
0Hr0WWrX3hW/AfJuK6/QhHsNDoMbHdCCgPzafA4edc5MytSrP4xzZZnu/NU9CLIQAMbksDwC/WwF
Pq59B00Bk1Dohj7kAMDtA9iCB+4vquYBJpTOkb4Yd43HmYHN03X1HUz0NDt5JMCTUb2x7Lk/0Q/J
HGBjcH0AoREtUoigR6+4qfzNdV7ZpfOzGr9R4SaYiQmy3uKRwvGn4D7ogWy5n2u3Sb7vj3LTb1fG
mAAAqFiemgmMdYJipcPoJbLuzoCf7pvhzSWz7YMSNS0JRQMnFGo0GwF/fSIFxkSr4Yd9U7wRMZt9
GntxVhtEzKg7Nf2d3B7ROrhvgu60PQ9lNns4alKYUVYY2urf+kCavyVlecWI7UvPanGYHV9MWTwL
E2atQ68zpQoLXyhZApUV0x51TrWAs0RssSXLQRNRzPCECtA0MGsv5UlRAcXCU1o+7s/f5v3nfVxv
T/qVh6M9NlIqGaYU85qXjzVCSuFO1cu+Fc4+epvdlZVaNmrAp3EjGSCATYwffWv1wmMMWJ4JTFUv
cMrG22fpalRMvFCXOMGlH6s1gmWDFj6CyirwyJDwhMtvgC3xAuUGsxtCtKmBWx6q0+Da+DNQQC1j
MKoC7cHBVbSBhnfDh8xLD8FJs0Hb5C+46sGyF4C+165eeOKz24mXlXlmF+hFr0N1hCATfEN7m1f6
2VkHkUf+D+iPt3cC+MAkjRC0pYlMmAp7YwLqBjdZoC1lhGI0VfpoCkoBmgQ8DvVpMbT2vWd7OVcm
mZClhIkUjjKOoRhdLWix/iJrgYOWGE8DcsSqosSN86W3AGL1YjUC8KWH8mUwPaENleNZmztz9SXM
Ooep0M+ihgxyZL4UHRqRYrSaBtZYAyYk8Ia9+WZYGWNWdVharUkTvH2SI+ilr5H3Q7UmF1QON54W
2BZfoASJtb8WlQlv6OVtTb2Bqeio+VQvWbsf71O/9QZXAT9hezaf/w2zJmzCi2Qi65rG0qeAsi3p
NJrCk26LN3k0fE9n9ef4A1Bv5AyhAAHIy5d9V9o8kVY2mQN97MqoQx0RlJb6XRf5kvhsqJwT6W+8
9X1czAYZ6mloswo2KK+s6BZ4ulomXmCmb3ig7fblx/0xbecCVoNitkc21dWwiFi8OoSE1zU0L7gt
WX3/RU1vMjJyrR/r/+M8MvtANZJ0nk2MMZMvuXQG4nviaVzwlorxflEQBR16xGC3KB/MwELlxhqU
p/2p49lg3D5dukVXBkoL06CdORpOYoceZPnHvpXt8GygZmJA3Ycg0/bn6bD0StyVEp4Lsg+ia1ze
cSI8zB69PKDxn2OMfvOHG9HKmPynsUhIoF5bwtjS+YavukCkXTMH/9ogDnENL7hJ/uBiyPY/SD3Q
H98zzhy8vWp2ddID2tN5i4cd4IfuDFf0kOM7ofX0dX+s28v3Pq/Mbq7HqpzHBuzeIvEI5CBM2VNH
zl2Mu3jMdpbqdOwqSk0nCdBCgjCuUHUOSmRfDNKgoy69tPnzCMRsDm61sC38/SH+zXH7PkZmc5MG
rVdNhbQAuQEG6EIT0m3cEE8+CIo5PEGxbZjPynmYfR0oQidXE5yHXnPjM9CJ1H8gCgi249DurqGD
ztz9EW7eDVcmmX0uEAmdlSHNe2S/F3QKiWD4UN0WJDSGEVgt703CM8dsefDFDHkyYISR6oq1lQuu
HB569B8LjsR7nPCmk5UD6qamzJvpDelGX+2Jhx7tEa9WAMYttD3c8u88hrXtrM77dLKaffIMVghT
gcnqc++OnyAQJLqZJ7jmS3WOvgFeTQs1scMTdth8R6zMMlFHiEXBSHuk2dG9Pva616SAoxpWh36E
fXfh7UdWf0MowCmQGNj01EWX59ZPfcUX/O7rPwhnvFExAUaG5HjR02xV64JcQzagjha6xqX10Kfr
glyGQpvGAro9vIQmb9sTJuokqKWqI6XiHm30MzxTZFN8ocim4jSfedue7uqdqE2YGCNo87IARAxe
6vwLmJVaiNvMXiL5scy5G3HOJrYYUwgF8NMV1o4kaBK3hTaxmwHgZAX8ALqNZxs6QLgOs/k2Q9uU
rKo6Aekis+NBpNtVPdWElf0KEr4TwE3l8Q2xyHkcbG/3d0vsuz0vNTIvHUJZ6+qfKzzDCmhygWXU
ofSxwNk/ao9qytkPmy66ssncLSq9Q3tzI+Bt1PxCm5hVhF463A0Kp+pDPf2Di6zMMPtbDtUsU2nY
1KPHSv62zM/723rzKF/9PnNxKJtKy7IJSdu4vUwqYPZgxXD3TWw/clY2mN2cCAoJ+wZjkAiIbBog
7g9V7EjT1xZ19PR3DMYGc7bRXDYDmFxJdit+aXlyRZtbbfUNzL5uhcRU0bCIcmQWfW7Aa1PJkpfX
89cCxDtzNnCmdTtaruwxW7tqdWGsqPNL6JhGQTkE5Zsl/uyQN26uaFngTDF1g49uolFwELiodIOZ
YqMkbVBOOAYi+WcvHUTlOoGy2vD06lNM7kg4WqBhyfR7YXjgWN56LAMCqiNDjjQMLg34slWKKVx6
g1Q6BgqdBjQQ4+IZPPdedoeD0OeBT7YWEXhTDBJEBURmcVDgi0zkALkgR6x+m+SaB6eq+VRXp3Di
XT635nNlib1ALJMZjD2Y55H6l0/dEZ1VACLgTW6j24KL89g8dNbWmFgC+d02MDWk2UcbrbgAeVDi
8QIaBbKTPPBELjiTSJiIIoGJYaxLGcjMFgwkZPmUAdYlZfIpE4e7mhAO5z3PHOMfpdTJkzrCP9rl
KCyepl/a6YzeaajK7nsizxCzBYg4xXMiYcmkDpf07Ic+qc4MUj/lWyMc901xF4yJJrkJFQSlQPY7
uRRYrsJZDmj2fqZ468LmKS5shei1dzChRAHGEL1NSBU3weQOYLlSBgAOCTd/snVer+3QCV7t5CzR
h1GoEEOWcrBFubs3Y+EQyJ9B9H8IZhHEeBMYUJofEF867M8nb+mYpwhJg3CIc3p+i88dGvjqp749
gc9T4unzbIbl9RiZOwmoukndNcholr/RWGwrB1CeqRao174kJ54YCHU4NiavbLF4DX3MBFzcMZ+k
OQ7NWRo5s7bZpLU2wIQNBdn9UqD09ep1+qyg3wX93fSmtViCTTmygDckD6IXWKUXPSQv8uP+qm3W
R9f2mUiSBnNYhTT0i/5sQxnyIILQy0tPgfODzDZQ5TNsg/W1s7JfvKvz9qZQ0SMGEmiI8DLOKobh
kg8qdnsjIT9V/piGy6h7+wPcujVL0rsNxi2Luij6TNPhloPwyxxA/CwQLymRaxd7sIeWdxKJvwRC
6u6b5Q2N8dHOXMBHBNJXsLqfstZXwHkUc0xsb7i/RvbmWautTpK4BQ8sNlyfoxaktKBsQxe/peXy
g4jMPphe94e0PZOg7oQGD9AiLLrYEEMNYDecOWDawGH6vxCDU83y/zPDREptmivh7aKZSE4T+Sne
/sLJ/Dfw/7UVxvXmoumXhdaLc+Fujl5SclR47zX6oR9Dx/tAGM/TwHynaxM8LzSfKjC1A1wjnXq1
s/aXZdvT3s0wnpaFMXguGyyLmB4r4VwJbqM+7ZvQOTZYHC/OqSjLBnrdkIAD7AhaYCVPz7KnoI4/
j3L0I9IXPwpGG2yWoASMbug7vkcbH7gH+ju9RO40SpDqSw9ZNfm5hCLwkP+aygBcViPkIqrEMxvj
sSnRUpw38a0RpMKKYhBZzsRdQHMKuvPPdWv4ZECjbil4C0gATbAlpfHi1uhuNaYBhSvpEHS60xfp
o9GK57zKryr0VdI+uQ5TcswhYwxqHkQ3pfvRpZVVKfkpbiYw0lVPaV98bluwE1UzeH6FxgHnktOC
oisGd2NFQHzThn4sgCZGA6Fclgqf5CF5MkzlFVU0K9ebgxxHXhyBxltUj2lnnGvQb+2vwtYiqOhT
1NFUK0uaQv++2u91qJFYCzVUm43Eq4TlGleoiKrT676ZLbddm2H2X5dr4J5KYAZEHST3TBDmKJdS
Pe5b2QomayvM/qvAxhYnoYlgIssgvPJD82YIEYIWSNm6oyE9qx2n3WPz2rA2yezHDDA3HbU0nAQ9
yPqI+K0vs8zOBsENi+4Wa+kZ7Fgy2DmHHzNILdI+4Ix5s7i1/gJmq7YG6NFDsIM46Sfhpns1umkh
3hEcIJFznA+DYJHn/VnmuIxKb4srl+kgUNyPqgRB5MCTIn82T9n0v3klW55pshZ0Ez2ec0qMZzh6
MgyrVXiXpK336WriVOaSEiRRiEYnTJzqF88RJKRStzvO18TJX9ov9UWBpm/kNrimFKkV/QKU6d88
zYGABjGXKGmiyKLI1DEA9aYKjECDzOl/NP1Ae3ehj7vU4xaU6XOKPTlUgNV0oBIU1HaZzTHoRgn+
3ZjmLwdHB8YD/ZLqEwWMlU53NR3ea3LzErg2yGyNDtipqqTJHahBXhan92k1GYyXpxyyWbqPKva1
cIuH+MZL1W466GqkzI5IFj1ro4QmHjoQQ150AU89jvPQyWInc3XSm8wFu1QaJKHp2BQzfFKQMFJC
CC4E0Cjog/BbnP/c33LbD4a/juOP7R6C0oH6HI+T7DCaIcixeDlZ3oCYx/hSgTGj6nGvAHU2+LyC
S6kJh54SwMToBEg0ztt/6zxYzx8d8CqGCIoJ7noZ5oZ4uCR1cRpL2aOsdiZoDvfnbssb1qbo31em
jC5DCZSOTJWuAtq6itAyI84xwLPBHG9pkE5a1iFNs2ipJXaeGZQW6Fn3B7IZ6dcjYXawIOWhWIqI
iq07OcjLoiku9QOP+ONFPgR2+J1jjwbAD04O/gJJljVNVNi6TtR2yZDk4M4JUqu40FzldMjOYBcU
PfAmeDzU+uYkrswxPpEO+SLKGSaRqJQf0W5K8FaJLmdQPCv07yt3SEzA1SUFYbB0tQfo1nUXqqU6
vZq2dhsjRzjhduLwaoCb7r4aGuMfZrFkgp4j0itl7Ffj8rKk6McSx8tAqeL2R7g9QORBDeRdITDG
hCZaHKuagl6C9ONYXwLdVyvOnWMzHEFYDMBnpEVUtmjUTH1QKTHmMFSfk+UY835/s2QqrQwwR8cs
5X2pggMFng63Q139kJ4EO3slLohNXS2zJTf16u88ZpLNqVNUjWgQ/FQMtm1iIMrclApuNn3S+BnI
gfRhORsjD+HJM8N4A0laCLkUuHhAs9tpKvFnDyo6dZY+7zvCltS6BOm+v4bDxAsRSK4p1fDAGjyo
JAN8SBwPhH1P7hdwUiXgm0i+6j+rKy8Xv+nsK7Ps4o1yCY0AmDVQ0TGWBNSov/uksEDkxHF1mf7U
hwi1MsWc9BBgLodMjugNSvNB8X3onOkCXQkXsDns6txHuhIw9O6MV5yjI+cVHRIX3LVv/wXu/nxT
YzsfozD3YtQaNaOl406O0Dg7dwfio6Tjc4HPm7uP0NyWCKynplH3WkUwdPtGaOulCS7gJX5rwN1H
XnOYf2bW9Du+B+/S2eAcb5srurLIOKyIMmCWt9gXNR7noP1UQPd/11Wc0srmtlhZYdw1m4AnNei2
CLJfYnoHhlQr4Z0xmyPRiWGgEIZuXPZhkYJ+V5cjFWtUhpElQJ4nLBQ/6YzXUVI549lEAa4eGKwI
4yJ3uilAXwpMKMOxvQo2eGw9zUtOLafMveURa0PMydmAkHE2zQBnmujjnQ2iy6d91/6wNDJauuU3
QiO4HSL+ny6X6qVcDWBzd7LkYg6nJH3gQvI+rAxjgvGxpjeFokgALiT150IorS6/LsLnTuA9Dj5W
aBhDjJsZwI5VY6Wjazk5ZYUXqF4knAfzZUKqUwEf49RYvf5gTsDN1Jyr6NvZ+0eIYGwzoVFKZKIC
7Uo7ppuj6setBXz0iVKJ0XZtcB39BOMrKMUqP7DFu/nA693cnmRTMVRTkVAFYO4Gggih+UBFT7xk
QD4L+Ozgtdb8gVf63XQX/DxuPCLBA5cJy1K89P1cYIrRaKK3jtiLYFBWOcF/eyEVNDdqhm7i9cws
pGbm9VLrcEpM5GMFIBeIjq3ZgcSM/w+k1D/sMbp0K2vM0k1h0iOBCGuEtF4hY5UWSHWY4OszjK9j
pltkjLw2kB8K0IH2svS9SqkGVGsvSe3u70buyJn5NYXRxNkKNwquk9MCbm/hsHkILLDf+cI9d8fQ
t98Hr30fOlsTKKKyzEw0Xjm1O3mgAAfiquos1aFdid0DCJM5yJZt9/lrYdkb7Dhrs7FA1sSB7OvU
nQcQ3/acE41ngj59VmcomQQTchIYkpR9raBYAabUCSfP/jrxjNB5XRmJ29QMxREhrWuPKaCbPTQO
eK7Accu3fsGVjamZ22CZ4ZbDj/rbcKyv8hFc9bbkjw6Og1vk8rJWH9kR3jYCpKRlg8iGwlZsojKU
BzSBAwWugwGyK2xtVu0+QDxLNMRMMAaUnRULEsor8n1WvoqBaZOahNAr677Js/mpLKBRLkA9pUr9
EfxnUTuDejiywyU4BiKkp/7NKrx/L3OwFFM1qsB64+zKRvgtMMmQhdAEXuHs7Qz8uEve7TDhSO4m
tc/6GbF9AigkTnwIm7RW0qOoEPQHKYzOyRQeyu47+K/wv6VrqOu11RjBpY7SHHzt/QJBvcjH7n4d
2/qpUqMYZNThWUxNqLU9CWWNJsTixTQg3JJoh1CqXK1pPSHSfaGVfKg03fVNco279Ejm5kDKzhGD
0etANp3q/bU15MOcCde5IZDHVW9Z8dXMexscyhy33zxkwBWkgZ1TleW3us/KJUfIzqECU6P5HMgH
zdMkgB/ChySKOQtLJ5SdcAMPUFnExQRcEkwUnOI0FfUGRLGLmeLmY9fL5zKHao555N5/Prwz4PMr
UyzoJyvHoRzbBGsbuKF67uJjrEDi7XnQbLN7/u/9dW2LOaO7SjeVOYAtpT4a6mspv4LQhjN1W5HJ
kGUwbcjASkH8mYlMcTFFgoSpEzrIeCKZSIWikmz2/sVQVmaYM3PQ5GCR83BxND2x0TiZhyCmJrf/
zQjjBn2LESYJjAjGtyK51dFLE3zaNyHR3/jgajIhbyVqPB/ofK5cuhomochnyCtSMqr5ZFpgcvCM
e9p1mtum3UIgE9WC7poCL8JtAdjaT8hF/GWc/n1lPBVnaMJkMRzC/FZW31r5VVXBdjxxfGLTx1dm
GJ/QRrOYFAVmCmBWm9SESlx0p9WdR+Thig4EiAjWA+/4os7MTqwOeOD/HSaMh9RSCDrzCcF5gCQo
siCJ6aUEot2V14nQgtHdJfsVQMgrmz/vL+lW8FgbZrxGCRUS6TEMK6E7REjynIruAp1LU+Y8nT6+
Aul5qSKZZRhIowLv/Ofy5VAmFTR6WZOggSRCkbaTIrs0awcM/9DUDFyihs9NmeQWFAY4o9y8Haxs
07+vXCdpkUnTFgMXRaV5EJSzKYYcFo4tr1mPjtkZ0qAksUDvhjnIYNvnvoegpi+D1pdYZsLxlq1d
uLbFbIQ6aScBp8ECGfTQSbpzXbp6DY5s6b4hd6HwjYxf9p2EfvwH76RZFkMzselZEpNa6GXw0MNJ
5gaQf5D1y8hJyLz+l81FWllhFkmp+hyYGzzKZEH0pH48iWni7Q9k+8WwssEskx6k0STR1j1a/MvQ
susknukC002LjeIhKzkGN91CU3QV1wDsbo05xMIgrTpBbvBkyKBECUHg3wEkqiPlVYG+Eg8kyDMm
/+nlSxmb8wQ9JmdsLkUIHv5LhhxL8pJNx2zyOTNJneyjT7yPjNnOUqsOoZFRYzaVWKewZsPpblB0
dCqXVlON1zS1ecVU3hAZH1lK2uRdwaoGeQOww6hPkYbHLjmU4ve+4BTntt3+fYiMs4TpGMXgqEXE
klGgAJn9LS04YeNjhp9GxZWDMHu51ONSn6j05lA96BDlxgNaqg4VlCgHux0OYXiGkEMOGIycQuDZ
6tVrEtvVf801xXwFe+aVoyqEEIID9Oj7IC3nSSkgD9baCkSt9/1m2210yRA1FZU0mTlvesGUClkf
cYPADbK5q6tLFXkyILv7Zj7m/N9G9JcdNgmdZVqk6PWEeDzMfhWmj2UUeyAKvE/0l2IajnP/rTH7
m5BCYSd6GKbe0fD0ClLyWtaNUyitkxXtcf+jNs9a7f2bmGDQZq2eh7GAsZPAzgq7WB578piWz9nC
2510q3/cne+mmFAAeBxI2WMsaOcMDp586LLtzqqDRu/DeOAF7s1x6SKKRUCZKprJeE+XCJA7JJjr
zoRk3R1pXgFSa0TRUnredtnakus7II0Pq4NcX5Y4VCFy7qQpkGA1EEZNca37whEi0St12Svjb10I
xodcgagjQQlaFccDCVrcaJb2QDTye39Nt87i9Qcx/jwnQNFFDV4pcghJo4vaV3YqeJDV1CcD4mx3
gXzYN/ix+g3PNmTQ9hqSLhOTvUdplWKidbMGJeKPCpdv0KhNB9POZkiQIOtX/2y4XEMfwV2MSSbq
mmOPc6WGyUX+VAVe10BK60KkzipTu+yfB2gqVW4H9TrOULduxeuhMgE41+NmTgbYFU+yHYG4jZI7
1ZcCvA8KZ29uOpYiq0AY4j8gVf50rLqu5TEdWyRR5ZM+XabCFULOcbI9jQqhOVq81TWWGZZkwoTr
DS44qM45zU/Kw23XTn5s75PJ4pXHtgdkKqiOmQChsbXpBSLUWpGZmLsMEqw3PbjLJG9/fXgmmM1Y
9GOkZ1KG/CRCZxbXTjnLB7NpX/bNfGxepO6nvA+F2WMAXhspGXF7H23I0zXgFDv20AFBvzJSy42G
dG954z83t64aK6tsc0KlymjmneF8GfoscPwbBcgXbSW6JcFdFL7uj3HrWFwbY9zPGAiBCjLuiWn9
KQh+6QsUo10yco6FzWD1PpEspaQoBkXWhzh84+UwkEs7vgjjrzF5MYtT3VxTKNTtj4rjIBpzRxyz
AJJ/IFhymuImVI4pH5ecEw7fsAjsSbeeOSY21UqpjFOHmYt65PNSiGT34s85ba/NtFiqqfkZJHrb
CQLqBIpBpIV2WOLjtW0H0vR9Qu8hAXqtF3/NgvpJ7KdDX4SOEEKzMM5PCbT3pIY8Ell42p+Z7Si+
Wgo6deuDTCw0QW+wd8yD8UA7QwR0bwcHCuuA4tS55kwTz7/o31fmTGWZ6inGLEndKRMegtEfu8Og
cbx48za7XgzmJqCYdaSnCtitaH5ouMUuHgOH7qDbPRqNs0N+aw9g/vwXNQxDBZ4T8nA6hGaYqcy7
WlZlE0aLwW/JXWXYWfd1f7k2HXllgpk+UtVZmgIE4+RVaw1Zbbex7vWE19eyuT9XZpjpIx3YG/MS
ZpS4OsS46IMVyF5iaNNnMzKGRYk0eZ9bqcwpNNHf/bCHVnbZQA6EUZcasEtGmpyHHiN0KEZPRC45
+G9L9DSWg4kV8DxVAgSXCQmDUAm5UOGuWGhUZfxO4kHMNp/4awtMQDAToTKzEFdfoT5W5jEcb0n9
CkWbyPDE7jVXjlJ5XhK3yDhbbHsS30fGuOGYhnGmBxiZED+izyGGqnf9fSkelZh3j6Aj+Lhc75YY
byxbYFObAZZoM6zoIov20oJmvbOSOwBt7PH7f81U/bZoJmSXQRJEMWF/Rg8CYVcjoVkMU4TgcY5n
vTw49fBrf5N9ZOulZogCtjqAD9G9zJzzzRB2pjKVcENwm0Nm8xOlCOrOGfr2EicqLN3Nj0D7TJZ6
iR39PnMLm4fZ+tgx+Oc3sO/GHhkwXQ5wZLUujhJQSEde9nos7kFz8b1y6yP6ZnIn9KJrjww3j6rk
Iw/Am3XTJBKI+iDOwfhQZAoLqY0CF+1b5yT34JLvLO1I3PRaO3jbeENphw7v6rt5NmgKOjvBtQ5M
PLMljcwY0lxEEWRcrp38PSt+NtNBDx73V5fGkA9Ou7LCbEsi52OZdShPQCk++yHXx74vLSMWEWz8
3gydfWvb64jSm6xQIYYPPQWzJqGPaMBMlr9BFwSyoO7YGVZux6C6MYGenB35MxhSbqkX/co93uV7
+6q/Ms+8v8MqMs12publm2ikriHOHqmmu6lRLC0JfU16DaETLimomPQtB3C1vaDvY2cWNFbHVjDU
nOaHbyVeZWPtZDrIfRLOscGzwyxpHovRAq1n3JC1Q5S99CA7VH4t43F/KTfP3tVUsnuilqO4beie
iF7a6mUMripPAmDThK4DaYu0FHCtjAmFTF0/GAg8NXlGD0Mp3IjAcf9tj1jZYIJ2PnekHamNNner
Y+WBItKB0pTsvbFZc9yfzvyHzbYyxlwkRjE30lCFsaU/RfNjk3/fX5PtJ5mh/j/SrqM5cpxZ/iJG
kATtlbbZLS+NzFwYO47ee/76l+h9saIgbuOb2cOcFDHVIAqJQplMEbQWKrqr2f5BQZ4lcQzxlMUV
tIDVokOXqZZao93mYAVPwbk8canUz9Mdn1a1McocKlIbo1RFyJVmLfFCsXOipnbEBkeqzkAlP+eQ
PslvxWVykjS2i051IqjktoX5bW2721nTvDnNfLz+g3xJfFM1MROWykFiTB7ksaDaLedBPGVQYgQv
j2WEmlfVEViOMiFQe2KlUWFLRYU+HOVhjjqQLiXXYTzetmptU6H3hMxoPSX6VaQOGB2RX+Kc+E0b
0kDxqzk2gWkMlt6h6VaY3gYDEF8iY4PuanUdnVifbHMuj3nzkKjtTWSmzjJlXwuCeWCU9acGHeDi
eF3lrav18CD5FcLWgqWLaJ3rzaCVmiup+VXPs13WD+GqQf9oUSyp6e0B0u3Z0h6bviww96n9TCbj
axbm36byRdChcQ+t3SiO/5LUxtdJP0PAXAhKrTvUhvBUgYilWVNOqXoPOExR0SR8YzpwyVz0qzqr
4qDgQa9GDyBMsRrzR5M8hDWXn5y2GrMeszHE9iu0cZQSOYObKo1wNJTGlSVMnHYgKTGFGyHvTlHZ
eVLSQiOXx22wd9+Z4A8lKqImdGYwRxB9IVFlttRZEyTJMqpSGz8TCsoytHr7IVjM+J5zKmkc9mm5
G5tMHE+0kMxlqtNLT6LtaUftB238Lt0/0DVApLJdHrOFy2Sm00RoSDhTeTeDN6a3+/mIqipIYEkq
/mGpmwfrUmpapjVYSpHJoM/91sBLBbTDyq1+TMxvURtyfHLvDjB1QogpYibwExdX306dtLZIzquN
Y0KMW2mCWeOVJThGzjXyzaqyqA7DGmPcDqb2oMdSgxtysPWQW1WiSPjJEd4Xc76MNnZaTcd7LsHX
U6Fob1HGCUyNVM5spzdnvb+ec9/sPvw3X+/8KNsYbOK0kroRBufBWuzxSvYlT7GLI2o7AeVP+y74
hQeKxh+XPX7vzWXqqKCBulRXdZ05ZJIeTaKWYdNKBW0ZxJqBWhWgvw8SpKYv29pN2WyNMadLFtJ6
7mn5hlY8QyrYa2c/FUf3+5veLn2u2PIueG0Wxxyx3JCntepgLw3GQH2hsSttm/8DxTJ6lk1iqiDG
0vTPTCFhBXXUHihZF7cJ7qQmfdZAxyhWr5e/IP3Bn7xyY4f5gPEUl6Ua42U+e21AeQOJv7q9z0Ne
nhnmu6UL6qgpLf0pPqXSyHzVVzzxwHsq7l5i8HkTGtyi+omxQw2rWsdgEbL5g50Vd634oKrWMsYc
t9txcTxfFFmjPabypzG2XCU0E42PVunC8yypDlmiq1rV36YSNYpxcS/v0V6L1wd7TJAVrhjfiaeJ
ep2IPkorfx0d2TZP60G8k3zjNgrQYQ3ybdnhF5p4a2UfLkSUMvghjcM9FSLAylWnH7owMCVOFmpn
7z4sksbPG7iKwINdTbSyL4CJOA/K/L4n90nJ8fcdtP9ghf59Y4WQaqzCCcvp5CcyeqQ4SCPn1trr
qjJEiY63IXWCpAmDgBDkNWUFbDgORtzspgKNXn2dm3/lq4Th297rp8cU9By9wcvj7a5tY5c5y6Gw
rnMiot+6Sww3jIVDZnxF0y/HG3f3SVYwpQQBJxDjMEdZrjI5nAucsXI59RJKuMGaOQOXmHrnusTD
D/inEQWDxWfk325UY4qtcd4otw1q4kpW5JanxQOBDeWY502f7Lr5xhzjfX2bFkZLyyJL/JrWxziy
FflHCgbs/tflw7yDhODPAmwQAup4nX3XFkbfylKkL+iYXCwN4g99betLMM2hpUfXmYzYn7Nhe8/c
Dybpjm4+5RBWfT2b2oIap2gLFrrZjzXUEEFw4PNqGns9Hh9sMb6/jo0RjTWWN383b6NDDrmHyNev
1a+tK2EyNj6GdhwQbmV1L8MMu7T4jqIDxDUYmDLSVm5bTcAaPZqn7Oyq9gxH8pGhQ74HSoGXd3Hv
qG3NMe6iVFoa4r2CjFV1ksXTVNgrrzS955FbE/QnbHatVWqjlnDLgG2eUJKrefTCrgyKccIUEcYZ
Qn3mETjteQoq4fTYySpK1J9SCIM4ZKGEZdEs9nrV2JVdg6yFxqe8iGAHRj6YYu40USCd2CgR6ioY
F0BGQD6Iq6fy2jJ5Vhi3QD0xwZhLjCbT7LCOnmreIFOeVc5lb+BZYbyhjKPIkAd8Nmjd+6YmnzC5
YyCRtLRybF02Rf8rJl778NkYryBCUSvrDFNR3h+HpA2kJP/9wtoHEwxcrHIuEEHCzuixlYnHdHlY
p4qzjJ3z88EGAxNklsI5ok3rkQlRd9WKlQlpF+/yt/osSEaltDfuzFyIy9yh483AShrSPqZh/UOL
xmDS+1s0BWfOos+OMszOLKgHJfy59vId5nGs0BitcRm+TG3ZWLn8s22Sr6OSv87FdDDK+QZjJe7Q
VM7YhWiTrjtObMnbYOZ6rYR2bAkas8E8irxRop2Shdcbtpcp3H4XNgUTa1KFBxpsTLbktXedNSkg
X1RdzZJs4wRePbQwc5a19xr9YJNJHqxoclBzehJRhruhBTK9s8FSbq82qtCufJXjbtC5apN7sdgH
swzMyKHY6HUOszPasggeHkmgQFclcXjlhR24hiHlzAyBuI/lDZczki7JZC5O+X2sXkcTqQQXCUJ5
er7s1P+yon8MsfkKYMpcVg3uhXJc7Fglow0KKm8uX5R0tuVSAqWbamEqxEBXRfXIMU4/12f4gXan
Dj5EvEqZcyuWkyBinHtxRq/5C3KyJwyRVnTCJLXKryiDkT/CiXd7zAkmebyAVh+LlfPuWBHV70bz
rZM5Efs+fr9bYc7ckKzjnI+wAqVsUH0nb3JUuVOtHSH4wsGkXVN0xplW9SSF7TcrowK9PkuCdh/N
kZcB7ZmuoiW2yBu+3AXYdzsmTWRsowcxSiHzleJ6lduD3tR+FUq2XqacujfPDHOqq9isO8xVIiWY
YsQ3Wx8n8xt4DDlWdjFxsxjmEAujacy6gUPczo9NdBB+W46Z3hOb/5+JEqBmjeHzGJvSYo5CMPxC
u4rkh3zCrDTH03jfi4kUREwUhYWKlSiYfBTlV0Ecj/LE4xrkWaF/32z+0stC0qdYj5gd1OmH3thC
yoGhXRMKJHQ1sEYj0cIAQVoPrTYu2Pg8ja4rjdjilF4XRe1eBhyeGeb8y21XS52AOrhYX2kIeDC9
G//JiYRmNEheMakJIomPH0ss2imfO2xJ2NzJ00GDDor6JRk5VvYX8m6F4sJmS2RJnFDbQChiTOOh
KZVTMWbfm+z+8ufavYTwNId2FNptPg0F1THgseqxK3i8W2ttuOU0WKNe2sbU2FPG60HhmWO8eUzW
WTMlmGvCxzx0xNVtw6dVwOHh0XzvIoCKDQJPPppd2HZ2U46noSawRNIvVRNkIWd79sOTjQHG0WqQ
AGnxCAPCob5qg843C0t/SG+1H5Mn2dD/yCzzR3SrPVzesL0ENs1U/rMw9urpjbrLirNd4TY5QDA3
CD0FLNiSK5/4VBE72YeNOdT5PrphjtEZ5LBhjgqg0jzshMcdP2m46+3/rEpn2SNjMwRFkAgz4Btt
iZuEhzX7/Q7DDyth7oRkwQMroispxGtTRFfpdcPjsthdBage0IWHnKHIdv4MWT8hZ10gm6x9kTNf
Uu9L0728/7snCAdVB1cZLiC2z2fWNQOlJ0QeAwQ9VMUXDScKr4XlLeLVd3dPkIa2c4VyviI/+XHn
uyKW8kYGAMlN6c2QEokS9XB5MbvOpSMJI4NWRcLufDTRJmIdKSBYQZqaJvn7s7ru/0AytWdHU0Uk
KAjoSZFM+2gn1Ps27BQFgxWgJchyV5huI3hxtnphK1tRd7/UYNnCMJ92WxRuWVsRhnfbwxBacxMQ
kCCShPe6ofDwIS6WMECL8R2Ql6oGRhYYb9TyLO1qfZRxrvKAEiCOnmirnoQWYhE8psvV4lHZbfHE
q3jwDDPfIq/FycBxk52xcdbyflAaSzGuS/k+Wa8EmUewQW+pS8tkAL/pB61twl52pln+MraC3cnC
dQJdpi7i0QDwFsY404Dyc1iKi+zEEhJ4X9vsfqx+GOmT0bvl+LuOy+weczmLiP/BgaHJoD4CO9rB
CAiqU/wi2OckJWOHCZqauWty08CaJrsED1v9aAS5ZdwKfnocTjwBjh2O248+Sb/wJuSY0kgRw1SU
0Ta5uKYngkO4gNRv4caeEnQORND8pUO3Jp89+BPWMOtkLjVtwuBihOy3Az3RHqK3i/zlMtJ8zmB8
tMBmMNJMjcsE9BtODqipZls/oNnI7ry8cGhiWwjm1F04dzX1uAvOz2rlUXGfpWrxPSfhKtdu9fVa
yDg1sM/hALMuBkf6Si3XGVQHNAwJBCuHREt9GN3aAlGbxQ8HPid8GXsMfMhSO0x6oVDc6gNoUF8X
NrkOb2mFpZysy5v2CbYZWwx4LCTusrUSZMeo7VUF40aaWwMKOpJbDH6aneY14sAyzyKDISVUL+ak
wo7JiHZo8oecJdh55IocVGQF8YowSRHFLcSpyPIkTjXoRMiNWgxeGsnO5W/IM8UgSGmW2YgThUaV
JlAFsFferYsba3eXrfCASmWgQxWGWJtauEXrLDaCRXs9kIfzOL4Vebz5cd4uMWgBBpHJmM2WOPny
WDeomBa3hepOQlBpgRwtkFjgwD3nILNTZNkyjpVZU7dYg5A0lghq3fjHf/uEbLPUWhZqL0UzGAz8
yaWimpKOZnk6SyQfhhfehAXdkAvYxE6RFZEaY4BZlZ0yxBTAbAvKa556Q/jD6F9DhVec5XghO0Om
9isIh4ZBdtbOHUDeaoy23N7LJU+z5HPv/UfI0BjIyLR1TCWQNTi14ad36iH2yheqj6heQ/TPTh8q
p/3y24lcxiYDGpXSRpqSRsQZFlvLD1LyFGunebZ64/myi3yK/RlD9Ctv7me5Nxu8aXHIUhlDDRFe
Sium3ow3I1IsWau9y9Z4Ts8ih1SJ9TSOxNEkMWjM+jDl2SlOe/+/mWGQYw1zCVw5CITj+gkvDmto
/FTkwDrP2RnA6Ju6mRcJHy6USpTRT8t80jFFt75F9W228CQzP5e0P+6TzryZw25SO7NKQajUnvvo
TA+sto7+8L1zyhvaLnVurbZ4FRPOIdOZB5syGXlYop3JESfdrnLpNKSpo2jQsdWK4PKm8UwxUUeD
8csuT1dsWncg5EtlztYc3kXohbxs53Pt4vwpFQ1PUIxzQ1rio8sLc60uKYGhHDkWcogdE8SiXVB4
vOry53wOY4lZkthC66TtEUh1rdVeCVZnS6fCR8791rAS6GGn7nTgSyLScOkzDL+vjwmnwnlRRrkE
MCbP4xUNuOeT+lD/ogRcqDd+4zWt7B+Ed3MMPM4EJCZ1Ql+djZdBiXRWrkjs6V1ix+2dyePN2b+n
360xwDjqldJIGRYnHunLNkEPH9WkjzkI8i/Bx7sd6q0bXGzrMk+b9vxKmtHKkblhUJ5QoES36vBS
cwIq+oku7RgDiyma9Pt4ReyGoCpYcrCIQoj0stfT/+KSCQYSUzL3RA+xnggKD9MczGhBmNdrdXJN
jFtdtrWP8u/fjoHGjqyF3ER4eZk9ceouOjWj4PSZzkFg3vFii5CyWRKllIGJ0JSonpODeUpcwQX5
RIA+nyPxid14fMlRzmadXzMbz4gyeVTSHB44tdUp7herKgUeRHF26+ydGxumViFXVyNuoywteDVA
E0Zxcye7hgiDpbwKRwwbomta/+1K50fAYvvdFKVArJvhLE/Fz7DypugvXl/H5zZSxgQDF/mcTIIh
JHin/IKy2F3vpQGozA9hML1N3nClQ3zEVazuCoHxN15UxXHMc6S3+ayV3pZRlwKPq+r70JwM8Wct
cqqE//KY/cf5z067sdGTQhOjWCToAQt95SzdbfrgHf4f2hl4y2FgQ64Ks9eIAO9APwHKt+YRogX/
6Sif0zub1cwympdKQZCceDq1rV90xzbmINO/pBsM1L3QiGiCDO0j1OpaUmQCTaPMr/NZlSDCKdZd
4ZoywQ/Qbbm8pP044x9zbCQ1ZzXU3Htc/yv5NXRfqulokjcdZPeXzezCBCZUQPCGShhh1aRaYSLN
tODVEIvdYy2mx1Yuvl82sQ+AGxsMqHekyEt1qfFoDZIDSK6je8E2nurzFCt4Xq0E86tiaPOCwl2/
Q3YdVTDUEj91j2K+tKsIkXFCQR9lPq2SbxJOYWXfKTY2mPt3noo2T+aYOMt979CmmcrORct4aqEC
Xh7NOzni7Nf+jb+xyJwmdM2ArUmTgH2r7k6t5Gtie19F6CjobxQ9dZJ+clO5ftL6ubRM9W2NCvfy
fvK+K7OdayVJVbHijs7yo2rIttEGTalx3H/fL983jzltJJyRdlAmPPiU73N+PZhfLi9i/7n8/h3Z
WzmTG7GQZNwhVJoGXV1fIld+q13Dig/5IcOIvOgrDxyb9PXzKbrZ2GRC+j7qhyRCOODMuBTLexIV
1kpuzcFRO4QGSrBUtyWP5Gj/HbExKn/ELVGaDRlDqQASBRojceyEbXOrF3iVhfmNlOtQzihPQzI+
ZHXJGeTmeAp7T0tzNsbCRD1FcwBga+0RXnMxdx+Zi7qc0grhFWB5sg2fsmzlpTV+UwZ3RrscleuO
Z2tVbdCOcDaTfrdLm0kXv7lz9HwudAKKMwQ/lGkhd4w7JRgwEN37YN15u2yN9yUZnJGyshAEA5FW
uBZuMyNRIDcutBk4YcHupbPxFQZcammqpLhHerGtrwvZV8HbWPWTpUa//ttyGAgpUcmPhgQhcdgr
aP7rj0LY3aFxlON/vOUwIJLHY29iOpE4iviUopEetO3rncgrfe9GwaAqVGU80lHZYE61NrRdqqsI
FTPFmwwHU3aWVoF/6VkpOT73mWGERqUbU8xZlmIlk5VC+7tMhfa7+ySzEn+1ZBCNCO5oN0HuQh/K
EZzYR4XuZL7xqpr7l/nmJ5CPbh/FXYhpHpxpRbnX58QSzetoQWsj+PRuqsorm1NWXamGHZneMl2J
pTWrJjryeRcv/aifTt/mZzDHPiuFXpaXBp6Kp8fiavZ80qC42Xj8OQ3qjJdMsQddWKJENjLFCUO3
BU9x/3UawBdQHyq9BK3p6x8cjc3CmJNOeigNZEaGgEwf3b55wSy8rfKE5fejiI0V5qAL7WAaEdis
Ucs6Y6an3VWplQSzW7rg3edlIffjpI095sDrxmAOpCuo407udJN7s+Tqdu8S++ywXslLwOwC5sYg
c/TVsYgXejU4mn7Tit6cBKCivbxTvKPAFlY1Icyjokr+/+rxRwe6HX5hK07mD98Hh2rb5V94fWT7
L7f3lbGlVSVNSKQmCGvRuhAobnRUBB/pLLSFL6eO1/DH2ziVQZy8U5MRzYuw9nX1okMH3kLjaj7O
mE9SDhFXO5KDpSw5KDRRK6nJDGxbepzqn1PtLSmwVDwkE+cK4h0BlUGQJG/nccC8kNP30zcRpUEj
V4+ZUVm1KrmNnj1WJlopE/1nUo2+IIQ3et34HA/ajSE2e8lAy1jOJSSsGuhKQ+uOeDR9Jz3Mtol2
g8hROJjJORJs6TWpyKqAIx2XboWOvSDP7wbe64SeqgtQyXa6Jpo5k0HBVUhL5NkREe15HoqXIOGe
PAZOknGI+nXGUpaj4aPn5T52+sNyN9po5Id8AyhJAkxhOf9xtxhMQZU3DROaE+pc5QjpBjd2ym9J
cKYGuOXtFudTsoXXPk5HQV2xxDxQvQ4CsZP3v6gQcpyCLb1KUaqi/Apl8864qcADo39pZ85TjrcS
BkLqEUWoaGxlR19bNyyczNCddf5KNGsa7grTV3nPDp5BJkQxDRlDWSEuG9q4+fenwxyLz2sn4306
BkAicS7KgtAUYZFYkmGN5XPHUyPi2aB/3zwyDIDhrHQq8tOZp41Xg/K9GHkNDLuv0ncQ0piIQxii
xSxyXGPLMTxmx/6QBRiZs8UDr1rBAXeNCToq0RgaXaI68FepI6m+1r2NjUcknqAQD9o1Bh4mpQA3
6ZgrTvEMbn9ckbotXE+Oek5vcmGBt0cMLCxRCcHvtqcNICqxQ3/wG1RgkB1ebQWMlzfEBf/Rifcx
OU7O5gfT1lz1rOpwU6oVFDCRglKN1CZg3l+E5tjmrbeS1coT83AZBTmrZUutpaA0syjjNHezM0iT
1RiHsedpH+8nLd59Umcwo0igHrMOK6A20iyMMpn6QUt9YXKGMci1ESIeeNe7l1fGcU92LHoc6kUz
Y4WA4S9ohzuxdOrBm6cH4/d1gz+84nQGOGow9mpDiIxMmB6mpLfI5IB3w7q8mv0KxuYTMtCh57nS
SqkqO9J3sJVAJyR0NJAHSg/xjfRAfMOik8pzaomHyEleOMbpEi4EAjqDKbFYKcKg4RVD65/1o3Cz
vA3ftbcRA4zELa9LBaUbzoJ5jsmgi0YmJZ9SwFgdPZSiI4eJVYqvl9fFs8EASx7ryyDUC0IoBX0N
4ksbFgHwkxdo8L4egyhJlKVGQ8Oov7VJMjf1sp8ohNoSdEmaR2hVPl1e178gJqoXCkh0IMHJfDwZ
2hmQAOroU2Y+6y3M30xbsZoAoS+fJnR/fe/WmM/YFUoyFgrC3lxB8lVBky2S5uUhf9EeyxuEvh6y
T984K9xPGLzbZL5pWWqjiVZ4tBtgPCVWnuX5GJZP4NVVdN/EGMti64Yz/Pa0+zlh849Vg+mHMcU8
GvUuQihi3untY9a5hm41Ccdh9pHr3QqTgZrDsVryuUalQ/WG6ZA11+LggTJj5TWZ0WP7+Vi/G2Jg
eTFJqiVyiYQunkuGOyaY+oZgBFgWOLu1f9DeDTEhnIrxj6XLcctAbVCqLHQsWcn9mMIlVxusJh46
A63ikRfR7bdKo2b9/8fAoI67Cbe0MqtK0pyv8tlpbgZfhx5sZPXWbA9XSCZjsMkpJ058/C+vmXer
DFJH0hqLwwTXpLksObeSU3Ff2eEPKjMtPQv3lApEqC1e+X4/gng3y2B0qiwYpEmx2Nw8TOmxiixp
HLwpzK0pf6r7wo5+m6mXngaDNjOpMlRHWfnpMQ3nuApxK2jmnVAf9fS1gfLRb7Ohnq1AZw+JbKhW
sVWHNBeHPmoGpAar9gsY9U8llHA6rvbi7lkAdRYmWFBb/KTB3DSDAYkeuGg5vkTkGAq/auleNXjR
+S5ubcwwRw5J8aLWB7wA6F1Ae7OiY3kwfYR5B829fOoo7H463RtTzKFb8gk6QrQhpsELoLmKBsUy
9Rs9Q2KwdxOwxl82t4taG3PMYVMaPOOL8yRJe6U3txDmtPv8ZdD8Rv162dIummwssQdMW9ZkEfCW
VvTakuS/5uqHqrxctrFfiNoYYY7TMJc5WphxacdXs1eiAbf4ovSO5kAN3Bsh0mSR1DKDgYOUvKUx
FzdJY7ObMWzljOXbktWQpYoOoclry9pPOm4Wx97YmJQj0GRCscurA0TIvggSAzBMUWK6iEfrwTtZ
zFWt1IqQDw1yjlJzL0S1NS9uIT1AkfjyjnE+HTv2n5p9ucorPp1CXuPsqVRPs8q5mD+re5yx6B+Q
MJmbOS1KfQKBFRAvTa/k5EeiiZ6GYm9WiXdAX7cxZqsdMHlejK46vzRL5CuQ7UzVMtAxIG6OmWPi
QNYEXZjgCVZixcvM76bR+UoSOXE4uJ1eB5e/y/7L4X2zzzzGm1uwEsAwq9LH12RHD+APvqKbXnsQ
L7qekdOLgslZjzGK5AI3R8lzNHZesa/bpVFCnKIcJLedXavfs1B3+uTGKCDPczTMhzqULG3k6brx
jq/JoJHQhA3652XaYV5E7golJfSU2COyFZpc+oT8quuC0vDeyk1jy1FphQuSnAXVj1+sROIFjvuJ
980msJg1FimEJvBINIwqqHPRrhMjyPLQayPlyZAf0KtziwSA30fp8zphAE+I0BLCG9fhnREG1GY0
+BE1Q4yAbyHnvtH7NfEuuxv9sBduHXZcfSoyWqOV4G194slCe5QqhXMMORebyaBXE6mzGC846W0I
SXWkLiI8e1uM9XaBPl6DavDyijj4ZTL4FeZ5ZqoFwvEy9KspWOraWuarceIU6y9/OMLOp89prmkk
QZZLab4r2vQ8dtrT5YVwDgXoKz/Gw3ktN2FIm9DUW9FW7NxpvvQH5G0d1adKHZEzHFrOx7vscURk
4p0oSsbKWBEM1wmI4tSvU4yYv/rr8sJ4RphIp0ir3hgR1DmJGOTNbIG5W0Up/bKRy/ENEen+bWBU
jAgo6xKsZH4FHS14zIMo/MtMf/BDUe4+MWChTGKeCwky3nkAZnlfsNrbyNWC5rt6pA12w0vyyJsa
4K2OHoLt6koyVH2PS2Ix0PHb3BrK4pudgAxk/KoKXLlWuu2fUAJ06yL6KwwZGYqP5pa5AhlDfc7p
x3eovRz1h9xqrpYrtA86vEatXffYGGPwoq1EHRyQeObqYLdHpgJc+uEhNxZOAMwzw+DEuJAolGQ8
h5oZd9vrpAZd7V/2QXk3uf++lPPfN9ukxQil1AZL6T3Dp4zW4Z1aWLlX2ZrTOZJdP0Bw5yBb9DA3
p/z1snm6ggu7xqoSVhnYrdUQfbkihsVpJYb4gi8fePVAzoc8t81sFikLaps3IRa5zIIVmldT+F0d
OW+I/dzA5ksymNGFoNXqCuQXpcfZk23Z7fzY+b7eF6iWUA0M3qgnb1EMfMRNt4AuCvDRmtdjbzfS
lcALT3fP8GZJ9Cdsvtsa1uicM3CGBzJere29GUb2qDzW0OqdwoFzmfDWwwCGOYAKvBIqbFLp5iTI
Rnuo/uRG3KyHAQml7YoyMtH0QaTnsr9J+sNld+YtgcGFcJUxy5ljCY10PwsnoX9IKw4m0F29dGIY
TMhHQ+uWBPXYQnkaEu1GheTv5UXwIIGViBJBB1MlKnKStPO1drSHxtWtGcUBtGYXdntKdWvyUNQO
6NUxYciNcy/uxvi6CO5ZjWgqJXP56HbppNSDikfqefYAGlGHKDD91Kpt6GFxPuceAG1NMYdIlmKj
EFt4BLL2uJrcMjqN+TWUzqw58pbxZ8b7unux39Ygc6TGaEyTRQZKNNBjwUNlGCFiYpOl5n3EvQtx
a4g5TuvSG3Il4PKgszeK3aEBLvFnqGVU3nL4k8Td1hhzsKrZ7Kc1w44Z2a9RxLRjb5nyPXeGec/5
t2aY8zUNeaj2tLYok1ORfdXj58uuz9sc5nD1ua5UEBEF44z2xdRRBsCdZ4zOxOUG5mwO27yB7jot
k/CKxgu6DGhv8PwiPfQuGrVOkSPyum5234qb78Y2cawpDnRIt0fxK7fHJFbpKSmy1oPTBcjVe7w8
OedUsRP09djIQ13D9wr0oA5OqoII0m6E2TKkRxMTPlrrXN64XczarpCBDDERSSUl2LnhqPlIB7nz
i36TUwUL+2+FmARUCzW4x1qACK/ndd8tkU42iAQ5HJaHUikrUe0qXJNi9azFdxGvqrK/fxIRoQJq
6OQTQWAZrsNkUFaH8LoFkwlyvG59omInmBlFXFbxGhd3929jjzlnEviXZ1RokSEH7zLUTmqvh0YC
fd+FTuQnT2j7Tn+BFM/tbSH4o6+5Mc4cQjEetUqqMJhYrAHpf1bK79JG4n2gS5oqQ6Ia+RqWo1Ae
hSVRVAO3i/atBA2MmlqQp77sj7sPrq0RBn3JMJMJzf8w4mhH+Vg/Uf6Z4rq3xFt5sEOrchIv6nlW
qZezwcHWKgPD4TgLudKBAUH0B1f1EMX7+o12NduKB6KMA2/oYNfvN1+ScZOsXBvUueGWsxrbgP9T
KUjXnA/JWxLjDWvfJvlMztBlHNvHyFVvwtgSPfqwQxf7dcNrE9gtdW8+Ihv+JMOSTZIO/9CuBygr
0o7dyK+uwMdo80mD9iLGrTEmgdJWBtiP6ZhlZiCUcyThdU4Olz8hzwS9izZBfA5ZsCxBkOUUzXfR
zOwYHfjN42UbPH9nuffUEM3b84okXevQlLDk4Q6NrRYVSsQ4tPnYwdSDUVgap2d1P1Z890FCfXSz
OnlZm7oukUtrJodSTYKVC8FqeyZ9FA9cKY3dCGFjjgnfin6StZR23w9IRorxIe1Da2nvtZGzLp4d
Bj9GEHI1tRYDBLsHVfmrHp5LSLKmEwcxeGYYwJjlzCg03NZOVz1HQ4H62q8ocbSV92rZ5U/b+jkL
FUI4GQaNRiXimqWl+QnkLLLr8G25a67Kk+qPR+MWghN24vEGZXcf5lvbDISUZRnWuoHYgIp2yS5Y
wE7Qf3WF5yLAYH0gPBm8YsH+Z4XMrQZ5PAwDM9HIMhbaOuP+ccIS82XraR5/6bnkVlg559xRfPiM
+O+WGPdHjredphGBZOsMGDLLXHD/K44GgofWl3Wetb1kEcjK/1kX4/2qQLIm7mFNPILhzIncxF+8
IRC5CRveB2TcX+gh7zY3iAGi7KgueJw56WJ1vELWLjJCO8aUIddtmGxY3A36LIjxRBypBXdfq/mi
QqyskOzLm8QzwwDwUoDZNymRFShNq8NIZY08KC/5xLPBeJzc65W2oFjpyNf6LfEgk3Q0XfJVeNDB
tNDRHeot7qQJ/U8/Od/m+zHOl3eQMAQhMsrmmdW5WfJ3hBiYfw25LXu9jZo2L5O3j/cbm4wL6ssI
RagWiJUsX5vcJe2p1vwpAWumbHeCYi2KizRYU//HPWQcMjTMaIaAEnH09lUAFdMUO+ofMcXpm7Ux
aJwVep6VUORxGgxBQROKqoI7+YkKXCI/71z2Su6XZCC5ktpQniSNzkhAy/DM8KAeZQuC1TYPgnne
ySBwLWll2A8FunUnJ4/eYt0WeYnsfZR//3hsv3OF+3KaatyYNGtVHBI3Q+8ZHkmUmrM7UYoi3jOJ
/uoL7s92Ohcj6M4FSsORgrZAOrQHFTOVGVdrm/Px2FbnRAo19KsDC/URGkKYWi4hJMTBD54NBj5C
s1xLIUJihQheBK7s9DirnLTifly92SAGLcJWyuOEvuvoPDRNSI0nHUPYaFXyIo+3N7tEY5uzpDM4
sYxaazYS8qTa9ehAINTN/PSxfZFuelfxUhctc67pLD6ff4Ee0ktewSDFkuZ1SBK8nWVftI1jbIO3
GG2JlOZMutG/oOf/lYqFxbyiMvf7MujRqoPRx2i9P+eUZFuDYnVhhyBL1rzslpfh2b2gN5vJgEcE
VikRrJzYzOa1WDA/3VhaeFQkTh12P27c2GGQY4i6NospT5biEy+2U2fyQU4LGTQC1kLoP9s1Mjr9
z9At/iNmsZ25ZJGEsF8Axrr0q8msEeT/vfAnT7P31RnM628Uu7QVTSI5RWuJENouTgMmpjk4zznb
BhN+KALCn3nBjSn76ZPsNr5gI9ssQTGX8hO1kDLPr2OBY5VnlAGUcsr+j7QrW44bV5ZfxAgu4PbK
vbvVkrVZll8YsuXhvu/8+puQ77hbEN24V3PihOfEccRUAwSyCrVk1qMqLnToZKcUx1R+yBTe2aA/
/MJNY5txi7IJ21EG4is3lDgGdP+vOdp/FbveI9vHCQB418tgACXV5XiYC1gbIYq3guAncim/L3XO
/JFynnM2GBQhSygMvaRKjknu+vHaqA4daKbCm8w8Guv1EHridNUrnPLY9iv+7DwyEJLmCvQwNESR
0T+LDfp3iHu/JVKNEhWf6BWDSl7EHWT8qCxGE3K079eg/0NhRTATAhZ9kDXTZDiE8rCzlU925c3o
UdqMzsZYyk79PrvTbt3jjW8VDjrYJbt/5tyT7eP052eweR+t1xahjdDgNXuSp9nKIfwi7zSLztqa
k8ULv7YvyMkac/XTgaixPKKPLVz2WrNLkM9qOUd2Oz45mWAuforKfpeIKK6vSwuFgmAcdinI+7s7
CR06ug/d2cs7aGy7vpNB5tKLSzVK4L9GRRpje00loInWfBCE3s46ZZdG4hN6dWxzHHep1Dyr87jr
y3mv1DKkBOfbbkhv1Go4dnN2Bf7FA2TtLLlunHCe0FKvB4m2Xg1FdSjJ62xAw9EsAz1qvkat5tSN
chcNjTd3yU7SzdySk9bTpeY6Sl9WsbnOFvkJVPt4CGVAI118qWbNEaAUAlmX1Y/qzBlJ6yhUGVqW
LTUrrWJIvb5brDgRrjrjZ6jpDpmKh7Rfggna6VqnWkStgwLvjIz8mKV615HKbowfaxf5dUqrHaNw
DBGCdnJvq+ZX8O1PK/mC2xVZa7q8CqHQ2sv8FJr1NQnzo76ullq0XolrHlPy0HFyM6WBsJtQecjq
7rsMMhOXvxfvCDIBmQT+UEiYEAyXd17Rlla/2oPIa3L6C26eDgWDm6tEoBk50Jqdj7jcrfwyGBx0
q1K/87lKzAlKFAY2OzRFGE0HukZTbV1xaH4uRcKrptFt+eh2TgtiQBKSHSRsSw2Nl0iVhU3kq6l0
d/nL0OjpkgkmulKiacqbBsuYJgfJKVm57dLrXAlW8pz8v7VM3qOvwkRYWtks4kTbWLu2uxZX+UfZ
jf7l5WwHi392jNC00lmOtjHCKWvXCQxTjZNCDTjGPKNxzEvOrm3OyZw5EpZopxiyhGQLbo/xXdsr
Vyivg0jTXm/RBubQcaD2GmKFNzwk3649ng4dq1eSk0jDNB66i/JvA/SVKdmAAabLPqAxf/Q47uO7
7n4IwLgaIPXzcHlvefeLMKA7aGNYCxNES+izSntp4C+jq+pNmDG95ZEOcA4mYSCjK9YcYohg1UnM
ape14OsSlIcuI9YY/SJa4RjJLWd51A9euArsSJBYQCBbAzTDK1cvBPBBlSmU/XDDr8XwjikDHqbS
jLmuAanAQ9mO12n/K4p91eThB/eLMQAyR0bcGBlu97Kvd4M/BqE3ObUFXSwUmHgNLhyfTBgoMZE+
kAcRxup5fFyn2SoM4i4hjMmGZdbcxfG+FwMnnTH3oF5CMJfuDJ/27ox72rtDy9S8pf0l5fMHV1h+
nZnMY55Q+rjk6+/u42lw6iflaNzHwXhcLAEa3RyM4ZwRllxHRddG31OIWcenfv254N2bpc9Fy6vA
b2baT5jC0upMmiZ1CX3MC8XNWHhz48T9sa7v6/W7CMkpDRMOvIHwzXAA/dQakVRNhQ7he5TWEnUW
ipmO+/XkrmrJvinQ3tW1weUbvQkhZ2aYA1LEdZ/olJdAV6JfWbG6c6w6WQbKoHK1pn5+0cGOcNnk
9o37Y/ODUtvQa2HdN6iyKtoazEjw630RGKZ0JBJEbMPBqstfCsrKEsa/EnHCGMPT5V+wGTOc/QAm
2o/CMi1bCZXyscHbe+xkCOLFn3q9nRmR33/AjkqnqAbODHpg9hjH+Y4X/kMI0pvVRvHaz30TQdeP
ywvbbk05M8q4n7QLdS1EDP+WdhUfGzt26kP8FTrEQe+HLpdBaPvSnxlkXJAqGunaFXjVdC4kp9GS
YnwR0OWjWa6MJofyKHFeNdwVMgEsaqSkmBtc+fC4onzY+MlxvpP81X5Tcn/lTd3yjgrjhepWG4Qu
p9dwjB2xG+6NSuc0VfBMMA4oU7oGg5WYc2kxrTTsZJPjtN/6qT847bNvxEDJrM29kdDMjPi9cWuQ
kMVee1hee7AQFn59GO0J/DGtbX4ZrMqdvcSLOSvc9HpnP4ABGXHUJ1mlKxy7XTbtlKm0lNXOMR/W
8/Jrl2FTZ3liwewYpksDPCPRMZsf5uqLJnIu2WXI1N+SRWfxs1BnBejakUyrJyiY27U22HLsp+CK
R7lS/Vxz4mnz3tD0zFws6koRgUjSSa8ot1TpFfY0WelXdDvsc1t/vYwgvP1jAIQMurDklNG/hQZT
UmpBhNYbeHWeD+AciTdcOVtVm4qNGCqo4AkBpVIrMeGQHBMQqsnIIzeQzSgfdafmkkBtMtXoZ7vJ
wkeS5drQAT4UwbQjvbHkEWFJG1mkjG1NMC1jjg+zJDzGVc/pdNsMVs5MM1ASjkJrjPRpUIHTNB+e
JBK5ca5Z2TQ6lz8iB1HY6Zt2NEKVpClxWnKnJpKVT8+XDWyfEuRmwKAqEpGlhurrNQV1HMLKSNZd
adgXVeiHqn/ZyF/ihJMVBrdUdewkZURGpKiu1/wKookQ/PUiciUkN51xI+ZXc2O6SxuMvAYZCkgf
EfNkmQGsahYWs1Pfwub1KtkjqeArYHXgvVX/4sz+2GGrpIKamnKSvfFs0uoUpf3R73TX9Eu3Pgo7
XhFl+9KdzDFxTx3FcVfpGCUoBEyOjNckK6wGQ9vKs9ny5Dq2UfJkiwl/TEVZMD+CzvqYzPeyIlli
nVspOMSGdg108cHMdffyeeF8tA+EUIVY92OPCZyBeMR40ko/SlKrQV/nkjyiaZz0Mg/FKBpeOCcs
NVQoxknRNSjmdK7kTd8hRm5HV+VLiAcW5WniyTTyVsiAVymH8mj0CJxrYT9AeK3crclTQXaivptM
j3Bf+7zlMYilJYNR9Cu+4egpnn5Ivaix+sKiAQNU0a36seV9w+1CMXQN/hdZWGajBSSf1ZCiUEz5
wWN/9LqXGKXTvrfIwwT+AvREOLU9PfHGt3hgozNgY7YlCOYrZDay7F6M7HzN7CW/JtK9ojtKFZAI
Uwj2VIpWWHy7fG7fxuounSIGbaaq7IpJwsGlVdUMSRUFDJIllJVu60MPgcwIkk65r+/loBKRp42c
6OnyL+Atnq2uroNmCkkPHPrNWhLb8Y3hEPT1lu7yKSo8/fSJ2TLrIuqDNtFEN6qFljJ+SSc0ba6t
Ncp2K1yVcaDVIwcaOP6KLboWUDBWIScF4FNUeyHXQp3bncFBAw66Gkzo1ItSpwgNNlE3LTIa0Bmz
lsgpBnRYfqqee7aFNAA4i57WREIQU+JVonRBFQVjDkb24D+eCQZs6gLdIUWDm9h70bXuNb7pznta
KyhwAnmeaTs2+nPt2QJrQcQi0kIAadG89EG8IBd2MIavnCVx8POtYna2bVmtiYZM3a1qDW4UZJSN
GfKVyIpZyyu4MrzWf9MAkTGkrHAabnhHkMGXbhn6su4Rxvf9bazdFsN9wdO6415jBkj0ZkCoZgBI
VGty0YBnr0+/B25AP8RHTI53YAlZujHNwtHEpULH2m4CkyblHFFQULuVvXoP6eX/dolZchZV7BSQ
s+BAihAbq0dPyjqMhHGOPeczmUzYUhe5vuqg3HNkcW+CHFy5Izy+nG2c0CXIfAPlCNucHxfDmoU9
Lu+sQHpzeJwruzJeEhS1O14Q9pf0zMkWAxRJLZeZHOHEL/vpbQQlBg+ilSAHRQ976Vc/uGng7R08
maR/f3bJYmlRlXiFI/130hGz6xNSQrlVvuDbBRIcmsezuo0fJ6NMpBKLMmnMBrerMuG7G/zjVW4e
Bt5Iz/bD6mSGftqztclxi/ejie3U6usxfpjMZw5C8dbBoERK5GUsIdmAgBLjE3Z3HJ8Kv7cw/+q+
0eF66H7Y8brzeKtiYGNcMy3RBQU1YaHx1zLciUnjXF4YZ11szTEOlyzvKjRdy/WdYLqysM8Hp0g5
ma6/AOCf78OWHGNz7Nuiw9VSb5avtRfuKBWg+g+t5YD8hOPvudYYrNCVBX3IdER+2oMWE7nPOUgg
aoEGi/+Dh+R8JLawGOnFaowxRqOhBRSsDXQJU570Ie8j0Z9wdrr7FONPEXUfVWwvvTeC/DUPdO48
Od2Wj+Hu6SMxACGaZRolE4aT4p3kIbA4gk/0ad2vboFRaKTiL5+8bZ9/ssYgw9yt1TpLSH7K4oNM
7tvcM1swhMjeqq1WqYt21vKi6U3HSIgoGqIqmRIrPVfKqiJVoUkRsPs679AJ50i1TVMIyU1oxzte
GXgTcU/22CxC3dWdKNRQYQgzq46uOj2IFo40z7YjObPBpA4MaSqMtgSqT3Z9RbvCFkqanWBVlNvT
EC3+/do8jkQnsCqrmIhjwLY0zLypK1zmbHhcFl9NKqcQrzMuseHmzTqzw2BuHa/jZDa00Fyn6CP6
IfHE0baTjmcWGIBV4e3BrUDVTehUl65lu3qMbVUTbUnIMaC87qJEcbUYExqmPPCKl5v37WSdxV5w
bKyTsabIxKAGjEqwh47T12ynuLWf27ynJGczWQQOzVXqCgMFqFWPrTVpbsws4kTSmzcahSXdxH9A
McTgh55PEHWe4ITPG/35Yr2bt+rMDAMc4dyWaUaH8bKl2DcjscpRvdEK7uGgN+cDHJ7ZYY65Hk7D
qJnUNQ6F1XZOrwRmF5jT1yT3JPnYDs/SWFgxL8W5nXs8s8sc+yJphUGlQwbh4/JGgx+D/VJ/xESD
m7uCw+Ok4G0ncwcGpB0jMFBh7CpyK91Oi5007S5D/YYJBfKRpmpoioKpUMZEY9TQCG5hYoxe9BKq
nwWSjrH9n4ywXBHDNJlkTWrISKjdXoRf0RvJbyAtddmMvOFEsBiimEQTaTaMORZrnCjmkuLWSjfh
Mf3SWY09BuRLYoe76Fj544GGNijX+7Rc13ixqzzz4sLt/Tz9BOaEqEOWzkaEu1y2O707TNNhHDmV
wQ2Mf7dK5pOtXdxpSSTBrVR+PXRWmoCYwi4ILwrYitXODb11jZ3FNom59JMeo5faDOhpL53qiKdq
YlegTJ9+8BL7nJ17y/idWZPUNZakDDsXJ1dZ5pflF5NLscY5IG9V3zMbmdTnZV1jRbMXf0Ey2Cl+
EcVqwVrSQzhjwDz+6+UjyVsU/UFnBsukr2q9g8FktcP0elb2YuVeNrGV/sVnAkuliNYIA9wa722o
9bBAxwlgOH97a0/9ZV4rd+gb9VrakPUY2tpjhAI173v95Xic7DJg3ytoiR9mPPvFW8oyIAVjIL+O
e9pV0PrSZ0Lgd8tkL/fQxkQ0CeWj0NHW36EzEsNBnuhBbYGrOr99x05rY65xpGnqpCjI08gKYrbs
Vm1+EDOzpJx7ybaP5MkSc5uzGPkOQ14kp0XrJWhtnAQirXQIJL9T7QyUL5zTshHZnG8jm4Gq4rAv
1AxfrXdo88lphq33MV8YXLYmc/aRzT/VRaUuawZEDo8o9oC0SbXKHSVX1naSL3upl/gT2gd7C+zb
VFDdI4fSLp74I/QbMda7ZdNtObuIA5WAJh1IONbopcwia+Y9KHjXgZ2YH3Kw5o76WxuR4mmNFe7C
KwzzJpbhUY6xcOV4u82tNSUZR1El2geKsVBYjMQssSJBC4Z5r1ZPZd5ZRSHYl7/hJoSd2aE7e7Zz
cyi2WU6DEJSYcqvu1J/IthxMlfNa4i2HQTFZ1kdFptmOcvZWNWj7f5bmGI08XoPNc3C2GvozzlaT
LsJgNvRN1nXaHeTufhVN8/+PtUF7evowDFDlQtXNXQ/Mp9pcGYbYO3BUiQFvfpECAxMDvzPDQNQw
daW2Ur5yKb5TjX0+fkWWw9KnwEicWrfjihde0d99ySCDVFovLkvcYZwwg4gmGFjTW5SeBO0gmb8u
nzj6yy8YYsPFnPTRKNF+/mEerCQs7vVifAWl0q0gitaaD1abcNw0zyLzUk8zXepR5sfh6xpLisHe
OEM8ejUDUexBcIfSRyxxru82XpyOCcswloxiuvQCgmFJ94l4KwONhdjq+y+1ehPLz/MU9OG+ITcD
76ZxLrTGxCSmuQyxXMPjJOa99qvVPT3nwP4Wvfr52dQYzCiHoi+ICRO0xo/nM0i3Gke4y3wqbrJ+
xQyDYzqqo9/z6RC3cQR6FTIEK6AKwHzKbkDSQG5xwcEpGjZ2bs62rNiCpPK+3/Y2ngwxHkVqGsxS
/pZGFW2qMKuDnwJeLH1ZnNbOMGTIT+9szYdgY09GmW+Hz5bLGX2u5VcRyCpcVHUMp/gW/1Bai3ZQ
1MfuIL3WaFv9zJU82WU+qCwWOdTKoMCGjGBlHPLiaKK1U3fHZbWW8OGyMd7O0r8/w+gkHsHsIEoQ
vQQVUuf3mHbP/f9mgnEDZjpDhbWDiVb6Z64gBfKtXDnNzLxVMG5g1s0lHgfEA2CetdKfYI9wMplX
XOGddsYJGGSas4GSLPVGIPc3w7ADxbIu31/erW1Xc/r6DPLnmtKbNc0Ht9qvWrfCRLdnPbWbBBdZ
GDwEIhZkyXiDGByr7DQryZK1JOH824/iGAS0l6X1eXws29/JkPBwEhHNs9SHWbishplicWL6RGZb
Q4NFvnCOG70eHz3aHxts0K3P4zqnBZYiZvsCXfr1+Hz5C207sJMBBvXypsDoGKEGutwSJq+TDFtH
30Zd3lXKYEu8MGorEwYgOhlk0A8T+XndTyNCeXexqTg5ctuhU7vFbrxGC+qe1w79F3d5Msggn4KD
IK4RDdzQNE/5RsegBk8/5d4YuGSw26HOyRgDd+ZEZDz/0KGvql9Rr7cbApIGQgJp6P256Dl4x/t4
DN6Nq7JowohJeSMzbV1w2ulnI3pxGfSyX/NmLHhLY5CvTKUxxPMPS6tuc+OnKbmi+M9sHFqZk0Pn
3CuTwb8iXEpEUTl4AcVnFYIioIBxFn2wLx/8bZA4fSkGAFWjLOS113Dwi8gSVTy78ETXBG8cHF08
5uq1EfIaBHgLY9AwFaZhWnraEdpdCYVtzjdSxFnVNqz/uyqV1b2olbwtBnHCR2pdmkmP8F/DwpQk
x87W4OfZNVZZ9QtDiisixognWocGMR3aBsPnwgVLzy+psNY71adUM5Gj7jB50x4nrgYMxYm/IyMQ
+L2vjwxZ6bQYiRZaI5O87BDttSsomNjTPX88cquo9G65DIjMaV1m3TygIJx8T2XTSyPoNEMTfW1S
W1K+U90d0AzbfZk+Xj6ml8+MygplmFNbVh2B4RGtU60/q/tF+nHZxBb1xbvF0d9wFjblcDDrIsMH
UIQE1/nDaq0HwVaPNK/SQm2dN/fAcQKqyGAJMadm0SdYnG4XW9vTgQTDmW/BXgDqtE/JBbxbIIso
WVepUYZX2qDmh1RDCaE1vUXgtYRdRkhUe97voyJlharluN9VdxcPX1rTSvtDG31TxoDzxTZGJN8t
iEGSjOR1kmgEVdRGO4aaaoXQgyrRIRPrWmCOpSc3lWWGy69mGncc2xsnEtV2SUWtWNekD4TMHd7U
UTzgiSb76HuD/KpwrVyjkd4eHCjLWmlmpfbMo3TfiIPeGWW2NtFHLR4I0Lo1tD36Pq9SofQvL4y3
LmZPSSuUXWTg64XFQYmfq+YYJpyhlK1Y5HwZbIKizk3SLvTpbt5T8W1QFLtUfPu3xMhnaHveWWNi
OzGXclS8Ioxn+d0LdGHc2MlscQBBZuHFcHgcn7Dhe96ZYxG5TsKZlEBkXc+9pVatGnQhZiRbJCHe
f/pWbCZiyddUMg00UWVgyMwX7WZEs7w6NJwjsXGh362IieaUFg+kkEq61sNBaFtraE1HhiQSBIUs
o3Qur2kLht9ZY2BYSxcwtao0FN+vV0owHrqjgDpFhi4nxFpBL1j85zn3RDJIrJCIxAK0GR1y/E2O
L7jloXVnl7J08yo/nCvGTjIJqLK2WYorFq20xpktnjz+x5PBAEUudXkk6GAoabLVngTDTmTtoHxG
rfXdt2LAooi7oVJG0KdW9RdI7+maM2Cejnf+ODeK7TWaxzHpohVvpbKRjmInelCetapq9rWp5EAT
56izhI69lJZVucBUJZZW3O8keH0EjnNptymnDM07cyyrI9F1Y6ZaVm+d0yjI2ZSSmA5AVKg2fqIV
4vxLsYNKfaM1NRSycOagoVL9BIFkxG11p0DKxKLvbDA4EUVtvSpzBqBVij2egB6SHFY3F7ZA+i95
NXmjOFoyetRWo7YmM/x5GTk4zpHle6yHkIyziaAf5AXqDB1m3jDl9uFAkC8SPCk+yAY0mZRFLS0U
E1LbYWIb4T9m9VNqDjqvNvGXs3EyxeCRpkJBXjIBglRXU7NXsIxb8g6FkCvKNZfy9KW3Eelkjq78
LPQtBl1KpRp9R1Hhmr3bmXfNyKnq8DaPQSQ9g05gCoVFJ1K/oRPN0svrYXie5gOg6nMu5LQcBpay
TKzarMUbPfmH0owrT6ar3RCHMmGGFpI6IELgjclt0fXh8P+xyWbbkjWvqnZd8aqVHhrynKVgPg4j
wNRzGv/Tjjt13evZfcJr7N9qknxnl4lulGgwuhZpfAcMb+g9spMg2f8y7eGbtBed3o8+RYP4ziIT
4ExCtPQdHWyS/dGpX7N99EjLEslz5mBclRNnc04mO7gwmIUypTEuQqMdauGQaZiu1B8uAwfPBoNb
c6VMZtWjMNetg5Vl4CDpAqH5RPkP22YQggcJcqVsfTscIpEKBuJDra6q7xFDqcKXKn2QVE4AupWU
eGeJWY+A7guhNFBA1Y6ab1q6twZUWq84Zvb0U7lLoEaXWvLT28QRVE45ugV/uQmnhdLtPgOTViNV
a4QwT9/R4w1NSBjW4lSe4DRPl78cXclHj3MyxcDkHPeKZhAgctfX8Gz6vgT/z2UTW4/0d7vJYONk
Ctqcpzgd0x7tfei4j/aZH95L4K+jwpISBycpNl1aEoOTgwLVmJaGv8QPkRHIfNpdRQLevdqG49PO
MRCJyso4xw3gWEFbjowE3BDdYaQvMo5yxZPCuWxLY7Nxg6GnGKRCkswsO39VW19V+ltpWbzUFG/G
KQ44X2w7Xvx3bdrHpJzaCCiBUSWoBTokpYMZaShBpY56R5lwIru7j0ouneflD6exmbhFUlZdTukk
g+4IpjfpLpiNjMQPs+9KvBc7zjnZBq3TIplUnNo16TpqKI9py7GvwFb2M+VJ4F6+XRqbdOsbLEmV
0K2rwEvr1/rn4qnTEhig6Mjch1JPo47QHSGmbfjyeJuvdrdyemO2wylJMpANNXXtg8zDVEhzPYwj
3uSickj79JiOYKqbhbt5rl0iJs6C8euORJ01CsMOLahBXHbPnzmWZz+C8Zt1O1eVVCM+XTOvQI7v
HxOziyBouodw/T/jYkl2HFD1E24CZCNNRlCR+LN69qiAqU8wDSRAOu0wIg89qfdE2w3CsemeZHKn
IQmY8R43m2fnzCb9+zMnYE5qVSwLYMwMYnRRguSOZl2mn5oz282OxmC8VzX3IzPHSdGm/30mdq5o
d3dUS3b4ZlgiuglKm9eYuolpZ+tjPE9Yp0Uo97gbXbPao2Q3SO33Q2V1iUt4b7ettPu7D8i4IGVQ
5naSkf2mHVEF3E+y09AUlzjcd8cmdJ4ti/E+Rp1KbaIj1SP72h6KKA5BZrN/QtFau6fMy7JVPqq9
ozxcvhub2HlmlvFGetIMEBLDeEWLxmIJk+wYgHCmNndK3W7j3gpH67LBLVb58y1lcwpRGk6dSd+q
0cvsJNeiO/nLY+Wbd+p3OhbW+0NQXpcupjm555RzNdgcwyCZYrZOyH4Wxddh+NVDeSbTjPtKDu2W
DDepWu+zBv/fNHgiEg/J+LWtIRfXEZ+zB9s/BOqqRCEYdXo7dmd3dK4EDR4Lg5+T3WK+KrFuikf1
GkIF16IFlHjinePtO3OyxzxVOvSlrNlIB02T+Jskp5akpZUlCU9JK+369oWzPIqnHyKp06Fi8yu5
ZNZmTunaf5OK09McOp2n+5hMDxpO0MG5OGx+pdXqSZcnVLxzzCDN4nNiGHbcKa6sLZwUFc8Sg6xz
m+Cb9aANL+tnRT0axk3XHXXzjrN7HKfBZlOW3OhT0NrSOLTfNdi7Pli8OEDwtrtsafsU/vFOOoOk
IlRHKklGGmzJIwvUTlP37bKB7Sfy2UFg4LPuBaEuaEae+NmdZme3pjt5yrXkD47mpfvsyXzlWOQd
PQZG83pCl8NCN+/YoSm980OnPKx7qgKeOFxA2b5Xpx1k0TNCmzhpkE8ekSzSPfPHHJhuC8lk2QOi
UslCV7Sg+MuJQLcz9ad9ZRlcZhTfojVOFbTCg3fY7pAOQBoT+nvKrVjB79IX3/SJriYAN6ZZDSCW
+kEqAAdlyU2TZmj7l0zFTE1kKwRdBJKnat4MCcWE95zeTGueLLKZHYzkVWFJ+6gow0X9oNmJO2Ja
I3lM7NGNg8ZDzQ95Tkf2ckgMqa/cksj2jf+zZIXBzSntxW5OKd/l5FSjk1f7ogsm4+HyoeVZoWf6
zBvIpSIVuQlcqQUvl+7F4nkJbytew8Lms+VsM5lYtJDNYmkNGhfqfosuVnkXpt7lhWyNsZ0fEVYQ
cuq1TJ80hEtvCQhQGqRgCEUGyU8eW3d0aRSTOJgnsso9Qiib3KZ7XlPcdtbgbJ1MMJqUZqQ1Bn4D
lXfuriWLCnnNt6s9u3TeRnm+vOa3DriPzu50RhgUnZqUaHWMt1SsSK9ipHh1F7t19xw3g7skmaur
mq2mawB1ej8mj0td3CghQrypuS+BU1Ar+oLHZGZlowYt3OQwrCheohWoEEAqlrW7RR0t0MI7WXU7
EchTy0LyOCLmNSV918mDXzTgehbuqhRZf0n00Gqw0xr5uCbZYZT6YJ6PqaojlpntUi1REZjNH4Zg
uCSfbvt22KmtYpFiRf4Zw+pzfkt0THsXnVvV03Vs1g7pFUhFSPaoJz+Jdp+j5cvWytHSSbIrp2S1
0EpslaZ5rCYC0rXSjdP+JtQQssrRaPcEg4sgOtHF13rJvqeLbNfFj1wkTqHPt5n8TZ/62lKy+6Gc
ofwABmRLjDRYJ/NjkZeJlYySNRqNo0+JbHWLzHHp2ykz6RQZMXevMnOtiydERj145LpZtWdNw0//
KQ76vlHM/SSOjrHWP7JcRDv9ZyjlMO8uI/BEUUEWNfawYj4GulxvDCCSR4XTBDd+Unw0RFvYk4CX
IaT+6MNZPTPHnNUKFd5SieGv6HNGCTKfNqbK3AGPTbd4ZoZx+8OixVqkgbvH0GvbKF7M9m7swVZQ
eW3McYVvXfGXlsQ4/GwEp3oNOmmnvOqvDJvSuue7dqcEgguxKrvLMZwVB2IQX4MyGM/RhtMsuAne
Z2tlQoC1iupYbeGK40axyzi+GkfwCuhDQMAWexlqtt3+ydaHp9Mw1gtpAG1LcY8WvlAqrXX0qtaZ
xF2vor/TxZ8Lcm3kgUhuFF+v047zEzbjq7OfwHjEsq4MpEix3fmVsZ8eYwdIcJQ9yhOWOOSOY436
pI8fF0qummyCepStQZjRIiprNNB3EpWtK9z1x2j1Vv31jZDQX1PrssFNHymf7DERvgT+ZzFL0M9K
Sl8rfhTNUUX577KNrRETynHxZ1HMnW9FpQVniCE50k8Jsmq5k0GON3aU6+TY4M/eNVApk4OZOPKB
m2bgrZBBgKw3xNnQYJx66NWhKh0hOLxzq9pVuB/wAS5vAmPbI58tmIGDhUSVOlQ9HdwcMbhZghTN
oqTh5bVsZV7uy5w6CG+NDCQYRZoPfYgprLA8FOVLpIL9NLj8EXkmmFvfL0bVVD192EgPhuZ1cmKt
2dfLNrZR1BQ1GZOSkCJnrpqC0mKp021bq1u9PWbTXja8tv0R8yj6t73CyRC982fxZ1GVdTNrIMiv
1hvUGCEmqKCCatW9I6dXrZ7ZKo+h8S95tVPQxByJVMkTyCCgUCDuk2ANQge0rdBKjPexf3kTN9d2
Fg0yZ2HQ1j4UQ3qj8ZjufAztehL4+Hn3avNbnZlhzkPe4l4hqkNNIP+FIYa8ky0zfZomL044p2L7
0f5n51h+l5CYISkMXOBJVq4rfXQikUff9Zd87skGc/IgFw7m6hj5m99qoRmo4/tA8unEAuQKOV9o
Gx5Oe8dK+BRTPNRZik+EmYEdFanCmw5sDWEASHKEnVTa3JaBTb9yZpJ5C9VqKiQLQdazdySP2AoA
uLDboHOwRCeJrc9lWk4byviVfsrLVgzxjhzEQGnus+7p8innHL8PQj2aJg6TgvUQ4Skz3Cq9SsEQ
PB2yjDf8uQl8ZzvH+A+tltqmfevvl+1RfmxGW+KxAvMWQ//+DI4UJW6ilp6HsPw5L5ndD25nqKDl
jaHTyXEVf8lGn74Mgw+jVCUiqNboi7V50Y6TO7x0VAOxtgYHwh2ucuxdzdOeIkfiBRv0X/0huDnb
SgYz5Aqk9C1GPjGbNlzVJmghQkwmRqqfRWBPJMMulHkZTM7XY0V7pj5bQdaIi53HTkWe9MSWZs7w
IO86syo9etQW6pyjvi36IoLxzkJC/bEMpgSPf0qVx+WF2EbEf59wGjuuU1aYaoklPMAR+ycWzfkJ
br8XOmveQ6rHAwflZPES6jybzLHJSZ0vOWVuFJpvmThZjcop421fgtOimMMRzbEojAZyQiJkcarq
R5SNdpp/CfUHdPNdBo/trpXTG5jtEqiGWcr6CDH9ZKOt6Avg/qb2Yk+7mqGONbqrW7urnd5RMAYr
G1IQl+1TyPh4D/5dqs7GOWWoLSapYJ6qLPaQhgbrltyjTMF5qf0lG30yxMQ5WjqtSiogA0bLEhgZ
ssAOeNceSh0nZXZLpBALXqWHtzbG0XRKGJp6CQWwVLnqDavQdwvhI+bWcDXybqeVMf4lznstFXvU
mekXVLzCnQ/dXe6Nh+XL3KIDaLwDeEKnWed8Ou6WUsA5w+oIJEsddDppeKV47Q19cYv3dTDbhqW4
NPHd81CTl7FhR3cGuSwlRUc3l3Sz4E2Y7EcwLqq+5kGnM7h8MreDx9O2Mp6okWI1adVRAvec4g20
qu0JPj9d8pd462SHQZMlC0vJoOEIORo+6r73P0dbuI3ALMpnGeCtiQGWEa0yS01P5Ch8T8vv4/ha
V9fzeNPld0h5dTEnwbbp5BSZmIZMRP0DO2Y7LdUg0HihUg9Z6YBC1coGf8YNVO7ikkfSurm4kzU2
QZI0S9obA1wBzW/RNoTfg9e8aH/7DJ7ZYQJk5GCWVBYQhGvlXdJCqvZ/SPuy5bhxptknYgT35ZZr
d0vd2iXbNwxbY3PfwfXpT0Lzf24apokTnpiYudGESgALhUJVVubwmkmQuFVeld5t4sqtwWdj+sLg
7Dvk9kFfGWZC2Jw2GEaNEMJAuLH4YAN7R73Z1++lFoLi8WXyQEf7RAIeZm37nK/sMnFstmJUcWnD
SQPQtbigI9NB4J4gSZrd6UvmjvxKBd3D366FlUkmpiklZovNCBMO9IkootJkOfTttrzwpys5Tsp2
XCNNtJpGAEdELSye0Zhn0cgfzTC8KUahtLWpO49Jwylcbj+BV+tjMmllTGIgX3Ht9dYFNm0FiMb8
QWkMW4JIs/rJXHxBOHL8h36nvU1lItoCVis5q+A/BALfopd5oatdGiCDwCMHr+Hqt22mMatFMpEt
7+sqVHMsMj0uQLTQ9yTl0DJdabGnh9kvH0U79pYRYtCcq4kXCpg410zJJIszLJtN4ozLXa4UTkUU
e9bcybS8NH5IIi6zCj1+O9vL9mXlZSzzsaeBHNeh7sSA1Dial6Ad3IBDTFDc/c+5mc4rADSrsqRC
oIj5mmqSy3gn4fbVTALySz8vZhu6sPtGthN6xYJcAxrdym8MrKQuVcTVEGDEJ9GZMC3TOMXLYMev
xgmqMI72ed/eZmq9Mseci0YutbwvQLwmL6CHjnIMl0qqcPhvRpidizMhJhZlhGql1wq0Foke7BvY
vtNXy2A8XxtB7C5P8D/w3RyMm+UgOJNTHCmOQzjyCPG3RP9UcWWN8XbdVOJZn6EN3M+2fLaesguV
ZygxunKXPb+Rt+hoeL2rIkfKHes5BNaRN3zJ+WwspAnXkjCZObyksS5gWTMq3obyDDB3bl6WcwEB
alq51k+YakJXF9W8e+LNLnHKLwD1P/+3T/jxiVfJLXgZZilJevqS/VCtc2M/OlNJXQqvEDhI2e14
9fOUfZzClbEISHBrXOiQwgnDb4d/OWP4uebmg+TqKB8X/cqM2pJUyyz6mYogAc2wqr/IKsi7MtHd
3z3eepiXQT6KWpyOEl7lRX4vkskOhdxtBMFV4+EiZe/aqB8novO+2fZVft1GJnpMJSkUCm7+KF1S
7vLSXezsRXfNI8bG6FPogeJ88zMv9eQZZiKKHBeiLkbYWKE/jdpbVTxG3bMkP2WpP07e/t5ut5DA
rinqEroDMot5MzE0u0wxgsvkU3bb1FdfSz90w+f+879XuegWvgkajHs+2nfz0lnZpud05UEAS9bR
0la448rZVjFClkU3Q5L9zfW9ssK4T6LGrT7LwPT3UAMUHFE6aYm3yAcNRnvj3IS84sDm1a3qMq5S
RRehw/zrslQiV4NK6TyyV4jHOdIhO1vOjISzueOzodE9+i1PWBmjf8xqD2MhjkKNarSmgq8s3xZe
qWPzlK9+P5OuF22YaIqF3w+BysCcs+dQiG7SfnJ6kjzu+yJvKYw7lKm+5DolkxvK6aADRGEaPKZZ
ngnGFyqhr+fwo24jPsxIW3kwRd7vZ2JGKNYNFNkQevvpS6M7Ufx1f4s2Q+HqazChYWz1Bsx44BOy
kGNrP/LxfkxFu0/udOuUlq4O6bB9g7zPz+YeeZELjYrnqSV75fKtXYJROfazu29lM+KtlsXkHGM2
KGU8UyeGxnDkyk0elKCBEtvRsfTGqbnzYJvA2KtBtnotq+qQajKSNjyD73qSQ8zDOuujeh7S4aSr
+anPSrvvwoMkf95f6nbM+xkc2Jp2H9ZLqIkTNMyHmyJzq/JO55XSeCaYkEAkSoY3oOCLfXQWq7Kb
OCh45AQcT9SYuKDPfbR86P3S+ggtaElBd0RQPe5v13Z9ZPWlmKCQlESq8wh1GOOJQhzSO+OSOEag
OWBE5diih+e3UIr+jaSCQdxQWAnJupoGUa5xuKqM3Fqog+SkdaRstKUJkLy88zhL23TClT3mbE2K
JZRygnhHi8jRjXRD5WLRwzlzi0z0i++tjH7M1SXRGM1QJyXcPfsx3ZUQ8o488wjnmIHZ4mslb8aM
67rYpysxGkMxKS3evJwn9LyAaBAqZ26d/f3bdPOVGeaajURNT6YCxClz/Y6uryeU75Zm+PtGOD7B
CkCW0pJnS42ngpnZs+6EVJHnNEXneOR0abZfeavlMAcKWOkoEnLsWvI6uFQ2UXDIqThClQyiGrxX
Hu8TMaeqz/LaKkug98T0NImPiXIBSqPQv+xvHndN9BOu/C5T1HEINQFPBNRrKEEiFOsc/dkIGrBj
cEMFb1H05ytrcTsPUxjhPNHKouyAjhGkjDVUGomtBNqP1C6AEPqrx6oG+nHwBhggkmKW2JBWt0rc
X24nfRbEr2HFCUrbXn79/cyiVDQpxdlAmc1MT1V8Kmen6gLOZ9p28qsN+vPVxtVxkUxGMgM28SAP
bonxA8yLHZrUnj9Pj52L0WUbwr1QdIXO0b5p3uqYEBiZqqwN7Ueo8AT1VIrOMHJWtw3r1FHYkvGJ
ZOQqv66umWUxkgiVaXrtPckdnlK/PUw2iNqC8PZfSeLx2DrzDdQFT8b9Xx013CayZclgqGeVKdpW
ixog2dEqvABkGca3UW/nCg98QBfxW4RfWWHcJFdHJZFo5zNE36fG0iBSf6wwoxl7Os/W5jkz0IGB
hpKoWezVXzWtkMbCgBVhNJs+i1EeQgllOGgeGhiTh4h8qN5444WbTrqyyoSsckrLeJFRoUyih06/
T7sfxXKR2tKWyud9p+StjznScYQ735hReh1j4mrjuzH4AFkCMs6p02w6/2pFzDcDVE9NFRnY5iHy
OuUJoH2NJ/bCM8Gc7NaUCqEhHebMErtSwCtW3ljgxtjfr+2u/2ohzCnuZo0owwQRzfQY38onGnoX
XwY6k+qaa6BqSxw4RnO7eKlXf+f642Z2szLPZDfFCGDeElHBYfB3ivDF6dAe1A9WXOueN6hF3ez3
g/bT+VnauyTRMmWp0IXMlcTOVC1IkDDu7yfH03UmYCmqsWRZhBb8YMw/Jkhqylp5r+WZq7QgGtfJ
Yd/c9i193T+WhJ+0c06JitBY7b9qykGKXzLAG9tvZgWhw/C+IM6cCTaU7hxos3HWuumgJgrOhqma
ss4STzdLPUzFCITWhOuntN7VsbmZEh5QenNHr1ZY6mkp16G/aiIGk+FJBl9y3dqp9RQWTsHFA246
48oU+/HCRghlSk6fHusjTT5CEDQr4BnBxEDAqxRydo8VHVbCutfFCbjeCQl9fOhKv8g4XXeeCSYt
FUDIMsY1CgCh4TTaW9IHUvq674Cb8Xa1ZfTIrdIPJQalVFmj3ik1Z8E8FebXMr+RJE5ZjmeFLnRl
RSednC0lDq5UP/eAC6SjbS13kFTmRMPtF+tqOUxYz0J1KQ0LL1bh0N4mhyZQHs270M4xMcZLPreP
7soWE99jQSzG3MLDbvC7V9VbDtODbksOcdITH++xDRlYWWPifNmpnSCZ6KfhNvng/DzLtQ3yC7d8
k4LRNf3ybDybj1xYF88HmQBfxaLRtjLul6Q8qfGNPN9MvFHpbROGipcpRlKQyv/qHUKii11JNUND
M8eDsnTDSsaLkgdI5ZlhdlBOSQvBAOSi2XwX5iCpAhha56QV2wgL87oWZrvMUM8HPUXNYvCjQ/y+
HCoBYDgUTSLou41vqaPZs8WJ49vo16tR9l4ketvnfYPjRfvVEPA6tcROv5UHIyCXGlInvT0HVPBE
uOGpDf7hEPxcL3tfigMuy5YO3iGHcpF2+A2ozMDalqNJSqFjOW9kY9uiJeIfA0KieKP86i0gvo3q
MMLzOb1dfM2X0JEND9DpdVCFcHmHnH6u3zKOlTEmngyKEbdyg5mKfyftyCEDcUjm8xBqm665MsOc
gKTtO9FSkAXM+ug1EBNdctWRYx6wYTtZXNlhjgDEDbPY0lCdjG8pZF4MZic6NKfGiVGMtcWn8m04
UVZfQYCUS+LKj/uXzTZYZmWfOR2d2aeCqOIIIhuxK/2+TB90wSnTC4n8HNprJQZW/qZSdTXJDp9P
GcGo5ERV0breGWoXGs9OU3PQ0vSW3HETdsB8npNBVwT07VtQ1KvvMo8NiOMfCk18VvenAYrHYZqQ
ldZT7EGlCS8j/WiY5QPn+2y+ZFebxSYcqYVJWgmvS0SvR8OPTuIxxXTX/08VTN6+0SxKnQJGKcNg
+fyKplOGmKa+KngrLHm20yX/pw5Hb8oHJzFnO8yG53J+rxbhpTWtSw866LaGZBNIBotZvJ9zKNKG
yavaGq/qGAdKPl+yDtiWDGgWc7EjsX3DXKkzWNMjaEwwRQGwMOnBFTMGsqV9qdsqspWpKRzRME9N
rGi2WecoxFjkFAtgdUvji2igizh8lkv9URBBQ5a+xCOYMNPYWYoZpCHlQ1YvN3P1VDe9Y4ySLcam
K5oaMEqFO6n9l2xMnXpKH4U09M1I/wJyIFdNQsiklbeiSQ5h2brqKDp1a96N6buonMM8tZdx8fo2
RJP9H6ka0Vp6UKdvYtl5sVT5eqX5cpgdlOFusIAeXEI7FsMfydB4YVGAFEDwVMDA7aVXTnpYg1S4
jCD40vhiPpzMVLUheFBCnGVU7QFNPmvBuI4sYnL8MY/NwCCaW+q5QzrLHpf4oJBXAYlnEosPQiN7
1Qh2gyY0G7sTARDOC0fVhgfJIr5ukAfSJHZDwt4Jc803F8Hu1enBCFVn7GKgc9SIKhu4k7x4ljVe
MBJ/tCCTTMrI7SzzU9lUnhGND0aan0dkHCg4HMEqHQxm70qSdBTV5l7I5ftxAdk5iQ6RgHqHQuhu
Ocn8Lk/DraD2Xih9GgbrqPektYdeCgpFOEzDeItRIQ8UYpi1xTh8W55KTXTTeLlEzXPUQrSmwvBf
TD6ZymRHUusTotrTGLqm0t82Qu2ndXM3K4pdaPO9NtXO3In4H+rsUI5z4YZj+tiN4kEYRRuJGlhS
i/dO6oOopIT6hV/MtUcHDYx28Ej22rezIw/Lqa9Rl23+6crSgVb7qz5U96TMA10CBrzsfBEDVF1N
8DHQTJLEoM3GS0hEv7HAdQaRIHDLXVr9H2nMbDXNXpboTZWz26UXbBnoVU5w2Hxdrc4r81TQcw0T
mQMN3gGkhW8qIEcTKGXgmwbAjXLC9h+u+Wt0YK75ME6AHJWQXauzY54wDOJYTvpa3VKY0F8yiiMI
mZKhKkBjMC9HOR9Qc0pgjUSuMKX2BNLvjBNdNx9BKxtMEG9m9f/I5knnQa0KL2HdlsH20hacL7X5
4l4ZYqI49GiWIpIRWMvCb/v7dnqUTAyFfktin+MS2/fFddsYl5iaCAF3gaXMHlzBxhT0XY2sU/Hi
E48fircoxh+0Iu5jY8RbuNF7bN+3qRZtCJ6es36yFyP19lfG+1ZM3tdgTKNujU5ya/WfBZN++jmS
bzvR3rfyh3zoun9M3qeEZqXPdOapiKC1YbWfssj0iGB+NuqvllIfR1O4NassSPv5Py6QyQS1DLPr
zQxFdOlTIzpZf85CX0kCzvqop/2eF13Xx+R79WBB6XHCw2R5H1z6HKclSVCWgvWn8C234JQZtrP1
n+bYuQExWkqzpjzE6ZHODfxPsI3X0qWutrMqln9O6bOFKJ1CgSa1CzycU4yBwqseb5cyrqeYZV/L
sh4Qvw4dtfSo+dqhcjInOwpBBoIG3oLoMWUXpCiSKhuWrmpQvMDPV+nlpMqRUpUmsGB4gBfheKy1
ihMqtvZsbYLxhF6YuzweYWJZJruzMicWvdjkvb63rqirFfScfl1IM06TRDpUNOlzLXf7BoKY873x
sED3woxszODtO/j+qmR25k00i1oThB6t3OI7sk5heSlaztNiS10djBn/+zgyS4tL2nSELjFgTaNm
K+9GhSgL5HawiM78qXrW8EwrHdDt2BH38ctbHXOPmIUhJQKhxHLWW5V5ifK4zLzVbd0g69UxN4ik
yF0OVSWEdeFNa07a9FhGfqO8hcltV5zF9lHVzjMvudiK7mujdOErf1fTCFSKAxamiBgXTMvaVpvX
pOwvidxJf5PIKJB11AHXNRXA+381Nuf9/1ETlbdUpBUwT3Tr/uVJKMANtO+Qm5DStTVmP+fB7JqC
loyJj0zYa/34nkLIoYqFGlT13TwK39tXWpgpvvEkILei79o0s6to0hMjRifYTdK3BgT6kELolEel
/5xnh6T8NChv+2vd/orXjWXu6ArTybpC2TezJTpO43iKwsI1ZvFYJ83TvqnNYLxeG3NRyzGRBmFA
EyM9QhMZBHaWV9yGGIVOuYnO9qm7LosJxmMRq1FOI2WaeOX4jzhfpOUv5P0QU642mGhchy1UfDuq
ZVn+qNUvTXvMJy8sOYeb84HYsqRYm3OYQwLMrayLVh3HKLM1KOtxO0zb19fP1bDJezyCwH4ygVHP
gFtceoCYu0b+su8BnK/C9umgbCqXmYiv0hZ4fH9RTQg8cs4u5/ywYlRms0jqnAORnR7JsbxLguX0
wXjFAzvRgPP7bX/dLiZEgBKy6aMJIbfzwsA4pG71nQqnagEdih2/Vd/2d26T7mrlbCw5GsbBq0hN
8Eig9ogbnpBjnLUL3vR4O8Ye1aTikZHQM7K3RCY01EmbJ6hK414eXL19r5VDDELPIjAxvD1FPDDc
5lt1vUImOvSyaljyAjQcVRsvQLOilk6NQR1QlYGoMOPEPa45JkLk+SjLqfqhDzF6yceA7PRAx4Lk
g+UunAFH3lYyoSK3cKFEQNi4UdwZUC4DpbSoO00WKbZp3OsS1QcVfI7LbGcFP12UTeTxFtezUcaJ
Hoj1muu6LUp5YDbdi1iJN1052lk73i4KCfQsuieZwHlH8HaYzfBzMwlHFP4pyiYMCi95CF3xKJyp
iqVwFB85q93OWq+rpT9fpSNgoahJhslrN87MoCoEcCd+6pvuNrO+dOlgz/JXUt53KfESCyWhJH7Z
t0+987fDokpQYzZNqC6wMAA9IoLajFR3oV+g1OUu4z8obtpi59Y1x9RmFL2aYrEAUSeLJoYrkSJM
X81p9sRacZaGB9vbvHdWVqh3rfYT8oHEimf0E5XhSUkh3jJPviFxwujmpbMywnw0oaqSLEc10h0l
6OMW00mYuNJEm5F6ZYNJHTUiojZgwoZ5Lr72UOCIXSmCaiAQgdQVoyceUx/v+zBXAzQQSBvWCNUz
KMwFv9c9ITzuextv3+ifsPo4ygJtlsFAH9sKv0z990L39n//5i262jMm9CdEJWMdIxbLJHSHKvd7
YnhyGB6FoTsk9bMa9rZkFJy7e/uSW5llroC0rs1I7JF3Rxfprj7SN5o+2sSm0rfxY+tkPh8TwDm4
7LO9w15WPdga3Nh4qS1fNwVM74AvJzqOKC3ubyvPM5hrYEnKNNE6vHSXye8UP1OcKeJE/f3lKOzj
PRyaSYmzGN6ee2HvJtq90vqC7M88XPlm50n5+bEU9tneJprWtbTd2nmzR54T+1g53YjB3vr1QpU1
tNq2XF4Bcz8qYWLrV8ePCiHrUjpMsfTAETdQdsrH2JaBBihMjZN587aSCRxdLkUDkZDi9eVNSNwE
byL1i4nWV/lp3y14i2ICRgbB6sjMaXbQ/KOnriiBz0JzjeF538y+9ykiEzQw5jcM+N041OJprApA
KS/ZwCMw2o9Mym+MNLWuW60AYMGcnUby2dA4mRQnRigiEyMqAczdgozNSiE0LgMwNAu2sNjNJ8qQ
Nx9CkH984UMYeL7AZItDIY4jGKHhdwNwwqISdBWwBZmBlqD+WBnRy/6n4pljAoVqzi0E9RCU2qP8
vR1/RJhMGu5NmXONbKdo1zPMDqors9zKbQwXp4QQyetYBSYcQwe4LAnRQ31eSO6Gsm0Ix3rknK7N
sv0qfnxUC1Z32DRE+aLRohU6rONoj9K5aEo3q2uQ4hyEsHEa8EY2nBco56h9bMjKaCTLUwetJ5Q7
oFM4HWtyvwAKpgmxs/8BNxN+JKNoeisgi2DxNXpVtkmcYXGYBgWbOVRkQEkjPzT52YQQucYDtG+m
+itzdNmrZRll2oh1j1pcbC4OMcm51+pD04NOHHp/vtkl58kQ7WoZg1ascdPxtNW2t/W6XOZQWkRP
BrHGoWzrh7Y/TVqQK7VjlMJfXaBXO8wxbBezzZsa0QVwBSfXz2bUOXIb7H+7zcVoMiiWTdHAaDAT
99H7mNQ5hI+IGjRVn3Phkyw4cx9z1rJ9+FZ2mLDfGXGYNcsE7Ov/9XXIQb6j712ghnxetXYz+K+M
McEfHKZL26Nt4ZYqyBWzxkuE+BS1POXiTYIUZWWH8cRyrAxABVDjA2/9V/z3bLrK2bhER1QqUKMI
ubA9euP/9vBaGWRcb8pVc0zNmo7+hA+0O4b47ODQURZuvuyozHMO1gOT2CKxgoZSKHSfq1I9jNLT
YnS+SppjbTaXPhTPuSHdl1AEIRLSEh3Nx8hy+/RLLZ9UItoLJLPmS52ei6kIjC5DdBWAR80fZDny
LSgVzCkvV9u8lFd7xFwnWWKJVRMBvlXkB6F+a5b3/ROz71zQqfw1/PRpb5DURC+vrRvI6DWRrRKQ
/ZCcczLp3/nnb4328a92hHwE6CCHE6tAGc0nkRKTP871rdmlzhwerdA87C9sO9v4uXOgKv/V4lga
oVUmOKOihua8/NpBQUNw3idHfpo/QcDUm994HJ7UYfcWyYSf3BrKxSwxJtRp/XFeXlIgDQe1vlWH
0NNUTk643epYLZAJQqBkHIY4Bfm0GtRuc0NcMwDA3AbQKP9mOMTTvOjY3FKK+fJlUDghkOc3TFBS
kiysShoBQ2F0QcZiR2B/baqS09Hk7SgTkxJRGiVoaiBECJdWDdLCnocntf/BlcjhGaI/X13Dsdoq
8YiSmyu3tyS/09WL1d3r5CnjVbs2MajXMItx718tJYvcTOWCE5dC38HyUZFNfe1CK9AASd/LdgEu
ugrxLw3CL+ULr9W9HwRVkYknUVVpVEsVI+0AOJbnvj+k5qew5Bw+zm6yyWlX690oC2hNLUpnm9aN
OX2OpNdE/Q45vv1jzvFDNhU1JjBgaS2dzFuO3RKIyYC8notT4ewam3sKRExMksNK7eqAmGde9oI5
x7N6pIyrFbhCABeGRIi3vzbqCTvhhOVSKuX/pWbd8iVrXrLWtFvpIc0RLR8lQBj3rfHWyIQTqyZj
2vSI0GP2AxwYtXYeslOycErLPCtM3NB6lZjDjOfRHFqeCdoQqcmcaQG9UccDDXMSGvWjDLI60y2u
HMtsMaFUQtoHxH2FJx0K531p7foCVlKf9714vsjEEEHvsiUkdAerd1WN7yotsknNw8pvzhSvAsjH
NMRqWWPYTAJVL0Hcl3O79xZ/gaw0ZVUQXsiN6kqQiYN2yyG2WzRox8PAG5zmbiwTROSFFEvY4ObR
zxNgb2AaB0eg7uYQcU8PJOB1s3j2PkLqasWDMUxCOSBkjlBjxlH35MpXjwSUzuZNdmcdB95Z4HzJ
j0+wMqhUhtjnJaKkOc6HslBvFVI56fA32HwgItAdA/BSMdjGrTmV0LOifPpTngQiULKSaniL1vzV
XX01w2RCWlskwCDPcBiQO/SXDIKP4z/7wWN7w64mmMynrceitFoU96xYeMIA6y1JWztKecpsf3h4
Xe0wQSo10BZrYwD0qSdQwRnLm/HwWjz5AB6dt/1F/eHFcLXGBKs2shKhzkVQSGTxvaQ3UF3WPGtu
3AEQaozW23lf+lG1vPVEuZUX6TDW5kNnhQfZIE9iYtxXcWQL8eg0FeD0oz7dkfzeKvKgy0V3UOqg
HSEK0JdeFZfe/t++HWevfzr9+cqD51ayYnSBIa2YuIrkVVEgL+44u/tW6Hb/fkNdrbARL8xaPOyB
cNBIf0kt/Uc990/7JniexaZLorR0ugbPSnIVYlTEthL1ULUC5/bbfp9AYAtEGho6q0xIq1R8UrVG
/tcijJKbHlSdZmhLkm+hkbE8GiCI21/X9gf6aZCdy5mLhRiGQLdOsqXGU8Jb67vZcapL29/naoR5
demQZxJlo8c8i/jakzsp4jQB/3AerwaY0BJWlGZF+Ehm8cbyEg+HQnqk1D5t0Hyznvf3bBsLqF3N
MWFmJKORYOKeshaNHp5ZQfxMMWWY0/ks3i1OQQXnUls46jyIw3ZCezVMN3p1nOI0qaq5xI0H1Rqn
rSH7lDlG8aPoL2H7Hx2DCTpZHi2NYKAgp8XTjR4VpzQZg9iC+AMZOaZ4q2KChCyUcSZS4g4B47sl
KmWaZ/b/iN3tvHAsbZeMV1+OiRRmJta5RbGU7aTcJHnmt8a7Urf22HS2pWqg4JbqfzJIH4d97+97
DW+VTARJe/Tt9BxOM4f3Se4O8320oAnQuUnzV0H36iVMEMkaozeGFl4yNA99Fsz1lwi5yvB9fz3U
134Puj+tsNJJA0bhqkIEiKBVC4BRipu6ajlbtjnGCzzE/8IhSyMZ6UAnmCbUzesKxZMIarWTrbvC
a3ZLi4EQnjrzcDbbEMOVSSaU9IJQKEsIVE8t3ba95VrqIerPcX2vqkfBBCNegn8VTyWcGMlxD5WJ
KV2shYJeIDsKBwOTFFZpY39taxQ8AfGERDwugO0L7bq19POuQ0mGOiP029HHILdydhHSk6y87HsI
9/PRv2FlI0evxBCApwPlL6Af4PPKkF4GQgteHitIbxI3d4b+Yd/oH94l14Ux0SSss3FqapS8Kk8+
ZT/+FcFKv0GTKgBg29EuVH8ltKcv4wH0/v7yed8+/fV7x4KJMGGT1Epd4kIFAB6lclTByI+4qH0h
/mffEO8DMvEkb/tKH+kHHAuvGR/i2atk3gekzr63GCaSzBida9IONjAqBXUQFBuwg/lNf4tG6Q1P
BYizcywhZSqXwIv0MBaFXiIHIli3c3TmcRL2N45z0n6jnywHTU4yADy7wrPADq0uTt4rtm4ddLni
5HObnACrCKYx4SSWljZJcizKHCDXOOGF3EDAqToN31Q3e9YeRB/atH59ElA63V/mH56rPw8Ci3gv
zSTJigqPFEpHUHixr4DC+BEF2RNtcwu3wO/tW+TcCBoTUoqWDpZ36K1V1as2Pxri4b/9fiacyCSt
xAr8lJg9w8fDVCcap5xN2zxUuqxoEsjKRJVVv8rFBWpbOa7OEdLL0WcRsL+IEyC2v8vKBnNwpbyT
DCNGZjV8knzwUD5g6l9ziK0FKuS10srhhSTeophTjIkfQcjpOE4RYnDYU+ajqnA+zbaf/1wUhgx+
DfUzmbRQ6fHtB1+Chkrsm+4SzBh5sLzOHd3SE46VpwcQheJ8se1kfGWZeVyQSsR0TAZgRd+Pt6nw
edBNL6swkz6hwiY24YPQqZ40izdiGH9HjoeM3TRduKrdT+1jEjdHI9LBQhLyiJa3XyWrv4w5+5Ap
7yawLOAqwNFPIEddqXb5rfpEJzOzu5RXU9/GU63sMSlEZlmt2mFEwkX+aj4s7vScnULwItkLZHA/
piQezBu+VsF2i2tllzn3pQowbLng23dedBjPkSc4nS+ntvTwL6JGOzaGzas/bkbxlVEmGPST3BSV
gZM6IYnonDi5xXy6PXbHNOMBhqjv/nYLrkwxGYXYNo0+T8goaAcvQ4NYPf7LqsKrMG7egCtDTO4w
k2FWMfmNnEzxo65wTMUx+87OdE6OxPUUJgSRCUPQCprMICWdW7s9lr5wsYCVb736Qy89ctQbM7K5
AjbUA/d2kolEUSSF04JRW7f8RPWWupcsiFFCVYL4oH/Ludxg28+964ayDSBLUrpcBkGuq8rPqWIn
kRdZTquZrlB9HaaLQe5mXjF18xJcmWTCUa+VhqxJlGIAOKRQeov041/cgisDTFSJNLVIJ4rPlM0n
MoKeo3n7bwaYMGIgg7XMBPpNRSH5CajuNZM7sU4/9I4jfLwcVi8DIqY6GS3sUjLbyEMmP7okPySg
8VIfNNpfBDgGsc3Mn93CjT1eh4QTOz4C2sp63GSqJCy4MhJ1+Q6OEcsetNdG04JR6DENM5uP+zsq
85yCiSB6CXo/McVNoEAZzqadO0Bd8ZB9CQ/dV4xxgPjHcMJj+mra9aN6eBIUO7v7b2kAMpxfr2hZ
qmZVrfFgH+YncVEcWXk1C14BkxPC2K6QlkATwSTIz8Lp6yBiBEwHi0NGbNXi3Pv7SQ2mpX9dTVRI
adoRWn7QQruE9qraqJ5ACn//03HMsD0fy5hJHZn4clPrdbo/xM9xzQEX8EwwEaOcY2MpZVoYEg8g
ibGrMOjI9/1lcD7Lh+LRyuPB+pNJ4oBOUho+hF0wgBDa8LjlSc6plpnIoYDVbawrJAJ07js7WR4V
DERKG+wvZnvDLFlWdEM3ZIUxU2rW0s0FHjZNeWnSm2E5NryZj+39uppgUpowEYSmSxEhGq26kZbY
a9UF0VYBrY7MeTXxTNHVrj9NoUaKJuA5IJQPxBRQiow95Ndeiz77f9s3+pesLHVVMeWShpvDMAdP
IYNXK0KQVMTbN8NbEBNnJpOIfSTgkhcj5KHtyYoPVXiT8MRgt53t+omYHEaRkPSHA0QUM+lzpT1l
cqCpQW9kAKyCq+pdinmaEpuyYIp+tciEHF3IpzYukHKmRwO5Lh1Ja/Av5dIe7xdndtVPNMumZS2g
yZw00Nz9neU4PltybWejjtMMf4AgO0V8iJLbiFvy2b6qfi6SLbkWRg0g8DSj7v9UH6cnynGgusQT
/flWBoHreODhSul3+j0VuBpk8hmgfolEClBNm823QvfN/JvcP1RqYkvjZ41wOkUc32SrrOEg50nd
IZXHZJ2lHQyMmyxFYnc9zzt5n4oJIEDqQBcMlMJuLNtDXNspeew6Xuj4Q3573TsmdsRVC7qQokX3
DnT/w7E7J3hzSx45815bf3jLXi0xsSNcknQRDKwnx1T0R6KGzrMtWnZ8yPz0pXjb93SuPSaIaHpU
67OBtyydDYod5QZ0DbZ2Ru3K7994g648F2RCiWmKrdFb8ApBP5LqmExu1pT2Ul26EY+g0t9fGydw
qUwYUcrIDCFCBuzRyTxJh/aGeKpPAt4n43ggW06Nh8Ja1ArnqjcjZ0T/ohJcaTzur+UPL8mffsEW
U8GkHg2y+XHlC+/5MQFdIRUkTUGCf1JOwgn8QsfE5/Kdbz8kr2aZoNHWZiFWlNGIdmBVJ3fByxNk
UO21gtxLfJXTnPlDkelqj0k5FCs1RnAh0loqKI0c6RuYPA5AjEEEr/ZGFxPuB+N+uefVcDnhiq2o
zlFcifP/I+27luTGmWafiBH05pa+e3qcxkm6YcjSgN6TT38S2vOpuRBF/DF7PRFTDRCVKJTJxLCw
W2FATvfSyRHkc8aTguKdFAZFRkFOC5mWLMrlTlBvCZpL3jV2cb06NQY+RuRPMlA0gRsCwdp0AmMg
4WmE8lbBIEYOLV4jHVArzPsZwh2GLZoLinY15yhwsEJjsGJNdQHahDCzLCiZpXdStPpKRB4SLG5K
I0eClvSxj/EWxuBF3q0q5hXxeZT2ydJupO4+6zmBBQ9uWY6QVW/IMC4YSqD+NJ6ofkB909vxAxK3
Dzxv4iyI7TfDsIWoVClOdTLdmHjoZ2E5e8d7xnEclicEUo/50JsgrzRQ4QM7WAeJbV8WnWMrvIUw
qKAqXZbqtO+oj87FcI/EekJej03wFsLEEXE5911KH25EkV9lKEzY8fyQCt+GdXg5tsS5llh+kNjU
DMusQPZAWduUkAQK6hF8yVTenjFIUKdjCXZQIOlsnZXIHsVPMo8ik7cSBgkyo9KlZAZD5iQ1nxvr
FXHYZS3bezEvwjKW7FYYzzK3rLOfJf59RegMMJgtpVar0FqSXPSz8DbfjNAWK5HNMTh3LgeBdAYP
xqhLrEXBM27pUkcbA8l8hGqWY4inIb5Y5OvxsfhLuer3ulgSEHXulyltcchl885YqXSAlvqJdjZB
IthCr2UZ7AQBRv+SCm6dcrI8nLWyDCCa2tbjlCDLQ1AKJvqdHlXOkL3W00XMLxh69o8XyzmcBhNW
kEqZraTBWsEZHFjiYtdFdiLcCJAewIMnDys4Cw0tDF6UuDBWkNqmzee0xdyWEF3mKAe9nPQfF8VA
SDoMkW7GKEG3ud9Nz2IfFOJ/PSR0YzephUiPxQbcxDQ+qm7o07hGu4X5PH2T/dwDk1x4/J32u3Su
8YTBoIhYzFapTXC23qXs8+SsnjQUEcD950besS26PUcfi0GTZhalTKcvObKkjmBMd0WnPR2b4F2/
BoMdsi5Uhm5iOeZn2uYEml3P+jL5BsJnnAxOvpFrjQGQtM8Kq6NdHfSyBxm3k7lQO/atoETozPtU
9EscbB+rhKiKLajudfR+auDQQXo20lGV1TLbSL8db+Iu6kOyXLN0DbqH7GjfYqwNZHpRUqAv1Nwf
oRGgQs2Ml3zc372NHQYjVqXNhYReYJ03u/ENWLQC6QPG+fCEy37wpJb26+oba0yIUSq6UuUiTl+G
V/dym/tpMKJagMfHeX6rvfkn+d5CVUdUA96jeBekNpYZ2FilOZHmCCEUMtM66LSj5iOJglG96/iT
HLs+trHFwEdpEHUYepzIInGodlsGgXH9uQxriKrkd5QncdSc4+OyDyEbmwyESCWI5BJMiAJC0HDn
Yqb5MfKLU+nVwbuecRtTDISoFl4+Yo/Xai30doO8bh7fRm1QVW//cU0sjiw9AY8THifUs4uQ9ruV
oRVULtbEgWD6r/7w682aGBBpZNAjSpTdKZq+ZJTfR+wcEi0XdII6IqlCo285scD+I/xqkq3mmm26
jvqAHnwoSLjTFzpLJat2cduHBhKTbuxUT9Gd/jbdvKumuzHMVmhS04qIYOF2M0nYjsXNZOSc47gb
eWxMMKgiFY3UCzL8vJQvS/Wh7+7mmteQsgvFGxsMlgimUkdCgcY3ub8ghtOln7l8U1ju8SHk4DBb
2o20LtfyDHdZm71k6im2EqgxfK/FMF6+a+19rXLaM3irYrAjHgYF8zGgRGoXNAcrviEqtmbdycu3
43XxgJ+d48tQ1U+bAoCxdq4yfRMQlBaDTfKvVvcD+fJiHHxjsXPRdBTe+5x3OhgAUaS0xSgNjER5
kNZfLRJjAJmbTd63AjFLSQPNHZrn/h3ElWbUjIMOFJaDyYvOSih4a2B9sJzUWR06SgGZbl4uYP/r
XW0yiJVgiqqyaO4kT+ebVYQqxwqeQbWuA9J076FugVrR/9bHQJY6j4OiEHy3ofo+zY6k3LbGzcwN
EDhLYqs06tzWeH0iKT+hCCQ7qNYMtuZ3gfww+JMrXshp9SBdfzo+nvt4/HtxbN0mg4B8rlIlbck6
q9LtMnXOimMi6aCPu80kXq/nX8D4ao8BrEKRhEylUg2QODHu07v+NNwKOCkRWJxBt5Z+glyuM9zz
6bD3H6TXz8jWcPRJK4Sih8oPZqMCyt/Uh7VHJd9EtIrE/sBB5v1AwZQtHe8yWTRY1qslimK1XWuk
E9b7Oi7tWIHqyqTcRYKMfA/6NclC7omSwD2m82qulX38Zanb/XHTbuzT87Z5W2HIdU10iJlAfyZc
4szuoUqcTV4sfqnfFxSZOsQoNRXStgYT9JkmEguriqKBGNTQQJ7D8qaC/vYvtnvevtLr5s91XW0x
wJ0JS4VqHFor1ACKh14VALjlb5JTQiVQeljv31Vo3KyN3ce5Wsu5QRtsP5yL+ZNgPKfrXVT4Rpza
RsJJE+/fFhtrDJiauUaaOptwSaj1B234aUTJKyTTnqESd1KzZxFTT3ZLBKdCzNQTNBaU2sg5OLt4
vvkJDLZOArSBiIAFq8OXxXgtZ1esveOzuYs6GxMMpEq9WWpKBhQY087pqrOaE0xGFqcJuk6rrXac
u563q+xrkgjpJFUr9DIaUPzqDqbSXCp/U51yL3nkqqlzNtBk4r4ZJBlqbuCpZ74M3ufVzaHmq38y
v5MLeeie8qDnvpZ5FhlUJWsXq/0MWs4RnSDL4FiZ26W8Qex9QPnteCZ1zA2gWI0hF2sKGbPkeWjT
J2H4MVQC+mbri1LEnGiQtyAGUGKrsZKhAht9BjlCSR6+lVH0bEBM6/gc7gad13P4h8K4MC6TZCAn
uurhqn+x2sSpTSe2/Dxx0v4ZtIUc39q95DcGGTAZjYXklgjfikXD60gOLjHdNfXch/q6f7w27qFn
oCTTwI60EgQUdAoH+Q1f/VSGtM6fnSPutPl+T8FmZQxqFCLJi7HBdUeyJMj62RbkBOR9Ohgl58ei
wFWrVZfaKBxjlV6PV8o7mAya9Mi6NnmLr2h1zc1kXeJmgWobRjBET52/HdvaRy7LVCz0DhoqGy9N
ymhihh+3alYnfjx7/bD4WX42q1Omghv0PdGZebXG+HUyzF02QA3OXavHWrnomD2LNTvVg7F6NceO
czj39/FqjXFwebXqrKUP5Ug8i8t5Kkt3Mn8OkV0LPH6rfT+4mmL8u4cM26DMSNDP2ujFa+RgfMZf
c91eNIlz1+z3Gmw2kWLNBre6VswEQ8KVSkXODV/xBTv1CuTE2nD5iFqV3d9qk817/P8l/rsukXF1
QRDS2kghPppf6pPuSOEYxlAAMm/4sS1vNxlPJ1kEyQkJvifNfhX76vBYC2g95MUm9N76M/K6rohx
cSEvo8oU8VZIxCxUwXSujustlezQR/C7S1DSBltE5SxF7HfdY70sP459bxetLUU2NNXCcBzL/pRM
SVbEkolDk7x000uivGjil3yqvJg0Nggg14RHFboba14tsqmjJJKkeaZqHhok+Rw6hoeWERnJVC2Q
vKjx0GPuHK9x/4G0MckED4m+FmJmIB8NetAmBEmOI3u1n0IDpl1c5XFEHzgC3V6x+XMPu/6/Mc2g
jdbLo9ToMA0dW7fWvXgK46yyKwkJkvzj8Tp3cXRji8EaRTUmdTXglKv1RcV4FxLGa/amih+01s4T
Hs/W/sp0zPWougHaWcZBqsGYS9MA6dAEgkZ5ujXEZ6kCnL4VWnC8rr3ABTyEoLrB3SDjNfRvsBmH
WihqA/nNdf2JsUBPVFpbGmKOld27fWuGAZesbDsQ6FIBuHszoOSTaWDc0qdzS0tZnDO5t3tbY8zu
1XJhLnMBL1DjzjY6u6jhgc9Tf9MWK+cK4i6MwZhpUUu9wt2LLrf8mcqy9+iU0j/KoCiLXd7Tjvex
mMBhsJQ0S2gyoqkCA7qRbf5QdJz08y5j3mb32Ia6Ms3AHjnjU/V+9UpeZScNB5SAdJTPEjd15PsW
PFsggyrcPFTfePmd3dtva57BE11sTLOgTMsRHiOKr4TgOIFatHmpLpQXlXYb107syx+O/WDPv2k6
wATTsiZiYurffoAOa4LuLVqalJ4lyPlO6d0C7bgEqrcpaL+4wS4NGNi7aWuPCSgkMGQkVQp7Wl4G
qbY+Rmv/VUhAcJpBqjdqH/QydWfyCRX0x3JNPRESsnXzoyajyjnCvF/CIIA4NZFBSI98Aao2SvWt
tLzjrd0/tdetZXx/6meiNQauYbH5qkw/0M3rjnHK8XmeEcbnFT1Ni2hAlsVoGzuuBLvsPqz1l+OV
7MUt24/GOLtcylnTrDibZpaGUvm5AbOKnpq3XZyFx5Z4y2E8vZmqRiWU3UEaK3ck+rmItVdrVO+P
zfwFvgxRglqcacns0z+u+z6CODKa7p7yUxSUPmQk1JP5pH+j1UiTF7HvUmWoSC7+zx5zZecthB0M
2j3UYjJydbVwDdMAraW+/o1KIUCZmRMS7X+yq0HGr/O6kWMiINkfq5/MBOXdwpGWjwav2Zm7kYw/
y4YRr72Ed9ZQ9i6Gw27KujmbpPV1rbibxNwxhcqJdCSLtPEelXVXbuKfxx+Tt1R6pjbvBksjPe4H
9Btq5RxAttyftG/SKDqTOr3L2a6bSn/JxpKQR4qS6ggaZhX0AciEp7bAa8jav8SvNhiHzoexW9IY
Dp3FnrZ+HSDO0f800Rig8gZe9gHwaonx6n5Yq7Sjc8/W9JaajTNIPQdid8latseecWdjzaJOJih7
To6I+7QJ9AfzeQ0Gd3zTnylxwAzKAPnOOE0o+WYvOtfvqF/9cd1opgbGH4iuIsv+7y8GoYJ2qWoV
1UN38qh08vo22i3GXUovfuLFX7vdHOrVGsu2pid1I6UlEorqZxBmuiru8dKNThKGN5x/OteTW+1X
6PeuCGljmYke1JHU+kyJkhNIhVX9yyjPp3XiscnR3fpjN3XJssCcgaYUtjURL85oLIqZDgBCOw+j
vCkeynLITcxScDqww/Yk6qmWFkTBBGD8OoBzoAuiUxqUYXVBFuAm5zJ/7l4612WxXYiDIq1Z3+KN
oxkBsdxegsrUe5BjY4LB/yZvolavgRw9iOet57Q/G9F7YHBjgkH8LF1VQamQRswVrygLzF0Xtjn6
i/SukGNjiIH8VcgW9BoM+Dor2HXA7Ax2KU4hYBcENyYYSF+sWFZaEssYWch8RYDoqLZ+RoKSqlve
l938fHyD7AffG3sMsDco6qZK2dFmocnTHeIV0IGOMpuOgHSn8TYPlJPg8rq/dmPvjVUG6lHILkaR
VgOEPH2pk599pztWXYWrZD6UM/RAcq4Q8C4ebkwymG+tdT9KNPzOK1sCO816I59oC4D80fTBcfv9
eF93b5iNNQZ9F6BhrBQGFoh+r+p5qjhBDgeP2HKRVfXlsFj0yJ9Er0RP4D897e8ZtVKvy2CDRZIW
eSolMNNpb1Xs1fNzp7vHO8U5CiaDD1lsgbFQA+JZsTfq4OH+nOp2PJ3GAmRmJDkdW+MAHlsh0iFo
Vixjhbdm9W1VnXJEJ3TzcmxjN0G23TV6ODbB0qyOZdFAixD0zfkzTcgpPmXHAhWCN3qqC4lQL/2W
nHlOxTsTDHSIBaliPUJyXA3aEzljbOxXnyiPY2L/rt8cCgYyzGxWsjbHF6MTjNVZ9HI39pQPlGFf
9hu/xdhYjKt+CGsebfRuxnq7swxurKm0pKRDUNP7tDs69fTJ0S+dm4Tlo8TrGaDrOLiLTQYx1tUC
f9LUIM9p5bap2nnZ2vroYLz8+LxwIJ/Vx1QXeZhzMMm6GhnsRn0aO1B2ar6kgSRnXuxjYxxg+kMh
c8kGQaQ0Y0Ks2gr52XUcf95/F12Ph8UEZLmxxl0clWi2eqwvlNkSLdih8UjTR/zE3y5F0+ZEWAx8
tGPeERmcoG5yKu6EtzXM39qf0h2kHpzKT866l3+UOFc0B7FYEaRmkBMpp9i+gDG56aBIN4DKyIAw
Ag5IFkunVOW1ye22Bm2XyUJKVAmWMGBThVAPDH+9MU/QtEhsyriVeKXT8lyNcygtBkyqekD6eMQ5
aeWf63rTma/zANETq8V7Ojw+kvRfHfiZxeBJroF6XofksKuk+Xk0Ia+dmN2jPmg55+wfOzQ6nv6N
y8MylJlG6TWEFMQqoEkzT7NxycuX4/XsFpqvH0tmFUgqEcmuoQKbAW3YpyMPSiA5rS2HvOv5+CTK
bLmpFMa2WSzE1inpiS2mtZu3nVvNiRuXsVvn7WdJVzjxPGcT2YKTsIggmYxqNMb0wdi5Zl2iFc+u
dE5LIwdG5F9XweYSrXOi5L2JWbd5BQ882GPWvvSUeF4coTbt2EQ+RZ7e1Ch1hRmd2ZVieCB15kCz
cnw2wVv+7yMjIpDTCwzgulKU/DQw1jdHlVeJ8aMFMcDWAJeDJYUJGjuXJIb00nKO5hSM8z9VI3P6
4rs2FKEEol1cXBgzaM9i/TZDQ74tczQgpJkjFfHbAvbzufGabHVbqCGAB8Oeyi4oCtXWOtGptUtv
zt6yCh+Pj+l+iuI3UMtsAlyAfky95Hg5a/biaL7xsfSrH20on9KL+Ev8IfMEV70T7R4q6pZbfju2
v7+1mqqIFgpRGtuUO6ZgEGxpHUVtL+oSFNKljznR3r5/XE3Qv2/O0ASC4bxXFfhHZTkkz50pl25S
SXdaU/C0bHbG4j26Tap+NUmDtI3JVByTSuuQKKhHyDTGP4m22CT7dLx1++D82wjbiDtMRdpkMsqg
o0JOEPy8a2VMRMSVY+X1D+gu/jw2x9lGtqMEqJlWk4k0o9SC/AVzOqlfNLVDupMgg44+D4/N7Qpv
bfZQZZyuKPN8NXU6G0kW6KVVYzjnKCcDVO1pBJqOmaPPA9WmjG+yqnM0zboVo/KnmYCdJlscpS0y
tGmo4SDp4aSOt5D+5c2u8z4Bm3PQST8kOuIOqTuZ2kOht3ZVPwvxj1jnUQzsx/XXr83c/aTrRUhN
4GtnpxTTUW2oUZpNn3eZ7AP71Qz1183JVYipLQ3NouDT9qJLCbuy3l94hF1/CWWudujv2NjpgNSl
RZs318Gm45Q4thAdVz4vvu7XAcgZrQuvwrkf9F5NMhe/arWkjzGI4qrl3Sp+EUsOzvC2jsEZSSpa
wSppsreKPsoysq21rNmF1J9XXeDE1xzYZElWUj3pM72TMbVZrd+VWLzFwOClSntOUZhjhq0Jq3Ne
NoaBLVuJL2tuXz+t2euxn3PONcuwkgipRiqCc02pR+hcPn2vtly6mL88EX5/fZapWjOyfikiVLzU
AKyS+YiZOMkuS/DtQ5AbocsIQcz/S1MC51SwNNW6oo5CTU+dEAeJgvm45rbIPqVcGa59eDZNyEdL
hoXezH87lJGaQozR0f+l8KSwsVdfdSToMbY3KpIN4sf2g2gLLsRdjr/gX4K0q2nGl+UhTyCri3SK
GKyQC1pD8SG36bxC7aCWyIk89yH3aozxYqNPaqGSkRo1Sf+pWb9Mq1HYxUoTvvF0s1hQDjle3v4H
vBpk3Hrq1C6tU1T4RNK7/dzZE4YkeqmEBCRP8usXg+Cfj6CrLeosG1Scq3keagt9lL0ff7GQnnSX
O/1c3aHLF6zD4NBOHNoWW7n6N6F2Zo+OLpRgYzteMWeL2eA+mZREgJ4WaurzUyvcSPFkV4krdk81
nkzHpv7ilr9XzAb4c9MYa/Urt4heE7yVMG6sP6SObtPCSoyUs8XtpvlL/uhqk4ks1qnvpJVCDq26
oU50Y3mqTbmcy1temoy3lUyAQPRBiE0C7xfVm7EPhap3JuPFWp0qXjhfjQMA7GBiR0g8j/WErJjY
/mJTwjGNpucm/2Bksa3x5hL/8r697iIDOFrdtJ2sjXBEK3JkYfanwrAbBak4aXWGtL83Y8VZhfIB
ZPC8U8NbK4M4lZGbfZ1jW2ldFcPNTncuT1QiL7tfHtbzcm8EGsQvMtXmpVc5aPAr67vx0KYodMha
wXIt/YwwN0T0MLYCUywCjmPs34vX7WVgp5nJUJsJDKlBFDSvIIHwItdabfIiP1De0dHDCl3rJIeo
2PGSnvv3/tU4g0NTpHRWLSPWV8Cf3QuVTXpvJJzg4i8x4G8rLPlsEYEhWYQvuvJY3FvLjz6aPalG
xXNcTkRNwqVFXj6PHkG9n9uQbw+bHqQs1uwfbzVnsb9eyJtPmloDIY0AxzHl2smnnyg7QQH047ER
7mIZ0LFiPVnaGKNn6IJy0w/g1vyl1iIFtBbfvvBqyJxzynLVkm4qlXxFlgv8MvBQMJ+BuCtVY7tZ
eT0wHIz7xQ692T8rbuIxrXBS5xGp6iCOoGw927lq2arM6Vvi+L3MYE5nEl0WC1z+UAKwBeMH0R4W
AmHM9UbKbub3MMuo+vV8MiijCWRapQjnc519UnwtyKXIOYSdvL2jf9/sXSmnapRUCJ2sAmA5YEbw
RpWQIofquZ4+Hx9B3jlnEEUcinQEjw3eDNpHZQVV8oPyvjL/dccY3NDFNVl7ymeEFFYzoViSx3bc
SJybjrMQts0kSkUjyywkH7voIRqgIiXeYuTweLP2S+JgXxZlSMyYIKz895exkq4mkHuBA/l0Kin1
yC2ByIyI60UHb5h2qkI55IUL+6HJxip9w27OQzoISZKsyIJHt+1J+UXCSC7ambLuapwCxu4ubkwx
vtQKVd2sU4rQpL3U6PYVEEbzuPb3g4SNEdaF8njo5gzpBPEcnZtgRJu0hP2rAx5l5u51uTHEOFJe
t4JhUX2xqkApxlhtM+5tsfCJ+m2dvFJ5kzWe0NIuxG5MMv6kj9mopDGywk0mrK6Sj15lDKMbxYNd
lFwOJfrl/3gabKwxrpVFc1nMPXayhzg2lWPMS7RngLLpkaaBTJDk8Nq5OOtjuwv0KFEWqabDCGKQ
pG5fnYUM6t/usaNxjiHbXBBpo6XGE55XRdrao1m/WMPFiKUPx1Y4u8f2FxRClRSGCW8WhsYXtDRc
Y+Idm9iF8usHYpsKyNQrSkubMYolVOKgb2aQx50GSNOoPKaTXclcdWOLgYlsEuqxz5FfhnLuRRyf
QWHnoa3Fq5XYLjLQJwr1B6vRPyqd4qCT2K67Gc2oGLYl6asKjtW8U+7GFI3MVompwM7uDdkv5NzX
QfKRalY4mP3Dgha6rovD413iHSoGdVKDchJ1KHOr5YMQfUqNl6FzRd7UDu9bMLAjyz30NiOUxNpi
dKZSh6zh4gtV7BK9DtJ25rxHOOBjMuAj9WIuTQlaPWhfoATCBi3QkcPi6efst5RsPjuDOH0cxVKx
oPGh/CafKRPxeJJuwF9yWvwkjHwRM7PEzx0eoxpveQz0EGIIfdwjcPiHOjMN6PsD6pTB8dHgIAHb
lCAkRtmPBhxoQR86+YpjOnBnLOmtfYCibFuC2pmtLk3AtPjVDFRwwyX34ieB2NWF9r0Lz8rzf1sT
E/ULqWzi+MGeIYz3s6mEpYUpFozw/DczTLAyzXocTQYaA+bOE1BlnCdvrl6ObXB8ymIwRyW5CAoz
QKhY3lgCPlJrz8KDOfnV8OPYEj3GRx+JwYh5hEqUZWLTBKmzGxBwosZrt3GLaxXRpGbr03/dPwYv
JnC9zIWAEx7X6tMcv6hxpNhmavImU/ePn2Zg6ELXdP0PbpcqycchBVDQPkt6/Nav6AZzRB9MsbfR
XfUusL2aYz7ZMLatRRpsZKZ6+fxgkJ9rGWTYzOPvtY/pVzPM95KTGDr0pkKbr3/oJFTweYro1kj+
42qYjyQZnYAxLtRxLUW4THPrtGsSNHl6tnpe2wHtTvrzBF5XxAC6KqsLtEcp0F6iYAiKID5N7j/i
F7yC275bXU0xmK4ORbuAVAubF99FGJYirbvUYQFNhSrhvJ7pdzhaFYPjal4aAojl8bhAogNVaZro
4FalOYeBLRkV81zrmbyi7TF/UAQw1ltvxvrRanjk1H95Kv3eOLZwpKcF1iL1tL8mDnMovK2GPTvr
z8oVTimPc3k/fQOGpP/vuWz5qFjlHrzOeC0t58ETvSFIXOtDGVJizNxb3njPmf3q98Yeg+hWnyUg
zYM9+RG79x2ky2j4omoldMJ6ves+Dp+oGgBkPD/zTiR3rQxsTDohtZLjIsZgTCXcydINMU9D+jqa
zmD5vRL2BUiG7ocFA+2c+3K/ArJZN4MlOmgC9VhAw0/7EVL3YMCRMEKS+YJHpTat28iFPK87I18v
OfQZKVxAiSB+eA+eoYymUvoMkW2oslI5r4oJb7o1Oqvx98z0BjPgNm/vO8pvK2yVpTEaLe1E5M9T
8VZs7El4TMgp4mXM9l/gpqxLwBAFpHcMlImT0kixhgwTIaGs3kmKU6ufe81H38tcO3XxpZf94+3b
rwduTDKQJkeVFOUwi9QJ/YaUgFe4iwMDp7V+4aVMdvFzY4wBtUqQV8gHIK9KltKeiqdMVWzJvBmS
LwpPSIL+7j/w82qKfRAjPT1oHWRuXG2p3KpLv5bN7LXxdC6NDHpW33OuNidncezjuJeHOtLoXIZR
og3sNs4eBMNVoITTepxvxrPEBKotSRY1oREQLcNHgxv/SN7GkFLdRTbeMrcYcnHBl0Ps4ivHMv3P
f+6qLoLxwDTgc8wBFcZCNGKBBimnf+h/qIi59khfGJYrcyKwXZEr1bxaY87mYoFVGxxw/yuTN04M
HTeQDd/8KpSHLQbc50D2e6d2tAcCqSvuTN7+Tl9/AXNgi8qaph47AR6JSx75JY6ScslHXwFPG2dr
OabYu9hcB83sNFyRjUdrDuQOzfLn+BZPYlf309OKEn3mxe+T5lZNC/OGBnBH+nXBbLKYmSBb6ZzL
FAAWjBOhQR+DqWHvQS7gBtPtYCR+D+f31iJzZRXonjfHBI6SX6ovMnTLUC0/VxfRLc+pz6uP78ZR
m+Uxd5SakaIu4wHjI9lTWrpmLthZyvt4+2Bz3UMm2m3TeOwielAtEeSPjadn5z4BEYPVozH6ZuYG
8fuV+M2qGD+U267L+gR+2LpR0H7H6Ehj128qOB8MlOOpVoYpeRXP+8Vd778uk/HHuJUMCDjhqPxS
HrqlmoqQKHXEkEfo/Jdb6WqJ8Tvkf3OtoSPvlFdzPqVnAbRb9uRKXnJOXlZeC+i+7/02xxY3O1LP
qjxhYZkeQg3moUBVvk0e5kj00aPy6djTecaYaYsSfGZGniD7TabPZXKXG9CEaU5ZEVaENxLAOfy/
AHbj20ZWm3Jfl6LbF5/ULND1l4nHTcM7imzxMjOJYoFgCPm02qHqzUbkjLb8XXUL1EKmE7nXC1u9
/a8nhC1kjp1qlJOJN1h5kfzCy+9RcMdMx0ny2sD4JMY8eN59ZV49jq1mFtE6KAY4SX6lDet7RLhw
tIqauxX+I0D+yihvPlsj6m2sKRgLQyEmMG7GcPCVs+KINjhlQTh+fBx3Q9vNwhgoyRtNUXuEpO7a
PzXly1y4on5biV+OreweeksHlashmpCPYBy6SJUxXhIdTwUw187TZNeL/LmTWy/B0OCcFZxhy91F
Xc2xl6kuV7kR0bmRurab7n5tnFIFL2jwnkVZBlDdlDWZ7S/RokxKVNqOr0I2Kg3m+ZJIwar7QvTh
2ND+cq6GGOCtykGSsg6QsfSqu8zuIKNUoIp2N/88NrR7kVlXQ+xnEup5NswaUXPzPCRPffuUNd+E
7Ecv3kSle2xrH+SvxljUTTVx1tsO20dFWkoXl9hL5NNmssJfvvLy4vsH8PfK2MYRsVkTxexQ7Tat
xp6VH5Kc4nFld8qPjJeQ4mziH6g7mp1e5ogGkpN6poKAiHR881S9CE6SOL2nOD2Y3sRwCAkvZ05D
pz/i882WMpkILUubVKXxqmzdddH3Mno9/macg8ii7tSTGO1TWNpiYMwF9JS3cOmZd9y5J4MJ2lIh
gcAnJYQRA5POzoXSnY7bH+wzYCLjKdnu891sNo0uegO3q9ZJOaRgaCMnGuPQP0Ae2zfiaHhaUIvp
PS9pw9tFBnLxQTU5t+guji9y/JzPn5viM+G10O/fzJt1MagxLlYVlRF9rF1mF93FmEDMXMzPG58z
6JjUQV86HJfejTc2Fhn4sOY6qq0F+gdJfTusdiu+GFN4fAL3U4lXG2xDSU2SphtWsPR3JTKi+p0g
9rY1rrYmOo3sxfOTbvqyhFyQxgsBOKtTmMCtyEdl7CNkL9SpuM/k2m4xy+bUHQnURLxo3eiXUf4A
1YL7ue1dQVncXPjQq9qPEUzAjVJxLm7ez5H/fWwXWc8K0uHY5q2bZJOt14+GRf6jEQZQknho68lE
GmUsh7OkkB9Fr9ljqXEuOHowDnBLYZ6EmH2UNJ16xOhTspY+/L9VLfcuAU1UZFlHRQdkZwyuoH/B
FKGrhvk5LbKJ5pZdiHFxR7UC4/vxMd0D4q0lBlNI2gtDX6PoX2HiWO+qD5bSctIje99/a4JBEZA8
iIU8IcZJiyDJHdCm5u9pEduaYBBERGuM0ld4PIvWWxo/VaBt0xSeX/HWwYAGqDXVpDWRW80HLcSQ
2amozFA2itPxF9klQdgshi1Zx3JFxLqUaIJFD1bQrma+mtnVLXGkYMTQ2r0I2l6CliBb/RDz+nP2
F6nruqwrIFZjJ0vUSFmWfkLKrrHu9PG5lSt70AcOQu0f76sRxovMGD1N5i8tvwRvLvUpxfqWAW/n
2i46zunb7bnTxKsxxpfiZZn1KsHxMzBs+gBG4icyuOr3wU0fFI9OOySPyW0Z8Hq69x3rapZxrA5q
F0KeA/4VTT+Dv8pN1tY9Pim8b8U41jp1hdXMOJC4zzyl7h25KoMcI4z/zQzjXPJElKiYABF65K2j
by2hIfG6tvderduPxPhW1IlxotI2jfJCtcyqIAq7S4+XJJ/3lHP4WNnedJZLvIVoygYwPsRvujLE
dmneTfKXqOVNQu+WvTYLY3V727i3IG8CZJqnHy0y+qtifo6M11ogUKdt3KX9sog/DOlzYiirnbSg
YTUknqYF/UDspaVJKDnRFDVuFSYeaDsrUeYJoymRgPmt/k6M7Ky8EadHVfMk8/X4tOye+40x5rYn
nZbImgT0yinZpJnYcS5wQitt7xbeLoi57M10qbt+ShC+tSaiqaz0rVI8N/NjPjxKMDlhYn+xRlvQ
FGKrxgfod82YsJKcRioxfbAWEDr4ZEKORu9REYdKatxLgaBITpWlztCq9xk6EuUO2ou66HVd9TFr
Okfsb7G4s14q3tg0dgr63yLCtF+jUlL66K1Iy8dVJndRHgeK1T02WucSaREcYsinViOgOMrO/4+0
K9uRG1eWXyRAKyW+SirV1tV72+55EbxKovZ9+fob9BxMq9k6xXM9g8HAwADOIpVMJjMjI5K2u4vM
7ynVXTNyjuNgXRKAtJ2iDQijL0mhfsvmDnd+thydturcpoZqh83+hBMa2t667Zg2HEJs4KGuN1VF
jSI+zbx0GFxMZGig2w7vKkdW29t6RFiGamumiZqKJbIFslQzB6IBWA25W606RsuXKn8yRtmtuRlB
3syI6XbR18kSVjhoSPt4f9BNTtWBc5jMB+lDjPvwhwO1siUcKAIG2sUoIxVJkzvvYq9RMHZBbqra
43AOVXV7GThzM9SvLAqnqh3rTIfSLopf5vcsD2p8Lyrj7t0ME78Zi00QizhUuE6mlnYFxIMRGPNL
xR5A9aFroH7XvTmudo60qrIZh1fmhGtFNUHRoIVYEh3o6LZUNTw60sNsKfftlO/AbuAVxbfFGH5W
5nAo7e6+BSmGU4evXdN5fTcFYWi7vf5HbR8LeqhI6BwLWyHcRQjC2aCXqC1xEio8SoPcm+8NKOVy
6ZBJAp/ZfNSvrIkde3RHW2BATF5cam4WPwd7HDkaFzUogwSTinJE5HZ++ba+3w/XVRnBaCpzmRzg
WNtdv6MYxT+qv7SbDITcqYdYlH/Rv9u/6z7I1V+vXw6bbrwyLbixCs0ENtYz0O3lJ2P+hikiXVZZ
2qwmrDdUuBy0ZUlto8PbvoXc0XJMMOFme3y8DQoCO/0QetrRkAQf2bKEfDYdpimiC2ruCnmk+tcy
uaHmn5DjWMTBtQelQd0SI3YF+MisogAOupjFqwEPmjTPbI5h/XT9E8nub2EtdhMb2jAAK9ODHz3T
vHGmknxyOycC0SluA0vDf4RAw4Xmy2rkKQJ1q2O+S3bN5350OZ2reoNx+aOsQb95Ba0MCqEm1qtQ
gzIBGDX0fh8aTwn9aUELoauD63u3GdJ0wwGUj1LDFum75sYmddjCDzInfGJ57RZxf1eAdSpfUg/z
gO6/Myd8KmBnU00r0H7RLQh6acNtbw0PRq9+MSL9NWJSwfKttqq1Wh4/BqvAYbKsZ4kGFzT30w1n
VVhOyp7TG/wJaHttiH/PlaEh7Ear1FEd7tiN7tyw7tGS6blsHtnVWgQfLPSx10sdbyejA8kZs/2p
bjK3nPCxrn+kzVv1LdP6+AAoqVlyfGTdghFfnV2ne9ZB6NbdzTa4UKfv181tHt+VOSHCpixTwsXC
6yaGuqILEMzgqrpsjnh78/7JHokQYu2SRE2WIFMgkDzEIEoBwfVOMsS4HSVWKxG8Wxt6aEB3KNvb
T+POwlyC4hVn68FxgcoKqD/vr2/cZoxYmROcu9AHVkOnHNUdFA71JAniEWMsen3AG/vw70wJ7m2X
XWJ0E85R5HiJce7am6zxhkTyppZ9JMHDx9iws5GhhqiMT3R+pEOPUV0ZbfEmEnD1kCBCaLWUQqtq
tP1+MwiBr8zv3L9V1mSQPNn3EbKyeYrQWoyQLhLlRlE8w/hS97sm/HefRiTJdqrETosQL8s0+5TY
GEbIqcdaMFGlMuol2c6JBNlVboZlwdnFoWbjDhWfqfpU1MqDow93Wpb6VaN6qV4cieJIms7bKdKb
r9tCkChBkJEqvJHEjtm99lw8xT77HN8aHnOT2AUZyA5VekkdTuKO4uirUluZqlRoDZNxOMc1iGTn
3FWGcXf9bEnXJoSNgVSl3jUoYLLEJfu2BX9DideZ6RafOgRfrA6DjY/SJyEPeR+ehKstFcOHSfHI
7TAsw4cw+GTvdC5Ab+ei1AjMock82Sy+5F6xhSAyQ1wNWCCss4sd11jOU9e6ztSgW/AVdbpBWnPZ
Wp9hWw4xKIYEibC+uFC6JK/QU9Jnb8TwX5Z46iy5uzZdxNRUXTeQ6BJDuFbI2C6NwYUNKrB2NeAp
jExXKSWglc19QymCi/PoXBvofW6BgTpMAhlIPme83EMvS29a+olVn1CgSftfEmfcvI1XxoSDVqGz
Ei2jBWP77Pg324Z+NEFF87c2eH+WEchuu//KorCHYd/QRLPxeOVDJvmO3TXn8Og8m0/ZLef1Qcox
5q7sybyZ966MCmcObeJBLWZAqybjhiqvUfmSxvt8+iVvFW8es5UlwQ0H0yTmtODrTQCBWgfO06zs
wkP4xE+ZUkmZWbaj9MqgcMwWe7KccEGOXZk/BnIx2uPU/uqqT/lwmxvHBVyPquTe5hfZh0iysijc
25TokWmUyEx/gxf36f84GCn1FOHmHjLFbqEoCAjGpc7c5aZ6oo9m5bJPkBwDMhOTphf1myHhB9gu
d6xWJ1zjGp1BtEpwwY4nLgxpfePU5SjZ8jipHszH8FGWOGxHlX8O/O8vvHpMsCnR5ypDVLGtndq9
VuGnQZPk+NsmbIDToN+B4CUsalQmBnJObGWse2r/kIG0UdaX+y8b948NMTNJWqeMLAa3mMHR5f9l
gBhdQc0RvNCYsvZP9KgE14OXZFFifoLpdgU3AY8k4xNDQdV4nGTDdzITQnhMlKFSnQjvvPmBQDNq
9svZv76I7cj0tmtCOBzNJMtRjwKDg7o3yRdWeChVu4W+J39UAzLfLAkx0JqryZkcBAoCFt4ew1XV
/VhJVvNfotGbEb6hK1+2K1sjiwFwWHiZd7zErd9zbsv07o8OjYXZHlWnqmqLDLrdYDSxwsGWjtF9
Mxx2rAz1WKHTcf3zbAKowPpm/+43U00kGHT6OgInK7w6AhnTX+bJQLk12TPbpQ8AA0unwTcv/5U5
IZp3UTGlxII6k5rXh3RsPIiuHC22fBqz8GxDHNCeElnpnv+dH+L5yqYQz8cGaYxKUY/MHS+tAm26
s003siQ5/eatsbIiRPMEfCjjxHlC59PfbAEcmKJD4fD6B5NtoBDpaA4liCmBlxfWLol/JLlfGLnb
Rnsd6uFOLbkKt2sAb6sSY7cyFk3cVQ4Kd3cTRBkKlOL11+Wx9empwyCPdOR9c5IHulZgIdMx1Ybe
2PsDFiuGUqcD0lx2nG5arq8B9kAauQqwF/Ye2o2/B3bZX9AQd6PAAYu1rNv+X9b89hOEQBJppVKC
8YM/zqC/AriC4rVQa+bsD/rZPibfrn/RzRi8WrEQUgh0a4apZoafoPUZ/cyzwAL70XUb2xiMlRHh
3JGxr+ZhQXHFjl0CEiI70NxoB4581QtvnKfuUwFZX/NROhbF9+rj2XvbS+Hs5epgtywFCMOanUez
qbwiXSQHb3P/CMjuHRDJW47IYL1UwNpXFlx0GL6Axc810E0NF8kGyozo791SH5uxyylkgvUCYnzf
6ng3yt4q266/Wojg+mVM2sXkVfnxNGD8yC386Zw8gkR5V31ufUwkH6r9+J1C/aLxCs9g8H+Z72+G
ytVPEFzfhJYjclL8BDJ7eXwM2becvjo0kHgj360PXrEyI7g8q7Uwahk/YdTVTVftErfVX/v6CCp3
3Nx27abOLwvUdiD//5emhYPAYrNS5gym9Uvng4wLCibGrbGffUzsBjIIksxrBO+PQjKHejsZvkP8
pflM6a0iI+zcvA9WWylcO2rdp3o1IkkMy8ZLRuYlPcQvBjMoigUCBk8JWsfXt1C2KOEGQkFY6ZUE
1+mcjLdjbXmDNZxUWRdsO2K9LUwczFDasbVsEy/3AeoFaOgE4QnqwS8gWtF+/T3gqD+OBxn4X7I4
kX5giMAvlPXYziW/01q/6r9K2eW32r8g+3WA+jB1Q8Nl9z6WaDEQn1ODQhzvj9IAJAdeGPBxanJM
AGsBnJwE9V3igy69ljIebBy9d8aFr0dUGqvtkCHIPFigaDf85dyd6Vfw5AbZzz8IJ2tjItLLnIwo
bEMYs+Z7u7/X+weSg4vz+f/tkO+sCAWlMq3mwgGxqZ8uF70NUucuN/zrJjauMUqB0gFTBCX8T+8/
WWE1emhqNdBx5NFAtGJQCLluYSv6vzMh3jBl3E1UQeKD5tulWYpLCSy1jQA5J9aPwYh9RVFvNd7s
afLveoKiCx2OeVseoqm+NPYILkvlbmwZMOc/Yqr6kIx4oqAdaSFqcv2n8qglRO93v1S4p+LQosB5
IwDoxG/zpxZBpx2DIb782ZddbbtwHSVhSZXFBEiqbYJmhrCPda5MGc/N1pvu3Xp4TFi96RQzU0Yt
TYHOU08kO5npXi1u5uJ1SS9LdMmqoOplB2MjzLwzKdxCKtRkyo5DJLR+P8WlP4NWrhlkyfu211pQ
Z8bAoQPGy/cLK7OqSjpIWvkqhnDqJD1mc3zWAFGNSHIwJvKUq5k/aZ3hmQN1O1NzbWf+BkjQ3kll
Mgpb0xhY8j8/RgRVd9A0QXsP/l1RzFLte9tt66CtvHHynAHRz9gvCUDWsaTavO2sb2aFkzsBk6n3
Bo5Sq+4TjDxrpxx0lWXs6rITvHETv1ugcICVjIX9EsNZi3Tw4uzFCX/OygOkgDyLuI20rb2Rqr0z
J5zCWsmdOHXQ92uXi516sfOsaPvwD5hs31kRTqCWLYDCE5QHpg7I1eqk1N9ASpho+0wKR9u8mVYO
IhzD3gz/o+DV+M5+OQLKdyzA3MCZeJKnUnI2tg/gm1sIB7DI+rorF+TzzuQv4/fBunUKybvkv3i8
Q3RqoCpORJRNprOmqQw0+YZAC/hFO7+yr3ycCvQTL9dD8vZy3kwJKYXhVA0pmwhVtuZbbN0NBXM7
GXSMR4uPYf/NhhBN0mVpWGujaT4EzbGH8lm1q4/ZSVbg+D3M+cEOMiPAYnl3SISrThDMSmM+AGHc
DSj6gxOV+Y6fPChedDP67GCjd+O4iJl+B+TLJFND36qIQQraclRc80ASiSjMMJ0Up2la1JJxlPFQ
ZkGx+OO9cjED46e83KDzg/pxvW/2hG83zeESEhMRqiPsMtfqrxx0Xq4yTz/72gp0pfOKOvthQTKs
YTFuwsybG8Wlmvk5JPUt1dqDZjGGmeX5Ee1DN1Trc5VORxOI6Rl0Nl6Uydg+Nz3BpDqyb8cm4Lx7
f6+YfTEuaQs4e57/MC38lm7GkHFyoa3tAl99aXXwyhsy8cnNSL6yKhzZwVisiJmK6hPnM4TTrNHv
h6OyHGdjd/0wbUbWlSHh1ZaiaEFGCu5aRf9h50E0HI35L1UmP7dpxdKJo2lEA9ZKiN+ao6kpQ2Uc
Q1ktpEefoXzgdfM+jJ//YDUW0TRbMywDgkHvP5bR5TNKx0T1G/W2CX01PFlRMMmYhjYDkEUtqDuj
3IIc+b0VEjtm1TklMtb5Hgg8r1b21Syrvm9uGcKpQ1XHUJHUvDcCKiNjLqih+tZYHEM1u3Gm7gxe
MQCY7eD6rm2mTitTwqFMB0KtXoWpkT0RJfas5NN1A5sbtjIgbNjUAvwGDgTU2Otj39/gT+7AJI68
bYOYuqUCuAqc5/v9MsukHVFjVVF7OEzNUwfROlt2yW3GAoLBFg27YaNR8d6GM6N8WcQAFHM9THKq
T8UdVxlfTtPD5GkewPgHPisX+doxfrm+hdvu8GZayE1CY8GcnBKq/lzex9Wx0e/a+plFMhbRrXow
hUf/s0RhGzGPZyvwRhQdjoPPFZGHz/o91DHdyKufsn0uSU22Go3v7PF1r94jZjvYM4YnVT98me4b
v7uhQXSKXrJzNYMbsA6KvSwb2r7zbIIrl9qOgavvvUkVB6sfYiwxg6rvCDZCdDafQDUDHhF6lD1+
thMjR9WIQy394+zLYE1pjKkdRHJIxLutVrlEC58dTOrE9GetcW0S21NHy+213B+qRgJs3HTZlXnh
bC8kj/WQOFjskTMt8yEVvEr2sqn6zdO3MiPsadjHzajN2NNKGfymTPe5QbxhHP3rp0CyGpG+TitL
zLnzSMVwALUDp3HmzDaytEyyGpGzrpqnOusWOOWIaS1mYUUhnmuNOkmf45uhF9HKVB2KUP/7OK7c
X0/KvlVNpObmJb01vX6/HBRPeZlAbwZSmP3/QGy2+fJYWRQCCWmGrrYTQCKGIDpUwXQ2f4SHYQf1
5ZN9xGzi9Q+2cdjQ0UVPF5Nf8H9DnC1vCqdyEqCfgS8pb/Ndudctz+xdNTDQg6E/Stl5+xgnuT1T
hygyoaotThTXlI46zwyg9ZXshgooeGuCgIcdHy2FSQvsHzHq760Jm5nHGYiDI4i5cBku7WY5RBeu
adlcZNwYG2GEW7IxoG+bOtXEopwzg2OBN9D9EKKWxyxI99OD9WCfst14kGExNi6B98aE132nazGG
Z7j/A/zB2S+TXX7BfCKYnYb9fI4lMUq6OPFeRSUm6Qr2Hwa1h2iXAkEJpelHVao0/fFov1+a8MXM
oYTQc4p9LJqDWgVUe16m/XWf3zShITXEzAC+lliJyq3ZNBqe7FJjp4Vuni5uJ21yfoyEWMebEbHC
FM1dFToE10phegrhZA21p+Z+Hv5sm33P/uoymej49lFemRSSa1r1eV1qKD2TB/7Ej07qUTs5EFWG
hpeUfkayiVRwwTa3mWEVeJeU852CIbHpKcllbrd5etGYUFXeT0VC/z4R0EMlVBYFC+KnNz20l+o8
Iy7JT+9GvRtfSweXpA52DYrE472leCBdDEoxFYqPgAnrSKti3/rdBsm96ZFjq5b94i275D48j4BR
5Gi9X3fKzbiI8OuofNTQFF9gXZ7NfcKFoCaUficIdrNTXblx+P+fv8VKV3aE8zUrNSlq3lNSlXuL
7Of+ucQks6xStx0xVmaET8egnVdNMQDQ2Y3qmR46m8fUGwN6ai794frO8V/8vmTxfkVChhrNJtMW
GyWaRv9ppZdclUDVt88VJj81YjqajiTqvXOQLE8tnYO5l+8DvALNPx/s6V96Pz6kQapKbuSNEgzW
szInnKxozOaFTujIcRXmCWnA+MBVVlOE+Opz8pPu2i/jTeQxKKVDaxWsY3jOvF7f0s3DvfoJQrzv
dVLRGFR30GF4KubU7aIHrjN83cimx6+MCJ4Y6qaZFClQIKA9slgA0ooQbY7q5bqVbU9cmRE80bH1
fmJ2zmmy2k+clMvaTb/+N1HTTU9cmRI80VYK0s5cmixn+XFhy2Esnq+vZvvDWKaFcpeFWo0Qp+YY
/XWUprEYAhap8quloMgBosx/ZUUElxbDSMMkRIyY5ltaniakTbKC0385VP+sRMSTzqXetF0ORcQ2
oi6FVrJahTtgWh6zyvZndKLmfDqrSXqzpModobkfGbJppY81PH7Q3n6CcNCYnkd9ZgJ9MaanoXh2
9FsV2kaj9q2RMS5udPXemxIOFMu7dnQMjnNedir7QSxXSZ/N8fOg31UAjqWaW8UydthtX3Hwj4lu
myUWqMq2MizKANqEmqWRenNxw2QAhQ1cBF/Xmw3h9VrHk5rZ7QSPr+xbVtiBAhlNyqZjpji3SZSd
p7Hf66a+a9UJaEp132bNqdIrMKlXe6ujewYs8XXn3Q4rbz9JOCJLWxt9P+G8W+rPzDpWfeKamJEu
C0ViaAMy/27xJk9fVm/DbMoNu3RgaUZ6YgeZH/2VnBjoLYP8SABfT7+NnWs+/qvliQCzvHIaddGA
YtCzkzYmbl+8NhjAKWSKpdux7J9tNIXDoWWjYxUdziebjDOLEM/gtP9uKcKhWOI6Y6WBlIc5+1kP
WgbQb+OPtoxfijvhhwThzUlNvtTVd5pzJQ1pq+OcG/2u0jEvbzs+q5o7CuqXPO7BHtHtri9tM7RY
lk1Ug4OZxUKkMvJEgmJp1E7ducXoXnpTGgfIoIUyxZUNxS64ocXr3CjDYeBFSE8Ka4hTM4dH8HwB
YtMgjZhQedH27Ou0KwEkY16FkqdsVzfPGecF09EaMz4oWNSOWqN0hk5RqT9nZK+yb1NyWQbJhbch
UoLVvZkRMb/mrHStzm+80YsHlw/+QjYgMI/0UbsF/frgAit6GUF+tp9e5QDn7cBNCGfKpRC3EHkW
4tBMBuAP+ObqyGPrS7TnA63yd+/meUMdH5mfrVFgyd476ULHPO1yDo8wp2M5tY8UbbPrTrl5IaxM
COlJGxeq3c9ILMfukQ/tWdFdLZNa3GiY4nvZOjVVpChoJwmH2szG2Ui4Ghkn3ll8SB4EzTl6mO/p
rXWxb/svHDI6u9klBkX/fdhKYgqP7h/O+sq8cNb7ahrzVkWlIq5frWh4HKKvTRHe0yYGnROmCgBM
vOsAoJKY3dzalVnh680Vo1PRIZctbAjHRNHOTJlfOrbEzHYyaxMEFR3nHdox771Ej9IyoZzZkNi3
WX5Dy+elu9fjg8PheelLFjZuRW+bUdJY2YygK7PCrhYpNFwjhsvAKc+zc2+wS0seLe1MUD0pJba2
v+DbEoWtTJKCxg5Bu5sdQ3C/cV2sGgrkslfj9skG7hFvOt5qEFmwh05hw8jDZgNtr7FGOjaDfh0j
TgGou9wWwCCmJG5WPi1DKQtq/DN98NKVbSFtSi3TwJg8bM97SJEfioCPvQ3n4tADWa0fbFkquLmn
K3v8/69uQKU1nSoqYS81yCGlFEt0AovpB0DJD45eeoU6HevJkaxTYvYDU3bSQmGqQ9bLZxc5Q0h6
5JOEstor974ruymWXonWDr0RIUYX9XNVfo6JZEpx86Z7273fxaP17oG5sRksQPKS6a8YNC4MRGxG
8sPoH67H5207BDTzGl4dH2heu2xoMG2NpCFP2I0So4o3/NVmPcRdK1lJY9MBKfAsKFGCnEaswgOS
GTotgIYgFR13i49JGmB9MVyKsZZf5iHcVVJ+g83FrSwKISTtU0OZuComL072t+3e8cNAmVFJQUkP
nVm9c5Uf4yH6dn1PN31jZVaIJmHVmTpofrDQpnOn5bWs/esGNhqkuPCoYVkELGnwEiH9QnCxZjvh
SuGgg6dnFjg+fWl2nFogDwrP9rvX6xY3T9XKoP7+MKOHWUY2g9pWP5ao3/3qLPuQD81jPKLFQQa3
6bogjkrJIfitG/nhlK3MCldPr+T9TBJkD2Ec7+2oKF21N4J+QrvI6e6GkEKFBKzjZe2WJSavWXVH
1GHPeuqO83MY6ScQ8t0OfbRfGEjGEnoq0GKt9ekeLItBmXTP0UyOvfEEIn8w8PQuZJwOiqrsM6cM
2GztnBp6hSzrbpcE/Xya3JST43VxGjA1CboSPR67rG6UdPlW1cPJlhIXbt69AMiDMpNofOZSAHws
fWcVpEYQHT3VSw6QddqBVzLgEnGyiLbZ4FnbEi6IbpjKrmWA0Fnu8qXBZDRK0Dv13vTpvvShkCVr
qG4+5NcGhRtipnobLgvaclnvcTnK4VyP6Cdl527HQ3bkm7eFJ2df3cqbVmbFuYqyVhtGzIRXoxFX
lQZSWMXZMWXUuNtP9d9gef6WQKv//ZnJx3BJaY8zk4PEJVA9xe0vsa8xj6peB/kVwwOET3Vn2Zz2
VuIE9lMUYOA1AL4IPpOUBjAhJdaX50/zcFd3fkL8HDVjBTgDq/rremTY3M2VNcFr+qS0+TWPKpP6
Sux7cOi6SvF43ca2a66MCFup0C5qSIGqx+jpUE4c9+Gxc8cgu9VdyA77sh3cXpPBW2UA9QA99P7L
DV3V4dOhSFdHD0t8N9HdLOMI3Oz+4C//x4bwMFJmsrBExd00Y0H5rv9V3hZAyNo7FqSX+R5ksA9O
gCD1GWCDQ+OpZ9l5ly1ScJNwHIsYWQaOO73YUPpUcoQ/SQDfPAPrVQrekUS5UbT8Bi6+zN7iE4/d
AV5wqMB6PeIK1l7kcNLtdeFdBOwEhvVEBrysUjI9qXA3Lpqrs09xF2RacN0fZSaEvALVj6ZLK5xs
SK97rIOOIMb2WipD+21Hf/6w/c9SBD8cpyjPSI6JAR79deCAy0sYcLnJJJARgm2+obWVLcEf9dEp
INMLd9DuZoAJ2n385BjIz6bPDRTuZj/3Fb8/ZJx/lLnyoodsSwVvzLS8NxKVJxjAmNEeJKtHB9yM
17/bdmR820/BG9UmMasMKp7+oN8sfe735r2Z7GgdkDEodBlcV7YkIWiZbB6VJAMlDRpaeQwW6OZ/
aGhtpkhv381RhYKwnbDRLhtU3MOhcOvK3BPKdsWYv9gpKlSUaRdmKYAIA0jdACKl0DN6l0DAYp5W
iRvXTsBs18XeRL53ix4MpD532KCwqgEYML50OfFtmh8N5Zee2T9QfQZ5D6Y5EhsULUPrasZwyaHs
UetKYJufVKPdK4qCCz3rXJ2+KlA403J0lkM98nSlvahauPs33/RDo7RVk3yeOSuUpt7X0Hbok7Nt
PvXtrgMC3JRcdpJT4qhCHmxMizMwGyMueTEGi5ZC3tbEGH403qdT+nVZshempz+HMnKTvnmssxhq
mJ8NkBNYUbMf4viznUQ7PR+P7fKtoK03dMySbMj2ZWnhWUBRoLUNsRqmaJZiQCNERRdXC4iXnpIX
67aD4qkZ5AFkhaUUCZuOvjIohsMYvaSW6+LyJzdksIJZcQko0IPR55PaSdCfo8+Ykbv+4Tdr0OC6
0W08g/CvCMgjesPqUME4xuiNu3r3Oz/eZ62nXBq874avKnIDtse4vyxx3XpWrg0LTjClxojXP/iS
mxQsmjZkzB6smrk4PtdXuLmv/4RkZHPv05DMVqde5aJfA8QxGVncIjv0tcxdrgdFRxW+Xm912oL3
Di+YGME8gU2cj92HQXgcvAHSpmrgBOMBNbjOlV06mxuJ4IWeIDAomAJ4v8CpJslicg3nMQpC+2ZK
nyjb18OnP9jGlRXhc1lLrdkIXLCi7kfllxVfHP3w70wIX4raejHNPapBybxj7Z6EJ+grXTex2bxG
4QRTDOCGcz6Q2KdJreqkQ6LdBUuAAHRiPr1V76Zd8b/otPOvLr68AShUTcPhGE1xwoUMdtKoBloD
o/e7dILHYGi4KYQc+QQS+Tyep1fJAmUmubesSl5OUVKIEsDdp4CcuLpu7ikt3oOLx2s1zV57lbWS
N/1vtUgh6SiSqHRq/tkIFCrJzaAdcchUGSXz5jFeWRGyDn1IrGTucUNN0dd6OVV54hrRr+ubJ7Mh
5BqRM4bdMoLGKu0afwSAq9FRGmpJcN3MZqwARsamjmUYH+gRzdk2i5ggSRzsfV9ErkGfawCt2H7M
X0si83iZNSEyISxNJkTEOIqGc3QvZwUIUAb6lldoEHGOAIg4vGJ+1k0/yzSpti+X1Ur5hq+c0Q4T
KLRAOALp8ABBOFTLC7fEGN493dW+CrG7xstekrsGHRfJ9MP2p7QpirGABn5gh1TnoaEKn6IFZQB0
t1T1k2pJQI7bJ+3NhBARjWEGVxNJeBviQkfcXI5k5nj7y70ZEOIhAApJ0RGAkljF/C6zfb02XkM6
e8xOnnKzuK9x6K675nbao7/ZFLylsasm00Y+DrxT7qIDmJqYr77OX0jgdS8yRMT202xlTfCPojPy
Oo5RzB49qC77nAjNuuWFuebyR+nGypQQF2OLTURrMEU7DfU5TIugTlBBd+ZfcyI9cvzG/RD2kTJi
rpGXPkSs1xgOyjAQ1ADH/AzC+GV8gpaZTVGHwFRTOrrqtFsWN+ykIwHcI64YFuFfDnRTkmTguU5g
fQEF2x1XzDafewy56m7yFHWuxF0kKxWxYNByX9p2QuNDnS9a3vqtfVTUKFBDn2l7kl2GxDcbr/8T
pJBmgKTPxtyZ84HVjihzbiac0EENRzcZu0CF8Fg3ZyhVyCghN085MMwYJOY6puLwm63H2TDMmFwv
mhHEEb0Xz8+STeTXysev9mZCcE2MEc1trIQoYhVttqutJqgV5diW0TFt0ue2zI+4+wA+69zOyHQv
7ad9yNK9Xk+xG6vQPoumxzal+0RbTnOV/Op7GYvgdp3NxHWFpggo1cTBrnFcCggl4PaNb+w756VH
56m5AxcBmk/dYcAkNeRG/PZGQ1WdpxmJz15kqJXtQvfbbxDxJLbSl6Cexm9QHyzqxj9isLrx6XHn
eTpFz/RknJxAOSafr38dY/MmwYQ/sYlpog4spDeKPekLVJDxdazlKbInzCnn/anIap91yqFiwD/Z
XX0iVL8P1fkJ8exW7YuXJXlKbTN207AIWmfasQl3XTzuWWUclfSXWdVuDsSBXdQPLMtBeWv6+LC7
zjaCIWtxcPIzhLcgQQI00KzfZNl0N4Wmp9vxw/UFytYnJFaA8RIwa+LdOU47Y7mtAXuCgPp1G+Aj
2vLx1S4KqdVsF/loVQi/jgEZ04lFLuSRn0Ae4lbpckgqjHznvbYHmwLgapMPto07jE/Dz382VX4g
uApdg9GHpikPZLROWm0/kp58blUlyJTBS0n+JS2W70UEXFhP/hrYfDJC47QogKFGw50eLx7L1F1p
mAdmfK36KbD7yustjAfEiuJm1HYHw4CsV+TjJTd6EWM3jIGPsyC3LL/U1vdMe3bYrgzxIG66vRnN
LuLCwQJdIrogpwQHsyXpw5iRQ5dYn8pm0lwQqri0jTw1Mn8k4bxrHBwSc5rdihU3xFy+tI1quVaj
fg/V6LLk0c/J6FNXybWDHs97gPAP1pK41ILWGDVcPSaaO1LjuUjIPuv756ROnzLd3jUGeD1jvXD1
HqOBtPhpVUUwLmT05jncj4t9o47Mcm3lRz3SGB2+CXCaRt+Xbb1vivGlMsjO0GNAHsPmYVDCw9xO
z4Yy7OqhnkGZrxEf83VumC+3xVwHzZLcTg34SDIcQIzxpem8dyjx8tb8YkyTD0XvG9Y65wTjYYtG
v+fd8qjU4202AbmUNvuStSAmCJtLXHy3zfZUgJ5tsYzGa5riUbeiX7nDbhdm/dUZDfWyId+NVu2h
q/aqmNZ5aOfCzZv0MU9jz6DV2ZqsO6tLBk9vigwgms89gxgcqOFcZ4Ryi4qyf3Q/ackppC9lB99K
JrfStU+2GZTDwTkaD6TNMYhVYHRjaGIIjmJ6Q9U/lfS5ax3oxZl416jVxTS7XQ/aIMy+HhdqfB1p
5I9a6Lh1MnuxAXLJrC4/lzEUPVP1pQ4LNyrr3KWLSXc6Uwi+H/Oj3rwAO+nVxvdeAck2BX/ioD7H
mXbuUtPN2k+zktz0U7iLHTCvWcbsgcjSL+LlNgzzy0iUW12vTmlZ+KGWBnH9uestKBMPPi0x1qXk
t61SuNPADmYO9TlT29XmD3OOHypcxWVofm1GZ6/+H2lX0hw3zix/ESO4L1euzZZaUmuxLF8Ylj3m
vu/89S9hv7EoCNOY8XfxxRGqBlgoFKqyMvOttYHYdkpNgneXqDSuj2ti+bMByIcpJ8Hl409C5IcL
bldjohJZq2iboSaJrDWPh2XrjkU9eEadv4IA/LhNecoJN+TC/GhPMwDFAOwC3wf/v3t25GYUt5BD
l9x4O2TLjQVGfTl6SqLlf7ND90ATrRfykVDYgaZnFQ5977XDSeXxZLFXAyIOAzy+MkoX71ejJelG
pJdJbbY7KBaGworM7XBnrOXny9+JXZglk1QKch1MllL5uFVqHXQzftYgFaT+yxVanmF2Wx2I8gIp
ZGmYSAOriHXde7FfHy6bZz8HduapRCjOVXPsULBzla6v7GGIAkETDujvOfpqHCZLPQ3V9NhoceFv
Ewgt+4SDYGPehYD+SpYKBjt4z/utFrdalfsYvXQcA5A92ZijMSAewlkm84PurFBvrL7W9DpOUVoe
XNGpbxIHCoegbTBQpSGlwjqsvOJkLnbKS9eZ55AQeGEwD/NqdC9d0jVhzXRZdOV5Q9VhA2Yud3UZ
FKF9bqcdjwKHY44epMzaVWr0BRPYkAm+2RrTG1HfxQ3nreqAamzD2Vdmpg61QxRUNEAF6H6z1aVp
NwhAci4aVoTo1/UmxwS7fLizQXlo12RpKyz4dNrDCC0jMievnX5lvwK3gc4un+ysUSd/Akw7nRdM
oorHKcSQwpFwPBqOca9Cm2fzSlcc7Mjp/P+uqQXc1c4ulRLi4ulxp8Ou1B2K5tko0HXj1GeYZ2Bn
ggrRKFJ2elNiI1Mp8usEnR5DetCaFNJGLed9RX7th9vgLfWkmQ2SMc6MJMVtEGWyDYKIFImOUNwY
GEstz+Z/Z3zB3u2skUR4f/dsS2IaVYInuAAVWcOWMh4CkBmkdhbk9xbE1cLDosV6BnfzhSuIJ4XN
reBVBzWMHjbPPMS3PAJadmTeIaioi8FYk0RRLZSb4hvSQU+/NIfKRr5xXA+8dgYT3rtDFqnUGdMq
JVL1EUXDLf6Kcv0Z2le2NJiftlm0ZRFA1Lz3m620FUngkUawI9bvEEJrz86Dua5IVpCobJUzZqDI
mmSnSSAWrLROI4ne5ZuA+SXRh8DTmYxh0CALeZ2ELG4E1JvF1c+14jhbr1rEo+9hb+jODHXfTCpG
y7UZvakqUlFk21IHLHwhouRzVy52pK4PA2hqI7zloUzLeV0yaxs725TjoKG5acjaSQgjGUUZbIFx
lA88khRmONmZoXxm2ozViPB8J9ybqnCTWp09qz824cflD8ZG4uzsUBE5amdpG03Y0W5FR/Qw2Rug
UXW3PecOaIPC7ouWuTxBCvbadMwIgazKAoTx/XnfJAg21YTKfuxft+KMt2QNvM/E8UXm7Wm9WaGi
ihUPSa9gWghYzNtqPUj/XSIEcXH396nUqjJy2Ugl/P2ufCmbr5B9KxpemYF9nt7WQDl6NkVaIVvI
b9T6ZhCuFrCuypx7i5kBoJ8AGWwZxUegYN5/jaSfZrPI8DUILqC9r3wztL4ujhAMASjseO151op2
1uiA1OeLUooZdg2PJpCTdfoN3pCXfZpngnKvtRL7bhIQHeTFS5WjLHzrmvvLJphI6/0yKOeqk95S
uxwPQGNwyK2FIuaVZCf+ZKuLT2RvuideyZK9LMzV4T0hIZmnTmos5qqQtcA1xO23pnGXNBQHznuF
lVjI4psJKk0q5Q3sqToSTjzil+FRLG873Z0qJ0HFgceWzjqee1uU29WFIscWaMWBN7qeoUyUe5xP
RBBOdJYkizqUj2RZA88o2c9d3jK2Sd3lCpJ1vYx9SCCHY7UeNW0EaGnzNgPie2JrK0N8r6uDc9k2
+1O9maaCdwaI1dY3eHUW1W0mQEnzW6Y8XDbBuob2q6O8oQKptdIQ9S9JTZxN9qbxLwUlxVW51rfr
In81leCyQeb0494i5RztavTGqKI7aD1IPilVW7aKf2tnAUIUtDUgPSUcrpPmRM564MUN5p2/N0/5
S7dMq26AHdAFP2RYDvlpNmfbUERnnDCUrxvQS5iOXf89r3PO12S2EHem6SZUnRaRaCRw1SKMwfxS
YrTU7b8tDiFabRz9phA4e830H/TZ0LUEybBJE7BMbWFmW475Bhkk+7FluTr6pYIVccywQ//ODnW9
pLGiChCXRcPXJWwiYKcMFlu/Fn1ASR948evn9MmHAwnmWDwmAD/DuM/7A9lbg7RuG7Zx8hXfDAiN
COrPAnwo9ixncWR/CARXsYFTfCIS8/XrZQ8mR+KSfSpmJzoS07YnOlhgNQfEvnFkqbjuNfk8FulT
shi8CMT+jG8LpjKEbK4Ks2twYsbj6qxe6Umv7RE47kB+QA0mdoYgroC8ty8vk/m0IQy9f+8z9VXB
lb9VuYmaz+yUX1XQqFVXylHyZFtwec8omXlj7GyRLdgF2WVRkq4RMONKxEXlTwByuyArdAp/DOon
0MMAMpx7iZ86q1/eTV9yvwggc+qOV/pgVwEPoM/MZvdLpwJvIpXQUidRUZ2RMGdi9dRb+kGv1/sh
W8HQt35GNcyG6M+hlCfHkKUr2Zqdul9OBTRtNUt45HwL8okv+Rzxyd3+4GVrZtGMdEcOVk9xJxAR
mm5u2YSVoXtS7njNvX840m8fn4rSpaSjTzOSrBRHWkGcztwyqA6ij5qux8Px8xyciskN3pbGkCLT
GurlmIjf48oMNEnkxF+2FZL1SCpGxmnwQTbqbRpBzQVcVLhsgDfUMlRy24kTDTlm6Ci/ZmPelTrM
TLmPppreeQrvyfAPR/P3Umh0QaNaYqnPaL1m1xJyRkyku8Y9OP//BV34P3jCmy0q3I01EBsyYXIn
UsqND3J/DBcJQQb4axXwrmfWkw5zy39/I5pkAr0hSYhH3CR66RWdt1o/DPlFa1VObOOZoULbKpuj
IA1oumr59dS4m/gyZrfcwM2zQgU1aZ1EfRKRaYvR5DQzwmj1JAzofHLBykyfQ2oBHAZIKC2aF0fq
dWOSiKyUqX2eLAGo4Ssh+nE5Bn20YaqAQePcSRp0JgwqIhSgvElHCSUgdVLxdri3kvZHLmzPl618
vFzfW6FCgapgICVKf1Z+XirFFiwIa2x3UXnO5afLlhjQjXem6PKn0a5g0pywaRmEiytX9foT2pCB
6ur2eJ2A4mECI6qJUUjMu/pFKL5uXOZjkqq8D+vvfwKVykSrJU5DAq6hLFSApU/PuQOUAaHzXA/c
eWXi1JeMUQfZUAHhnIDLArvWbdE8KDwBbcZjFqsBfljVCSsoKP7fX1L9VkmNqCLd7D1od6ICUEMW
3NbdxcnuY2S4Re3o95c/4j/YNE0AykxQldIofaWS1k6O0Wkcj+UnQjuQB5vhZK+TQ5DLVbAp9vbA
sfnxMibrfLNJbWQcp+hQG1hndl08NqBfK6FfmN1IzuAkXuXwYiID3/PeHvk9u8vfULekLAwTaTwk
1aDp7dyCgOQQ3elu51lB4f0QXngJ2cfQ9d4kFSD1Zd3WNpeQ445P0WhetdsUlNl6I6U151ZmHvjd
ZlJOk+H13MYJmriKlN/OcmujB+9IdXfYohLzL0XC4xRlLg2YMkw9a2hm0j3wUhqipJ0bxY30qyw/
C5Wzbn7ESzYYLSrsIDTeMUkvm+qH5vQ8JZvcGxiT7T31GB1TD89M8U5/qK4KW3Jip/arpwHY2Fsu
CwgzUO8sU4G6xgCRBjzYr1waOg5+95C4YNL1jOPsJwf1AOghr8DIyBLeL5eK20U9piYUK8jZ77/q
eADmjpbbI2Z0CPW32XG8hrNGmoYj7qR2bQTs7lw8TOJLrv1BJoIF4Z7TwVykE7zE+0Mn58XWxq2B
mYv6akIHWDdtTX7QeE90Rir33g510tp5VBQzKSDYW2wA6EClVFFtIwG6RcPonAg2msw4QzPPl8HX
Lss8wkC2n2KUyzIswppBcz0UQpySwUwIiD6o5/ggHhcXa8Zo/nJekeyPnzePhDVegOHapYJoG49z
1CUYm5EejIf4HkgzlIDwiP/RPWMm8CSGhBZ3PXS8pg/Tc3brpb5rspmFlmu4ckuIISt1/brh5u0s
ThrDYDwln/VtW6nPmktxBMZnQFfJ0FruZQ9SbCcPcbDgaHTP4PnyJIesz9zsyYcIwB2OZHbi1UrI
qftw5e9+BRVcOyicD5lE3rH4FX0wYNSWELzyIOTcj0li7u6GGhpNMOsFp3/6JlwrqOvJXvcwDbZ0
b5yMYMAttdykeK3zHurMy2O3PvL/O7uqkpugONYgZaQBQLF8Qh5ggYmj/aTFnIDDKN69/6BUVDX6
VjInFIKxlavXnqHrZsuVQ+Yee1A55REf5EBOwKWPR4XUMd2EuQCgFCF1/kFYXgWn86pPEB/AzKPJ
WR/nWND9lGZBwpONRDe8Te7NGOOVxnCquti9nDuxk+63L/YTDrv7Yq1e6DNelLgWO1sBMQGmzDz9
ugzHm9ybDlKgfiaZIgYCD1Cn8LKrlFtrYt7/EKBSFAvQ9Q9YnwWyt50awVMEVfe0WMR4bf2cj5s/
Dv8dLkJ85rcpGucDHG7faiOORVHbU/SS9keMP9iXd5R1BHSkGNBPwUWFd9n7I6CkUYuBXAQaqw9G
3dfM82wEln41i6+XDbE8ZG+IOgDzYGzlZqIOsKKqK13XjavzAH28tVAeH9VyMqkawtVQpkFdHKLM
jQrZ24bC5rIwkp9Ln67dcmjpVFkfCysTsBxIsDtJfzL6u3JySsOLMIqVd8//0+bRrWqNEA01EMBx
8+ZG6R1zvcm5os+cD6RTN+pS14ZWCPA28LxVoeyNT9Nz8kxkPbYz0b5oAiDLuKAU1hMWXJKKqKH4
oH4Al2X9LEYG0UcWgyhQve0QHZQj4aLmM+swKv8mMvY3W9Q1k+hKIsY16oTmk3G7fVePitv+VQL4
ld1A3dqPHlGkdBrcrLGz/JU91ZyPyHxs7u1TZ02NzTTSyGT2eFTPqFOTZi3qsFJgJQ4EYbFk3gXH
zKtJk1aVEErA1EGlK5sOtpFiQBo6n/UgP6Rn9Q6HwSFs6aQwcdlL/2GBb9aorAXE4okhGNhgSINL
KEgUt/FTHRhem9qRLUOsaHwWOLN87DP/ZpJKUQDfVYoogf8kwpd+s4sptTWpBnTcBas/J1ayT8ib
Lcp/xqVoMFiPXHvVh3vIE/h1hymA2OJsI88M5SYFdnAuBxzEvPouZleReWvxXs3MdGTvF1Q0roSp
m9CyxbMZeEuS23XPaWh4owv0I9jzFR7TDvGzj+Hybeuo0AzxAyntKoTmX8Uy7bV0dFd+IIIB4mG+
SnmSAWzHlxTJQGEDMxR0xGx1tQavKxIFzV5/ktMQ3TPS/wENNVepgvj1h9VJOupWhoUpBRq7MteR
0hkKnpOm/NLG99p8uHywWHk4kLdE4VpSQXFKneJMEuVhTFHkkNFbbxTblB/UzBeGm0j+PsXOvHLu
auah2tmjzjFQ8bNg9fCOabTj8tvQBPJ2szR+VT9dXhhLax1B/21l1PHNMrDK4QGLIbDzBNmeyS2v
OrcLjavERS9Ws9tr7ST7tQtNNc6eMk/ZzjJ1mIHTb/KcCA9L6ubGsuwL6os2/FEdZ79A6jAvfVlH
EdnKn1yIt+khPaZB+zl5JtVhwpqM4ZiwCHgTwLzVUee7sHoR41zkWpUe1xqY/80b5z8JvbsdpM60
lQu1lA8oFFVWsGIGJMYIlInOW/xNbRPO+4LRUsXd/WZMpYiEssyAsiQhTu1cybfALJ/XjorSsORo
SPgtdwost3zmeCczau2MUvX1RoQyKHTQyBNK8sVT60wH/bp3haALrDD1eYBEZhjZmaMysEJIO6WC
GJhbWKYHkcEnQc/OnCV9hCO930cqlJSm0g4xCIDdNHEszauF1K4Xt8rOTe2lNSw7mCzg3JuccEKz
zW99PYhKY2EbN89oznr9dStXzMT5I4RUOOsjjv0hFO/2kAooZj8rfdfCT36RbQNe5ZRB+qUMuszJ
oU+M98dBmm1wTt1zu+y8vaVCipgUczeKOHSEGT1xpEN3yNFgh6xDeHmVnNNN825KtbxuPXhX3TR/
yOJrDNzp/70N/d5PqADSj0MpZBVcP4m9TLGL4UfU8o4XM/fffSsqgNTzPApT/LM1LHzug/S0HFW/
9QlnIq8+wU5Ngb8TwScP4A89bWxscpSVRFqnP46eAo7G1APG6PuCPo95aIIYkgCXvxH52B8ccWeQ
2sDBEpdFkFfZzePHNlZsjEV0cWxjeuGyHabD7+zQmyjUKBGMyD3AR1cI5zL3Rs3Rqh+m4GTx98u2
OGuiW56CmIyqVeLO7EAT1vh9FUB2z1atl8tm2Mnb25rorly5pFAPFhYCCJOg81S4ZiiHv2hXLQjV
cqwxw+7OGhV2m2RtxiRGP24+mkF8RUpzuRMdtuMMYF3uFgFPrJB5fHcGqRiMO6VclAIGhfrcj0C2
3mw8hAJ3C6kUzpqFrBAixMEkxBZC/kJDco/RLWj9/osWI9miC85OzzcafazM6YaApD00oWD3TvmU
otpYh+bVvxjfYl7LOuRCJLxpgSig9s+EwxvTsoGl4jy4pGkbubobHQgSskDPlvuIZh4xA4w3QEYA
QfCzfL0rOmqbVSqtiGcthnTuNXtAgmrBTRIXXSoTxPh4xAwgIU593oOa6SjQIcXDAtwQmFPAtu8M
941YxNC6V9DcvG6NK6v4oXAL08wzvbNBOYoUCf3cWhPJcaIgv0JYRFH6Rb3rftZBotfxNXmKuakO
zyp1TedrtI2VFuGaBvngeLf2ED69HniDkrz9I79it3+YkR+WZZRlN20+VRr6Q1CD6RbncvxgDPfi
CwFBQB5+qGLRLbC8HKu2Jwxa8mlEUQeQw79Md7uffUjEXY1+G3Z258yvuld/sjIuvyEzeu2sU9Gr
XeVeTy004LLeNdaTonDG4nh/n/LBbDDqwlxwtPvxq2x8agrv8vaxI9VuAZQDJutQZJg6xRjhSfIJ
/e63OLQCDU3DwuGlAUyH2Nmi3G5NRQCNJWQBiuLk83mRAkl+uLwengnK5/K+WYZhw/dIk4Z0fg+l
LtvxMrmXzTAP0G4l1LuyjBcjrwi3jZD7c5La7Xo3zV8NsCFctsPsze29m8pjuk3Sq560kczCjQLS
cckDjMved4ZNpmVXN/4muD2qODxsDklcPtwpuxVSiU2cLllRbYi6pPlYHvOAABT/RCrj3emlO1f1
OkDFgIwm1kqNue1Pq3Xg7CDnU9E9q6TvZmOGwA5qHNGpekyc1klcMbONHkQWkJUew9LNWhuswv+d
R+H92qjYANajqcS1BsiW/mqltxKqR7VxlJT/zRfp8hQGCEDMUyoo+/ZHpSpvUOHGKK0tGFyWSRJs
LviEQsUK9MTlaRoQantvAe9djhxeu09B+wiUQZA8aZyF8WLTTw6j3QWyTJs8We0AxPTnJuzt1hFA
VasEst8cQcXEuUiYWI7dUVOo0NHVtTjKZK5fDppwvmmdyE2v23C85TcG2FEKLIkK3l8GlNzf34xl
OUG+mjzJleiUNa4cfauAVOc4Pvtr/TZC9y8nsVqLeLOAsjlO7hD+lFTRv5vh6JMKSmLyUSHMFyUh
f/y1LIv8/+57rcM8D6CaILMd5Q1RSoIeWkjwJ/xuEjMp3Jmizpa8zXKBzBAs/NnDtvyFYmw1f+lq
TzbPKq9qQ9z6o9u/LYts9G5Z7bqq25zjHHfxcqX0iyeaPJUyxmATiRVvNqijBbzbls0ScG0g0bMG
zTbHW2vwjRKsD46hHCPt2uLOfPI+F3Ud142UlxsSbndq3XIsARq4qoDYHUxXax+mOshMrx+d0uI8
mTnOb1HnTNLWcaxFUgNbbpXxmG+L3Uu8w8z7ZtQFrVmjsangCfp5fRGl4sGwl3ONZDB3hZfMEc/T
y+Xzxiyz7b4gdVNDExDa4PGkuALY6ZejvgWrcpeIhyXlob7YN5ppoG6vKlCLpdZWV3rZjTLGTivr
pP+lmYK9tU69cvHN7BTgzQ61omwoBzFXWsWtfxRIog71MfG3++WqdMbGjkM0BtCrkks799VDhXm/
y/upkCP88di9maeC5DKLpVoCCuoavTDaVtSeVUxwlxjRQaPTSaFb0um6XVTgU1+LMtQm0GDIwuPS
gNFnnbyi7ME1bnhDtNylW/rcod9gD8USNnLpmG1+VejGZusQos2ExTZjy6s6+TGtgWyRsTxpA3XU
UxonnEuN7f2/V0UjF7J5gODnNOCtrtxrEdQ3v3R5cHnn/iGYvNmg4vDY9UkLgl5SUomC+hgh5Kd3
mDPjSm4yxkFJ2HqzRIXhWc4yoUb7G1Nm8gmKly6qD3b8pfETX75Lr7WbFuV65AYYCTv+0fN8Z5sK
y4ZezqJQII5UzRwWBVI4Rb9KuEoN7Gbtzg4VmiFt1eTpjKxHb335aAAXHz91ZTihQEWqyzqYjr9z
PiDH9emp5W6cBjXu4SRgYgwNPz5OAOP+AmYILrdoz7NGBWR5jOVBTACOS1bIEeRBPD5W88NiAWss
zM44on4V146V3kxF7LTr6F9eLTtUv/kQFc7UrlBQZ8FVHpsQhrXmm1VpePQGzN6AhSoOILIGaE+p
q66s8lrvRGSS6zE+aIcBMO7NIe8ZHpiSuZidIWovtWWe6yxDPQe4hN46Zurz5c1ixuTd36c2a1y7
ubcqJPtqMITAaQczxF/5y2CbsUTDAHuWCBj1+5RntLpMKjG/+2vYGWaUQIUOJE9miJ1zW292qPhR
rWI3pjFKbAIq2boi3LWzYXfi1ygD/yS8DdPetrHmfiSMjtg23y5vJrutuTNPhRC5nnKx0FC914ru
tdKSM+Ymj5XcOl1SP4Apyo6H2o7Ag6AlGUbmVCCTtOnQTN0JdYzYUbc1vPyLyOf7cOftfhAVazB0
hkDULCgnTQ9K4Sviaq9N6y7zacx4gjesmwistyjgYnTXBHLi/TfOpylKrQbw26Y9TzM0ivQvEU/+
g2ODft6nOdTB24EMhI3XUfI06A5YTS9vGbMAaCggccG0BvS4aLlpcC4NAyjuf/X4IZN1ILeecYDk
NJj9jCPwtm4LFVPSTIAkIMc664MZGjrROkhTUKqgDspkJkpVkydqX3q6eif2YEcNrNTJ0j/x1b0l
6qiUsVYbogTka4/5LAK4V9HkzNzpIIZ1iFDmQCDj8fLWMq/3vU3qfKzDqtVJgiexeorOA26iws1c
7WY5a/ek95+Gpq376wGjdeMVj+qeGRsMMucjGxARV+lRH71VMS/ZksNpz57oIcV9Sq8hN4ikk9c7
ZrqpBiZs1I+BxqVbDOY8xIYawYVAwnMwV8nJVTWU9ZfL28l6s4IfEVk7SEEkyHS8P3BLKVZQLwca
cFC+r1ELAvURpLjuVj+N6ude4Hgmc/Bsb466isa4K/poBmyJtBbmU4zmQnIr3xWFnd4RaTwhlO+z
v3gHgmuWuqGsoa1qNQHWbD5ufnFHPEa9K2ckMCAUBIxVC43r+cB7LbAurP1iqbfKPBbqqsooV5YT
4cmwdcOrpwZqSk6WHVrFy1TBvfw1mT6z+5pU+ATh8ayshI01x80ogAT5QeYRW5IvRN8Gu0V9qODI
ZbbEKxxGqB6LPlTw1kr7Q68cLq+EvXeInyIYUiyN7nO1UqlL6YRi9mSBijdtgrbCEN9aPFnV+GkW
JT/vWjfX/qj+APbx33apy87qIJE0ygAJQnjdjq/I9GfxSQhIi5SHU2Uv0TDA1IVhPiD53h+9VBq0
Wa9Q6iCjumQMHhKKeJcY4eWdJL/44wd7M0PF6GqoUDO3cH3n42QXc5had5cNMJ0OYQ8FNglsoHTh
UInmNtKHFfmBUZ709HubdE9zk3BCB9sKKHQwMo5ZYDpbNrMu10oJkQMc5sMY2yWcTnq6vBJ2nAA8
9G8jVHiqxTUBXzqKhcM3AsauMLYGrmkU5rf76gdBvKvPYH+5SnkBiukKoEXBxYJYC+a5966Qm4qQ
W2SCRIrBLgmBE3lJncFKD/LS3pTK3dJZj3XRcLaU6Rk7q5Svr1E9dH0PB0zru1y5yQzO32eGClPF
EAlG/PEv5eByvM1LpyAaJf1Rq05za2Ir/Vao7cufjZnv7OxQHh7HaxNvHeJsNLkilBJ66aWDPkH5
Q1h5FDZML9yZoj6UnOvNnBHKAqHXAFc7yPKPvOYcWN62UZ8ljyyzmVo4YQnS9cwvlK/65ifzy+VN
Y1qxMAOAKQBoutKkbdXQrkM7o5AmZg+ZarmomHj5ZuJZrXA+D88SdQ1WU6KloomcqRYfZethUr9A
HNceeK9cthmgP1TwqqkmXZ9YonyetBWfZlMxZ5ZDE9Sqw1kGHqPn9L+Z1RciMva3KfJTdsV3Y8iE
Kkow2kbS3uYFM0WhGG6OcVQgdJr8VXDOEfNJCAUr5IEqZlVkuptmDltfbQTsDZHIaxxXTzFsyFna
BAZNxmIaSJ3ykKeskAS5SER0hSjd0ZxYYKi0Yh3cDGATJeTLRKGQYJN586Ssr7Y3Q51dfe2jRs+x
tEH12tbWxgQjtDcgpeU4IXNM0BQ1DGADNGNB5fr9N5NrRYpV4SdwF9OWx/JoHgEx93ogkxJ3fQGj
xI3u45p/UhzTV6+qgCtVxAq3u19A0/jo1aRt/QAsr35Sj5YP+QPBy1HLAr006M+fuyfL5UrUsbfX
wvtBkQ1MCVCJb1IOY752qEeuxx4TRkM4nspgOecnOezJYIebPvClcZm1XlN8s0qd+Ck3Rt0YN1xn
GiSUJfNOnE0/lufroej9phVyex2HH8ms2mlicXjleSumvjPq82KbpRJg7k3nWBX6b6DbmgpbNDnS
qmQRdF6Fy5OwMUDQE5qQ7x1qFQt5ytENdlsgl6vNz9IxsPrrRHuWomOxfb4crplo1b05+laYiiJu
e5gjKGbDB/vDC8jpPOWMS/U6O452JXCODOuu21sk/7+LcpOUxEuMSRp3rj9l3YM6P0cqR9eN+bF2
e0j+f2fCSBtUc4sNzBlr7Wn5S2YIdiSi1KXxtI2Zh29niToIGiSHIi1BkloWqd0PYJpKwstfiLld
EHc1ZAhYgTyGcryqN/W6mJBnT9HmLMJrJE/nDFoil60w7x4T4CeUddClB2z5/ZZNWllFcoNUsYSu
5eMvnkvLAWCUKI8VnhUKvK1jH2cFSRxYK6DjSdeT5jKq1Y68nsUJvNZ+iSm6ZfBiYXDm720WSNVV
BsGsP1knGfQx8QIEJSO1TmXB7IhokovBXdzNlewos0vIKfbXBDsnuCpP0Y18nw/neWeQClrivIEl
uQM8Vg7MY4/y8i9MAo9MhenyOzOUmxit3OepjjTFLAJwdffVtdmFesRpLrAXo5syJFlEUaHLOlKe
z6ZWwEt+0TTkQR5KXubxauXMxSAJAK863n4q/fSbol7rSwV8ZNlmOV2bOmLh5+PN2v93AXskqm+G
6KoDpH8iOAraQe2sfm+KymuM+qlXKl6mRYL2ByfY2aGeLEKWiGKrA0ec1QD1yg6ENG8BJX5UAsXp
7vnzscygsbNHpT+GZpRGMpIYm/e2gh5TLgtOJBR/Emd3Zqi7atRNsVI6HKZJcaI5cnrhKM5/Cf3t
5UPLDLI7M9QdVQvdOAgJOq/mOty3OiD6Q3m4bILjcRZ1KQ06mMcrdODxUi4dpToNk2ArIqbZrB+X
DTG/jE4Oj4XqKMid3sdZlJkWreqwlrQwQbJwtESg5ebz/2aErHZ3/8lzWQ25SR4SCuDOZefFeXEs
xYKzacxosFsLFUvLaSs76JsA+Q/2tDS7mYHE7x5qDDj2ib1CTG/dOAeJZ5EKplYlaCB9Jg7nDyGh
ifl3LUHeR6KC6TAblSyhNu7GwnVSOEqhO0nDy4PYawHM34JEvajRxRk8y6bJGAHW1LvCNtsbUHCu
xVfLdCCY1JhoUYWXnYLZZIAmlGkQti+ouVFBaOn72VDXWQGAQXTig2SDDBbkRQjgZ14AZ65tZ4qK
P6miry0m70gNMgrGoAzikJDP8N7mzKHe/ZKoAIRefjwsZDwt/jT+IDpMBPC6GTYBahpH0bclr3EO
zRPXMHHtDwEd3w6Zi4IcnW4oDpIxxkOEgE5kwXtPCckTukenynzJwbE3dTbhu1ufeUAQJrOE+WaY
7jJmZtb2kJJDLDwl1zNEPHsoknfPeA85mW+6vRvfIaE6TB70OiDiqfPyROIkFxZOQ4w1YaqMviI0
Dw6ESG5IQjN/BsgSnUfeZDGzbAryQmwxZutRoqBiZSwVnaRnsKWfVjhs5YLwBMRUVw1omghzduO2
DxB54aSITN8F1Ad5sCYDdUb5FLqfVW+0iDHq74QtOZQ+r37Ofnnt7FC3mtH1xaJBTwOZaP1J8hU3
z+3uVTrPDeHVhK62KOKF6V0OArzFUVuqW4uCqhmCzt8JHMSFfT6mgrs46gaCuGckzDHS0Q402arT
o3s7vE72Ap1ZMAo+8IfsmRc4VNEsSbcguUjXYcDmWeVqhjQ7EbrHYox8Q/iUgTE3UjjJCMcQXW4R
R63uxWZR3G0IyvxONz7F0O8dXy5/J54VKlanqdzK6QwwwbZeRVCQnKrvS36lFat72Q6zBkjU5P5/
3wwqUptipBoQuobSdNiF+Y3sxUfpZnGACoQHEiqV1Of1L7k2qROWtfVQJDngo2TocgqJc+RP+GLo
d4N7FXYb50/mmPfLpA6babTaVpZIVeQ1TNIXJXGqJby8leRPfIiMoCaUDR1y1mi4vE+6FCWKjHLA
qtbtFKWfpC24/PeZCAWQVPw2QCU/XS+mYAGbwa4KSh/RwzDi4A6901wN3uY5R0A+Zjs5ts+kqchl
T2KmRDvjJLC8Syn7KMklomQfpgfM54SZXzrJK8GWKR50YAPznjcuS9ZzYUNpIgYzVlp1nLHexgjB
FpZ0i2tsYZZ9KxW7w2T95e1lYmt220tjayY9WnI9XYBWRSVsCqPT5mt+ehSc5oBkIojAZKsFul+c
kxNhffsfrVPncOmSajE6WK9Xe7jW7PjTL24SPYQS4kG1JQcyAtc6SOf+zVgt61qAuJOBArYsqTJd
dEyEuBwWAVC+jAh+BNNBCZID/1pgOdHeDHUK1T5dWtR0FLdSvaY75u1jxmOcZznN3gR1wVlxrPRL
gaJSUypAWIZz/D1aHiL5JhuuI145hJUF7o1Rt1wrQ/VtzXGF6/J5yXwx+p6OkOUdr6WW11Rlb52p
YzhYtyRIzb0/fwsKhHWZk/pOhbfW9LIJ1/rAqe4wi4CW+NvIz4rd7pCbq54Xk4DNW89msLkYPL41
PPOW0JSJENPgtaeZ6fveHnXLZZI2q3k+wu1ijxDBkex9Km3jBomefpcGvUtMQxIGiGd+kYQVsPfW
qSMXCc08RDFeyWWThUNZHdU14gUVVrpsSbIkAt0lY6ibuhRGaV0zK0chxjyZQXWd3BV3RAPB8kSw
DED4GtVADQIhmVc8Rf+CLJP9RXf2qTsjMsdqyyfE0OhLhcAtQQ54OpK3EaZS0d3jflGyZ3TM3q+X
ctNVXCBZQMqravDzcRLEXukUtm53N//i+cexRrNExGIkCq2FbBbEox7A8QC7RNe/lNzmAw9Xw3w/
79ZG16uTetVAOgd/IW8+w5fs+lRcWUHlCXe89zPztL99NpNyzTWLMrFusLAmAx92fyXrTxZvmpxn
g8rCphgUmWg3YNx6sQ6l1Z3RAPDqvHcu32zMgLxbChXzxRWq72IHM6Nc23W7HtMKTdAhcea+cTPo
f07omlw2+Q9fCmKnCpoLhkHz++dqraS4BeCFpwnY0TEwX1T4YHnXBby6+z+csDdb1B3wf6Rd127d
SrL9IgLM4ZVh561spRfCtmxmNnP6+rtaB2NRrb67Z3xgzLwcQLW7WVVdYdWqIYm1ZVARQMcodcjn
ZWe/OSXy8NGvbyjJ/qgKQgW+16QkAAjHgMZ9/0UrLy05qJinKfA13WZAE0MNMCRduBjkGY7aed7I
fhoUWOwKbpvQ0x4uXy3XZ65kM1+zqfK5mrsYNlA9zt0ZzN+X/z43EFn9faq0q7ORvIinQQF8ZNgM
pyKg4zz9SReC8XnpFUAqf66Q+Wi2FUutrgIEW4bfQnJyrMrNjOtIF4XsvFmMtRzG/TvzWDhYiQQH
VT3WJKjyc+sEk/UwgDpdLm6j9ihbL5dv8P9R/o+zMS5/6JZOqyKMTVgJcW0TLclwq+q+bv6YMMOs
BAMGHevsFIsW9HFz/vVhGd9vpk2dGjmwleEZGOozLfxFASjSvy0H7YBy1FFYheO+rqjRoEdEUdOs
R66z0JhADgckGGyPDuGWCNUVT8XgYyxodXDd2EoU45HlvjUXlcZfg6N7lpQFelO7JAlIN3oDmFpm
Ad6Aa2gAVwCVY4Oene20SeZomWOEiYVG/1nVqluWd5f1RCSAMYGm6DosDoVfJsN3Wbn/q3TYWR2A
UX2ptlOiF0C8lu3Z7B9MTbQeQ3QARs8jxcKQfoqPP4TXsZxj3lEkgeslVkdgFHoM034JLXwDwJ4X
sGBOjmfYPlFFQCzuS/whh+1Cpsps1k2E4oTsnGbr2yj5xST42tyay+pzsPPqJIuRVqTIL9O95Z7z
GxorDREYhfBSuPX9LaZbBaVi0akYi0HLP3SwrhrxxbxTx2/5NHnEur2sxNznYnVzTAxjLkuGYREo
sXzosGnO3C+Hfo8aiODJFSiCw7x6s16o0Qh2Fb+br8z4VyZt1fC2EdVmuYCI9TdiHj9pVJRer/CN
uk2z77cTkNvWga4vE4WXomtjbL+KdckqFZSqaBWYYtEpJgHbj/eXvw7/KVp9HsYHOCFJZ0RHKHFv
yj2l3Jb3Fvh2/ptcUnQkxhsUy2hMyozUNU5Kd5ne1KnbhXrpjomNbSSd9FaGc6BHomCM74QAUnA0
A9EEO09Axq6vDBvgO0P/mWdn2xFFEHzV+xDAqN6o6GkJ6Ay8nB4UV/029vMOZfTR733jTNlI8mAE
q6BIQ7jGi13hmJeTMZLEIjBiS7GIqVJVTL8l2pVRBppQ3akD+JIrYpWLrKnYfKGzrfDBTOomoRvU
EOuBXK3AWgX7gY6v5YH0IjJh/oE+hDEqL2N1o6FiBzM2PfulejU0P0Ap6wr0nXsiSmyBzj4NwBh3
BE4QoLNaOiEXADIegDr2l4U9r8622Eg3IiQt37qAMEObig5ysf3cxWxGRW4gzQQAk/JcY5MRRlfb
ezGJC1cLV6IYX14veWEVdGW63un+OKBUofx28oNcPP/VDX6ciblBaWhzux+RX6ST6WlF7crztAc4
w5/kLiBJux/1rnataHmaa8Wzwxz86yLaAuoqvujl6rCMyaEj4rSRgppJPyyuvLjYi+Fmyx2RVLfo
PCsRhRlcH7KSx7j9YgKOvrJgB03yrdSfFd2/fKmij8eovimhtFu24NJM9E1fYpThp6HcFkP8d9r/
8e0Yb99OzhKrlJRWW7JtkgBX58zAoi1BPSmBZNuHxgLNtvqr1PSjPTmbPkwE7zSXRQkLU/+YBPMK
5HLaVxktMKu31T5+XtzQHwAFMHKXPqOi3J/rU1bS6Ju0SlbjsO1Vu4OTtMur0jijwjyJAGrc9Uyr
E7Htxr4zpT6KUAmi7PKLj8SYosvRMUPn30VMCpy3s8V4tg9L2E/nOLAjV8Rlxw9MsINEURTLNLHd
gTloE4HXKceP6E0sDa63Q7/VpP3i3C76s2GHnm5ulV6QcHHbXc6HUBbpIJVlr6gYLn3vx9DTltcg
jCy8ctftah9Te3j6Zrd/Sp6Sa9H4ADeaMDUTY7eg3YYr/3xg0pRZalHKJeBXDtouAfWAvskPogSW
q0ArMYy6kjKPYrqtxJe0tzbdptDav6ryWSAiBtwMbwSLZjANe9ArCSfpCTAa1aaKO98cHi97GH5J
aiWFcZm5pLbgNJUoFaHX+c71AnIUcosZtwzWB0DxTr1PbmgT4b/gMuNe4ko24z7DpRybtoZ7azQK
Etl0P/qXBWQsPUjvm20YLKj6iT4c12VjkacKqLRD272f9aOOsl7v6GBdtpwV5bvcCMI+7plWf59R
DKBP7CnNUOIrak/Xn4h0HtT7y99MJIKx6ahvxoykHSK8eq+PDx0Wg2aCh4dfG/04BtvB1QkxsPQU
NYAid+k60CQIJTfZKs37khasd8Nkzv7ysfhVKMqwAoSbpelsKzOXRqOuFwCk5sPiU2p0iNSu8t9D
YHhpYI1u8UMVuCr+VX6IZLS/ITUwTBIecCfZTPMuAqhcRC7BdUirUzFK3mKpm9klUAjKhUJBV/8d
SQnV2y+hz0oMEyrktdxMhFY85lsQzLvl8Ghjvmd600oRyooblKwkMRaUlgRsbDUqsBq4PxDEehax
XuNGO5Wp/VOgEtwy4UoWY01aLxFsqaDg3vi45M9htLGV45A+k8ivtX2e7Cpr9jIRzEX0yRgDw7JY
VSPxTN+Q/2UOm/74C5+M7YEVjpwOukyzKFX9ReTYM/ufZW+96gB6anaNAqWwqs33fn/0nS27WgWq
rp2Cl1m1PCT3k71p6vs58xR5K02PCUGjvXOt5nU2e1efg77/dfmDcrXUQeNDf+eWYJEaytRITVdR
Y9CekSr06c9EbV0l8RRVhArhHnUlikl8srAx6glgYN8ydpr8UmIM+PJZuKy3AKz9OQyT8Yyt3RGT
Is/lrb3Nt82mOelBEmRYDwbirWPtU4SueBMm12etxDI+K4sTpAU97tBY7jp9M4JmtBC5Yq7drWQw
TquesaBryhDepHsavynHZEub3bTxLMLFio7DOC7ZjKSxLpB76GlVuVOY3zZ5flaqRPBq8p+X1ZkY
v2UVelRg6pm2nLXNfMY+dnDCywAkBRPWz3YEXTfnTaAiIiVk/Jc+JHo+ZMA29mA3xejIOyopOS3A
5zVesy09ERst1zljLbqF+r8hq1/AJkVpTsoI5dCiyhvCjd68VmGARqtA+QVyWLwJpkjrME0oqCXx
Rv0mAmnhdBByE/N1489p3usoqzTNJlFmAueLALGdPWLIQdrYvpaI2Je5/v7j0t5z05WY0DSwHTxH
4EGfaAVJCkWLVcLQk5/jruQwDsOUQ0Ot6B5NilOTXBAjXZt+B7w53QsgwnuL7o5xE7FqVbJR4guV
9UOpd24IBtNBEfFa8RNMx5ZlECzaGMhirGrpsOzYKdD27UdMoc/I2etwQ9p+N8mLZ0SS183P3bK4
WH+2ERgXva4v7+dKNGNc0YL92SNY4YAm7zF2X/rTDnSOqNlRAKwY6Mf7fIYsY7kaNqGCEZnFJpDI
jDA+HcHf3+oHyZXP0cH5vvwm6I86vqjqydHJT8IYt2hIcpeBkgHZn7yViRfKZ7l7kUA/PhtbtcSu
RFG9mqMvEIiVZphpMQ1Ujz8nRoadgA4mh8uvpcDC0L1cbHTr4fIn483cQ4itKej4yhp4rD8LGcdm
SQm6JXhX5KvGr/bVBlRdlouVnvsy9TpgUimofXSx7C/xI4T9CPR2l38Ex3V9+g1sYAA0SyO3NDAY
3LaXXWv02/73XG0vi+F+QFRdMAhu6+BpoP995VSqULdJq7y37dZxvyif5X62DzEGxTGsxDhdbpvm
XKCUnAfTW6xdg2b08kH4er8SwXy0vFUzw+htWu2nWK18U8puCQAcfOS5/lGIoIwc5IUhK4YCMKNh
yyBC+nyiuey0yVHgJZtu2jRWEYDRzpVjzZUdDCDo5VYrHiUdWZRk3ApOynmuP4lmPEpbhnXV56CE
APaiwQaXckP3xRclOgG0tzH/EAU//8/dfhyW0ZKmxTBhFuHp6cFDZmxykGm77QuNteSd8SJq7NKr
Yzzm+nzvQOq1skSTrocymgH5eG9GnhoSpADegrNZQmJ3Tgj5SRajNfEAUrfBArqqTcbt0n3rQa/b
Lu0dxjoSrT817XXafU+15yLO/oKTB6LhpAGHVuDQqM2sjpmDCxPo8wHFuc6LZnDD7moh4JavKh8y
GP+8zIsTF/gVflreznp/rc3NaVRyr0/ua91+wxydOzf3VRhega3THeTwhz5rx2oaREBVvgP4+CGM
uaRVVMZKAncmdc+Gqp0LorijZv/FY/vpThnTmMEaolUDklW65tBEPUjy7NPglS5dzhp68v8OQfgk
jrGLPImNPGrwCfPxKCnYNlSew1YQw/IygrUQFr0RFS0JBzrHOfxswKKTBfW3DJBX+ZlWPCmNTix4
E3hYjk8SGaNI5dlyrAj5d7yProwNykHfKoxyUuoeDeCn/DUMkqfLTo2rH5RTGNOWmMRm+9xqophx
16AwpJk/xsbwSH2OUFi7LIR/leD/d/R3cj6Wuq4ZpTIpJeAsGiyAUU7Kzkg9krq4zA0t3qHTkHqR
4GT820S7VsOAIeWFYJREnkJjzg1AlqlOxp6xiwLpSveNA42n6Vyj4/fe5YNSNf/iQT9EsipjpGGv
jz3MfqyN66p7AM3dd6u3vEr63fbYMOqEIpXhRLkG+uyaCdILMImwPPqV2tSFNYKnpAH/YH2VHQps
FFsO71i5jbQX4cC56rISx9i5PkajM0QwvDFR3S55WPJ7SdTW5MsA7xLyBbRo2GZ7VtaK5IBdBL5T
drPauOtGbI/UZMG8H9dFo6H/HzH0v6+egSXXOssZHAqntPfYiXBbJ83usjpwT6KrJoDKiJxR9/ws
op7TJQJ9B4bTkn07eViAEWeCeIh7Ch3IYFCyYWKfbWhNZhRlVYWdG2GubI2wf5jrVCCC2skXpV6J
YL550cW2PBd4QuQtRS8NuxYLycS8k7yOKGi6VQckJKB01tmp4Nkoxxj0Xojsnic8Ul64NT2MLgYP
9Tl8Sbz8sT7NfrAc4h02RmGUULyugWu+Btg1QdSmIw9hkpxBB4l7AS4d38D40jxGPobB3SG3QR4p
b8Maw62xKjBg7uWuRDJaaI+xNBGCrLGe3DE7TLarWqXX5psiCcYnoxFB6EVHpCq70vpG0gai58j7
u/A74BhuW5wzA8tgGneOMZ2JYO+yCXDSKfR6MY2DERlkOmxDTaZj3gSXSsGCcZi5ZbyxNXC2idqh
vFD5kyBGSyMpcozIQASikmrv1MoelVl/kULwjjebUXbcTp43rfGt0UAfbKAmC1aiy0flWPunX8C8
N9PQtZEpwdrnNnOH2Xe6u7wSXKf11RbXMtjGm9TnFebSwANUN247Dm4ogbY63WjttS7cucy/UgXk
6hiYV0D5wrgvOcaSjzabZT/vYYgUWKrJWMn5nus8OXtR54hjCuCu+BDHZN7dpCtpBaKsdw4QDXW2
ftNiu4EI8C08FmPlvWlKYbXIsl8S1zy0LoLVOwonGf3kpRPOkXANYHUqxsBLvR7UMFlkvylerP7G
cG6MxRtEcBLR3TFmHalNgbEbusJx/w9/ShPQXQciYAxX/VaHoYddeY+5L7NlGXB1enNKeqzvm/yi
xHxKjMavIWi+8i/O0d4H2MHBSH/LSlaiNllRmzAne76eQHw1HcIcH2x4+wurVT7EMH4jJsUgVwSF
rQT812SfSYdM318Wwb+1DxGMY9BspWkbEx+nsrOtsuSuoo1eOWp7dPVcs1EFfojXecK4L/5RnAvY
BhkF11prSRosvcWUVOdLz8M+94vt+C2+T7ama7vtQ/gUHquzCFvDC7g/yWVUvRtKuU1VfKt8DwpQ
TEPGihsF0XnZ0g3Z5IEiWmtRN5YHJ/oklVH9SiVLPTT1uzn3B/Lk7CgDnAOmeCnQXqWr/FjaWNGN
1QkgPJi3lz8t1+5WV80YBMZxjEbtVNmfyvKYg3HZjBIfq6DPXY/FY/MvVXnsamNzWSgvnfp0ZMY0
UmcYphCk1xhYlADATjDZTTzzzTkvnuxnCPtFkFTu04a6Lx1SRijMlvF1sBjrSyHJaAxHnrIk50Sd
Ak2Wd5cPxjWUlRjGFmejidplxuumZ/dGd7TSW2LttPL7mPiXBVFNZEJaB9bx5zyMRUbEifMK1Bl+
2LdXVWNc65kisEKBCLZ9n8+JmSMkkP1o+OYU+y4TOBXuJwHd2PsAMpZKM2pvxqlGwKMg+531u6Bs
YGN00rJB4IT5Nr0Swyi4FTmdrEsQQ5PoZY+5KOSX0y1dlI0YHBS0JBDVrLlasBLJaLddT7KVz3Bf
ofowpz+w1SVL/Tm/JtntZS3gRwIrSYy+jSZyM7o2249P5lbb0MmMtAXLE13QUemuaNCYqxIrcazW
5R2pygqxvhl1nm5I+3yeBd+LrxWm/T5CinYNE0ONsdoMVY2OcrIUp66pPW0w76amDwQ3x/9GH3KY
J2YimoxQDWqx5KlfZg/lbG3nxcSW8Qw0CfWTPWn7UiInoj8MivyG/c+/wjq8baXXpO63o6q6mjMJ
8lTR2en1rwIGAjLBJFGQAZAeu9Tr5CTPGE0Z/mLuGZn2x9EZw5t1Y87gDJEOq4d5Qu+hvG71HUn2
Q3zIHe/yRYvOxJjfMpr2HMY9oscx+gGE/NaKyQuIJATOiten/XQoxuZGGkDqHZo4pCfnGhnwHHW7
QjYfDTW+Wpx2F2aR1+nkQQtF9PUiVWKMUJ2cAsuhYe5Jsm+iG6d4np07p/lF7IfLd8mbq0DdCBQ+
CvJQLFlnDgkqbXDwzEgwtG6r2qeq9Bbnx4ixm1o5FdnLgO2Tof6YYimjQDDX8FeCmSNa8GhGnisy
2jjWz2RXb5ujedMjc9voz7jqXX+cRMykXMUBzIPO+WCnFFsXlDq7RT6O6Lmaf4/VbZVfmaJ2LfdU
YKwzLdAJWF/GfBprnkInhL0pxUsXu5HxU3BtNL/88kqvBDDKX09JYSfLe5gz+ON3uth92Tpb61FM
XcVTQqwkUUzVwRKxL+BSDITWoRUBLDA4btg4HpRimb/FxX1any6fihcxriXRW115KVPOJWeIkQ+2
kvSYTZab5eVOmZutrZYPqGLv07nCR3u+LJUbMq7FMl6rl7KpMmJEPI4heYlsbeS+OuTdhDmc/KZW
5MApB9cOy6c0VjakkzylbHeFob3amV4LvA39bux3tYBbpzA/GVzNzDvoFHKxkBoFRbVRdkmCiIKU
d06XbQwtEryHPB1FWRxpEKjQgBRiTN5qExCyGyhhaNiTninVbg5nQR2Z+0FXIhjjnlQ5UssBWppG
hWvaxzD7Ueax26tePx2HyEsm/S8ehfWhmPtTU1xq38OdKAR5Rhf0aeoNWbO5rDJck/g4FxvASl0f
YlYQwRFxbFcfs7MkjX4E5ld5AJmPcIETD/wBeN2fT8WCP9AhqhytR20hsUZMGKg3JIXmyeqwM7px
nxLLV814M1c/cwxrVSR082n53uZbLUxuSZRscOmZ2zfSJo0jV5qz2yX7leTxtyaJ/Ms3w4O/f/qp
TJSFNk+VRWOID3Bdniivlr03ffmeMqoXG5Cg/O/dzk/imGArljH/qlf4Em270ZWjXp+tVqDEvOdi
ffmMVyqwYJGMCuxENUKPYMHwaJNdLM3/8iSMF0qXCu3+MAOCYjC3RZHtMkd101i0XFpg9TbzcGhZ
O5UpFjv4SWSdiDnfKo69/5c6wHgWzextM8yQq2rXg6+hVxv7+j460SUroDDdizjzuD5zZR2Mlxnq
sKk00If5uX4HooooL1zH8kkueCdEYhjXMmfGYGGXqOxXZhdktr2bQrzscu3Zlmjbk8Bvsr3SBTQC
8wA2+veFMdnBCSjlvCykEuZrNrw8RSDSp/3ze1uj2Bs6BGKcZo/VcJNzReS7y7rAv7QPEcy3sYx5
qpcEJUQkAa3jaeTQKo+z6NPQv/Ll1VQ/pDCfpgCDYa00CFEc9W3WHmwtIG29XeZXJP7Y4CnwcXwT
crCLFNgRul2VubaBLK0RtygvFPYuy7IHexKOG1A3+fVEHzIYp5Pi5WztGJW79wb9c+oXXgcOs9BV
ztJelHzz9eBDGON6SDukzVCjNR9Gz+14sONTIWqOc0uRFtjg/nNpjN+Z5ibthwQHyk8D5jid624/
zi4FcvTjO3oxBPtqfGVjH++PBCROl9WQ/2B/SGc0vSKZM0wlpGN5s0vSq6m9M9EoalV3FKEXRaIY
jdenQcoGgOl9e3ydJ7RLAY/pgyx8KK3g3x2K0XqQdMtGHeEcmnxjTl4f3klq5WF7oTthIPayLEOg
9CwALpxyM0no7EQPQAWWYF9NS+fXc7IZoua7Iuc9dk2Fj4Udb4jaI0Ke3ELpXcsCQ/4k664WJ0Fi
Tlsy6Yc+s64sJXVTB7+2LQ/p9FCb5ZVSaxvTmBW3MbAwIuuCsVHPjtMcdW3aFVl2dKzSN4xq12jZ
bTNVvj4WvorurJLG23qK/CWZN51sAzljVIdOtvbR1PlLWqEaWwZtvySuVha/7E7ZF2Vya+TOc1IZ
fp4+lbmId57vkP7oGwvqKUDIqQJKi5jBdk5tLAdkOhrjix6VQRzartIJ7YuXEK7s6z2EXOVOhZVk
c7wgcRh7bbMUD2VdbGSj/Qag1hap/TVp9YCUpUeSwkuQ21xWD4HSv+MXVtKzuVfLbqrgrsIbAqxp
vqlUr9BOZBH4Xq6rArsKxVobzhcY9DSlajRLELTY1xjKDuv9QgS+QiSCuubVWQpsSo1ptcyPrd2s
XBvq4EqaaMZKJIR5Q9qq1OqWKojdJDuH1B64rwPTFLEscftdoOr/c1/MO2IZuSQtDlLq0RsDCQva
FlDKp765T7x6D7CXHwYU7iWqU3OLZmu59PyrS+yKZpQXHXJ7TTla0+zJLZIVKbtRnWrT6LYrxSmc
Qofhh35zWReFspmnJi/VsVc7QAVTDXuQndu8O1hY7jTfJfa3wbySNa8fBXtbufq/umbmfRnkxSgm
QGr92K7f9Gzwe2t6I6pzcODjjCm6u3xErntZiWPemIxuDXZCPGdGcsqkXaSdU+zoxgL2vL1JVJFB
cHsBlob6IAD56JuyxcEqLhxFIqi0Sjt762ygQscFTY4GlHPi2XZuxLgSxpxt0WdFW2KkW5mEYZ/+
WFuPRncHNpTLV8gVAyKed3CnYrAeerGkoidtjGfakF3Hbryu664kQLun2BSUtUSiGIfi1CMKnBNO
JJdXdhP5pkF+G23q1lMtWt/Kr2WtjsX4lVLNUSzScgqTxeYtrymxGFG5S/ajH7rDeT6mZ1Wgi3zt
WIlkXMxUTwbGQkbqYgYfCAs3OVRHytZEJ8GMvzG0lTDGrxiYRMwWamhO6arKvq2+VfkvDGu32fNf
6AewsRSWa2NbDRNcLWVuRImBU5XhYZqPnXUI29rVGxHan2vKH3LYVC9zyqaz6bs9p/01yGnvhxFU
jrG9H9P2eipUd8lJcPlo/C+2ksmAl1opmbG+EzUaaWdu6UZSyTOQYmqAG4tDb672r4Qx2h+lTmdY
YF30zfJNy78ZHTL06FUXseLxC08rOYzmN7aatUYEOW0w+cnxfUXMbnoHZFaHFsNKAgdC1fpLhraS
x6h9XFhYaSVj/qRLR98g8aGzI0FJiAf7BL7sjxKyG7omM3Skru3omUDkFkjP2i70db+5z87LbQQ+
hNkHdgNU4Rjcy/zxuNwkGyF0hX6gSwelH3j9lM+FkQ50E9noNSfVMz2Cf8udta03cSCyb97+m09H
Zl7SMY+nuhsBp6iD2VO96ChdI3DdDm50Sh8tEE/rPyTfFFgEbw/CJ6nMo6MVmHppO1z06GnP1RvC
pGNxQCkXE0V46RK3BpdZuyvfF3XMroh4jhs9rD4z42vSITPAQj+g1748Kco3or/Z9TaxQY35ctny
L9si1q1+/pTARUjgn4CNGOGhGX5F8U/duTVbUbLIRUZYgMPQ8QLV/oK87zOtNKu++ccWsahqRw50
sbO61zGy2+8bL33VBEejd/RFS8GcRMH+9H/Mw9A7eqrWUQ58DCaRsTlx2wT/zTYHkRjGGDSZzFjr
GcEYQL6pgXxzBIvkf8HyzvUuq+OwZlB0ualUOI7WeWrmalYgK7sxPiTId9XkzlGxLs0fzV0y/Jpf
q0GYTnKNfiWfMQilMzHGS+Dd6N4V2pY199a59xGVoScr4tp6H1u49PHora9cTIzOX9ZUCDDJUN2h
hb8dw/YpH8zG1frGt5d2I+eVqxTtYw9a2igyDnJsbpqZ+Fo5B1lrP9VmsiFDdj2mDcDF1ik0Sn8m
0oMlhWdpRLAwtu2uN6NftZPfA5Z2wNN+IKX1NI3Z7zJrn+NoeEBX5a5NgOVBcULqyg6NqnYjRfem
mrgS+Nxip9+UcXGKpRimutxEVn9nhaOXQnJQTBSFaQZOXu2BFd+OSQE2OJJ6Sk2OpgPMfiTBdUjq
c9f098aESnjvdJ6RZPjj6UOaKg92N6CKkmIIfHgZK+Ngq/lrEc8vTrEEph4Hjtz7bQO4v1Pe9mXl
KWPvdg3wTWH+GhuP2AvnGlP4PGTjVZvEe00qzqDv9DK5+iFl1X1k3/RNcjfkpq9U8mZub4teNFPH
8zAgP9KArTRlIAmYL5m2s9qAuhF6I+/r4Ry3p+xnI71ddmPUlll1WQlh229tq3dkyfFGWIApoybl
OgsSoNy/LIV7FGQGOlBO2DXOlnl7x4qVRoUJhvVGjjYp5h1keGbwN12Ww8VeYDn0H0FMJDEUvTYX
C2JaSb4pnUMeV66ceK12XxnHKm82jhnM0TYW0c7zzmd9mDjLNZeEaWFrOt68oXeN9ikNPWnxcv3+
8uneHS/7sdZimGCzMkiRAxOF0RVAT+lWNFqFqEDpR9nL6626jw7GVecOgeaRDR2MVjfmbt6JGhE8
nVn/DCYMjcPRUBLaXpNjLESoZl+XiV/af4UWWsthwlDT7LIkodsZK+csDyc12YbLKxyQJ1umm2QP
mG4lkyDB5D4WdEaRzlIpqAJ+dp8VYBNttsDoYqdwl+rG+RtWcMf6kPBFV3RJjSUKbo9B2pcgHiKn
Zui9IbFExsB9YFeSGHUx27opHTomiP1vfnEH8MU9nayq7mdQGyCNHffTdgmaW/VYeqKQnhuHrWQz
OpJXijVhBEjxp0pC4jwnWzsMt3iKA7JMvzpSiA4r+HDsUBVaBX0HfmVQ3oEI2B8fdU9xtR9S0EUu
iUHlp/yKA9Ehue5m/S0Zd9Pai5KUFW64NzDjUQTFtkk940zXS0b3otYSPxRc3SkTl+UKPHWM7ev/
FCCfrY22wyogGLy2Vbz6DYu9fgkzFq6tr2QyQRo2dsvhNOKEiAVPurfssWPpOvOyvb7Rj6FbYMZV
eKtcb7qSyQRsRh8OTtQogLqcrOvxQJ0bEBkv+kv61PoSyJDj1/SXqK0lOigTpRlqT0hpoxpuLztl
fMy7U0q+X/bfPJpLsDorFJNE/5+dNSmMfkmnhI6cYk2auR1OFrLqcuNcZegzeZRJX/nl7NNAAi7y
r+xjJZs5X1arMhQVRZg2qPbqQQVHWHyt3sj3oFtziQ9HTnzBcblXuhLJ+FJLGrMIi+H+0df2DuyN
Pkbp/dAHtBunLV70p/pJIJMe48sT+SGTnVwzh7AeYxPHtDDbic2hxlMN1vPQjzuXphfEjw+UEK16
jTbVvzwvyytX6YkeRxFyT73MvdKuj46T+Fl+nMISDbjfWdKX7izrAXBpntQiqE6+KyHSuUHZReO/
/eA644HHQjMLDAb8w/OkPtJlKpmHtTEb06Xzbs6NKNExRHfPvNcLZjCNEk1+oBujezWBvzCj21jX
vjkgjJaHfKuO8i9p0R+aMTnPSum2seqlSrRX+vHQkN/YD/moGbFLG5GVhugG64HABe1lunRDiYE8
e/mhkP4pJ/I+M6fHwjDcfEQ4EHVHqUV5O3lWM1RLnWOUZ25Uxzep2p+TLN0MBvrjpPKkTMetL5tk
eEI/bNuE0wsgwdeO+h1te1cq5P1svlhyBX4C+5jH4+2YKbtew7Yps0MC1ZQPeSJqCfALJiuVZR4R
bR6raqLlUboDukJLQHGLK0puQRdk0kXMzm3oYkQdc0XNeRkFjoHrbFfSmUclstVkLhW06CYp249G
96stlUcil7k74XNctk6BQ9CZx0S1GqUremTC1XRM9BtQrtTa7t+JYN6OhbRVbE8o2hsl4qqkH11n
tALNkgSxuOjaGHdaqXabazMtWYJQL3zR+u+luin+gqly/WCw9E0ky7uoyjEEEJLWbYbfI+baRmM/
9U6QG97lm+OXslGjpwN9IHuQGU1ohyJKe/QYEV7I3nJqsQy98OS9dsh35VnEf8VXBRsQUsqZAabd
z3G2OS+FpVtQerJYnpUvGz38YZrR5vKZqOl8fQ0+pDCmFUegFCoXVOfJ/GoDoynq1YtOwVwZiToS
yzQhi6STYQRJe62R7eUj8IvxIJj7z00xRgNOfL1q2xkR2IDZIQDyqrR3w9Q6ObbuTwkQ3VbmG4Xl
mQ5xpSZIpf6oxg+XfwXftX/8CMasklaX+iqnz6q9eCTeY+gMpEYgxM18bAXrSOlflse72HUez1zs
bLfpNIUZanbYlhWe5GEji1o3PN1Yi2DutSFh3hotANUOyF+d7q0tBAbFcxFrAcyd9fMEnr4arigE
dVhrXA2g+XTC+1hNBZfFFwQjshX8w8b7z7YUA0w5WdhN44edfZwckA8m1pWkP8i2iBeA/1k+JDEx
xRziuy9ShRUoYPJZflrLLmkFjpWbU+EYf07DegaryMFJDJjjglXeqAtL2HXaP7d7oLG3IqJSvjAV
iwmwA86wMJjz+erUNraieMb8SlLAwZqvFiZM1MTX61cMg9bpdVMA2XbsVQEOmn561i/ZH2JZvjzb
jGdNScGraBaBDYIRAzirm6E8yoYwL6bXdUkUoxxhqzdlbeOTNVj8gOmnQE1dI+h9VPQBVpFOIuY8
nqdYH41RER3VbuKEMuis2l0639naPSq8RDmZYe/G4dtlN8F9s9bSGGWxy9AiioaLrDE3Sk+H/UZP
mHfaFBtn/xfEdWCNMQxDxuIIw2SxG45iDGpXAY44keupxGxlP7uRtWyNcdgOi8iquf5pJY2JMKap
1qUyJziaU9z3XbszQe52+frekRlflQM9eRNEmJrDctRFFoZnUACmfGo0WVJc7GYH7g8blOnO8Owc
7esTmEaPuUcCjD1I4GB4ufwTuB5Fe6/XYlYO/AufDbBIFwck5x14MJvZi+rSnZbSVYTzxVTr/o+0
72quG1e6/UWsYgTAV4YdlSVLsl9Y48ScM3/9t6BzZ0RBPBv3eB48do2q1ATQ3Wh0WOvTQldi+Gav
qiJzpStRqb0tVNsVXnwqXdslt7zeBPgdybZunpwBzkWe6lYxAfhRWD7MrWFHcJEEjdrllyQ8Xt6z
TRNb/X7BxEbTqMPearFnnRuxExhXjsBoya1rpriFVu4uS9sMQBgQrDBFBQcJppaPyzHHuTEVTMpA
SbQdLyBryPiClYOPFNLjvFelT9dNn/UuUWzksElfDTMa0RGJQqLb4unaHXjSgGPCBKEje7luXqAr
ecKBGdbS5mWIFTYTiCALoF/GtXkb0+48NTLM6u3tNIGiZts2Q5pZCAumJiJKbEIVp9veV11QTJzJ
nYWCoOHm3nyWFQQ317YSJ7gRs52MOYnxhBitwdFo5WlgkB2u5bTCmya2EiSoCSVdUOn80DoUJPjz
ITyZx84p0Rqpfpc1RUpWRYTqOwNN1EgbrKrEpcZOWZM5eoqRsdiRKP+2IKIRC7NRFrz/R+XPkylZ
1BSrarz8r+FY74HEqjjpr2XPK7jsPL9E18aTLfEgm14RSGtghwHiGjKFH6XOEWV5aWF5+XJrVru+
/GrLdlAmQvCIwVKj/M6RgcPw3la/TNFRnb3LmycTIexdGbRqHWpYxWQ8kPB3MLzky4/LIjZz4my1
U/z8Vo6ddGzMbMBqAM1J2xkenBNKi4/B1+o8AIO73s0vxei2fxZVrcQKRgxyjrEdKt6+j7cy+10B
tKpqgBuNcUGQD4aeLLfIjefT/WWBT5HaIOtD7PFxmUtTKkGkgDDItgEtNp4yimmw0roaGTgqY/JX
rChXqJURifpvnuBKrHDTZLU1KXk6gadoUE4KuumUiuyjUjYDumlkKzGCumfaqMTVFMFHqfcjqR2M
IvpG+6Nqwv1ldZGtR1B6I2dANhs73QNb7kOUdJiB0O7okB4ui9kMAFbrERR/Hrsg0ku4eKvsT/mc
HttxdC+L2HxBrEQIeh8v4VgsM1bCGmBEYzRrbnxDv1ctTCdI72PZ+QjajvkPQ6MzOnXUE92hxzfy
dLSwGPeT36AC1H7vHfW+P8g6ybYfZwAtpAZD7IEA5KPSd3FjdXHfwEXhlbQ3fU5Xpw1eeazRDSur
Om0GVe/CxLKsbrfZMtV4J009wLLuWOJHwH43MeJkeNEgw0f8L2sDnyhib9i0CKgZgOrciHLwzXae
it48cFudmr8ZHyTD6dtK/y5KiACM0V5mEKvzhvrbRXHt+XtaSERszgmAZ/yf5QhHxfKp0Y0CMmZ1
ny/7jHwvw19KghkZslfilxm9vrGsrXhzXWCkMy2GPnpEuR/VI5+IraTLiBgg7Q7FUj+EauTDKiQ+
Y/uKWckRTI1NvdVHaoEX7SugWEBDVu/Nr81L7NI9Okx89Rw8yMqum8q4EikYXFjWtNVCuPtonh7V
GK1SY3eaZ0DAG5Vj0Wzfa5KLdPOCWUkUlKSwW0SqSo8D7CrP0n0lLr088jnPA/FL/W7Wj5cdmOz0
BI0pG5NoNjB4vXhCQY4A5K/MD0SKj7XpJ8l/kkkW2qiEq6WrRtR+NFwtefWszI+d9hcpQBY2Pi32
78sL2nSSK0nC3dJGJhvsYgSFUPsXCn46MqTUfEr/BCON4WGJTlBNtYFk+1HrFUPP7aREUGUHuxzU
3tMNzujySrafKCsZgsa3StbY7YgHLH/xqdeZRxIveUFquXV0J/IVwymk2N38ID5FOHhmItRmJgWM
8cd1jaTsxynBuozH3udgB7mLXqbQodfqTveUYyeDrtk8L44YaxAkBgAe+1Fg1wFyJDeQzUnQkhgC
iqAvXDY4swy/RiLnzXWuItSAVEnWqdhMU7kqbQxPHoPGG8bD5TPbkmKr/8ljGjZ9O9KVlDRR+8Xi
DyILwHzoJKBPPdlTGSDXljXZKjwBOKMp2gaFMLRhqtKpJbDqDRvzKU3nlmXkVA3QKVLVB2b31z9Z
FBBhDaTciClmZ7PWSFS7xBsFnbtl8rONvoAgfS5lcyObWURowt9yxHTspNaAqqlwe3Ugg1nQohDt
qnN8fINY8DTJ2M3mSeGggEpD33rMPupdvqDLO5jAN2otzyz40ZR7QNE5Tf0Hjy+Udf8RIzj0pA3H
PC8QPLH0UdfOUfUj1/+6fDybfmItQzAhUupZW9EB19RV7wcnPvySvEwuh4c0D4Gv7C7L27oyVuLE
uWkahHGHCx88ZobpFM2DDVL0xP8TGSZIpLBz4O0Q3Osc6BNTO3iFvIwdU39Ryud0/HlZxqYVgXzo
bxlcQ1a2OtNkKrQEHqGsf1TDTR5MO/DlTLlXUV2ynM0hNmAS/SOLf8tKVjfYBkkz3qu5H4Geu+/3
QMZ+YscKDC+oAZSYO9FkleTtc3qXKaiemQdk7m3ItMhBa91Y/9npj5e3cNuI3kWImhc3dVeMsNiw
2bHqClSgTh15VS+r4W27hvf9E1ORA2uKoUrggjA29Nv0Efo9DYB55VzE0X0gOS3JxtmCe2XLFBZF
wFODaFnBhNJ0SNWnyxu3OcW8UghbeNJ3qUqKAm06b3d75Bqgq7Bu7Ad2ZX3LMIr6xujg1WgijiVR
BT918YJfCxYu+ELvTVPJwJMx4aLNen9oHyfltR8fjeZ5jCUFts3Khq0xdAebuoHaniDNYo1CBs4x
isL14kwhfHpa+Iv+jCGF73VjukqsOWnanpH1u0st0GZOADVAY9LNqHTXSg6WcF13hzYPnT613JYk
mmvWT4EWyHrWt/fl/UuFuDFKrLCNMfTvddW10e6D5M4sML3oq8N+1CQKtm0277K4Aq68AY3iPs54
d0w833ZV4wdV/wo019OI/oXLeratyu+SBB/XpjntmF4ic9TsOuVrWj6xZZZkp/6Lcb4LEZwbIoEU
OPVYzvRj2dFde634WQLoeN7fRr/KeDQ/u22oL1g2NAOdmyjsCJuXkCatayXB7DGmUaL2OlCOk4Jk
le2aleScPu/eR1HC7plqyzJ0MwP5Cz1h1aGmh0rG6LHhCCDDeCsjAaSbic1YVdDXfTehxYLzQKpA
TUBHKMcZveOt4Xx+1TpZrqk69Vl2j2+c20fRwrnlLIubyMJOmvvqKUdeRz9mZ+Mecwv+fDAb97Iq
boQpH8WJ91FBDUsZII6XkxYwLKVfmBejnGQCQ0vOt7p5eCZyVgb6ZT4zNA75kjRTF6kYQwYEf1X4
ecwBAReJ9m+KsUDqhykF9pnab1HDABwDFJs4X+cEaCG/o0VyWUhEiHFxQVtlaAtl8ZToG6l/F2g+
aw3Z6fBSzcd7Aafzvg5LuPSWHBGxbQIuteg0Z7DB9F76ZXJO7duwve475vTmLw1Fv8tKIVuacA1q
qd50UYy8QB2DNq3QD6lln8pWBp+9reqr1Qn3UNfYal2nWB0HDYnPxrlDYd0Gs17jgjZJcsVuZBU/
7qVwl8QzyDTsGar31sIH+nqOL0HR9ayepdlZvkOXzo3v8Oouma0cEOoaeuuWOkbRNE1eujo6scJ6
mtF9m0zMm8fAT412F+j6nkX6vR58uXyIn6/Oj8sV3CSZrWY0whguDLFmezYhyrwbslNinFkrGSCX
7q3gtHobpq50gJ4Irnm+VkMWvDp0PtmlO3qUrIvr/KW9FTyWYpqYy8Nr22twnA4gJx/7OXHzZT6Q
fPJKpfwOllRP6YFflsTNya6Lr2Gb2E4bzNfxpHi5ungkatzSyA/jaEfIarxYLHlmkYVcfUl8VQXW
pdr6NMqdrGA3RR/vk6S+r3JjF2W6M6S1awc56I57R+n7p3L5SUryMuXVbu56H43eAM8fXL0nvaMD
bCqoc+Jki3LVGeW3ZAiv+6h0oyQ+pbHll81DrtHHIC9y9L9nR9LOuWvGmAFaIuVVNwOgKS3A+NKc
TI1/jan1SDLVGRd0DJm24jACUkpqA1s1felpfKZFGLlmkO/KyNgZYfEcEMNl9V9F3B8NtNqVNv01
lv0Vq8fU0YroGtzeMnLHz4EU1zxKMJYJfmtTbPGYkhZz7hPBwJ99msvQqVO/16+s+udlRdj2Uu9i
BC+FwkiuJmUI3odqcIeROMmc78tkkUTLm5HNajWCk0pTI2rbIYDOhP1uKZJDWd0XSuNEs4XXYSzR
bl0mTvBS2mCxiXYmLsiqeRzi5H4Mfw102aVt+MWqO5dFUBQGpOy8fVy6yeu76mZq5sHpWs0vFtVJ
9Pa0tMx242K5I6PyCp7NzLVb9dz0xplqww580FfjVPtTYt53Q3T4g2NByxS41sAO+4na06gqNQB0
O/xO35xmlrpoBN6NoUzJNk9/JUZwbwr62PtJwQ1fG+daPUcoof+6vJBNB7qSIPg0rSm0lCI36nWY
/4aXtqYY7Y/7BMxSVf5SWf/WhwrP9qGz+2Ro4UOLq9lvnRroF+YxByAn6nkSLdvcvPeLV+wQCZSo
NhcdV6E17RJQ+Frn1vqXIoTIxaoaWpEB1087Zk4/+HPzROfTH5zQahmCBxisKarMEKVXtNZ4utYD
iIuBCOkRhH9ON9f7cFokAZls4wRnADysuWIUG5eomjv0xK3YcFKZjMNS4kHFZso0MoxBXzB4bgXK
1ZKDN7qLz3Gu+GaXSvZwAwjlg7d+m8tbhSoKKbTBHBCq8CBs8Yq3kqt1iIAEOiBbWT2Mt4onayrb
3sd/fPcbiudKKAaWiqQooB1xdTd1B5TRtFASn/+X6PIfGWJG1IYKLkMJ+000lCVrM3Ms27pRYsUb
E81ydDJeGR3Yn0DYsVfUNnMyJXgFDcLzZSXlZvspXFm5ESFcMYHV0KotHLp6Go4YZttz6ujoJAtv
ZWL4z1c7OnU6HuDoFMCzMTwYhxSgPZz3VyaGXz8XViOm/Fp7Wmwl40MjwWNYXkWyDulNzX/fLTHL
h0ySbkYWfn9mRk4wgcvpJ2mfRhk59Kb+rcQInmNmdRTOOS6pDkO8Tt32B8uObmgry/bKliP4C1aj
F4kOyFUo6gs66EmLueuMOhr7dVnJNqOG1XqEqIGA37FbYuh6Wd1Uy3M2YWpj+MG6R2qq/mVRG0AL
cBgrWXxvV5qWFkRb8B8cUVNcZ/PdkllOrryyUr3BfXlK6xBlryx2Iy05marmdGHpUSW6nxfjEfGC
z1iEuRg0yQKSNcrIVURK/kLaU3v+pWbPoVLvZ9JKrqNtN7f6an5Sq68eAXEVFtwMR3fyurt6b7u8
JR4wV055hYyOo59jDF1KgiHZuQgxRD82Iw3AGesNWXJXxPbTPEeHAJdtYswe/MKPy2ez/Q4jpqWC
SQaFTjGzC5ReLR9a6LWCjvElPGNbq/l5Dg56c91VgOz368wNWlmRcFvN38UK6qehhvKf4fuWPmox
HjLlVUcrp8ll65MJEnQPjFSoVtdwD+SaU9Nat5xVOvPs0NFuTIf0bufmt4VrPlzeV/5rP3u99/UJ
ylN185hgv4FKpL4qwV2lw/d5l0VsAFdzs3qXIahKqzdBE6O+BgVdduHD7HePpdsdGn/wwYXy1j5Z
7mKPHjmZ+2XZW8uzOH01Ereq/mlGammUpchDhBtKVzkG+gtZz1xK6t2/EyM43ShLpyxrbWC16pPb
WrUTKn9Vtoz0baPdCsMmq9UIPrdL8Ny2Jk4G0mS+UZ+6aXKr/JUo9+nihOWO2UcNs9WX17ZpeRZ/
8WBgE+AoYldy0jR6MVV0AXxBfGgeI4/P1JNdcR96MpLWzTfiWpZgbnOLVjyN89doxP5t1ejqJXmN
UfBEO6Z6eGNn/V26lLsZHAI2IW6OR1jf/NXjuTe35QPqW77Wx1/nIT3PEd7nc6H7bdVe1Qa7GpTA
bQN7Hw30JQ0XfzLYrYFeQ9l28UMQLYo36egmMxj51LM7gyZ4wgQ8LmBPe0X3AuZpwy8g/HEtqPp1
KAVm31RxauK5xuAiPrVLVjGQeksNjphGTm7eV9U+ymUPuK0QDNg4f8sQuySJGptGxGW0GF3AaIbm
zD5Bpz+YKB3iVH+ZOwyqe4fRkeIZyCQLj614oujTMfjqhpts2E8G+u/AuqkcesWb6HP4clnZJZtp
CIZc1wAwUxvUDGLrrEC3AFZR7y+LMGRLEqw4bzpCF9Yhy2cW58FEJyhKlTV90RrbH7vlIWnZQ5sh
qO+U+BTpoBZK4m4f9MlRm8NHdY4PWqUd5yJ5TMxon80MI7nNubbKq7qeX+u++IZM7M1YD4d0KneL
DviLjh7rJD4iIfaT6X3mEFUB/GvuhX3kKihxsrRwyv53CpNSDNlUA3fvnw3iXXkEm9aNQM1r/rJs
1WOZpL7Sf0nigxJeY1rKv7y32x5ypaj8fFexkA2g/DqPgSGTV6ETNUB3w3E6hWFcWwV1lxJZ1bDx
4qA+RKiBSoTLlEe4S42+yCr4LJ4qzm9Mfzr0lUN+guIEcPUIw1KP3ilXSF9dFivbXv7z1ZIrI29j
NSOL17QnLXsqW78gXvq7lvFC8WO6dIzCa69ZWrxsuwlqW35NEe+qktLxplkwzQAoNwZgPvX1jkVl
z4WF3x/+nu3aycmdXt6w4GDpe72+BxmOLCzhtvxpQeB/BksYQ6cp4R+02riWjUmmF4DYDJmbVZ5d
PZnxqTAOS3nHggd92inTdaUeykbWxL/RpYB7HHVc3r2MUQND2MoiRTvdyGrUUKLyBHiMnZ4EaKk3
dDdTJrdQg12rz4/o6HfLtnQojjLD0H+GL3bQ/XIYm/AW/UrPwDb2afiKHsdHWthur5kSv/8Gm/N5
i94/VNginQ6aXmsDOuSSArz2g4vEhosWKTfomxulGZ+CJrjuq+qk68Zdo7JnNJAe6Mheg1k9asN4
bDOMx1Sd2y5YJBncxrZ/dio6PU38f306msxyprlzIkt1kJS81rv+oGuJl4bNz7CEDQXl02RFQH/s
gClZ76ciuMnR0dSikzJVW4eqMK/L9rQViK8OR4QSMsKmXWoNLdEM7L3oW71TTMUpyYTJd1kRdNNh
YPxWA8ezjWZHwXTVQg1Ti/TIbKhP2lI7ugJS+iCQKfqm5a7ECOoWGqjOsRBsO+Y+Ml0+ytkcsjOB
U7IwWtnfzofy8Cd7+L4wQW+CMGhLGqjAY9R+J/r3pEcuat61RFbj3zqrt2k5hh5v7VP3MLHrQRk4
x48+3XYLzKT5sZQPjXK8vJzNhNtaDt/hlavoMRca0nFApovbKUVTGK/HQS9IZWOSTnO1CT3LLAxc
Ix+ulQLE66ElG0rkmyYa4/ojhLttVPWu0xMco6rdW3biVOZx4V0oyS6ef+AfQ/zjXy5buNAaZuaV
in6q/5dA5aFs5AUHXlkGKINkk7eMAS3ZDOPghNJPLZhZ3g5ZMYyIm01kLcPUy+A70ll2jW1dl0C6
MdABzsEfxDyCXjH0+ig4ynb4Mo4+eksdk10njTtLmRS5XX06sJUoQWvyuB66mXNMFKTdFalxSzSk
/pJiONh97CNLh+d2Jkt6b91q6/UJWlJFZamA8JMj06N+uitPoY/J3/saoI+A85GQIm9upgnLw9va
1vHno13o4BIAoRtmcWjxZGv9YW6QANPHfYUcmhWMknrlpgG8SxMztOGkDkYeY2nJEZiSp+FgYBKn
2csSwZv5CrKSI7w55iDP45DfAJ03+v0B0Mecb6s+xd/CvX3dH+k+31c+R1IHG6N/2eY2rYCaGqjp
QOkLc/+4o2FbA3O5xuMgSR5o6aV8TlEiYvNBT1YyhEfOrCQtugWsxZtPuguniXoIOpU4cuw+2v/J
ctDwjuwLBduQoCApYq9qmRDUxSbo13IDiEnTDt3WEj3c7PViGhJVALXQEM8Jcqa+6dNigWpEx9nN
fqLH00+vTWc50d9o2vPJw/++rJU4URPnqq57yERSujxrgMLEY7GUhMNbprUWISgCYd1s6zlqpihx
K9mTsnwNxl9L4xFZc+iWxq0FCdrQkkUbgN+MVpqEpzevWbAfjcy5vGGy1Qhv3mYGX9dbBXgyfySV
ehs3PJ2K4XolcwBz9XxZ2sbsHpqATSRM+U2COpngeXU8homxAHh6+sHR3hHzLAfqzzvzMb/iYwpg
6XiUQZttBglroXyjV0FC3STazDCsg5l0Y5dDYnpYDvpRO7FdyRxZofsNNVS8XQCUT1Got/Fmevv5
SlxaBhMrJgSP6cIeE/tpYfF9CKZaWtc/M4qJ9HI862T+0UfBwUxal6rdCcC1N1m74FEc/rIT41SN
46GcaqcdtWNkATW3Ss4RctAUuPEkHty6myI0BY3fCNxRxLoHdZ6uhpT9MkzlONvVzzgM/IGmZzJW
rq1bxxyYjH9ylqt1CtFrCux5lkSIC6LjAqwf+5x+i78EhxZcdK7uALP+u3InmwreiivXeyu4E6tJ
OoVW8MJkCI9VUbw2wO4M7BZvlUFi55vm97488bmBYGTsVUAmeLl11rKrVP9Z5/eXt3B7NSDaRF8q
1T51MKddO9W4paEp5FwQv4q+0vieIVy+LGYr3GHWuxghWgwrqgG/BU5xagE0ze6a6lkFunUJEFLM
eabh18viZKviLmel/1Rv+yRYsHHGZDks+pWUd13+khay8sX2AaHqRJApwPCW4LrGKlDTGvTFgJbN
0XuXe7RmICWMvcvL4Sr12ZzfxQguK1OsMDczfoN1KDoSj9oMfVkPugJK0coJxl1fHP+dRMFfIQIf
1cJEdG+T+EUbTQ/8h7usj90iz70xNDwA8TlQHMlCt+9qxAJ/b6igJ2xaQiuJeQTuB3tQ6e10xRm+
d2fqslvO0asGMhey1WuMMfV/JAqqEk1VX7EK0zxl/UDKuyH6Hs83lnpQLLcYv5TgvQx/Xd7bTaXh
VSegQYHiVpwyTXkNwORr7Of5kOXRcbLTA6UyAvqNOS9cdO9yxCnTJWhY0GF8+u2Flp6jV0T76HDn
iCQYe/kVezJcoc2LfCVQCEuKqjWTXIdAwK16C2vBsNC76OD7UWrkNslkkBqbRr4SJwQndRAlYZnB
yAEj72a15pIYradJYnwPolGiJtzCPlkgBR4aIm/kY0zBHiApUI0JYT8NTur0qvaSCdDtAGElQFD8
ggQNclYl6qAnTgIYntTjcsLkFSgAbe9/x7mEZqyECToPFgDasjnHO2xJb/tEewGvi/8HSr4SIdzM
Y2QZ9qjgfas1qk+t8XXsp5NhFIUkeJQdjHAbp02t6JQDbGels1iY4Ohk6Fybzvd9JeLEQxcWtK4C
bFbRIPPcfddTz9ZwZxk/p9INI2+xny9v3faSCHINKEx/JsAu6mgclxEBBsPsDei9nZRKNm3zNqbv
EvgXrK7HpKjt2Wg5zSsYePomxDCc5cXZC5m1q6XoXSXIJOqw+a5kK5GCAdmZ1tGG4UIx98qPahcc
kbwHirCKIE3WZbdZ6AEeAhKnKLN+ZrFNmq5tihJgeLApX+++KQU624EFVpoLWtW/6XFznHWQ+QTB
7vLJSSULLmlMzZAoBJLf2tHOtm+ivoMC6OFPOmzA0UsA6Gth6l4cg0+HKVNqA4JwWsHs5JMztefA
cLtU4pg2ffq7IFH760ix6JLitYRAcWemM+RQRynRuxSi1NqzvWQH+Q59crQMA3UmkiyfyVBpFvam
NRoL+gaznz2SKdRFz1TsgA/VjXfpy2Vxm9UWthInuCnbKnR74ekOfR/sI7d5zPfBLgWcCz0Ed5zl
jIE3PX5Nd6D8RknUAwfU5S/YdvyrLxAcGGpM1kxzoIY3SChxLoTIM++mEwcasI+yPsNN1/IuTGwO
LQEbPesTLy7pi9eNOVB5ZEHA5q28EiEEAYqeRGZBuLuszd8gbjwioVq40dJfoy7zJ6+KlSzB3AB4
tdQTEOTR93UKs6MZPZvjIU6+LBNQryTJ081rYCVLCPUBfzKrXYt1lcoVid20vCvCs4krocleGlAI
yMbMZUcl+OhFjZQiR6LCG4pboj4z25MoHj+IC5Ymwhg2VFMWvQbManY1YSxMc0qgq/DmHfUszZry
zfkkC7ET5alLQLkI3p+VaTQgVkM5dUpOk/EtGSko3oy/xoRgli9zAqY6k0pn9K8DElh9LZCsAP6F
LGLc9s+r7xCirCBA63w+wdgmtHzlrekYIfUxWrW3MbxbhfOXuNT32JnQMWoZUMr2FbgSLkRd4ZAN
ZsW4a9sXx+W4nJd9+qSDxkHeaL5phCtRglurrXSkM5r1PVW507SHhQIA5tjKcgf81C6dquC6kOlc
Mm2BSZjzMYiup+lbkEosfFsEMsQYqwL2hliRKZRa7xWeN7OG0xTtyuw2aGUeWCZDsLTUqIIuAykW
3kmqq/qZN50t6kTf9Vtyy9Flx8N0SwtZqLBlfsDNMTBwraqfSTxZUWLKfkIMxgsJ6ZlXz1RUD0ov
OUlZX7d8yVqWoA4qi7Iw0nBQnVc/x28U9bmr/MpuarRWtge5/m1FDWuBgmaAjWXKaYwtnTOP9vDN
NzHH6LUxHSULz7di2ZUocahnmtN0bAYAZNjG4PcBsNCUVyvWnaZ5GPvTkvp/4DZtQEjYAJhTVVVE
6bONMsssA9enui9vqh3ihUMJIPrGDaXjIpu7iLY99J5idhzTY7C/VZiulBrNwMqxeFGDMWhU7KwT
qe977ZHJwAU28y72SpRwYP1A20YpIIpDwnMbqK95L2d6pe/QOpr/Abyyra3kUZ6VWS3NKKLQ7hKu
kU3t6U34oMWpF1LDCebscPnEtnzhWpQQkFRTD9q55o3Fyy/ro26iY9TVZaP3sh2kQixSR1VhTwYe
8AMAPi3rG9HGq6hTfvaL+tSYoDyOqVsAQKhn410cjbf6rF8v09fLa900hvdjFPOR7RKhYWbiH9GX
r30Ru2qff6mbF31q/BJtAVObHS9LlO2u4DzNtBzqwgTnMS3vp87tU4y9jWc7SmReWiaIe/GVxmgJ
VRPF4ktDBWW2wXRZusNhvqWAHDXuFwA3qIf+JZCGSVuhy1p9+Het5No6y0mmw97tQ3xj7NKT4oIz
63ZxOTa33HNuXUZo99E5UIRlIGD6KK7SgRIbhABtI0WLilsI2x93qU0k0R/dvBJWcgSr6EjTRENA
kYQcMM6tFXs96O7Sfn5ixUsRsVcKdoGwHG/CIT6yftzlXb9rkuYeDFCHIhz2WY0uczIRx5p/9vpw
T8buONazN/f0pzFgd2jyLRrpL7zRiVOo3TEmNWaiw/jOWNrasQnwSzIaO1O0fF9yy6vbDuUa0Bkk
S3hP5uS6yFCd04yWOYVZPUS9sV+a+tyU5sMSMNfI2KEuGPg51H1oZzs6j15E2n0TKieajz8MtT7N
tXVC85wzdz/HYfFDawLAEHoQyLAjIT03SbxT1OZrFTTXgW14RmZ6I1DlqpjddLb+lFqdq47lASCw
u5Iqr5ftZvOcKdBRQTGC0/4U2NhDUlg21MrKvy7MUYxvQSipHm0e8UqEYJoZEtvNFMOnL811VHeO
jXmRf7cIwSabEqDXTQebxLaN+anXb/I/iTHBd/XPPgnml4bBsJQdFhEapdOl1731wKQJo03fsjIG
wXd3vVpljFNBmHtjV+yGc/cUuUhVKj51wye0wSlIw2ZuJ/HWm9NZa2MX3pQVVUuM2HMUGiR90dCI
ZxjnQgwOo4dxSTd0cSfeysZeNt8ha6mCXrC0GluME3GpI6BrgcZ2z47pUb3K7mVpqk0tx6QD5u1A
b/mJ3TKo0iBlBgCF+KApwFyr5FSg+fqyFm6mUGwALmCMRwMeuojCpAM4YKaFiRrmM7AawXisPAM/
Fg2MlZt9kW3f5pJWwgSFxLwL07UKBVP9V13yfhV3IZMvWZFMiPBUBB6bGaKQgYLflerOPqudBI04
oCZ/BvbNEW/GQ3grs4LNaHO1MCHazPuxTqsWN0Ja3yW13wOoCPBcdXMsYmkQvemaTMsyLWBdQz0E
xS9GoiMUwfr49LXqg2TmPsdooum0V4WPJ8mLrGi/vaHvAgWd78zG0swapSm1qg/5aGLquTyanSJ5
rm46ElCNa3isAsBILO0FYaGOsTkhnTiGoPn065Fg7hCQE5Jy1OZZERCGgFGGgFGGL3cVlMTzklWt
DRMmSf/EdIYRNvacpV/D2d4ZQ/IsUcfN41qJE3SeTYzpUw4nrN9XiYMRSw8UpR4CIdvpd+rOAFbD
nzSH2SuRggVg2DYpohpXSzHYDl04YIOyx4fILI27djGHsZYjaD1goGfQvkGO/Zjc6bwxB1qolk7j
JH7hymxss/loLU54Z5kaNjKdsZPDD+rsOKYx85aH8KoHHXWzH51FdsVINEXM+BZJOOq6yQWCDIMX
1E0QloBq9RYtig8AnMKjVXvMXFUyHbBpb+/HJ4LhhMOcAmQbYpNscAh97oPrVopJvZlCWQkRru3M
rm1YHM5OPXFGX8UPj/ZJdyoX9GkSw96+NFeyBI9VhWClGgYsyNxrO8VpgZmauhxsIL+VZUsl1qYL
vkovTasbLdS18/A+S075IokLuY5dUHkx8atZUaTPPR7EZaS06FhHr0NT9UB4T3ftktxGxSMbwlNh
G5JS0mb2daX8uuBGglgHAEYMwQHGmPkMVHhVHslZ/ojajggIcMNhT/Zn+sOE6Y2d8EfbfF8c6U57
WR4IKnGhS5DskurGto29SxP0MNLCJi8IyhDw9LAz0KbBjzCv89E0h9nOGmA26S7bywYpZGIFlRxH
9P2VKZ7eS/AtB3Wy2YAv8DSYrU96iTlvR6qrDRV0Mo9Co+140QgpNcBqAkPuO57fTngM93Svo+O/
A6uuNAG2CUiJWd1/zlG457Kkz5N2gilMP5QfitPcFt4CkLX5Z/dbc0FRHu/qx9BTni7fd5tZFGKD
3omBXQfplI+3a1VV+azo2oKpnsmJ56eBKPjrbOV/dQzJI0nn+qY0irgVwGEUI8HCTUcZSUzwtfI2
aHLMusGv5puxQctkMDl2E/v1Yh4vr28zSllJFO68qGrHuNCgOLE6n2NquKpVe0FRHaj9v0MkMPAR
oI7LTNPEWIVg8oltJXYwG8jfByCJ7cvjVBlXarBc2+Hr5UV9vnG4JEwymTz6Qk/yx0NTR0tRrQS0
nYr2XJi36oRcgeQS2BSBMRSbP2ZwVIJeZHUwGEWIVrG+cpspcPLBNSdpouuze8ZC3qWIGSBMyYEk
jgFunHsT0+33yY7cLcBRLxOnO00+h9HRb9pz/P3/g6/909XwUbawiUtYKWZSxfr/kXYdy5UjSfJX
xvqOWWixtj0H6KeoyRIXGMmqgtYaX7+ebPHAJPplT/VcZspqisFMZERGRni423m2OHrDuxAYtiL0
yX7iW62WSAXMqQ/EAgUi0S6SwDCLXPxaNMU9BKsYdjbix/v1UCESxA419HpA+RztiGpFDBAzpGMJ
FZHsA//mzHvJjK+DKyZXASnTvb9jYVjDqCq0rA10eKjANYXgAxEL9K2S44BHnOrNmfk2TfFooNET
n4BnvK+eFSt16+vixLqRPoaU99Ypr1uAPNTGXBBtYRG9UkispP0RyY2rjK95hsZnwXr3bHrGarl0
DBMUfFItlWwU7MwcvdvZeJZZlxDLCBW2dDQpukqG0oReXEXDXk1aW89qho9vet9qJZSPc40ydsII
FbfBbXatN/ijy3nsOaKPd/e7L/SWKq0ecGG+jHBxnA9OPwXxgJplfuxbydf61l8gFcZwBOVjTvne
HuXYyJKTvOA5cMbJGO1H8HdRtN+VhXysZXRWh9mJ+fjbUuuPeRGHJleDr1UsvvIquKEy/SHrwbUZ
zKJZjwWZawRXZ5MoJiqyYNsP7wotMTmueuRlzoLI2XMKEC8mepbJiuXCCjH6KE+gS5pBg1RLhaUZ
kymGL7wYn1JeuJF17tCD47HX+ptm0K85bXnVQWqjqYK/yPcQuD6kQPZlo/QpL0IzBIUK0LwvCpRZ
jBF1zVZJ/HhSGfcJa8eoGCXNAlcoAjTWy9ZUxtmMW5aS3kZS9f6jUNFpKDE1wUGKCO8XxU2d3CPv
z9xqXf1athdLdcGXdupZ4L/toHg+4m+44dXZC9pCG2IDQb5z1b3wGvqCH9jCXXwUd6OLV4c7HhIL
UZHhWRt45PfLpWIix8NmWwN88dsMTOnJu8EPfKJy2ljVKbOEb5evmY0Hx3uLVBys9Tjhm5Aw/nto
olrLASnOW7bKmnX8mFG9N0TFv6QO5LgosLQM1QpIhCzFVaDvpuCOsaDtECghzZEECeMf1Inhh0UJ
tB4Sf60juaID/wB1eeSGXvMDvRBzOEkcs1W7bZPIPmP+FrOHVOhA463TIacN2rAxd5CQXsnzjwnc
u5eXtu1uZyuUu/VtAK0xkiim8DcoEphJw7qU/8Lfzjao3WsEpdHT7E24A8SZ2MECqj7hKTy2xz9g
OPyBNfrF2j6y8JW3xcYY6nosQhkZdCogcFEOCnqklzdvo6yE8wcYKJiHwejwoe7YBbMRkLo0rhNE
dxTaOWE6qo3k96K2B9/Qj1IAQhT3sl5V91O5fJ674oCM/3XBdcppuX/599lc8/nXoW+3durrYchx
22jCsViOc3VSmFOd5Nh9yLAAYpcxfwitchqRP8YCCBknBTeaV+1yFBP4Xb3DUDjg8qyq3fZyzqao
MBLUKvDxXCLZ0zyZYVUewgUkR2CuuLxr2wFytSQqiixpWghNC0/jb1UPN8Jt6gle5wdub8uu6Mtg
QGaY3FyZwWuajkKJDLaR94ezzZcyrsZFtJd2L3X+YnzCebm8qk3HXpmgzv/cgeveiAxMoQTNTleN
q65nsSZtlHtw/Fc2yDJXPhZmoOKba+hn9fv46ne60dvRDkyCGWadhs1YT9pNoAhQP9LGJT2PsQYd
oyCj7KK8zzelyYtOMtxf3rfNRHRlhgqIqF/VQTgjWBFkMsEZtW6967z+Z1x1ZYY6AQk4+8uJIyjQ
HN0DkARFZjPsLi+FtWP0EdA6Lg9BcWo38V0h3mkztOn3PzHJSA7B+btQhwBaPpCmiLBhda67bfkY
h4U1RuEpaWf7n62HigfgnlCDoIClOPdU6QERrlMflpAFTNx8IxiaCskEIMA+lKHaLNVDpcFBCzEe
tthCyVkjUC/GdZwIjBUxTNEo/6FVqrkqoNoGfixPiSa3EwFo08NrXU92Q8NS6dG2486fS/sg8FHy
hToVuHv49jUdtGMiPjf80JpZ2kD4ibOKVnXjDOKfc3OlNeC55zVfCjrQ9svQnW6sIGwsJXxOpslu
xhYvWl49GjVKJVxwLMJPoTylpqYnmFMuHQmI0b7PnbJNXuPu7eFj6TMASlreGtbSq6e4XCQ7UweT
DxUzG/VD2sd3RgmxBGOIfXmp98JcPCotCpD9NJrd9GgEqD0qkDeQRZeXnkAkBfKlOwkqrIB5mcW8
WKIaWRWoxKY6MtOkgHiWyn8Wm3FfT+29Lt4Vc/caKJlVJcLXRhdMsGVYY9b4cv0gRV1vZoHxdfJE
6VjIjG+95Y2CiFhPqmSgbKS8sarjMm4FVKtH7b4fQa0kAd6X3Tcly002IHGE5edsifJIqHDota4h
9AthYU7d52W+yYMrEVy4/I9ccorktje8Uc/MEdPkI4sSh6yDThDW1ikv5ZoMsKlSE+xKSo94zflL
/jPVzbUJ6sLG+ebmtMFWDtxJjb7pxQNk44BhH9zLAWfLXdZ2qMoHKmVpnOQYnkrEp0V3U+5rx8II
s0xQdQ955niVL3k8ChPwAcelV1bFg2wYLAGDzbsahQ2Ss6GM+qHcXSVq1KkZotqEhiS80osTkBGP
dgGdp/LT8u3yzm3mVGtz1NalfDI3RYfHLhF6IhW4+jG3CgjuQBDVLK8NW/hy2eKme63WR21kkOMN
NYJgBaPgta0umjUWmTfVoTvxCcOTN9+3q8XRzd0WPKa93AWkgNDt2jfELqltsluS5Jf+4EvnRdHt
XAHkkpw6Az4he91OgGBRdEXK0Ky30tY1tF4PlfPkeqzoZTmJdsApgP0dA8h/9YaVdKnJL6zJq834
sFoTlfnodcWFFUBF4NF5SMIvIs/6OlsvlPVqyC+wykp7aahVY0CNb9xXO9ISLPzwJvxbSHGWV9E9
XRXRIRAEPABbp9qpOOZQyxks8m5oPMNemE0K1peigiufl9rMl9BdHdzZ0e4Hm1SRUm/ac06KGfNy
J1mZk94z4RpbdXXUIBQ8+tAtQ7fn/Z5KxVDonIgrxVDzUz+3fjVGjsQXbpZmo9mX3LOU3HP55OhC
7l127M3ywdo2tWYtSTQuM0D2QEBLgABYsQPaYC0B47jZvc15AjDagm3cZXXOt2PKedXUPaOggzYV
HN7TeQKygNtY88cWLKaMl9rmFbDaWypUjjzf9xjnEW1j+IR4FQSxyY8MDMCbuPrHSHJeChUeu7ZM
gErFVUY2UQb4sAf+q3Dz76oNEkAofA9+dVBOnYOROpdIDhZW6yeKRWZzotvGIewFYKDw//vJSOQq
58XTrE0TbwBoCgocu0nK/VjVJx68hJcPEGN/aZGHRlPTMUJd2S4ypPFS8JTLszkYPAMbxjJDBdGe
W/RZqokZTHNHFf9tCh/mliUu/hcR588PSTN/Z2k1BFwCM2RiBBerq+8K1HJJwNF2jXt567ZTSV4z
FEjQC+oHuDSAxoFucPg88il+CjwJhbvYA0/l9eQAse2x4IKbBTUoZQM9gv+AD5A6pkkZdUmo1ySe
pleSXXuppTj5KfkE3jBr3AHv9rhIjPMhkhvng2+cjdJnMNM0LiwTpEaNLbj1bKl7zSVzYcpd6MQn
w1LNyVGsxRFNBX7QmJ0VM6XIN08PikEq0A+YTVOoUCNMeDPwAm5FqY29Rpb9Kal/yKDKZyx2046I
ESo8QDDFTl9YZc7zEWm12YZoSu1z0BzaihGwt02cnx/UBS8PHNdALEm0a/m2TzIzqm/AvMlYx/at
8OcjR+TJjbW65UUpUuU4xxsA9Gu3vDU8EBWaxg93ss1fd+jWN56cWCz23ctr+4B2kLk0QI8ON0Jd
Xo3hPRc4YcSAiZEv/eE0rhZGxZFWywdF6+ECcfMK/I/Z589D11vZbHMz51z2b5Yt6lMJnK5IvU6G
+BI3H9GvlnhLVa+XFNdsMTE+2WYyu1oYlZcl41yBfihD8YFkzZ66k5AzZ3sW9n2DKpI8f9Fqh+6r
/JHsPw9qVNcSbCCRtK3cyS/B1ndXHeZXwxPNbD/62efWaX10gB0WVeT2Gs+2qY8ndEYKsDwH+OwR
lPBgmgMgHvRJ/z1K9/0Sqe+Gjm0BRTxsZZO5XIuRiZtyubt8NEjW8fEYnldCfa1pLFsuErCLAn+T
SY+c7EQQB4Ma3cR9S1k9ys1Ea/XJiNutnDmMorwTK6RAbQ1G4uOiHuT01HGMwLTBOvF+26hMMgVZ
UaXLbydwOla7+hDclY5xzZmRBbCPYvUEc3CQzeYpOjRewbzeNpcpIVYR9D3mS6mWXlCklRAuMrL3
AoOJUuYHarpTIwU1+pDxCtr07JUp6iCmvaz2UUUAYO3nPJbMqLrP2tchdeIu+Bm/loD/UsC0CJQW
+VVWH6/usrDNaqimGzOgCfL1xH8xvmuGg7GwenkFrTrD3nZSsjJIJcxygxH7dFSAB2tM3sLs7PX0
EtiDNTnJoboSf0KFDMdmZY9KSpAclEuYYy871Wm1RzX9fNnVtnM6ieBlQXr/kWZfzbk+TiWSBLvK
dbdLHTkxYxCGFVd42fgskv3tU3i2RnnBVC18PLbkKaBBLdMc0RblG7+bWSWnzbtytSrqXOTxqOUl
ybvLOrDVqnYaRdjHNX/6h7tHHQe9WSoM9CGlIZgvSAq6gy8/TGBR7zwwafoMa5urwjkX8AzGHPrb
Q2t12oWlHOVOxgs8r5VDpIYOGnymUIG7ZgIMa16cYe52g149lqniifzi1GLtNnxllvpzpnM/5wyr
34eK02KhifysYPWcH93Efu2pNypouk3gkjGZa9jxy+UNYK2fCtVqIGYpsmXRLjXkxEJqC21gc9PA
iNUsM9QhFSE4pgsh6oetXvhj1j5qnWSWXfrt8mo2w+Rq96gzmgbBKGo68jllupraXad4WfwpiU9i
vrtsiLUe6pAOvcQt4OVG4hgkll51rjD1ljgtzmUz5Md8uLVX66FCVZ8ldYYpL4RGaTDBvmwudWvP
df1laBIoFhe3hXp/2eJmNDlbpLlSdYABNLEHcK+Xlqt8FgHUnvcYcLgtS9W6bGp7DxWNkHCDl4GG
GndFqobxQIpty04WDkVwI893l01s163x/PrDhvj+MuOVvEn6EjaQpB7RXnY5q3LC07QfMSnE+8IX
VkDZ3r+zQSqVa+R40QqetE+R5BsvXTPvosoTY1arkbV5VJxY1D7vowKvMqk66emhNR5RM/uHm0d+
h1VsbIcYiWmNSh1hEZWgd4h7DEU62fwNa1Z8l76wBp62787VB6MCRSBnatAFb4Ut3hJR2CKQbdkk
eLOZmXdvu9f5Y1HhIo7FvqlnFP7nyUFfEVLtZiBYsuSNshXIjIuNdTKokCFXnFqCsQIlgdQtm8eh
G4Hk/xyBvOPyZ9uMgQpY+6CQJpBn+/uvFo19lvapjuq/PJi9gFIg7usqOnHDjt3D33awlTVqVUkE
kgFZxRYK16onWpUL4eTTq2pGdyGIHUKAwy+vjpzrDxERw5rIq/CYxajC+9Wpia7x2YicP9CvxOFh
WrzLP3/Tr1Y/nzp/vZILXbEoop0sV61+zMpDFzEKxBtDcEhAVzaoLwTO0EHmchSoMsDpoS4MCg4R
aHoJAYml+LGJUl3bor+PJFboo2O/FJOMCEt+dZTc/isZO9W+dk+dI1nDZGYeq3/HNExdXQNgubUm
4mAUqH87hV160lVpjd70iYM0NKnAgfStvS9OrAjM+II0ak5Xl0zqyeOzgw5lnsVepBlmuqSsZ8tm
X+r8Fd++8io6jlrLyXOGSCUNVlzfl6k/i4eu81K0RpPFDNqHUHqUJIZ3bzcrFQM6DKgtftTj4ctO
LcYOFwyStn2rgZxGM+SjnD/PA5qkJVDdM9D8faH7kwa4y2Xv2AyYK+PEO1drzlBfmMIF2XKtmJH0
UiuWHFtGn5ttb5YLS3Zt80sS2SYIvEgQe6Te1129QOBIxjtqlu91jIoKu6BjwRveFMo/BJSVESpD
0JVWDItUJxlC7CcPvAO+mNoMdosn7Y3KGm0QOoC7bEjM0BUYWeTmlbCyTSULwhjn2kh4z9XHfrhW
xGtd9pfh9vI3Y66Q+miFlGV8pQKdCJWVyRUtQDl2/VXm5mDgUe9r4O5szcMMDaHhYUTT7etchViO
gZANBSkqCrTGEg9TgIQ8iV70AiKIibcgH6rUzA+jya9l9TPkJ612lh7jPLE0JXIur357iw30O9Dz
UA2NirVSK0LdkRDmqrOfp1chP5o1CDqqT5fNbN+DmoRDStgRwFrw3jOiFolmJgL4kUmqqdaLA40Z
d9AyognhG/OMrALqVcLgpovxgMlBrxwUCGc81eCgv/yrbHrN6jehbrAAYgexIOckA3WTfAfSIS7+
mU1dmaA2NVYzbQoGVbTDgHtAEQ5kVfwrJym7SGIkTeRsfvDOlSXq+jIqIS8Lkg7OucN1kHnUv1ze
re0W1coCdULzPCp1qUcRD0y5NxWKDeDEsqMr3IuiOZu3vc9iDd+ud50t0ijBMe4HOSywJtCeOKQF
V7y0idnavzHVGDcRi9/1LywSpRZF1CWwAr8/nHLDz+LSYI2EJHE5ouW+x1V8Q8i36uv5EDE+2vYJ
PJujAo4sBOIsEC2Aeu6dScUkTJSbscLCWon89uk4G6KcjpsCSG70qCpUS4JpKz5/0jrjcV6627gP
3MFQ9+kIaEEN7oQQSMakNEGu42oRp5uznB91qbhV0/4KN6k7z5DbnWO7zpZTHzd+EsqzK85PmFe6
g7L2YKmgl4oKwYqqOLDmeN7poniEo+Pnys1DP3THoEuvtKTqzamYj43A7ZKMt8YRKo7ao8KlV3wP
JV+luM1a1Yqm+iHlgaxtAEflFFUxJWUyE746LZF+nYzDrswnX8IcytA/tEZnllxvlfPwCGmZQ6Pf
RkpoGrHwGMWTVVelNfGZNRIRS747BOkNN3Z3oF99zuYQ/NxYmS7MFld0T70GPiZFDQ+GOO6XUD5W
emr2c/IpqJt9U6Z73uC8tCwA0RS8qctNcXoaIPHaT4ILiZwnjcegqYTGqtg5bYvp2Ym3tH42tU4F
qhQraISHseVrMwpqD7Rsxz4RTXHkvUmdrsVh2YEmBAxGj/1YPFXycJTyb12ShWbFg7aslo9DpxAJ
XXNC4sjPoyfkcmqOSXDUc7DbTIYdVYKlTaIVqL2rQY87XTCpEXaers43GmJ8GCvg134eO4iXaRAd
HWYzyqrbfs7vBGmGNq0igHjbUB/rInPySj70bWsXlXxbi4Ujx6NZifl1ULZus+jflPpVK/XrqhOf
imV0x7l/kkPeXQA2jTtAc2IBmc/ySUtTPxC6uzI39lwyYO2aqedDaeY1GqVdMDY2VwDxuiSRaYhx
bZYBWCh1SH/ExmIDYnOXd8JiLXr+rAeV1UeC2XD4b3RPoOlkpVl4amf9qyYP91UtvaAj5VTFtOPz
xBTVDFoi01cxF3eTXvkCN9pdpmE/QRI85Ae+nQ59DJwEsLQcSN5y4bvBYdoQgkSGHN0zYinJlT5G
67M/UleP1qPTHXYFsGBPglu54W1qVVBa2YUWlnqtsprf29kFFF7/iGvUPTQGaGnlTYW55OPiDrt4
L960bnQF/VwvsEoGIIRpjbqLWq7T5rrCrYc5Sye6UfFwC77Nr4uTAXPJgk5s5i0EIoA3LhnNoXLf
yBigtK6i86g2HbzqU1E0VlG7SVexqjyb0XpliUqA21ofpbFA5x3dHnBCAmFHqCFuxM+BCe0nu7A4
5uK2t3Jlk7qQQEah88uCD9fuIVTrF3BlMz6mu8XpvNDVGC347TcThmIIqwEZ+qfOCeCJYqdAZ9fu
jcTWEsPMm+8TUOL8Ij+qy1OS1KY88C8Q0ntkeMT25p4tU2cmVhNNn3l4BBnWLNzIFW/kLyL2FFHX
RhPBRVdy3E8MLgyyng9+uFovldOMYlNr84BWzaSOVrBU5tg65fQ0yneT4TBWuOnzZ1s0eNYIu7gZ
enhFYzdHMh6agHpPfih3pc0fVAaByqZXgKYYU0Mi8hgatzgpTdUunCRiYYvbFdFeKHtTqr6P0ytj
WZsv3ZUlKpRVCeru1YAPN72OjmgVoJAg2CzjFD4GR0JYhBDjIL5+Yk0SbXe1DYm06g1N+aCe2rQG
4Da44uxxaWIzw9hG0kr7Seu9JtYO7SgfZjm4W+rKa2odlz00VNL5qp1bd5Qmtykbuyh6pw1ILjN5
U44Lqa/5FznTzct7tL1F51+USvPUoinFicPrVdCNH3wUu4Pcv3BxgXETnIHCMFWDxUSx6U6GRkoC
yGIhh/o+kQ1qXLNCjbihTYmvyKGbDujGMQdBt8wg2xRURRIMEMhS8aJUwcarBwaBGLq4oZfmRU4Y
r3LigrSLrk1QgSEJ5kExBkRdInFSuJ3fOORM/dQDnFA6goAH96RE4wvTLgI6TcEDnNCgAITkBLYI
pM5vgGYW+nPLPeGaEHATIVAAYoH3nweFRhl0HSg9pykkIEklqjdnABprxsnbfLStDVHnYI6bEmvF
B4qOOsb907vWCp0cGuK7pXkbghj9GiyZDLObx2K1POrW0kYt49DIgiAOmpddOppKWftDz+KC3nyu
rVdHOZaYZgUomwqCCq/wZNP3hRvY/I1xIqnG3yjSbKHB1/bIuldVvVlF6aQfIkRV3ZshtaNfLZKf
B8/t5Cm5pQmnYni4HDq2Lqi1RSq66loVRXGIU9kZsqVCWLC9KroXSdh1rKHJTT9bfTPKlUHAUf3W
QZUxCiz5hjO6pJH+k352PvqUPzc5X/RI0MmADFD8ULnZp6fsEIQOD+b30WdK/G27GjALhERfFkTq
iq8DcSylFg3oIh7cbmrNBVd9MXV3U1Ix0ieGKYmCZvbhNOlxhgsJDUHXGHQHI6FmghLXhMv38rnY
etCLIlSLoOoHoAWNPQrCRJ74FOxTuAXdKS39TJYY+e6mE69MUB8qypWuq3IDhbqoMMNI3RVgCDcG
1jA1ayXU95GSTjAMGSc8wJvUSMH+wpqa2w6Cf65EoSGzQxcbcyyHWMmRzGRJvopmqXYXW6opWPxD
bI9M/tfNTPr8gTBS+z5UJFmgKIaCEAgqfCsDvVqJ4l9a4cE+5w+iwFlNLNt9p5h9Y3y5fDYufzi8
it6blowS5REVHhbwt6nhzOIPaEteNrF50lc7SgV4NRHKOQ+ADGuGgyx8rvrHAsRPOiP4vaXEH+7+
lRlydlbxdpEXuVY5fDi9l9wm781RfRUMJLNS6KqzfABM39WKW6PtHkWC88g7J2gMV9baQ1HNKOh8
y9LAHHvjHnIJlmrE/uVt2L6AVr8gdSGAjz7J4w6/oAZpYhA4GS70tFzVniLLgLQKBJBthkXWzpO/
X21JbQxQyI4qwsgC3Xkn2A/X8T74huZWY+rXoRUcQEJticzZWuLtlz4FdT20TdctjY6rjwzGaJ9F
B4CrL8l1bglXvWEOjurOyCMgJhPazFcpObCXbFORqM10AvxFsOtcMr2TOgCfPVQOkQphkzGyvIeK
R6j+ygH48gSofDrJGJmxepeyaukMG3TnVQGsshoR2m0UpBT+tSg/ZerIuCFYNqgAFITqMjUQSMYd
e2ow7Iya58xiSGNFubfyxeo0jnIxxym5XOsK8/vRfi5vMnlXDlYnOoH+Q28ehuyJ4QGbKdHZ5+ga
/TwEyhg2OImzVR1DP7PLU+FCKh4ySq2bXQ3ebJd2z2O4/h/uKBWNFKURo77AyVBw6rS9GD1m2Qtj
cdvuDcUyAVR+mFmmAopW6IuWo3eGo16hSFDvM/CffZNNFYKEk1WZePpYhRfwPxXPz2apqDLPaNFD
1hRXxgT25MMoCuYoWiFzRv4vruKzISqMTCWQAKNIWDP9HoRIZB4b+oPfaptwjaDt6aAZ8A/XRkUP
tAzUOGqRYEj15NYyGBe6z/zS32qpwWjnsD4eHTqCsI3CHh9PRj+gymsrFABW0W0ha3aMc7IdEv/c
R5q0E4LDNTcvaOjwGZrUOSJibkkLEGe8Kx7/xnwaOdsfQ/DZHhVNtAY9DX4iUPDP5ROhEZ8OSNWe
Fg/ME27isGUP/uJqPVskO7AKLRC6V7LKKMnbjv+x2Llf3KPammCJwbXuVgq7BU8+z6U1UkmNkCdc
UUhAdHauDm1ObOqhQFCBJMejuFPNetdfE+087sh9YYG1Nuu84EX/w+/f5HNWq9XqsSxQ4kYWfCLT
jfG+O7yS0XpQkDDppf4irTobo4JMkHJBmw3w9rIxs91kc2Z+yznVITdMA+xumtPaGKhGrR7IO85n
k5tvR/CzfSradEUfQhpXA5R89mvtc1Sh73+aqpuZxQW1+UXRF9ANUAFDc51yyEnQOEMCqtVOpxya
j47Kf+er3FTzozI9ZgFniyLDMTdDwNki7ZfFkEKzNgESp9QwDm/Mx0oczShNIa+k3F+OAZsuKQug
tOAlQdRogJ9cyTyK17FkA4aEduZ0wwkRq5NDjvwHl1jZoL4Ur4pdhYcsGTEQPoe+BOJGtGbvU4zb
53a0Z2a3rDVR10M/y70hgvcTMm3jTh1kT2tqCEYje8k1Z4bqsLpU3tgXR6mKPgUFf1jidj+ID9LP
VTZXK6dujXLC8zrusLup4AkBmNiQRD1c/oCbbrAyQZ3OMIdMwjQhQzNauy8Xs9ReVNUrtduSVUPd
BFIia/jjrNAJZ5WnwZQHyNPIq6HAaCA32+kRdwXBCpfu5XVtZp4rY9RdsUwBCs8GjAW5l+SfDcVV
kp9ob6zXQ10OgVDXE7CaOCcSd5rExAWFax6214YSMxazOW+7NkXdCmUA/HBXIYbItXI9o6HegBtW
D9orVVbcJPrah8UXkJWAwUBzNUVz1Tw4NG3xkuSfIq60W2AYLm/vJoJKVIi2rYFSNcjH39+MXLVI
uRBzqEKCT1XGBJ/slBbYnN5gKsLj7It3ly1uflACk1Z1TQbZBbUF8Wj04HTUUBQXpl2P2mfWA6NV
jv3TZTvbt+Dq5JDwsLoF60UPcyClBHsRgJ6vbzgd40z4nyIaZeqOwHLK20IwA+5zxFK4YUSet8R1
ZZrg4hqdQ+1uEo+lfCW2HmNtjFD6ds5WBkBYP9RlCG8nD+jFbi0QqUJjqcZVq/uFx6K2Ya2HiqRi
0oY9cno8Y9veQhnvEIYyyzVYS6JiZCNVIro/wGf1++iGKDrnp8GU7zWvA0YyuGLxFWynhKvjQR18
tc7nUBtwPH4jRKnc7JpzyLygYOmHymP1UDeP/dkc3bBt+yYXhgpxbOGep6z4DJ4tUygqRgt624qC
FiYPqglML78/89nSZVG9AMXDad4AMaz4uMwMHL26eYufTVBuJQMZ3MsFTMj8Q807ie4u7UvGymFZ
VshCVwe86sOq4si0KCe+6oInppMltK4msHIScn18zEnOqyG/x8rOgmgU50Aq4BQMSF0jK9yLOyIK
xe1YE6PbN/TZFOVEwtAUadeTJS0BoVnujWe98eowsouJ5UybLzoAYv84B5QzSQBA9FmIwl5jExkG
ACxfiDSU4RWgWjBZmRbr1FGuNINPtAcMDYz9UGodAt3N8sjrs9vLQW/biq6T4WhwEtC4dIWrprke
MSGdxbypFCooHl8ihZEL/EVYOFuhkgFRRpIvRXh2ExoTUoEtLTA6+r9NwhZW+XJ5Udv3r3y2R3ls
hAZgK5L5pNbpjjkKoYG95GZmTkCJimbyVb1j0dFsu9bZIuXA4TjFapjgtS80flT7Elr5ma+EjDBB
TthHxzpboRwYwJ8e+j7AjPD6fZ+/xuOzIEOXfFmAijkAP2de3kdyxC6Zo/y40rQ2a0uEV9HT94QW
gzQc2Y397YvwvCrKh9tKrwqh1TH/p0W7KZquojx3/tlKKNeFUmgU8YTgY+weI2MXx/uxf6jHXSR4
Rv5JHp4um2MeeMp5e7HKhDQAaolgpVSr9FKIgut2BqogMhrVsErJjC2kcdiVLKW1EvSEO8eJllPV
f7m8IMbxptlZ5SGJkedCzUOtLCEuHAOAhKFA56yzLxvajud/ngWFihRdrWV938OQjhOe7vT0Khpz
SE7e57p/2RJrSVSMEHIuBPE7LilO3ysY/ZGUz7WKJk32fNnOJukLBH1FVTcUTGzTcyPl0kpFsAjI
zWezOYK/yVPupEN2n3qhN7uqm9qZxx9QPPb+hhDZ5lV8Nk4/K3t9yJuZVK2iXXqV+8thlkzjK3lW
Vl5eMj7e5mWyMkZ+mdW9HwlLES4tspgkdNQR1N4+xJIZu8myQR0QXkq0MiCjaiTD1I5BahKmQSId
J34b0G94xoP5wAIDsYxSZ6Xlpi5WEqS1uZ67y/gjC+JjlbGmXbdrAKv9I16+2j9Zbfuw6WEm2cV+
vo/sV/X6rZ3ABgCzzgVZ8cqUKrRig0Gf3zAewK1Y5QlTBo7kxNc/lcisVkXdImOk6EBxvm2enRRX
2uAErOk65s5RVwhIShp97lHU07/OGNBEteGK3xHcZnTLIjjajBur5VBXCSjixqQesHMRd8oar2mv
wuAWYuGXz/nm1buyQl0gXFt3QpfDSp2AkboGm4xmL3gitruljq0uPYwKC4JOTteH2/5skn5MBV1X
z2WMgFhxbjQ+GePu8pJYP5+KDuEyQx93QShqMLPBS9FLXLAmnre/zbnuQh2DBkOWaQyaYTs1ervU
I5uPTLWoMLDz9fJatgPC2RB1CPQQ+kZgR4CndrLDc4arQuWlDn7HiP7P6/S/4ffy5rfdb//zf/jz
a1nNTRxGHfXH/1xX34v7rvn+vTs9V/9H/umf/9f/vP8j/uXvP9l+7p7f/cEBoXE33/bfm/nue9tn
3ZtN/A7k//l3//Jf399+ysNcff/1l9eyL8D4cPc9jMvil9//avft119U7MX/rH/873939Zzjn+2a
79lz8Y3+B9+f2+7XXzjl3wASKTop5ahQ7RbJU3v8/vZXAv9vXKDoE2BAgn8Dv//yr6JsuujXXxTl
37IkYyJTFDFLLAJu9cu/2rJ/+yvh36D5MRRI1RBOHIj0/fLHr/Zu989f419Fn9+UcdG1v/5CvurZ
QxQZwxmoihpgkgIsSAaF+/ugqUlBX1cjpP7aNrZjKP4FkKfWfdWwdfmu4v47dtAP5miEcD+mY1cb
eWOpfOrOWWYNGfddjyOGX1KvpTc70IwGbZCMmqUu0gkKOOFACGRUNRhVs115N15lmKh/TY+YNSPS
ucaX/67f+8EgnZRE+SzxQJ+WlpzHfpstV8vI72YptaA2xGCXpQqWH21RUadawjJtK3wz9aR68aE9
gQaZv++AhhH9AIYZTyaqff7RHpWfCEIucvyM0Zbh82ArRF8ZJcTipfihmoEJogAvtMP/jrf6o03q
ModWJ0Q1k/D/Sbuy5bZ1ZftFrOJM8JWjJFvylNhOXliOE3OeZ379XfA+50aEWMJOztPeValyC2Cj
0ehevVZli8UvHTzcmXt2RP9zDs79fh25L/8+4/dVFyKFREMSY1ylPwyYQ6vqhCc8s47dl0aY2N0O
RajMJWbGgvRXCpoZs7ah4EbCP+P+urTDhO6adJ0QD7CTBAcVosbpQeMhaLf2C7V/VP8lqsrFIgtF
s8uUbhRKe66h9jt6IGOxr3+R9f3zzyLOLTBelgXdQOIKFvJUcqUKXWFRh7jY83UrzPzGpRkm741S
AXxialLbrTuDwYaCMtEwGf3WD1Uwzqb72cFclUdO6o18m98JPzGfc/0nMC/py5/AuMXUN6Qj/VLZ
3ax7mjlagvZz0OrHrkx2Rlm91wBxNPlid31gm+WASct8toRhern+O3gbzngNhM4kKKLgZwQAjqiK
l+qRI4zDH68WNxu6UtCsMTF2QFgKN3AMQxhsQagfgf130132ZIJhJDslJwUF+5CrXMQkzjDGGGRC
h1QY2hTnammDfRLwsId5fs3bHyTFcOqLQERbzY5lfaz+OKIQHdc7tJIUUNDjWmYiijGlgTSXUW5r
Y/MoNOkhLWNOreziizEmGMeR5iyUqgAr04fbiTyNiqvlHDQ5zwSTpEszBp2DEE5RpMJdOzRHdSK3
td786WFfreSCXAwTT1UopGA/0qVvhZpbUekvHafHcXnOAFIntDwB3kAFg8OMg89EWYyBJhnFq3xA
HenHsovt/t0AlY/8Ijg8dDzXHrN3WbCEcUM9vXUpcZByUyyOCZ0AyhwAgYLE5RG5XgTl9QIJA/3P
pHAMEoKLuWv2WvVS8IrcF/fX+u+bzElSqnScShOXJMaGHF3cCcgKZ1owc65HossMgzHEnJ0gqOpA
Lzukg17R7oT3ApNQpqvepaFPx1wB07Ohm7K7bnVr9yjrOfjWkWmjmLVOfQMItOi1YZToDyzhPhGM
fqeK7chZG8eKypxZo0XzLmqqzCaJahNEJJOHfLhMdrF7pqIq4DYBmktjSVRiraw6Q/tMdiWPEppO
L+I9iAf2NQpxoVPuDE56fRkk1gaZg5UmtZLOqlHbcleHDp10sVSpn1xlSA1OoNhywfO1MWfKlOa0
Nes8s1Xhvhl+BeUxC05Sm3PM0K+wegatt5AwyUdXmt0wJkNlQ/X3ZMwf5tS2VpOPnt40d2G6cFyP
98kuJmVrXZpCEcsiR/Ugu5mnJ1aZOLrTOzraEfrsdBAYuO7vm/HpbC8J4/CVUkjxJMEoaLAKaLVQ
ljEQAKj3ZWnJXubGjvLtukn6dX5vKyg2wPP/ebYoMS2dvVsfMSnVtTYKqhCPMIrj6qAzTTUeuSuj
n2dthzK2qXjyqaqO/2O8ZDFqIS2Gjg7DEz/dxQcIqO2p9lFj/4s4vy400lWtrLFwOy3sAwNzSoVt
Pkme4oSH7CaG5A09a7xn5Tp6XJpiNjALh0Yfgf+2NQyS7WcVmP1KHHnN7a3tw9SugdTFFBWIua8/
kzEtZh1UWFBya3wqJed2Z6kmmKfo/vHWdOkUuIvPrNE1n9Vp+1pLZLloC5sy01M9HbBy/4sW3DpI
fW4d9B1UCHpJmgz9VObyamal6meCRYmxbiXJkyIfGtm77t/yxvdZGWGOlNEWBIRvbWhHYDiHKpEz
AjfkU+GcObVCF8CUu18YzoHwtPGdWJILyR7w7XEH75mSwH8Xa6jA2iEFxZLXe6r1C8ax6WKXuzKz
wl0OnW2VDgTRsYTI5T1slQ2PoQPLUL+FHK8B4q61va7Izaie5sKeutrLZn9JRbudngl6aaZ+H81e
gXuhiR2xPCrZ9zR5VqPvbXpCTSlfvpAQ+kEkfmrq2u6W6JQtIIPx8/pLUDkByB4qTI3HGORvP+b+
BsLrKo92cX2p/Ge3zn49c3/NPUFaIC6hbXaHqsMIk/SBcGNpHQeav+mCZ3aYsCSoxqiY+YRzVXja
fAT53xBzikEbhwkK2SjjaSbSGJU9uuqAoR6SYLY62Td7ZTfses888EnZtx3szA5zaIPONASjaODX
/8G/gF0F4h8GnTe74xUbtq0RSUOFE2kNhFrW7iU1stjpGOe2GgxYU9YKSsJJbqGV5FY+V8Jiy5kx
f4+wjnortpEJf1IVpnrc1iGKhbqvgkxi2gW3FARTesJe2V8PGVsRwwBfIgF5hKhDGWa9NCWpjKbI
ETFk7TWMnqXZ/9/+PrN1jdxMwqLBt5s6c/ErHKN5v25hy+UMeBr8zYC2DctZUGeDgsQZK9CDBmAh
cX7TwI20ByCmP5Cxn51ECWQL2pupVytN/njd+pZv4J1NNIIqlAjmSSb0yGUqmkmJr1U3lYdGnNWI
kWNAtS9ZOruZ3kXYLbNIs0WS/jAwMC8kGuc3fI5vM/kG0EUYvDdknLsLtfhwiKJozpsQw0pO7y5O
ZWM466bYg+vgkPoqOJXARP9VwC0KJS+vdWLwH6S28fApx/iU2dO365uyEdAUHXV8neCxSxOhtVPp
KOEbCVoxdkxsMGeB2WoPus9w5In1bgQ0MHvghQG6SAOSUcze4yeosyZ0yHX01s5AEY9I3lec5Piz
CcDu7rkVZjVZL0tDIJqRraER3j+Lz1EM7iPKjjsLVgq9v9lpn8ZvxlEH637itj+6IzcC0TN/7TfQ
Q3CWpKilKQxyLoa4UNUDfskNyoTPdHIb1MMP/JxoIyooYEEHJzTuVOlC8W+EnGYpG1FglRoIylpw
Ueqcu2jz3ECGVsFtQQtx7E2RQ+i40MQ6AMlo4JtYz5BbInhh0VEu/AGygrzJRea98XnNQn73t0Xm
zjB1PSyKkAQW+OW8cJe6SXej7vU7WmFtUug18kswG7EJJlWC5piuY5VMdNWWqp6TohQsDVol0Gew
y1/NHlJ3miOcUhuqzw+iNzvDMTYOUWrxmBW3juG5dSb29m2Aml8E66Uq2oBXgMxq1+ffG15dZvMY
nq2SvbDCMgiSFHaQuTuZ1tiR+hqMCifKMUMI//1+RFYAohRFZHnrMwCa8jSW5ALqVJjfSN4LMCxC
xHaCNlvzQPXZCp+4fNme7U/4/1bZ15UKEZOuEWCVMv5Ku2YHYQ8n9Xhvxs0TB0m2/yzOYDwlRCty
ALhHsFTdWUhvBdPP6zGZEbq72D6D8QY9iQUhqCLBygCy+ZhQ3HJkMGwnDgGYgzgtpk8XXzt1eBQE
u+mx3E8nLNO5/is2DyGVE8QcH6F9ZuYZpCVapMuRGOAjVnvBGn0htEK/wRy75CZu+MTtTm45J8pD
0C8EgZJ+QY2X1nMoF8AsoAoq3GF7MTkfYcmBR4FhzTHH9Dyv8rppEgJkyKpQALiYX5bmmciLXAnW
Iszfg7jeGUpVoKYcfrm+mVt2AHhD7oFsEUkcc+7UQlDaUVFC2rhprDAMvFFtC4ssPMjgRiBBHU/F
kQO8DqSnzD3bjHIVgoAFxIwCqDTGDnwdxU1TPuntnz8fVoaYq3ZZoOCuN1KIoXbNSw+hT8c/Mcm7
v75xvPUwkSQyQDyljchPorL0+rQ81Ursx8JyaMyS0yPZuufOl8RKpIjCIvTS55N8TyCLsYAxeIBU
L60Fhc6fVeA/z/jKGBNFRD0Hu1uWhIBPPJvto55yPG4jGK7+PhNDplgDbS50j+wEBTSqtaT4gs9/
3m049soM49hdJoxyVsGxpax1AEwBoBLT/tOYcvncN/IqYF2QPCs63j8XF7ShTkk69whHDSbI6cCB
kKPrOmCem6JGi6/yn+H0P7/QyiCzg3kkSdGinMU/Aqp4v3WgTuj8m/hHTwyTONLyFvqAJg7wxfSv
1nYREQI5sIam380VKRzA61AnmcVfKthgp9G4idJf14/XxucDIxMgRugfKPgPc7zmIRHUvlACq9df
WwmstI9i5V43sZUMnNtgAS51lcxzTW38MwYV2R0IAFACsEIZqtBUrjjGcHz+ct3shv+DrV0EV5yO
+hWoc9cpiNpNCvQSYJX6f+8TwPXBgbHjlgA2ApRGcVYG8HoQhTPVtR10MMa8HGGHpjrGLvFMIAFA
rmZrfrKjonDzweQGj61QpUE8EzAu1Mb1i8MQSLLaVS18hd7N9JGBw0B9s963d+MP3s1M18B65rk1
5iSUQh4UvUbXOCfh17Gpw6MioAV7/YsxAAt64KCBBkkIgmo8HumfCcnZy0mA7qNQkxDjMLvutrqd
XVAaPKSHyOus6QDJFnTz9B19Qc2W4kauyYmYG5u6ts98SjWNVCCxhMKuXdEuHylnfLhHzxdTMuIN
7514efIMGSkksisg9VCnov9+ttiAREYxTGD41mvFEvqPDEMEJs/I5YdbG6HOe2ZkHrI2MiMTt+cw
/lDi+L4OeFOVPBNMwjGJixzUXV7aWfEtCB7NngMruDxfhkxVJvC6hbtfRCgxMetoSTIo6QiPsfgd
eihtVlkyL53ZWIYCUUd8ElFSkKEx6Yyh6VmO2fbCzqPxu7gMz8a0v+7eTOfu070VvBpEwDKhlwEu
zfXHIHqEUZ4cxF6DsYcuHxQQndA17XS8WWZ00Ro7OaDeyzlUm+s6M0r//cwD2oQMk5YXlU3EOyO/
CcgDZ1X0+65jAzbrzADjx5MZKUGcYlVZ+LbUAH8MlgA0aBWPbjt96cmdGrw0y4ckNHtcMKrauYtc
WJ1gTTEIbZMf13/OZdSnVKgoYwG4iW/GEkKrc6gqeVlXturDHgaNGrfd84e0Nt5GsINKJrpEkHi/
0FvHUKdeEbGtbOMJ+TyVc4Qclz2+Ro+KjUe1y/uMDDTpH+fBqCUaoZQZBD2w9XfUsazGEPAdJy+5
H/1gD0TqHnFp9zdvIqwN8FcDRw5iRCz4JZUhLpAOI1qieWWZkb8kQFKkHL9kgBv/XdBvK0zmUYfN
Eg5hWX2W6lAoANuzk6L3hBeLE1hvFaQDSpsXDzfPIFDVhCaRwPewjey461EALlTkIO/IdoAViTxQ
A3RW+OWTFN1Lvv7Nl0MNBKglA2ARyoC5/nKJEpp5jWNiCx18klKFg49B8KZPylfeUDMzX/W5rStr
TMTPZswTRJoe2WBBEWS7VpVmtjIjEKwiMOK9lgbg1e6lFsVQQEv8Nhq+VtMkuLVgfEm6ofPb1pzd
EiHZKQvZsCcjA7pbziArPQnVMcFYp3v9yF6mvQbyF6T0iIvgo2UJ8XNBEkxjyBEyurp0ZiIo1iz3
o20YVXqczNy0x1CbQLGgJY/XLW9cLSvLTFoz4L1vaouIqwUKz01hjWBIS6DgPnBWuOXrKJuiyI7Z
MjQ/WdppuIYkN31W2WmkaD4kS3JbTab4VphKw84k8UnKysDqxu5ZwCfwMjS6b0O8NhqUr4spB8vY
EoPhTJd5I7SbO0BEAwHFhL4eexzq1myjmR7CUj2QQHOC5anR7zF1aF3f6c0dgOIBGDnwiUX0mteH
oK5FqIJKMIThnfFjdme3tWKc9mC3aCiNa3ayS72As+8bdx8mEyBBK+KsG0AIr40mKAgqUOSLbNJn
j3lTvg4dL2fdyhlhQ0eNE5yp6G0wpztAXyWTc9gY7eZWfFZ2JW4Cya/3xhugwLygSVME5rKFDhUG
Owj0DvCqYTx2GXNzVgoBp9sDeb0bu125qyDaDPAPyqo7Wf76F1VAAyapjisVj8Vjar2JU9xjUken
cfqO+N09PprdekoDfr/Ojr3M5nUht13lt0G2iiuKfZ6g2ANoYg35nklPIweM6tBqyU9lO0c4BpL0
pibjrq37ztNI9i4VmFzO8/FFnSYQe4yhYolRwNNe2P7UZz+M8WFVHM2mrZFbDL2FCoQ73YAV1zW+
0npA7PEm67jmmG+t5AAADDFSjOz2n0HZ0BeOEmb2UeywedWorSB89pXZ3HQMAHgxUe2FqERp1aav
Si9T2jmiPFiY/7Fm8S+OJtImlXbo0eZRGK+KwyVSyw5Bv4tvSfPdkHbXAw49duxB+aykUFgLBfIw
Xlv2eF7NSmRP4I0PxBsxeit5MrobmS84T8G/j8k3ytXNXLWTISqFtghIHLKXRlGsdoTsXvsETn67
UZ3r69lKXJBoAkaBkSu04di38RBnUYbnIrqYH870Cp0/P3Q7q3E7CtTR7MrnxZqtHdTwWIG+HhQZ
ZMIknLUmtOFCAKSo9P4W8ra3mtyeTIm3iZtuTiUx8ISg1XEW6KcNBpFbqcwhuoRWbben9BStV8eW
YneAkHHjGT02rGec22OOVRfHmJsgsKc/NNhF4aQ+STYajZjtGnfcdIz62TVrNKCfPb8WuUWWreC1
8ynQBhalYK8cKTwk9HjwkI2nDxoY4P/BfJ8ChnXmg0ndIsug88wBjqOElx0KvhQxyS14bW7gmR3m
pdzCXyKz7Glvb/6gA/yhn9+OFHxqx/zPtZWhmHiOYGUaql1sYJIGMg5LEeS2jORZuyt3xW23L0H/
GHjGMcod2cu9nkuHvrWXKDngvMnYU5F9RkZNDxhBCvCk3JrarQC1H68oi5dplnO7HGZfSxsA0Uo8
/YBR5RQ8LkIxTgJmQPCwxFOPYPpl7TKGFHet1uD+E6qHVNqH1VseKRao5q1YfRsa1frTyAJ7yE5l
qHoAB64oTKgspzqUxb6BbuChfh72kkXpaGrQ7UEhFVhiPg3D1gLPDTInsAYMKFIXPGWRex/MSfWl
6iMmpqXmkaMrwl4yeZrFW7EMURN5GigFZaAl1lsqCaUcFU0eQiltXwa3BvKl+s9GRv55eJ3bYD5b
3fcxzKSF3XlD6EI5D7JQgINVu046UFHkCrJC17/cxT5K+GR4nyu4aEw8oJhVjcaSLLkCNOwimBAq
9gTBUyFQ0Zg3SQW9c+PjurmNM7EyxyxwFoEoTsoCWLcDxQumR+j0HfBe/HNIsaEjNQD+G76vXBT8
9LFS6iEFSEzpAUftwbds2vrthGsONLo+7z7YiC/n1tjmRJ7JbSONKHbMVWeJ9a3ZqnYU72Tp6/Xd
23BB2MENpwJqhUI3E53RVp6kNIEwZCN9CHF+WpL2WOvi23UrW3Up8ENDMgJk3Oj/su3fWNAaZDwl
oMuNJ6c7iB7jORLbzfB1caHafscvhW25xblF9jqIgymWRRROZ4NY7QR654q4uQyVoMHN2xdz+Z62
T5xVblxBaBDQ8p6J5OuipBLk1UwGupnde/QFqud+5CH16i3tANw5oCXXzW3keStrTJ7XCm2pVjPO
mT5SBoW8/9GT/pgkwWKFgnIouRJl9CStkwZTlCBmB3llEyNGn32Ss6RBKOsxUoUG9OLfqz3o/HY0
kKR25w7P2U60+KDsyxVSgyhREewlJc5cx8ckSsC2R3H1oE2yC+UtHjKrm2cvbU9R+359NzfagWtj
rMO0XZmmJYxB3mafHmiYTBzTFY7QJ4VSNdWr5k9DbLwqTQiNUw5SMB8QpO3rJbathBmdClYlydKh
GJQfFJgNj/Ht+Gr45kG94auAX575tU0mYpaY6OtJRlcqyZgpBdX6sR2lo5aOf6gsRW8fdAIBXDMV
FDzwqKI/5cxlVDFMclVAtg7aR4cKbSTOYI1Qb0F7nEpL1bwoTfeL9dFzg8yhEPIOdasWqG4o0+1b
W3kxT9Gz4FOMDnHNe977dNNrUGankQbtcdSr1gvMhrrRBwFXOG0iq8fZpqVU/Z5Oq0kn1ZJfKf83
MFl/4axnZlmJpEQZw64DFBFmS0ifgrjagcI6hBArN43czxqIo33TORFny3FQUqIRXENtkJKInH/N
Gg9X0aDDT7EqWsgEydRYJa/uuvHyMtFwpYpM2FSMATBHAuMZSUp6rK1zBjA4thB4TI8qWsg1xCsF
Tla79QERrjH5oUoiutNsmbfVs1YKCNYk+4mASReQZAt3FKDflnb3YthFhanufzM0dPl0hgqoruC+
0HA0gEdkElwMopKlF9G9RkIB7V5MheArBsgqzGPeABFMx1x4acXFrcjYZHJcNJHrGr1uij4IfG2X
+5VbnP7FYN6FpzB2mG/YNlXQZzlwAKOtvIpufiiP3Y8CwiK61e6lr5Ud/Ypfrp+Jy6XJJgYs4Dm6
iLkRdjuhgx0tnY7mzCIJR62dkOsiyhSjje7m41y+SktmtbX65brVy4XCKsaTUG2SUQMRmSsKhKYZ
xjrK0paUxpXExBIbwTGj8E9PHlhzCOpReH2hxgqq+vXJ67JkmIOhA5VEd9uSm6U4pQbnpXBxuzMm
GHdsxCYIhQ5e35DMMsbnVOVR5VzktIwFxvkKqF/ITdOXtkbeFONAyu/TAnkbzhfZ9ANcOSr2yzQR
qdZbNah5URSQKrHT2lYUyEIGeDjqN1r5qAAgTcp3YfKv+8Dns3t16dCFnZlkLh38lqQLc3yd8SB5
ZWhJu/BAGZUne3LNj8TqjrQyCmVcjldshBAYRj1ARwRBq+RzmO/sei2UIRJDSSuBTM0Lv/lCU5Zm
V8wY0mhO4U8ENa7w4OX20jIARkXwWkA6z+JDlC7Bda7gWS4eNO8fulH93+gbXlzkn+WG33aYPYUa
ajPkI/r3ENfAzMQbnZiKMHaC2gq93vihkZ7U9UdcL4w5yYNhzGNK0AyrzBj81Ds0FGv1sYeg/cCV
J6LH9Zot5iLN+ipOZx2LGydiVRPyofjb0E7vQpF86XJtJ0R1ZIG4orayZHq+7q2X53xdV2FCc6UY
DSkVQCHQFz41ZWwl6cjB4F5e4Z+1Gx3tQ0nUcAyZvYzRTe1AXIgyOqiEhy9govnVJtY/xLQyUNr2
9SVdBmG6pN/mmO3UuqxUc8jc2Ppy1KODKd/JKucFyzNBj8XZScuTse+zElw+OklsZYz2USG8dhhf
5GV225/nv2sBmfna0AQeLDAIoy0v+sQ3vPBQ3YCkwnyjkzqFWxyFnyEPCckzyUT+RVqquRhQ+Eqk
ziKY3Y84Lrd1tH5/H3Ql1mtK+6SVpAKXpDiWrtyc0tEh8XsdiYjRJWcDaVxgj9a5Lca9jQiIntGE
LwCWujQNkquvsgIgxcRJHLc2DYAXkMwBx6ldDOjj1ZM1CoGL622k7dIaDY9O6ISH655NPZddDebx
aHdeFXGomMssQ75dCVKC/jSmqAzdT4bWMtBUzB6I/LwoT9etbTk5hYDR1zaAoyzqVqlFYGpChIY4
d4VqFzZ7Xd1dN3EJBMEqsG0SQgBAFWjjrH0hVCYAEWpkhhQJJb03IPfA/IZ0imtLO1GgaIdXb+Zm
/vBN/MHF2dCvz+ynRPU+cINJmHpgn9v1WFdFKLeCFejO3KBdWnmlTyAVYKeyNbl0cIz3aNr4hHgp
QfSaAMiMFzGz4CwVjCQR8QRutdYetNROhvxRTnVHDr8PaeFlosQ5bpdFBXTEz03SM3IWrJo4UZJs
wB43jvIKnb0dzb7JLc2+o9349HfZN4ZjQLYAQAOQiigAr02aQlMPaoyNpZ+Vjoz+I1nP7fJsfEAZ
rT9af0LVRGHxkOGkSQKGxagdxRvull0O0orj5GKwxCq+Lnd9zoknW3cZcLDAodAMXwe95Xpl8iiP
QwmZOGs8EL99TA+mrX0HVZUDgvcd4fG7bqR0yrk5k4n/NQH6DQBxAQg3S34AVZqrAo9S7eTe6lxq
NObiUTZtAsQKckkK2r6os2lioLWZKtBuoPAU/ay8OLWg1fSoPA62gKZgNrr6IycObMRP+dwmc2dn
Qa8uEW2giQ954wmZLbqUgl13UmhizWA5plM73ISZ3jTM+V9ZZT6mXkq1JPZYqWYVe9GG2MqOJuoA
P3nyDddZN62ByZZWhijkn7mL1KCdCrMXgbp/Ug+9D4FZp3aSNzotGrkqb0e3rIHIEPynqObjazJJ
Vz9VpjKJaA5SEA7FEEpgMoCqS/ul87V76SfnA9ITzW6ljrleEfEaxRqN+YCRIPZaNpQhzOUn0wv2
wwGIE6uB/CQPprVxpwP6TMnoFBRqULVfH0EzL/pZLdAMCcCzPEu7gfiTHti68HZ9TRt5CtqNGLcF
7o+ii5izV/REDMAQVkAEuLZiw0unu0L9Cj4yD/iJ66YuR8JBUIuQAms6esgXo6gFBHLbbMTgOaU8
nRxIv/rjSX5uH1u7Ps7fBnCsaW/mg3r7KVT6Y97xSkGfNQPmAyKhAFxLof3rC9aDRS6TWOrA5WEs
3tB7auclZA/iA08MfH382UeSlal/8TJQRODl8TKnw1Lsp0Q/dZTjEjQr3XtxSzXUgv30YDyM/6ra
tZHPrIzRE3N+D9aguk+FhSKG7/LsxyC4BY8vR9q43lc2mDMOgXLFTHTYQLx+XTyZxhSIBFuCPaDK
DTXp2clxUYTOB+/Vs3EqAHyjE5UqJchRmVgmkgXAnBkdrrBMLKn/KMP3YnGHnsd3ubWLeMihC68C
wa6yoAMjkPIg1mEnqk0n0b63IpbIkwjaMiLLokEJWQCJZG9ZWixccs0obCjQWMHsV+rrkHOcb+PK
Uc5ssFcrJK8M6BFiBjWgWLnFGefcuX6qL+HwoJo6N8FEqlpsE0lWsAw66t1iHp/OCKFFHL9WPo/z
Z8vzzm0x3j3gvgmBjgRlB1S1dmWnWqkY7gwwq465Dr6rPj2BwcTnrHDjllmtkPH3rDZBdK9jha3b
DJZuF3eBI1fW/B7tcs9E2vKFY3Dzq6kSgpQG/8AdsD7EBaQd9bHFwGH8PMXWAJ5mFLnq0Vat0ZEg
Jwv18sjldfs33fHMKLNKORTGQq5gVM8lv0p7S9eFYz5zh0d5i6P/fhahil4QxykjdDdHdzTRAMDA
0kvvEKt0jMUG2MZROBu6cckpgLP9/37SpZ+ZLLU4SBGaEfblyAJ6yCLRYVEDO5KPUJe6/vF428g8
RKJSRmEm6AAFWe472Q6im6nmvMNplGNvsfPlsFnPHCZNmmOUjBLyUXgZnffmwwl4u8ZkO3pbxXHW
aIWdNa/LBBkBYWekrSVMb0nv/G+bxsT1sieTOiPfsaE4L0n3QesI1a/rJjhux7YTzKXt+7qGicRM
rKUzLGXgeBnny38GyjMvKxRjapUYn0XC6FE0WukEZgEeAcz2t8dQla5CkQB56NqVxWAxWjnE6Vkm
T9SsDkhNQBlr4MSmxxBadskzBaNWoJp+0Ozc4+b3NApc+t5v+6x758EgSzUy7gTqz6o9907+FWfY
0hpL94pD7BS8kY3tbf1tkfF29AsnOZqxYh13PsYhWvUxK/3rzsGzwbh6BTJUyYyxKtLfToNnDo9o
p183sfWoRscMeFfMCaO8xb5VyJgpcyrDAUcNsIceICA3ecJns8GPC5j83738VhaZVWVQX+3GBQcY
K1JswwOLgqtaCnzjQNnRecCAzROGhxGGEzBgBRKrtWvqfTjGbYIFxoYzQnQiEV85W0j/Aut8QEdi
Kp+gLAFg7dpCZejNPOtAHoiH4JAfKJGC6uk3mFm3OZbo1rCWcGHgGYuiGSqdjCW1J03XTniqpKA7
b98oP2jh1V/1exUlCcWF8KqXoLP2yIfHbB1wTDOC7QU1H+2iWBgZs5k09OEXK7mttC8pZGKi6jC3
ktWZj2PrB9Pj9cVuJdXQJESRRad9C/bJvpiZAQJI7KpB7nRU+/WvPUiO/3jMAF5xboV6z1l0jLSQ
VBW1UkI3bRl7a645h3gzE8WbWTJEIChkeMnaBF7T86DINR5azvwhu8tOOuX7ZEd9nfuS3No0gP9N
AFmBjrwo/sW1lrVpPSGxPgYgKCm+JcAxhHuMONR7OnWaAYFt7nn4t604dW6VSQyltJxTs4XVWKit
ebIwIN2F3nV32CqNKedGmESQtLlRDRjfxSwe0CgQfX1FvRrs7jStD+60t5FY/BPHWxnjHoWoZq2y
oLKpzm6YFLtI3MVduOMsje4Pe6zPl0Z/xZkTKmFYzrqBpenfiy8qdJTr0h52rQPkBCSIubclz0no
v5+ZG+SxSEpqLpR2AciMWrm1JOGjE3TO5bIVeilGAtgzTL6hPLU2lMhD3YJTEJBWY3H0CYo5CVfw
Yiv4nttgQ2IUkwY0uvhCfrdXbjAKZgVPupccTE56u3lTEkygapgKBsiALXiLDeYgTZoNUupAvCn9
2L9tMdUg7jL753WP2N6436aYkKElIUkFDYuKp++hciMC2n/dwCUMGHHvbDEqcysCF260ZYPF4PG4
N2/Ml2lHa8yjo9hjZEXf/+rxSDCYaCpAkeogIlz7QovPLwUllkSZmRvMHePU7uvRavHCwnz8+7g4
aQWWF846N3fyzCwTmloxD9APgVmqmzDtg+cE7zpyq0GnofLjd/740NbhOl8nE6Z0qICYpYaNzedd
orfWgMb0QNH2OgcltP0JQchJ8UiGdjF3SRbUHYIOSwM1qg9Fzsxpf9FuT3/bWL2M0UteJrWxNNQL
USKlqaKCcvP6EwrLiCBcg30lrRQ3byJrINVDpWh4iUmPnO9GvwsTEle2mGMtm4uhtJJJDxvmWAE9
lF5MvCAoo2TzlYdV3YjyK2NMRjqDiVDMCixs0t/D9qCUN5PhXl/QhgkkMhg0BGwbhWbW/c2qmEgR
gDmmEo6J6Y3mnTY+XDexFaDQyAVlM0aNKRsKEzUAWDONSQMRivZE0a/Iyb6ZYE3wjUN2GK3pb54O
tHEMciPUPEFuxFxbKkmKNptA7EJ1yyk8NCpAoUrJjfVd/4M3bnjJh47pCDSs0ehABAYJIHOyVDJV
Y6FHgMU5o9vb4Zto41Z5qE+qq0ASBQoHe3CKGeBwNT50Tzn0YL+o7J53WdNAxXgmfgbFeUESA61r
JpA1gjC1YGUDJhWIGuU285Qc0Fvwrzd+cEp/XP+mG0eOSIA0QloBfc+LMbNliopuVCleAyc6qO7n
4HmWEsw0c9xz42GxssOcgEUgpUTBO+BO35uVkyWjFUmHdJQsAI2tstj/b8tiPFWawCk/LPCcOJFv
BgMy5wXE88ruo2krXpjcWhr6/Qb4lOH/eKCto9YgDVJeRFharYWLXSTFsSoDO5nH4xzOu049CjN+
RrEfpMZLJdTvY2HfBJWVxLFdYFwFUNXU0zoMdihF8nx9H7aiArgHdM2UMBl2gZQ1p7CSFh2/rU3z
fTsOfm6mDgZQvetmtlpc5NwOcwuK5UjMWichkiT5Q3N0pEqgGXHST1wk8GDLTW73HmWQTtFq8lWg
JHmdw62lUg50xCV5g9+hCwo5CFQcmzYDC6C3mKdU4DyPt770uQlmlU2SJHKW4ELMMq8fj8nSuGJ1
UrvCTVEnTJL767u6ATbFuBbwYTiaNOayr3Eid4lSGHRJLtQGTK8+oidaO2OCF8liJzfoF9rJV2I3
7/lfhAX0RTFUjrG+S2Z+TZz0QQ9gmQiPYppbY3orCQ+YPbWuL3Hzo53ZodnV2UtBMKKkRxaJItd8
JNX9NKWWWnBqh5s2QB+LCSoJ/UgWhtTVo270lMYwnjQ0Ml51Y7KkOXCur2QrkCL3BNoJZGF4hjMR
p82gaS9UOGlqF9tm/5Gng11ganZeOM+EDUMmSkEgq8EMwyVFbdxrZSoNiNhdWVlh5sTxaTIAVJxe
ry9o67b/nPNHVNMxD8mWFSaJjAIZBtz2eI7QaiuUMzGcUe4zN72rdxxrG7ce+sSoOQGUhuICOwBm
JJVYxQYQ47JPoVrhQXoocb9G7mjxYFobKTsgPhggAMYALPjs1EmmduKgJoCNL6RzAYY5KUHDS5Vo
rsBc4hjzQj2BQgxkuDDj2CPJIaOnRbZsFt9MaXBNEcdW63+keWdnXeN1pW7XeoqZRfMWivD3Qp18
q4Nx5oSsS29B5x14NLSNARu/wPk1RY++kwzs4jRLNulMW0yafRhPiJI8tfmN9wJs0YlIzJjS1i6z
5qAywY5bJJQ8mdbIaYOrg2hdZgk+HQBTeeyoNNyu95jaw1dEQwB22fRwaQwy5TXIkyCz4VEHDQ/y
/t30C8xh8TL4jSLb2hjd6LNIlU1VIwNkWqLwRXWTlh25LfegtsXCeM+gS/9cm2KeJrGY63GSAaRb
huZTY6pvsiHy9u7yuK1t0KvubDkyyRooGWM5NLXuTzFgfJ1lgEYmf/qLJzK1BZcAQBxpPJtXl3qU
5KDnQ4k1c6TYUm3K4KPe6wmS+YXiJow3cVe/cALKtnf8tspcLcb/kXadPXLDSPYXCVCg0leFTpM8
4/F47C+Co3KWqPDr73F8a6vZvObZiwP2FvBiqosqVhUrvFfrehS3wJNRH2MLa9zVrvuoH93PQNC/
7+7+GiQaeP1bHVkQ2pyn3Q5YPmnYSlKyr+knUj808WHKJW5FbBl/dOKMsGqrqMpsTDy75lOrHNvm
KDk0mQDO9AAqb7TdALMYME7660otnwavv61AsIbG8UlaUBZ+JtDJMJgLvHZ4RxknyCu1iQ1XT1iI
a+tD3X6dsZZhFfSABalXtca0Z1m8knr1CdZfUmeS3YVLX41vx3Bf0MJBH4DfXF3nkqxL+6Y0q/uC
gi2cDxbYArL77NAALE2S9FwuIjJyBwQfVC4xTHeRlZOFOhQZCAKQRkIlAs/2ah2aOArsGrlyFNWA
XU6OcUYPhaY9YIdjZ9hAblMxjupQ8DEDAF9PP0g+vehDaG/EOAhbKL5wFtzYo1sMK35UFyDZZHiS
ww313Q40JSZqPbIPLwpMW3GcKaMvkxpphQBJujS0XHQg76xFC4b5+b/UizPpHiSMaEBCL3I3hmxu
YLW99BbGBNq2yJclzqILtFWL86uGXptt00HaVLyve5iu0cqsR2SuWxFcmFXVrCiGCiIY8DKGCf2M
ETC6YQ8kmiKcel/2dhfbK4wCe+sAC3Z4BBw9nmy3GCFxeaSvy+LRW5AXBcON+j1bPDD2IA/1ycc4
mDOJrkwVPsJrKD2i04RyMnqS515VWwAWAzhVCO712euq5oApuUNPUwyfFmCDWIujjjH7tolk6ajw
Nmwks3/f+HOttxTFnpbErxfPfrDQBS33a+wR7Y1sUsEtDa/bqeg+6KBgxtXTwDTNDziYo740WoNN
a9u9G1Kwe1sHcz6alezFxcydP9KtHO7e1RPqX/MIOQBr8pQGyOfxjb58h8H5rhpc10nQUsMTEqkZ
cnow1eITnp+i20e6TZMY65G74XYNNOzm+IyeEY/XJxZR7MmT+RXmpi71Q80Qo5KYmOTroF3dUaLP
Gop4YwtopN0Qz55aS+Kk+GP9EcJZx+qSIm+7FYCq/UnH8qV1ozTvk0a2ISAyf6AI/9aFO762T6Z+
7nIsOMXuY6SYd7q27kZqn+qyPFB7+mCk2i4dIol2siNkPm5j+xTrGPagQ2wyDph1TY4TKXDpXP+6
dQjF4FGChRkDHX8e1tFa9TaObIiZ9SFs7fnGGg1fNWWHKPLISCz+I4YHczRUK1FyhvOnYCYksEiN
nYdSSySmLlGGZ+RRki4hbgJlCCgFlFK5Xec2rKJJUmyUieEMr8jUmrp4+PtqceyTdzU9Fe7T9c8i
Oy/O6JYSFRlqQBNrflg71N3tf6jrs8oSANzY4hmGPriQrKmVPpACs8WN4dNbhp1DguTFffwF6Cnz
CIJCxlshy0GwAHkHXiHn9pwa7ZjlFcQlR+dEHxhzcP/qAN1PPyjvZNKEX4gN/KOBBeIzPlbataZM
WoXH21SufjLNXtGDHn6h++tfSejGN2K4OwoyXXeeVBhCE1W3Lklf0xHgo5YWYg7eq2z9X1zCRhx3
hJEVl/06QKtZsT1buaEUePEy7jxhngH4+99nx8Umfeq6HKQMqKSH7gO9ZdwL9IZ8p3glGn4d1A8L
FneU3fWTFJYttlI5a2ws0lR2g4eiclh3jH+ZejGYHjRfBSpHHMhQVcVfDrstMEdYP482GetlOg/s
y2XKtOvAtDsgiRq7pzkvvEqTKXc5vQDbx5oekPWApnLRslvMqpppiw+XpkAJ1fc92cVu0K8HY6o8
xfITELsblsSzC+MWkOlRpwRq4gXSWNwlK816PKiw8IJlKOW+CdN35CDrlAk91UYMl2vX0dSvK3us
IqHxtOzZls3OCk0DQBwaq7Tijcq/DHvgpjuzOaGoexd/GV8IBk7pwQz7EXP+/x9gApHzwBuUIMAi
ywbyzrmnshu772cHlcklz4McEGaNPu1Ka5JUxIV6Edwz9PXZE5TPq7FSahlxkyXo7K879tSLMLBQ
IYtnAJpShjPRd8I+CVZGAZSGxVhmLpt8Aru58YAcEbs52o9RfVEr7/oNlvx9ftmjm7PenRb8fYCG
ATVMT79byigxaeGX+aODy71E4rzrswyUe76CPdAEpN/uJ1U2KijKKkGBBEPDVgwWxjhHNAPCpIoc
bN/09njU9MLL4gnj1HS0fCNSJC8c8aH9EcZdnqVHLWnsoJClICD2ysOwaD+vfxfhmQEvB8AseMKh
pn/+3dMccGBqAX3KbEl91cKQEZnjzGvKWfJ1BJ0ywOVsRLGj3ZhYvlq1Micx0q/JPboRGCm67Fvb
A4/PBbmtZgQ3/df2ZSy+ZbMeELS61W74XCjZKQElileUsoaosFwMn6FjwR6kzBd7jPbU0TbtACJR
RImFVRa2Heao6R4LUR/zuQAgPCm+KFkJKPO5HwJk2oO3LIO01MQ8Bv8c2v4OLmEsqTaCmRX+P/cQ
4Zqj5een4SuwVb6Q1BuwdSKruwrsCheaOTHsv2PpkDPiqKfEzVvWcLBo0Fb9izUmEpY8wT05E8GZ
roouW2wnqILm0cel3mNO9djWRpCTz9ftV5SPOGDMsEyA4WLZls9T6TABSExFT2reJe9UYN3Xd+59
+SH306Oyn/c4PBUztrJlL9EJwh0CzB/oBZjr5a6NOSrVhEG22o9ditJn+pTWycfrmgluJvJTzCUD
B4eV/Lg407hllGkFUIxSao93QzMABLFpV7+wqlp2NQXJABphGBjSUeHFZeBkmVmnxtgzaFBX1Hbl
AXMQt/nNfCDP6w351GDPfbntcq+5szNvuZFl44KzBMO1gf8D7K6GlbJzv0DWwbHrqWn8qjvaw4tZ
/XUzlrhoxAIiDwNDjsPP6lQJtsHjHMplqdcpMWCEbhUM/8WycUpm0tw1dmFrgG5FTQrDJrxNkG4x
Cht6GAYe/Y+R8T7tw7F8tvp7E+3569YhWHRlU6iwelYPZyCn56eGFWxsbMRY/CtR2ztWQfsBQ/iA
elB8M6y+qMfhp+FbYMuINV82BHv5wYAdDtfBwNgZrhdnLV03ZZUSdxir6nCzmvQVcL8y4MjLwzyX
wX7DJlionWPHpMBHA7ML1jUcwxvt5rPVJPuomH+gR+01LvZF6sdZW3Z6CkDQ3N7HIwZJi+mmiKnX
O7ZPZ90rHfuv7Yn9NOw3oT+NqSy+emUYddKPBqKC477H0pZnOvel03t5KcsAmd8/NygmCDYFDAhG
rsHlZOPUzDTS4uKtuc/GH9MwDu0QVHNh+iC7hZfuBrOcWCmBEwC2zcUmeNsXdmEPXeE3fdCPd8pw
S4un6zYrEmG/rSQwHkmQRnHfVCURmZKheJthc16W+CYZ/rr2Asw/sHphWQS38AJ0AWP5fZzF0CIa
Ppjpp6n+NDbBdS0uI9u5CD6yuXk86gpE2HaWfgRWEwk0p58PdUWdD46ey+rrwlPbqMRZAfBgo6wl
kFc5WbqPjA6TecoaHwbq9hLV2AfgDW5zevw8+DRpXd8mE6q/GtDdyDdFA/BlUfqlHg695EtJjpF/
YhdxpJGsaQt/6qJXXUUbJintu1VrQHhH6ufr30yQe7KPhqIohihRyuTLSxoA1gbTdTDoQJ4qkLJk
u+aGfmQbbitIjcK+xvyD6uVBdC9b1xLr+Ucy+/eNI2uUtdZypEN+78SjZ7tD5o8UbCDAqax2VdUO
ksRLbC5/5HGXrOgSVa1jUvo5drTI/Jw1CNxU4gIFj9Pz8+QuQW+VRQyIpdRvXn9NGbOVi/bVeuP7
kc/TM29/aZh/lOLugA5cz7W13BRIt69m/phEf99ePtOH38AdXMypJAr0mdIjG6RSPiY7F6wwd+Pb
bkfk6//i3NkOyRvoFmspnduFpa+2OjuQiKyEBqznme/V9yPQFNudvJMrvtl/pLED3lihjd3cONNh
EWOPnQdsqhZKcoxiTEnqSu5ppuyxd5lQsvP8I49Z6UaerlTWbI/QznBdv2mOrfMwqgc8SMJKi4PJ
vGkxYCy542LL/yOTu2m6HY1jHcOjgCrsG9Cf/eUuDSPTN9k0OJvMpiTIH2SNV7Fp/pHK3TdsobdK
lPaFXxjD+7qcjnHpSjQTfjx05jBKYbNsgEv1LBi/NlAzxRwaDJEeqmHYO/2PAhW1aYgkiaVQn40w
lpRsvpw5224/mSy8Fdk74s4ARJM9vAUfCiiUDIscEx3qBcZznVXr1GKhDuX3G1MPZ2CLyBjrZCI4
LWpKMDPoQETuftSTg6rdknJ33d4EJn6mBXeBm1mpqmFWUt+OseSuhnOnA+kj9ozuJtMAxd+9s+i3
6yJlWrFvt/k2zhIb7sC00s3GK+dQj2Ds9NN1IYKyCJ4V7C0I4GasSvPTPkDAUKyeQrF5R28NAHLF
x1/UR2kgw/UQZPkmpi9tzHniJWHydBfGPDukVaBQFu1THFptuUFKDawefMeolqeskmeFIBhjUhqr
iDbBBDpACs4PUDH6Dk/qOPO77LNWn9L6pu7awMwKySUSxUcIYosxoC4FOC8XHyOMhbsGUlE8qIcu
MHfFbjjUBbgZ1Ntyh576u79/fGI8ywI5I0CG1Mv67bxGVou1HxTXiv1aql45PZZsLVu7m60PjawK
KjLEjTS+mjsMnWb0I9SLo4+UHA3l1sz3EjNk94eL+VuN+Gquin5g3sULEics7Q0P8zE9NUAT0YP5
briTL/kKTYNBjTHUxMsSSFLPVVIvAKeui5/VSH2zKnY66XdZbEmSJ+HhYZQNLzuU8LETfm6EM52w
1jYgmZkRFJf92NxFskF3AeQkzAEjvqwGh4UhftK91hKlVixk8j24p57n5xT06M3N8mA8GqfIsw5Z
mH2oJZdLMElyJpQv5MA2iw6YR42vvXfwHzXgP9h8MR7KGNbzFYCnFZ9lg6vCz/ZHUZ6WimBy2ipX
1HBn7bbXb5z4bh5sH1dccqMFMXh7oAYXUKKZppgAh5y0BUZA2cX5Pqsbt/PrvHdMsLMX7yunepTc
AbGp/P6MfKWlJPm4FgukkscFe27zMX+sW6+7GTzLU2tvuNe95asU9FIkFf4Y9EBYKtUuHtF2Uo3D
nCAAjOWPPHvpit5r/5roCCC9Wxmcg2ywIKwTTFH7dvWpQoOV1mEpBV1gH4V3IYAwgxy4YYAhcCG6
m5OoHAu4KfdATs0ue0ACiFiGwTRfDo4hjJtbaVx0dnM3ctOszDDCwKhVfnHxgLAdz0oZ1I0gSUOw
RN0SG5DAYeSXPI1ca6ayrfGUrJod6jm+00neJ6J7tZHAP4jMNW+AewoJIOotPLAvB840lJ4BXHs7
/y4xc9HlAoKsBixQVss3OY+4mMrYLykBDNwuPqzP4920LwI39oqP1U/G+ovmt4vVhPRBeZZIFh4k
WybFigkWg/gm60wGsqxoG/oLnrG39Kh8zHbpfgaVqYsBOC1UDyh5a5KdMZlQzpeoFppIeQuhs7EG
zogVPE3irUQSgNKCQocN27/oHZRZn1iZ0mXwS3AVIFIxq6frJyeTwP59k4omWKnvUdrAA9L4OfSF
t9a76wLejp6/vFsdmJfaSDDtaEgGDac0uF56X96PYPyEQYAYfb13MEtwir8DgH1vBul9ByooOaCf
6ApsfwD7980PAM9gioQbPwBl7iBZvxbVD6Pet1p4XVGh39jKYbdjI2eg1ZpmfQNz2BXPZViD7bo+
mm8kN7KtFcEOKEx9Yxic242LSdGnBDplxwXX+omB99FD4jNCavI8n8aAEdzngX3UvpPX6kk/WJJS
iyi4YDkCNx3D9Wg9ctra3VqrI3XAfp3YuzEdfYvke11dJacqelk4b6CxoMfEmAbn+gvAeGejtWY+
kF29ePGrcZc1R9P6NAMxSX9//ROKnoJbYdxlyEk31OUKYQuYguYqOxh2HiZp5TVo1S3G6lsAV0kt
XZJwCe8ggxe2gI8LvkDObQKncCgjd8x8vUyeXa2+i9LYv66ZyDNjLfO3CM5VmWo91K6DmmVVUj+e
bm199NXkpshC6kq+mFAbbH/CCaNEq/LPzmlp+3XEFCAyLNCFT4e8kJEICy/0Hwk8nnBurXNNmfFT
87ZtPhT1OxJV3lRJKrDCxx/ajP/RhA9nRrZUqTOyS6YO/f0YK18wDfoJm2mFV/dW55XxPO3tVY08
d0yywTPWDEgGdPpSmVOEWYNENvgqvAybH8R9xXJRh6yyEA7sJbsz6tmrV/MVsOdHILV4Shx9tRLZ
cr/ka/LdayNT86ZqYDjlMqIlaTdaUMe5JjFPcZDYaMbdvMmoGxQ2cdRkTzG8XgSrlwVVUD46gRla
2AOwbpedGuRB4hFcz4P9fP1+CL3ZRj77943vBmNfUic5+9SgL6DUn0EPOklnLtn3uQiFGylcJOrz
Meow3IkI8TqF8c0KuljG8U524OrcySA2xF/ORuWCLWIjITtXKV7HqSMdhbCh3c3LbVvKQrtMAqfO
jIn4cSQzzJFMyFw1D9Cq1z+LTAIXZHLQLUdxtGQAGFI8xwlzfZBIEH/4P6fEBdJUJZPaKJBgZtQb
hmfTzsAZefzv1GBxZ2Ndo5otepS8fQrNU43eG99fFyD0iC7gzoHJgOFJPv3VCtXtLYovMUVjkDQP
pKdALZ49Z5CEKrFP3EjiXNBiJ8mQGAOgfBIwgndowQHA7QDUTLYRhTEdKWOvsBoBI/6tm3F+eHSM
Iyc2f0kcAgvvP2DToEvVxf9vmSKjQAUJIPIMyONiOLBre4LlahiFlQ4AGyX+7N6vjqR8JPpmAEjA
1DoWdnTQsJ7rBXQfV8vbCc/MmXwYugE4Qij3/HCVsThSqv+Dg0OPCkgGYIm55EzoUlJbc2KXfpud
iBPqyX2zSOKl+NT+iGCXeWPlcatYdjYDIrsqfKV77yBCmobMqwkjxVYR7tjGwV6UyUZAarU+WrzW
BUyQOgNU325HG8DBrRPMZgei6h78X+CgNLyyT9TAqdbHOU9edTt/XJaReOWQxJ7Zzu1hjjuyWwa9
vzMb63kes09N20oJqES+39U01KoBsuReVAsrs1/6XMMVVYFiCwaqdo+u9WOPHx9kmHyXEnCya8HH
mq087qLiMTy3FoXPqbC2uIQAFUOz3PXL/lSPb/uYbqA+XfdCguUP7BaBWZgRnuBRwA+GxK5bFPMw
YRbAr3TP3GkHvMFP5dEGFuw/egaQRGHaBe008C1wpmCbkWIBIjPz+8Sf0eytdnGogsLGA4R5moEy
I/IlhTxRPNpK5CKe3ipOq+coRFkdFuvcd11xuH6Ewju0UYkLeFrnNHQEIpU/WYFNbuv5fS2LeDId
uIgXO9M62yC59dPqZz99BBnef6cCF+zWYcGUoMa2ZejkLXhu2PMplpYERanw5kvwIy5uS0G3zBI2
1lUwwMpS/lx+pjc5JqusgHaeu3i4Wzq2StyjIan7CF/fW+Hcg63rp1TLtATZYh9a+/TQVd5Dfsh2
dog2hxnS0PDx7GcJK3BhMYuCLsf++iGLr9ofQyHc9S7X0s0SZcDs3mkEYlqzYzSO1ncGhUjk/F6X
my242BtpXAzuEqse1RQlUcZv2+zoQdvrIAhQpOsLwmi/lcQFkRW4DrmD6iRAERodSBIFlp8toBMX
qJSTnXPIAzeIeonJSqVynmSo1tgsZlRJ7TgouuAXKI4VgPGzeXHigOwGcCbV/91dJ5wzWZtpBtMo
qzNX6sGy6UOrjjsl0mXKMVO4iAQE5WWw4qCSSDhrtcBFM42sNro+RI/tE6Nm6sJaZzt5mKiWBWih
B9tI4wwzcWwFU5SQNhLHS6yjCYimoggk5i+Ibkh1HeB0AQnEuNiS79bFLRMHRYbJb27Nh/hgAHe8
/TYC8XTey8duBD6TcRFjyAG4fZit5o5wspq46i2Ic0ALnnwc/2GS4uzvc4dm5pFVYksCFSCqF59o
hIV0LVJUNuEjw9gV1LjORHFXec0wpF6YUCU7AmL3MBzWE0NnkE0ECMzgTAx3j1WlcqYqRvrhmojE
ZevVCGqFdMNeJoa7uMaQ0Sg1oI2i/zDGn6QNqPZ63dbEBwZoVrYcriKrOU9rs3EZHGwC41noFl6e
Tn6ZnOr8kBhf3DENFb3y7L/HFwXIkvFbJN+0yeq2wT3G+4OCuHbtsDpi6nd1LptHEh8eagOg2sQL
mC/h5muZFeYAq0uqT6l2bEERVOf+9dMTysATCkvh6F8bhEtosrnEPgIzt3Sw9k5uH0gFzODOOF4X
I+C/ZLhUBtJAvNiw1cWZdQVor6FI2JGBpU3FoxR7zkcTH40hVbmh/dl97NAuTBMPIzeJE3ayxrJI
USxfYXkFVI02sTmDX2ILA7cG8vtZe4nLkwIWE1dGYSJqMaDkzlJdG9z2eMed22I0rwmpO2iZdg3x
0iQKxnw6pkXqoUnkeOp6o0Xzq+vU98oYnTDbL4klgqxrK583TJusjqVSfM04Vd/bax44fRbaseNN
k+slfQuQC5kjEbnejcpvR7J5VbZVqlRtjQZzRr7VTji33ySWIwiPZzpxvtewBkBXWfhw3bcxdGuP
MWLb9+MrwELZ1rpskVZnlsiFY5AHYB8ZsD+g9eRnl9QlV8ZBf+toYNShsH19sHauOdxhFenHPPeB
YevPmvpi6s77dDwZcQD0cC+mSbBGYaO9WtbzWiae4gQvpvlVj79MVFb5Fpw5fqKFtgvKSVha5S5T
TUcAxWQair5lq7wzjNJ+qLvix/WDlwnhLkyj19gNIRBiDaB2qQBQ1smSZEGJBdud8DvgewaoMd9Y
qezZmZM8xfRM2L8kt79o5AoQouhHJJQ0VIPOJ19l8GSiWwqxeOJjo4dc4hGOamIbiqtCs8cptN+Y
cOsjetDItmRT6cJDxLQYQYXMYfNw5w6hsXOKSfkk91VlejQz99FyZRu/ouQY6vyRwZzC5gbq6bqm
Y8qG+0Z/CtdgRAqJBYYcQFmYutf8ejcdaLW7bh2iB86ZVM7VmaWtDpYJ8yDl3n1llzLfz4/u4ve3
xaHb/8P4L+btcI7YA9Tcy+1zDcsm9si8AHCvW2PyF+vvawdnErh0n0ydHVU17r2iPK5DOEayYUV2
IheOZaMCZwuUDmWK1PXXI23c00N61PFwkZm3INCd6cGZwzrmedaUaY5tkjtl/bKkgT79g08+k8F9
fKCuGBWcXIuLOwfOS4vZs/V+9SNveFSOsneYKHfYSuOnINUVwJapEbfgOlNf3F+PiXsNTSh6GNDl
w2LofYj/j+GE7h9aKGeiuYdFQqol1Vfc38TuftC5OMRJLGnUi+/vH7twuQD39lQqNKhH9tbiOXC2
uwrpEeh5H5faK3VwhAI6W1bwFPpeFzhimJ01MRTExRBKzKZ3GjjBEosrYAz1ENl67SerD0s8BbNr
3u4BGgFORrQ/DCy+nfsnhsYN1EucIQHhK+AcUAtkHw8ExFnw7dcmSxVj8Gj4dF2wIBkCXDSWI0Ci
YGNdlPt2ax0njZEN2MXQ6CEq8pecfGod92RV2CU0MfjRy56JosITeHqxZAssYsJoiM5VbeZsSeYZ
EM7kMYs8QG0W7zDzcROfomfjEfnu4woglSycDuaxODnfDJ8cZNdf1AE6+w2cOY2gmgUnBls6fxiC
aA9EocB4wkYPnE29i3dSyBhRiNvqzBlSB7DPCrCmtW8Mfv5lCXvQWU8kUL50P5dgPJaQKSVY/D+U
xA4z2wy9XHGsFWBlOQWEKmpATvkBHgj/3f+2FDsG3KEEskAuTBreiDj/VyLnVpNxSubRzhhIrOrH
N9rBOlqoYxcAxZSh4og8+FYU513Hqi2HGBjufl6eivVu6HxDlYRv4UfDxDxYHmw2vsbdydpNl7rp
UQQ2yZOrfZllq8vC9IBRjv9HABdNe3epzDpmWDuo0aELWe612FO/U3QbdMyQWarEy4jc2VYeF1yb
hBa1mmIpvKixZtVhF2qvtCNIPiXrlMJvs9GLMwOti7uczG9QIVPQ9i6oAjGrHOuH675LeH4gptcZ
WQEAQ/i1tV4jU7S0eEmWSzjYBw0V5PkwNZ4anRzPwoL9XlayFpkEtqyx0At2G/WihlaMuhlpHR5y
SWF97JrydqGyKSeZCM41ETI2lZq3OdoztldkvVfrEjMQxZqtErwzatdYaRM0T0qsLn9OWtIAc8xs
PrRVUt0q64zTm7To+frHEqqFNzCqJwDWv+CBS3SiLLoL16DWP7R2lxFJ41b494GBQ3QQz1/CYY40
VtI2SWtfm95V6l3Tfb7++4WHtvn73F2NRxB6kB53p09NxRvN7rHWrKc2i5/appi9CiyH1wWKLpGx
Echd1miOsTfhwDmgTeKlrv6VLoYXDePLdTGi7QwbrBHAbQBxBFwRZw1L3qqYCnzz2XPtLSFAhm9g
EYPXvWA7EykHOPr20kgh1M4FSQCYRlDQ55FSwP47AbEEcPZ9uPxcvmiO5zB0bwuDzs1TdR/7Qx6A
q0Ji+TKpnGNS3aUZywwNp1lVGLj90zIlwWKYElsU+VkgwPxWjotN8H5FRzXYitmpum+27acaQ4be
0jg0LPRcYpliN/hHHN9GjJeJaCmDSyf7+KCwwRIrKG8dL/LoHbAYZeAMwpvmAqoNvTSMzvJhsS/G
eEk0rO+uiepPSw6c6UBik8zm+GwYARd41waoRQFjcp4ianWaDtn0xmOi+tobUL/7REFiwtKzrPVk
o8jCVGkrkPtiKEq0vfG2sYYjLADdO2W40n4fTEG9w1z391QqUmQkG5E6hzTTubRYKw0p6PowhqDG
PMTQ69kMY+KRgHVfQdaCWuR3DNdcP12RYAAtATTRRG6IwYPzw23GJjJtZYRj0Yx9Eq0PTZp/IAb9
YK6JZNJKdN+AWogIje05zAlxPix2UKArpw78rKQLK3KX56U/5//iwSAAkD2MMFi3OGsBMujkJDo8
mF15CxJPgujMuL8CY0XDld2DBVn3PwCSY9B5I5Y7x6pvabIu4FWJsHIAJqM8fUnix7j9B2eyEcPD
0dZ607hphdntWVWf3SG+VQn1Rqf1F5BGXbeMi5uNgi4Bld4vNo4LKGTLjue+m5fWV+3Gm8ZjpEqG
Di7vGSeBS24a04oLIHODdxPfKT+sXjThRbLem3s26t/c9bKFhgtjZwJhf2yrF0uO/GPTXQEp0CGd
8qP2a9WhaOp8VYY7VQ+vn9zly4eTwylWLU6pLgRy6G4BYXUcjpMXH0FeCWqR2v7b1IATxtznpphp
zHY8JXnRYl4VkA35J6tx/CmXJPGXYGacFGYtGykd9u4HO4OULki/YPPl7Z0cW36UgNpZ2Q/7ygfB
w6MM1/zN8Z05f8jFt0J3ASsZl/4pzesWUMAT6mYn9ITye8qyEganrsBcdrjQ3xzNQ5McdJmYzQez
9F8Tg7EfgPCG2X+4SISgc8U19ElhSICUKjFXZBh7Nb4Fer7kG4ruGqZcsS8H6DakXpyQogCadV8B
2oAa8/uoX+7Ac3mUGCUzOv4ktzK4L5iNeMTEZctaB9quv2dnqB+d98q+3FV3Mj5V0U3bCmOxYGMu
apJikT8x0XdKllA1g5WWXtcuXi0tdV5EFXwfrJJhhAEso5fYZpMyl04ZARVoCJCA3JuVx4YCiafu
2nfJ06/ShirFOGMfhD/MrVSm/0a/eIrNerQh1blzgO6vPOmKt3zqP5VHdseBfVaQ4Pr3E5nIViIX
PZ1yyNUu1lt/bZ8XVAaWWTK9e5k5cifJRU51jtBxdaBTF7gPup/46cl+Gjw2gDV8kDUNRQbC0GNd
7ACCDJS3+JoiT4gJAlcCoMc0NcJ+obeT5b6vjb+meYZeGEcGHBxBM/uCG0HTFp0COaLxoy4BPTeJ
zeMQJ63E6YsUQqsYY6IanpwXbKPmPLnJkCORAnPQc6ZXO0LTQE2MPYo6H66bwuUrjWm0kcVZX67D
4KmTtn5rLJPuVU2j+51r5TuS6E0AEqXxVKDGuFPtfg5zor0bMFe6Sy33Ha2bzNOnosTQvkO8eURv
6PqPE9xHDZxhCLBsMFtVOTvVEmuiplO1QAJR/cp6iN0XSmQgPiJbPZPC2eo4zfXidpjLLW77l+iU
noynLtT8/B2r/P91dRHvjq1KXG631qtFNVK2/ty9Tm4YAYdVlTzbhKcGGl8gmzD0Cr6FXjq0sBoz
QZgrors2KU6m+sOYOv/6t2Fnz3ktwED+kcLZTTc0yqA0NRQxU28hH03zxqTHrH5ZnH8yg40ozgyw
XkgTpcCZ0RxbKN2nBqmxNXy8ro/AJ57pw1kBltUWOjUQkuuPA/1ODMlFYx/24rwwkgdQFhtzOPyW
fmKZJfBEGtZGG45syhBPpIN++OudeWZfGzFcZC6rohknZQQoGtD3zSr1HFkuL74vGxHM/jbxiiQT
MbuElm+AjWqoeOmJHHMEK8BwSlv4lwignEKcnTkznS2s6beQhuX151zHdsAKTiz3s/oavaa3bE4h
DywQ4kjPUniRNopydmcstpPqPUTr5Maqb9roZz9I2t6idwvjpGETChrezfwQRumO/6vegKU3xcOQ
/sl592321V1yo98kf4t3wA5zI43ldZtP18d2r9EJ1mFmQ33sY+O2nZ0RsdJa0ckleXj9TrE7w9n8
WWzhDjCi/aLoKotj9X21/NRsn6RhF4WE7Kt2d12W4GPB7jF/isoDKJr4hb5pmZWMrgtwaZvxvqQH
ly6HWNYtFgoBS4zJhvRV5Ijn57fmJHKjBnkvpTeW62vzgyGr0stEcBd4aND1zjLooSLN7fVdSj9m
hey1LMrfkX791oP9iI0dFNgTilKHAox4/VilxNOd02B+S8YymGdQ7Nrhqrwruh+F+i6vJSYo1g/2
/oYqjfrXuejadmPaGdBviZSX2f60rO19EUuMQXStGPrqbymcobd6NcHu6s53sNB1MrD/rwD/3C9+
trdqMD4wBsF/ML+NQM4ylDTPCr2GWgpm8gkylaMmwxJlt+XiNm1EcJaR0B6cMosLXq6u3RXL+0mb
wD2WeGW2q23Z0L8gXGHgB31QtPCRffHlDWpOIEY3IQzjw2FPAjzBsBSmem1W75b4U4X4FaeSdE/4
QAfrPQNlQ5R0Vc7X14nm0qnPUMQ5Kd3RAVRE90beDdrHAHzmN7WLslt/7Pb2ydk10h6cyDRdJE0O
MHQYfzKXm01gy1ubbGWIz09NftvPe3eSvfbEMjD4gRYfaDUcTkXqJp1R0Lbzi9J+VOLymKXaZ7c1
JDUWsRgwuDmAGMKziLMVF7V0WlsosaRwg0rsnuJR8+pxDq5bvbA65WIaEtxJeENgvOT8Nhs2QNLW
BXKagAY6CqTpybxfdloIkKrwuiz2p3jz34rigkmL1S8QagALsFvsh8lKT5lTBYP91Zhlqa3w8NBM
BG4Z2wnlbV9NTHVQahVlGvVxTm4WLQHruOQDCT0Uhsp/C+E81LA6yaCiXYqCZYpxqjyEG45vZ7bu
viMxFgJl1fk3kLCLAwRuO+v9IQ11OfNO3CrW+xlqDQugX50PiXY7msh1X1T3xm1CUt8ThXh9v8up
4w3GQ0S+5rZ731hgagYE026eiY8d9qE6GVPYfVmLyteLV6c7jfifmB0gSOvPY7Rbck1iZWK/8PuX
OyrX0XDaJKOJjYvpzG9r1eWBTbCDkSSrvCioDv0nVje0DkloVP4BzQ1ZZ0r8tTa/gItaxmD1FhmY
Z0J5GSDlXv9BCQevPi7HBstPfz0ehke5uxHHGYeWLsusTlDY1AAbY7/qI/UAk7bPh/f/cKmAt4pJ
XBQMsdN9fn8XKzNow17Ya+qGCp1vQbDnjfpHkkaSnEOUC7oYw2VciDZ6Q5z1lVabGJHKPEVc75IM
6XtU/A9p17UkN64sv4gRJOhf6dqMtxrphSGNJHrv+fU3MTpnxUbjNlY6Efum2KkGWCgUqrIyj8Ok
fhl77YeVzHtQ2wvuE/5LZZPuMquDjm1DbIIEfgI0V3NLD1mb13k2SsxRIBqy4MQnqDOBwh6NRehZ
WMw3I3GzynaMb6bY+7mEyMpyBf48p5zcy5+MkwYAc44xB8gvKAp6waefTIoHpZcINjKdgS5u+iAu
fkzVASyi4Rj8b6aYb6Y1qrSMK6pdqay4ad67ch1CIGzytI74aawImnrcHfy9MpZZsS/UTO4jBKiy
RFlEc22yl6s4ENI0cOL7dgc/AuUm+13WKFarCYe5Quk/ex7k+05EDCP4SCyRYrdm1RqmqCmNpI5m
r9f1+IFAj8ZBDLYwyGZiMt8hlfR++YOJVsY4fJdh1F9bqW+QV0V5zJvZmfJF4IBcIzomljDCjker
Sj/jZvvmXlPXvoCROfoaFt8KGfC/5unyQriusLHBXPZa246SRMzcVVN7uiJxCVlmc4iuRlN7Su3G
ENwwNB1irkYqPvbPkpgzNRYYYktktJM7Mr5JlXFn2JVg1+hZuWSCOUvNgne5Sgt/qfktMT+Zxb6d
fhIT94kBMdr106TVf3Ocfi+KRW9oamKOI424kewP6uTM5M7M341oEoVZvkMgmUEwhUCywUS+Wsos
KR5RcAQSr4a4U+LYEbEdmXToQfXfZwglN933tRk+JXURGFLitZG9izWQso01uAh6wRPzXAcBZQ6i
4kmCHcVbgr3V5LnKKisH9rjPgsJy1cDAmNt6K08uSFMXsPeXfvtK2znR37wDT0xTT9scDrUwSiAf
YToJb6fxMCrPFfl6+Wxwr7Xt8uj32NhQGjvRorGmzZW1clAOu8og8TDmUM1LfTG2iXc4PuoqMsik
gblgzmKsS3ij5y2eLGnlhND4GQSHnZddAYxDM5BfFpjjp9fVIk8mAvJybJ8pXYHkKphGRJebolWb
T5EscFmOx6KdoNNhZQh6A4N/uoOQ8h5mMwlBxVk1Xk9qnxTNjaqngrDCyXm2ZtjRCcjONotK0Fux
SjUoovFLnps35Vy5GKff5crsproIGMO5eGASqSP+o3LNzMdqTHD0WTXel6PcBdGy7Dv1kwoSZrk7
tpom2EaeJ0KFxsaLAjtJJ2VP9zGNtTxuImBvxoAesmpnYmQMuGzauNQe9efLjs8JoShIyOihg/ob
z00mCSezJqczTUdka7yZJdtbjPooD+0t8qHnMO/8pLS9US9FIyKcy4gCwnHZAQunAexxukpD6orF
jGBXszoXLKapdFRMx+6OWh/InQ4OpF2U+XkZOyTxwZyZ2N+StneyMLi8/o8BUuYOwQ8xkUCDIoeA
SOb0h9htiznslL7g6mLfFLdRNTgaePllE08yIMswoTyhdFyOgruL68cbu8z5HKQUCUyOfnFktKBB
vyqsyBmX75kMIfX1TdUF8YC73xbuPZUqjeFGOV3mqJOys6O6xUq82sogJPy9SUHN2/24vJ/cKLCx
Q3/HJo7OilElqBK2ble9Gshqu/Ku7UWFQdFimG8WN0YTmRYqkY383A5Xkf0ztt2+ery8FE6MxijR
7y1jv9CAruyowsqsvWvRiywaVOeF6BMDzBmQ0yIj0wAYkt3s5eKqyP0VBYt4RFVwgIjGfVjVTlof
Q+19mRenr/zL6+N9KgXPRqLA+UGezJi3rQ4cR2vXujG5Vvufig1WI8Hp4n2ojQk2WA+pps2ZhlsV
CqGr8hJaO8n0Q1WUm9BkiD3DmLkCwgTVVaidMf7QK4o8212N3MQz31UvOmpec624/25uhucWW2OM
W8RLMUtqBhE3U3sfst3aiOb6uTfA1gLzYULTLldLGXCGjumBVmvHvfxEKSkLwLtF7CkCa5hbPj2x
41CD91eDNbt6pmX9Zmd4A2RiIk8OiJcFf1FzpLQmKAMC7AFUkHpqb11BqqB1IT5WcxNisKwtr5Z2
J8u96CKlf4j1iq0h+iE3oSgbcrSvTLqNAFQZbhpY3nqrAbP+C4y2CiIsdTLWHCYrofALNnKCN8Kp
uW6e+zhJrMy1xtWR+r0RqY7UXdfL51g0w8krEVPtUCqxgpFvoO9ObU1ZlcU5lCkBIu8P9ifwgCNZ
VdzuvhbSqvCO8NYUs4tWATBNTh8i3QIui84Zpa/L+FCUjXc5GhHu/gHQipAIhN3ZcKNmxhFUG5fK
RUZMfmqPmRN5+kF11DczUPfjVeM1B4wNOfMe8gKe7EX3OtTVASrp7mNfNDrETQsQFIFqB900ikLM
DndhZSzlAl5BFTgZL9bz9zkKr+cU9VoFA6106nLEECBm4TFA+xfVAAhEgl5EA0baOJPJBDMsKPpj
9HgtSGGQGTLHo9tlD5c3nPeig0Y4IF7okKMdxTpsaBuzJZc56ingzpePhl9fR3sKO1xvpS/guuz9
9pbsIesoCU4m7+LZGGZrUqlMaqtpy9bNeiS11WO6DM7YijpfPMfFAQFDC+BrWB1zKZgtJCMzgodB
Guu7RgW1b1U6rWL6lSYiKeEBKrCVv20xd0KkQm1Dn0nmAgNLVZirL+EO+Dw/9iC99VbneB5XeHWN
L7YnYnrlZhFb20zcMSS8W9XBxgE9zviQHcjuyYEekdX/GBvdXXYb/sf771LxvDwNPVXZj/VQdZXb
56lXm71nFckubTJB5sCLBr9XpbJSqfZcIdZmBKI61q0CNFShBh3kXLWycrJcdBJ4+cPWGP33zU2x
mmTsa7NrXOPGVJwQxJWRb0MBATcgnUUQ3YDc4GJBVxji6eBcgkjzqT1CpKZqKP6cdj6a2+zYghMr
phwTgmcWZxdRz8bpBlMRinFs1t8UYKrSVzTEOmnQnSTH2VYwutV1yaexMvcS2Cf+2DtQqkd3FD1u
/ZxYfphj+IdU4JmxPC/GN0u6Woigy8dxQEA4ERopXPSc7b0rSxPvC7wwegUdNwyRmC+lbgtCFC8r
2lphGd+NTJaKNcWbX95RItN5X+4NzKZE0FQXV4PoEWVSBxijXWWsCk1sJlRZ1myFxgwMe2+/6OYx
tO4szbcizPsewtwjxp8fYdyygCFgBOdD3vrU/eJ4aaIkx9qMtN9HcoeS3griHUlwo/NgsLADeB4W
RYWWmMjUQnIOrOYqlNxfqU7lsMNrvv+UucsdCSDA8ZIf4wcRVo8T9SEuDXksyFdhLoGtnui2HU2J
DBEpc76XhlubJAC5XinRIHD0c1ZgsNahYEgf0xjEPLuj63XN9W5CuYuUyr7tvzV6WjjKXPpNat+A
tT8YcOXYFmkd1foW9XHstBCLs9q3NcudFI1hO18dDdJWU/IOLnU/Laq7tI4EfkwvHtazUI9D4Qp6
85SQ8fRT45gYU7umcGPlaFcHQ36YlLcuuYdcgDeTPyZixZlE0xMdSRka1wrb5K/sTB3iAo4lTXag
l7Oz2NkRKd3j5SDDG3Y5scPEa0sCbgGz8cB9XlN8xAJ2aQpGwlzSG0j0odiJ+TEUA10RCpgXuE8M
M4Fbi7GXS4cFJvvGDdT+uIAHcvRQs8nTA+kF7V1ej/7EHJN7p7M6KhAuBwh/6qeXKAIf35qPr6qS
K34Rj8sbCdsfSWHiUVOV1r7Jc+QYZfQ2T3GC8GjqQWxWVtD21rcS3X6w0PXpN7nK1McuVGLXisr0
cPnTcI7fyS9m/C0FVFZXc9RM6i72Y33fRCSYejcSsvydnz+MiW0n7ZjCZakVVQ2W9hKvu/heP0DF
gYCEBay87mF0E+J1wereUhrodvcgqj+dXUHUNsi2ENhU0zhTPI9iOw7HSAZ+tk12kLm+llQLNG7m
6x9uJsyg1YJBOMDFzoUFh7kG116MYUIzq56TbH1FqqUGIRk/1yQTMb1QXzqJFNQYHdChqd25dBsw
q4qUjUYOVIofYZhXUUUVz/M7lTHBZMlhPdutUoR4qwbyT+RYxx7Cz8UBKZYXPorgJbxvBP0ytM90
KmzJcuW0qNpreg9Uu9Q1hzWJ73J9fulN0VjJ+SVHF7Wxw8SiAggudeyGzNUJiIAM5OCrl+3BAQlW
6KKlfFiumB327Jh9GEVz0NLBPoTH22lYl42ll4zIQOVQAeV085KOKUa37vJQdH/wv5kJTARuEKSr
bKOqh1zcsEw63sF3k68HyVFyh6C6pqU1iJEKMoazdJUuC3hjNBlxheAGP11WH5fjlCF8oBQFldrq
p2kc9UXatfm3ZRHdITRUn/m7BVQJUHZAR7I5V28taIsMdHDRz0DctDod3msWkCyTdKTj3NKftzHp
6jYWGfe3ulFphhzH2e7Kq9AYXTIYT3I9CLK78+IQtWPj1StTrgZI1J3uYl10RGtGM8PrQrrrD80u
vAd12rURlF+E1Ew0yp7t4sYWddTtyynFT8jACehCiMhTp8QxQz8bZYdMCMzTly5rnDR/UsK9LAL7
cc/3xjKTM8+GNurzDF9JqmZvWs1zNZZXhqLtL8fg8+c1s5vMVzOnzqrUhZLP/WxeqapxtosO9k30
vHi5nwS64AhwudMotQfyJ5VTlZFsU5eldsFk5tMEeo++9kKvd0BGrqLAl3+wkbd/DI3DGk2CzUGX
E+V6g/mKlt5PFhpSFXBkXq7ed8luHa4j8y9m41FJpEcbVb6zxqYahmle6DXg3Kns27l9NCPihNHs
WpYl2EVefMQQOZ68ACooZ9y8MRgMzFHGUevtr2l/WMfE0ayXyBQhj7nesTXERCx5sUtzmUFkU0WD
4ZSxrLmjNkJvden660m38MaS7WfQr6bQ6qqKPQ7np9aaiE+GYr3NQFwUXPZX/so1Hf8n4hqwI6cH
stZDuUwVyvOhvVn9taHfVwOIKURTKNx7AUXaf+ww1x7UUW0dMqJou7fH0Zu97CpHfX2WjxS+mQWi
eizvtNMyHp0cwrAo+5SsjQbEFCtOe1rKCDDK0UjaY2XnXy/vHv1cbDijfESInID0amzNMFHUNMMI
B8hZpjCQpDpASBMEFN4HsgzQKdvg28ZMDf33TcQ0LWtM5Q4rMUd09v1Mfc+zq7H/iwOAoV1U0un4
7llvr1WGeCoTLKSPUPTsHhTzIRsbpzYF7sZNfywwg0BjBny36HucLkfJ1rRXaeUzBIy48H/NhUBm
/ll5KJCaPI2+gtF/UQXtrGCCgIVHLbRtMJ4ERjHmHWbVUzsY4Eh35eOIC66FujdVXBUVE7jBeGuH
Pd7KVCQj9NG32lOVm7lQn6L0NvUx9kU5EM8FoWiDp42BKga6PKcbuoxF1y8mOFXjrB8dPZMyx8pe
Lrs57zRtbTDLAo9N2/QWbCzZzx70DNaPSNTO4S4D4x7gkYFjnAkoL6Ee10pHQA2Lp+nRXs3hJtYX
1b28kPMHORwB1RdIPuO8Kmc4qnHsqigpUcYkcWbfSmbe4mZRstIdpMHeQ8g8fh9nU/8SD5Lp6El9
n6a5qFTNXSpgFXhkYH4dY+ynX6wpYiVtMyx1UE0/mxSvVQWoQ5EF5ntlHQ7Z3IM6r8Swrq3toH/t
CDaSF5bQu/xnEcw5rvJa7ZWWut21rF9lpvch3+QVbvHWDG6FE/aw+mBXAovIZcuitTHxMDWz3gbX
WeG2ZlE4wFQdGlt7vWyD5mhsWN8ujskVLXuZB6XC4rIO6sxWpN2vsw0YrwlAUfGjxThvlIvScO4Z
A78dOoioiqH8eeoVY622MyZqQM+TfoqH+2X+FIqYy3jPJQh5/2OCeQVmllmiNQLHk9Tmc5oMz6uR
AZGqOQNYt9RKRILCe1ggdUPgtQGVwvXI5BZDPzSK1kslIIXNbXHsr9AHvZZ2YBn3DEHjguOOJ6aY
9CLV2hEUrAbccQbLbhY6xowJsslRAW697BvCVTHHFyBlwyhMFJKsm8knfrOT7/Wd7BXQGvrj7ggB
lILC5MGBCZwk+2zv5TkDYzo4XvPpiWS7Mb4zRTSlKsfvkPhqGp7PiImEBdaNkVWvFVkgtlWTF2Mg
I1iBZ+TZFUqCw1p03lBWkmtIrQ1yR0v3iYYGs6LG4N1am8dQW2snU5bkKFeJEshFe1805HEuaxOE
BNCy0Ej/3GZq8kmxkshpQlI/FaOeO3lUzZ2TdZjxy1a7nZ0RnHRP/TJUTjcP0ne5NEo70Pr5rbDz
9jCakvwzsXsiIEnhrR7KhsCdA/cK4hnmpBuVFkMaHZ2UWo+uWhzqotZv50X2LzsNJ2hRAcV/zDCH
uyujbJB7HU9sYBJzJDqZSDONdwC2FpizvSwNZIwMLGTSr1q8orUYx3yFWGwn8H/BjllMP1e1EDzm
DsyV5Wz4KKpeqUBbmrII0C4yw8SOts5ajK1jx2Zp9hvpypy/26OohinYNHZcqJlUNQHPMFj6yOtC
dGdYFDcG16eJQH/ZAUTLYYKGEpFES+wQmpD1+2ofTAr5MQQ3IyfJ3TqZRZ1w81IAoyIUihO8LeXk
xlKujC5z1NpbmjgIx2ONLpKWCoB0olXRf99YzFugipYF8SlaD8rojulTOx0ubxznzjpZFP2EGxOm
LGlt2uJlnjbJLq/G65C0fmPPO5KnD6We7C6bE62IiQfVvBi9TBp06cCm3UmqJ5HKsQwRm4rI8Zh4
kKWGtUhAL7l9kT6mylNfp1cgpAarSi5YEE/M5WQDmcDQZ4kMjS6JUrxNP2VQrfXEkeELfnqHm9JZ
Emd6hw6hvQPHIUhZu70KGEgUiNI2wcayyE5ZWssJ2TVcZU78Sk0Olpz7aSgCkPICrWrgnYxmC8YA
WRjWqtZ504UTTjQu/0q6Le1JEP94n25rgTllcrzE8YRwCyxxCaz5gw5+yFb/3IoqGDw7qOdZgNlD
LhnaV4zjKzFGvTvUEZPqVsk+Az9mKfeZITjBvP3aWmEcsUlWxVRy1NgKpfG7dbzuIxFRnWghjANW
2mBZaYrGirZEQZ1X+7qHFmRl3hBVVF7jrkZDvYcYqGOf5UtaZjVlnmD8MyexG6LsmmuCGMsr4EHG
4R8THw/MTTzqlrBclRBBFqlz7wGJ/yHC8Z/3/b9Rl+auCczNlBEP8w8s6m7MrEkKSw2wOkhEyOXP
ulWDyzGPm9FCdhns2ujbAIXDfCEl7nqM4K8oU4SNQ5S7UlFcY/D02ZfUr/MMLtLsahjfJxG3MW9p
G7ss+WlvTk2qRtRu+61TnxpF0A/nxRwq64bOBopnNktDnSZJPPRZBumSVndKdJW1FHT4ggDLc++t
EeYEhX0npZCuxm1BnmMJUdztjGtFevyLbwR6ddo5pEwgrBuko6Wag5rB725mD5jSq+wG4+jQbCJX
Iio/Xo3O2thi8ZY5RPeKdMDtZMZOeW0d27vYm01n3UXPQzB5GC90krtwFaRIXDekzVc85NClRKf8
NOJVddyNZt7h7t1R0Q5gz3YlBM5SB7TsggLJOSIEL6utLearacnQ1zYpcAEHGgVsucCx3tB+Xg68
9/raY4gvErYr+Ru7WSFz0Jolm6EIjAdxepj8yfLUvfSIuS0X0xrdYbhrAtmRPEU4H0CTS6acsV0s
O4RaKdlYJTly6fBH57eQosg962DEKEnOvrH/K+7kE3tM7t7LMdQAVlwqcRnuFns6tN1jpR+K8fXy
oeCd781HZBWG16KH5tcEO3YFxcYU4upGoh/WyhYR8YgMMdl7WMgaJevH0FuTOWMHprXC2g+laOaK
a2bzSmTMmCPFlld4juS2EYz2+GOuCWbpRHTGvIi1fSrSsLy5wso8lks0wTIX5dhvpFCdWI3wNLeH
XVSHfwq+pOdssyS65I0tq4irDigRhODlVoVoR1y9qtbbZTegZ/XMvTc26Ho3Nqo0NSQ7QtwY+/Rt
yWUPww4Ong37tUCpYoxWLxayg3KPMnpmGsXKUt4OZmFhbQ6ggMLdMiHZcMr73ENqe5ODciLQ3cJL
b+gUsKjWz80+wCqsULkqsBez5Qowx8WaJJmIzE9AH2cgs498qCx4pglZ4cwTq13TmMvu7dYgEyfL
pVsyKJbQvtC8t/sDsg8n7n+SBOw0SnD5O/LcX6cjWWgCmNBjZdy/mU0AHooWrxLpnvL9zCB4bwSB
n2sDzFIyOibQ0WOrXZnVkgnCPHgjF7uIHGQJJabD5WXwXUNHLQloWVTuLOYeq9vSLiCSRtnCZXf1
zH11VK4iv3ekL80hcmMfSb2owcVdF2AcGDbGRDWkV0/PQEimLMlk4CqWQXVmEJI10o0sIrTiNXHR
aPpthamyGqsuWSNFilg39YH46x7DEZCiwB39L0beRUti3KFQWs1CTM/cRtW+6wCaFVrROlpm+ILv
Rf/QmY9vVsXEw1FOjWVIYKjz++quH1yaffR77Wm2n6QHOvylCxLT/8dFfm8kXfsmZLX4ff1KYTCS
iezDDFIvPJRPIAx1Yh04ROJp4FESTe5x0+3NOpk4aehSOqxUa2CpZX2fNvXgpUX47fJuiowwzp/I
s1ITlIwx/hV+jU299/Hw+HNvR6/TBrEuaNOBDGGDb50skb6Y0O5arFtiXcfSvSYqDdJU7NQpTk0w
mzUUXWUvKkwMbeJZtZ/qvjXvtVV1J+NYpS9h+HB54zix/dQis3Poe1rZ0lFQf1Afsn3qxV7jZYfQ
0TFDEAl7C5zDfGqPCe3aWMxLrFd4r/jaQhks9mAYXNxffA+DM4t8/vwqAWgOV5ehWB/8p0yIGjRt
HcFggQn+ne1owHQ2X2kISXbjcVx8eweE/870UKUSYRLPXfLUMBO1hnww9HXFp+yUh7X+FIogXzxX
2S6MDVTDXIBZA38/PUR7BXivKaB69aKC0Hmac7oMJkxNhWGFywQzKl7MzewT6yWtvXT2VdkXFm04
EQrWIJJA9bygdsRelKEN8Iy+4GvpzgSF085pKc1b5qZfP7Q8PpSjjMfLR4C7kb9tsjM0mIhdm2iA
zVFxVowdtdLnQQfx5WMkv/elj/z+sr3zG4auEXADEE4C/sQCHwFhrmc117CbebyLQMCX70Dstbts
hIMJgceDFwAANhvFPHYnVWC+FX1Fuj25A7SJO6cunWKXuIaD11eQ07FV0bAJ3ybQbLT4gZoRC1bV
ZjVEffnD5gxKyNidGz/EbCEVqJ0B1oNQrEhXg3fK0Ej8xyQTTlrLlkKNwGSXHnL5UY7/uFNHA4cG
BA/ml3XAh06vzKmraxP4fbxa2vR6HZXDLI37VDcFCSLX8fGRKCE/dNPOtFoTVa76ATNBro0h08r5
NSBZXnVe8ayCceNIAUryXtHdy27C3T4AzzGCBLW2M1mSlUzoQs5gcUni5CnDqFo0DoL8mmOC1o6g
oIe8FLBNJgD31jqWY1zlblw7ihn5azUIUilOiCcKxhs+ZABBTM98oz6JAFiOS+hwqwlG2nUnXzJH
TzMvS/yaPP3xjhEQ0iPfNTDed1YuKhQS5w0Yf6GRk18vTbEHYehf7NjWBOPTiaTIICIDkRQxwKxR
fK9EXVuet50sgtmxcJT1ZVmL3A1fup9Ki4mUPJB8++sY+pSRgjjFE8aSRHVyTuCDVcyKgITUAHMs
c2OlujpKpVLDE6yw/aKX4VOdGOOBEv+Koh/9U0wedWKKvbVyuZxze0ZqC+01xZkaZwSIBuwDzaEK
7M8t8N4Ck1wnxKgiSqUGOsSs9IIEwngjAjkeaKcP+vAwrT4o35xcrZw6fb/sgtx93Jhik0SgCiJj
hr+r9j5d7ibJM1TBaniHVtmYoKvdvBR0Ja60OYGD1J0y7OupXMFZV/6FJh8KKBRpDYINxFb27R2t
epXZNUhK0AWvXn+N9feFU1yri2MENP8UEUnx9w51ZkptjcEUJho1oY7JsxkLi5U1iKf8mCrZp8ps
BftHP8GZ/2m/zTDJ35iFnQ3VcrCHJOXOWP2wA8GgPgJPLchvuevBxDTGoSjxHZtMLEmcRYBiFm6V
rCgSJkPmLZN6V9Vq7l72Oq5LbCwxXjcvazW1BnYuAbE6blwns1Tvsgnurm1MMF6nlWtsgeKlcOs8
vpuyLHmojdC+wbCm4s7q9HrZmmjrmDCbm01jtxliRDe+RARV6RVKYKsgueS9rwhGTNEXRLXuXDeg
UyLL7EF+iPcOhqR/dRjC/fRm3M1+5SXCjjf3M23s0X/fnFxtTJU06arCtcPcMYdXEh4ubxv9CGeu
jQEh9O1o4sBmRHkt93Y+Q2RsVV77xCvIU9w/6nVQ2AJv4KWTSBgIUmV0VuEWjDvEY4vid4qtK4Dz
xIAy6rguBmj92Z0GVwfVnNv/i/kn7vo2Vhm3wDlLwxkkp64M3sOmf4/Cm17+kmbHRVgColHgbCtN
yMLhxpDPUekSGePSwIiF26suzfhiz3qezF3nUZrKcjeH+8ufjnu+NvaYI9xF9TzoGTZ0tSe3nqNj
JHtqUTurLEhnuU64McR8OYgXr4XW0VgRhzemkXutVgq8Q2SC+Uz5UKuFVIH5BkKMq1cXrb0bSBoJ
rPw/Pvj7EzGZkjwVWT7a+ESNvwZQjd0t00Pyn6e2BQ3lzFWnv5AUxrVo2mB4hmTQ+dxAppqhJUdZ
7mLU0ImWh3X50ky7y77AjX4bG3R/N3GiS5oGCBAkY+MiH7F7QZKj0RS+XbbCP0y/V0J/xcZK0+N+
ShZsX5pA5UatgG02k+42lq01sCaje27lrn65bJOb3UJPHdUDWkFAbf/UqNqPVj4rTU7BEnhwLDrI
bihXCsYmrbsCIFN0kmluoX6/bJi3pQRVcMQqyCJAxuLUbjWndR22sNu3w/q0mHrqTGEc3xNJEmwr
1xJwozLGJ/E8ZfOmKdR7aSD4eEv/QuInjbih9PXyYnhfDhwflOkZrxw44uliEpL3aRV1kEaT78ty
P3f7YdkZ/VsmC25IkSHmIMtzvSRlTPmd7OOqX+eKZ0ueDJSzsJ/KtwQWT8wamec0M0kSgogefLYu
JN8czTim+nuumk5HD1kZXN4+XniihKH/tcWEWrkeZz2NsKq0+DI2FTSt/xhCRaE5vw0w3wdcqHmS
pNAjiroEkNuvff7Hc5CnBtjvMlpToxLc8zMQt8vy2VR6R24s1zBeL28VDaHsLQiQEai2DMBycF5P
PW1Wl34wSY+UvLmJ+ruYgIME6ua9VyJhkiyvqv3LBrmnR0c5R0WbDAwgTEyHGAE4XaMFsxwScRv0
FIfpdi1FpRX6hc+WBUoEBALw/yAFPF1WLndQPO6wf5AIvot1qGeY6b4Gjs+1k1mQk3G8DVNmNkbR
Ma+H4hvjDLqS9KZUzImrm4uj906kEefynvEuQmCAoNCDiiIehuz7tq+zMcrnCCLYqMum4a5GnvJS
7FqfBFC0tTqvjAKyF72qee0CsO5iqB/5JmQN2cE9DYrEqd3ifZNrvnEsfBCHO70M6IpLS/fL/i+U
I0BlAVpE0BYSE30etsuzZEXbaAZ9FviLP39XnGqX7OjgXjIAJiMCqPLeByfmmEDRpb3WdDYCRest
i7New54bekMQG2hwFh66QIJ3HCcKnhhkfGUYQnmWelzJeQTJF90bNdnRqsVrs9cVIisCt6FezpwC
Hd8ONzFUwDEvzqQZbQXOuSYEqGtyV0g6dTvpNjlIu/FGXArmHLgTU/TYb3INNZPKQY1RxzfC6z59
ied7gjhvTn+MLUGY2qyI+WBx00mh0qOJ2q9PVfSzG97kRYSdEi2F+UbKWrUahokp3bXlKMYxIj9U
6XZM/nw+gIZcAiJL4AUQCukDZbNlWRmX0RpKmTvIo2OpjhHd19Pnyy7AibYnNpjwnkAAXrVSEI6W
eefpZL7uQGRhFtLufzPDOFqmkKEBwRomyluntRLoDjoGKIovG+GlllgMogKaU2grfow1bTYszoel
Jya4YaisjIT3aP20vAw/aGOFkn0a0DSIHREykr+Dv40yHkfsvq3NFEV6tXer/GrqP1uTCGtGb/Oz
c7pZGONx1iQbva6gpti2cZDJ5T6SyutKrvxmmj5BW3Ffas+X91K0Kia/MGqrDhsM17hyZzptS5yl
f2s0QZbEuz9OPhhz1wOzvUptjgoj/WAyIIjhve5rzodcuSsJlsS7JLfWWMijXpXT2GcptYaWffeV
kmtKLnyjcuafWgAAayACZ/G2UYHwpQEIE6YeP+CtG49sOt2Y5gxRT45mxyi+2tUVWM0ufyoORhZE
dRsjTJywrRI13AJGlmO4K/xqV+6rA6hC/wXJIM8Rt6aYcGHVpp5INkIfkHVN9Gwto4OVO6GJkQfg
9/eCldFfzvo9shnknYYJfJbJeKE6ZWMXjfB7SlGM4W+kF9aT9SGnkXiroFhLY9AlY4wz1nYUpVVP
C/f15MTtpxAlusvrEVhgx+TG0sihU46HoVqOTkvu2u7lsgHugUKaCRVjIPahecUEikkCLYpOEgSK
twWQJXUfespt+ERpZiIhzQzvHqS4PKRkaGajp3x6P41GW3Ux+hCu1T8mQKjqzWtcPhadYIz3nBgX
b/atHcYLkqFe2ilBhLVyvzyYQfQgPSp7CoyCm9MpJQtwmNadnP1fYIpOLDMuoVhW1CgdLOvkNQE/
aANsJXQmLn80XoygQ/N4GGDUAowTp9topYtegIstdzUjL57WfIB8Xm+TB6mE4cumeA64NcW8emxV
GSZM06Js0Kb3RSz7bSoJTPCcYmuCCUZVKKlSadCmkXZFgJ0wHmZlD/W/ywvhOvrWDBOIMChctkBH
Fa7Uu+GD5uYeBb2mkzf7+r/gSqOuzMaGrTm6sZs4Xo4WprsGrEpt90T/XOMWVr1ieJvHvwl5W0vU
WzaW7Njs08Si7eWHyQdD5E59tG9WV/YwfBCIetki12Nyl1q30xnAVLQjUIwLp8xfiLnLC9GaRG7H
BArQetUyoEMotyROfm08FLd1EAcQNM5zR3Htn2JcFPeu324jEzNMyZjMEY2Cj8wi/Ele1v3oSK9a
5I0+FcGprqy/gFIAFYUxQzxOdR1ENqdfbhnSqZEK1HyGLn8cxr5y1DZ6/Cu//22EcY9Im6xQmT8y
pvYawCE3fkp2DZQTK2/59jfZy3ZFjHuQSVnU2MCNGFURJEVWZ1H3reZdXhIvYGio96GOQJkIdSYm
aam0ZkaGL9UML6kROVHUQ5vxcSSCrgfP17d2mMC0trbZyBY6veYY4ct8m5K7bHi9vBZuWNoaYcLS
gN6UlOTokc6BEhR+HKygwD+OLqVuX/atMAzyTtbWHuNzuVEuaWMjDLae/j57ktPtLOTSuqtCCRWx
kAKVG/Phf1wl44SatOp2X9LW3+L8koIeQW0NIjaaZ0h/UxPB2O5vD2Hc0ArrrJ8oKsDKfs5r61QQ
sytI5NjG4tmlAFLGjRwo18EXAZrHhCXjj3ZpzF1UwtrkasfutsTFYt7Kd+YR/WDPPIjfCNxviNKd
rWJmxDLZIgxGzsylTnHK5r5xGvU2VwXfi+v5GwPM54olMpdrgZixzKU3LM+TAu6ONbjsFLwbEiQ1
qEFCvAS0+ownpjNNPCtsW6YHepw7un5XGw9lkoKdT6QSx5nUA2Hpxhi7okWtMZOMiurQOmMe9Nex
C37jQPeXu+EdQoKYXY/39c68zz5dXiV3K0E/CPwrehSgajqN8XkeGqlJsJVpv0vWl6z8PE2CZwg3
Hv42YTDp4JDKCZEruENqO6Pqx+mduh4k6cflhfCtIHmnxWIVU+OnC1GyyP6ldrQC9eUk0Zx7BqS8
ZgzwGKUh0qOjty2bPmHA5h9rTFhck6bKWh1X4yLXQW3M90mZfmmhpl024d4crR2RExF7HT8Wb4wy
HimvICEZTWyktlOD0qt2aedKL1SPCOJ7e6H8r2iNjE+maVwXBCfAzdfZSf+Psy9bjtvWov0iVnEe
Xjn0oJbUmmXpBWVZNgCOAEEAJL7+rj734SSOKr73VCqppOyY6iawh7XXXgsSUcP2Hs9ByThmmgAd
Jv0nLaUvAweuAQwgEK9AYvn7O9QJxD18gWST2cfJ4+WW/yFwfB0LY8zjIlxreMn8Fgv9aCWJ3yFn
wjUDFeJ/mq8r11ZlqEv/G4OQKKzG/9TuffmxEHsBfV7GP78fTS7GKV86vDd7lXxzNcykqkvjH2Pu
VKG2B035T6D7l68uhdhRho4O7kG/3WoMiegSLWCNel5x1WP+w2cIOKxrtzPB/BhbryI9O/z7Bfw6
hv33ob+jUbMsMq0vHUz3ctFoBcXztltBp19KbP5ihfuQP7BGn+I/fL1ffrt/eexvr1Sqhc6Godya
rLpVTJ0XEJr//aN9GSRh3olaDsgNzAL/fi6xlOAXi+VQAQfoFYUOu3vf9fa/BLD/PuT3r6/bvCnn
FxKLmd7ggVgmAeiIy3n40zjyy7z2l+f89n0BYwH8YPB9GYdJmg279z6xdx0FgJjA+tAtfzgXX74f
8EouEqUReMy/fXncZPAHwB4OyuGhVBc/x/d/fzt/eMDvYhXJBovSSKJ4C7Ku9MKzr/8wmv468P73
I/wOeg7JEIwFwckuHjecbN4sH1mTlv1tvtsO7u3fP86XT4MxBbhuOYjy/zABjVtAh9llEp7euN2l
Yeb77vpCP/uPcdEfcIevjnaCQJHH+OufRp8k8swYaJy6tG/66FnF11hL+fcP9NWBS0JUnjH8RFFo
XH79LwAAnQYBJ2Y7VOkk+1pu8TlBBV9YAB1sDE6++hPu+fUDwYrxIfiNAu63xCXisOetQnfOVVpj
kAG4/xRB9TX0vsd/Yt5++awoTEHDgSvZP9YNZj4LSVIMgLpZV4w3KBvLCAIjHn9J/mQjcbkpvxcd
l4YcLA8Mz/6hw5vTdKTxBOaCs30Du7By5P2jjPWpH/PSE/IQdfTa8vUPQ42vKiv0KiC4h3h7KLv/
/v4UhgHSaYC88Urph8v68ACZWZCNTGsPbpr+h7b2r4+7/Dh/OS4icG2sCWgzsCaoYTRRBnh1xvvT
JPzLg/+XT/XbqezGhQ18QRjUeZ1o2QAJiNyf8vCXp+MvD/mtoBk8m9IuTHmVkfeB3zM4CoV+vbGn
je7//ZJ9+XGgn/gf+d8Q0ePv31oQszTmHcbsSVJUfGt3W/eWKV3//z8FNB0MfrDOmmEB5u9PwWBd
L5CgRCB0SPDmZy9+cLv792d8Ec4hz3xZWYNHRJL9g/lhx41Eoccrgmvk97eT+19Ahr894rcjJvuM
geXhLlhaq/f/10sU4kbZBiLE2sAvci3pbvvTPspX3IsUvs4Xwwi04sCH/v7tZam3BgPglGoEOfA/
+9D5W9JMGgtr4EP8P3CLv/gqwQaCT+ll2gQyy2+va5k9P/CVgQ4wlHu4TEoU8v/+sr4aZVwogVj9
Q1Ud/IOeDf3rBRA8/nizW+rthcWVKvud+1gOEsCkPMZnfd19G3agP/6JtYDs8UVowrOxwwYnE6Sv
3yP9FiomfNvDZgSsX+hNevl3HimRlhn26DjkLtMlBtlOZrXZ9HIaR/9z0Z1fS54+BVuC/ZzCP7XD
lvhY4NIfY9yF5aT8cd8uwbZTRrUVNdM5SuKtJmn3MOru3ePJvc7lWgrqtmrrMVKO8yGpMt5ytJuD
PALC0mupA/ZNqza/M/kQvvIpHEpxMeojee/VnVsEhrRcswrEyoufuGAn3Lru2ONDtDUSQFc6TPAq
f+XPgWnNrsW49yLa6VdbsMq6n+F9sGBxvA5j55fyUp6KVd4XxeJfjWGOdrvFHwwM42m0ypQhI7ae
dD7XPgPbSKLgq50e1z2iOuadiuAnSfSzLyi97vPAfERx/1iEooU8hWRltibzoWdsKose3L/Nt9lO
L8F5m4b0V14MOFvd4JV9puO3KHOinguN2Sab/Jowm8kSSsMLuAqkLSpYw/Ba0Cn/NZP1riP6Gecz
3M/56pdWp7Se+cp23px7jTFzVC9rYUsrkmfIPtAdQp1fYoZaHJzwhqAmjqOJGlVfcwpUawjHKlDJ
6xqSeJ+ZDFapPDalDOBI3EnbwTaoHVSpWXz27Poa88k/aizfNeilhrOVc7Zb+TaAzOOeJ0GGU86N
KZmbosc+lqzpZiwjr87oesj6oeww6NqPsb2nc3aziMTeuFHSG9LD7S/gbrpTadbhRMQ/Z0fl2RYR
KYmDHAde5FjqJB13ElyIQx7aoZQDdQ1f0m7vdWDwjQ6SZAUDV2YAs/phWeRUpxgqf25bSPfYqZMP
Kh1zrOyP7jHSyVgmKsZU1KNTKRdHqoDExRtzY9gMiNpNftmpHrd1hu5tNx+gXAu5sHjr8j3BHkwZ
aP1Li8k/4Op829DMnaSef4gsBuWkSB5kAck532UCtU33GQ+9qOGp4N35jPz0Edmgv23mVy9k0MRN
FJCXdYsak0wQg++ypRrjRFYLnLBOwm1hCWk7dgi1gRTbmkwHWBLpAxbnu3pJIJgHrd4C5h5Fb5+9
JPq0pNjqbvTW2licxTQyCSDhjUHV3Omm9TNTxeh460UCCOwdXOmNpUWTtzHQW8Oe5dx9iM7Jak6g
xahEHzZ9IUKgavkr6rpwN0es368QCIaiTiKOXC1J5fw1vQmHEFMCJge7pyaXIJGTpNZWQPI3Su9w
4uHlnicUtE5Yqi4pbw9860+6CNYqAeGtgX9hUq7FiIVyt3g32mT5lZGjurKgIB6Kbmmrfgnjihbs
etT6acW4rOkXQBFREj3YqO2PI/WHA8H7iMpcZu0Z1EuvniKfl0oQ/84F7ViO+NH3FlzjmnexPeYz
WQ5MBbqRPdQhwzE6dnGyvi+r+WCM2xdNCMFGPdpzn8rheppoWMuRZ82QhqqGc7h7K+BYf2uLnH8z
Y/iZadLdLW0QNggQw11GxuLI4QR/lKH9NSCCPNCE3PIA7V2fjJBztB1dqplG8JnuXQ8rNmAyZU6i
tPRHpfdYcnZNqm18ZdaLm++Mq5+SvriO6TzsBAvIm1fky8lGeQjJTh7Q3dr1RRn4MyuTcXxMDTUn
psPhZh2WvCJCihNx6/JA1+Cht2PfBIuS36xts8obc3ae02TYe5COrYvEkLIIIH3fqkiXm4D+PaFb
GVPxIFv6NjkNX2zcuDIU7GdLUnwt87SWK1vHY9CFsm59NhxMvHog5c1vXiKeHB26HRZ12REm5X6d
G2mOxvofnATiyqHeuDa9DHZeMeunCbZmR2HAmaWblOU2+l2pvCw9Oq/10PITXk9L9BlxSBN2RbtU
q511KXQv69EtxXtsETlQFQUw+wS5+I1EOkSayhziZjTXxZz792pMptLpMEIWXjvzoguuZiwqz1mV
g3Z5G3X5NXRJU1zQDma8siBl74LvvhvMtcxUfuwCvt7ikZ+u7cddbKw5+5J7J49heTFefSz5byo5
O8GDFJKa6YFY5Q1lPrTbbkipKJdOYTMaloSspDYZH9J1u0u9yf0yMdiSlGLJpUSd+o3MbXz0sMhQ
02K404wn+xRc9teRtbyZYdl07aUJXJqMwR+c+11lZhtcbRFGT7YVXckjk1VyEee5S4czyQ3chaNx
+JFOkOv3DMCaLCDmurNqAVhL+l0LvZZTD5fn0jmDptAhRsaMR1eLp8KyhXIdrGCDWF/7K/X2m7eK
nU1ZjwmNV9g7+DqQva817DVI+LPLqCw5ljRKYkx4FYlY3GxSvcJkB0ZW42DBXfbd1GTBYq9aKvqb
UWWy8hJPxbXNXXFgbAYYR7h15YSc+iNckqzyU/KJrA6t+oS10U88HPG+n72pVkKHT3aZ6X4Z1VAi
IQVNXoi2HiDXesg8EJWF2YAhDfDuknzaKnySn1vQPmbQdqugJkoOucn4VWxGWaqQv1NkHqTznD5R
kU8/1mG9jCAwioC4ksYVyIb0elu7l1YND+gR6RVafHqVp8v6QCIRHFAjzSi3FtlYyoJbmPJNzdSR
4IDah1aJMbJq+4wfnJPteRxh+dPJFC/AzwlOBunSX2LFoXDaHtpC4fQJ70k6Z0/w/zOyKXSsf1ns
3FexklGD/0k2I9qqo5nli2wHup/Zat4zmQ6lSWIJk6016V6AxZI71Qa3EOaLDpRk8uRvEGjrkwH6
ENE8lwGBUFukkKOonl4gxK1LqZObYmGvftJmJU9IfhijUNxoFV281/K2we3tns063dDeZpiKD6SB
cXBYBYa8UekQ8MSc32Gl76qb8/Y21Eqe+m7I3pkx+f3QDqkulYvUbZxJFKmzV8RQCIZTTMl96e0v
GfMqyZW3NIkP/ct+jp/gI8MP85B3n3SesD9gvbxoIulNpjSB/aAbTuvoMADORDFVg9MQE7F+C1PL
yDbpuBRXm879XWv7qOmUtrXfFSyHOgeqAJNIKLQvKmqfeg98zHKAPF7t1oncpdjZh2CIJ+5hKrMe
J+gowfk5VdAIIMEun8S08wk8FUZ4Jh6XgraNjRayWxntAPC1wf0MBOYYDBt7UWx4VkA1aohzq5cc
v/kIypgHGK1gTxZb7OViWvc0zd2T7QZ/P1uq34rIAIfCB0kOSTy0dU+8+OSybLijgxfsscMflQ49
1rHzov5zDanb863QSAE0cWVn1xsWjg+YNJBS6Tz5AdlprD122PHB2lSPDyrVbegU7HlwQKadxUSi
cimxpTQDKgHjmarYGEYQJBntr3llkCsa/AyO2zP+Wfmsx8h9mLdqHBXZ+ZonV9isux2gje9Vg8yj
u7ifxFZTwvCMYLLuJZTsI7lQlURob3DN+wOW+2+CrCcIluvAh3oMHDKTxZgH0nrKBnCbtGRfdH6w
C/spOEwmIA9mwP2EsmG+961xb7Rbzjhij4lW07d09VEw0Um/RCFrYSxsxp2f0WgXF6Y/esEmyiJh
7CmH19JODkN/6hIaLWWyxg8+ZeKYSbs+OhH0TwE8Ss9oSO7RwQT7dYE6g54i7/JNQeO4wBYLIrj6
YdJW3eQJS4Kytat3tbE+fFoKZm8Xh5uKv+8LAUVkEEzMDqoZrMy9tbhr55jtejMF2LzSnxkoQodU
bMurD3IuxSwmQylLl/Zmoa1C3M3Ewc7jfAD6QFBPoGwZZaRu1nwLoWPW0WTXcRnWg5Pbq5f05HmQ
lg2nMcbbqzeaBjeLSSBuUfgCrf26GWwYyXmuuY1d42Yq6qm99AcT6vRb029+0KitnXRZyBHxKp+L
m0xRbxe6lZxmu9B6ovECd7+U1EIUP+CNtSDc+3ODsGrvM5ueU7tML16bGrhIOPlhlrC716uFUHew
xvwYuJXd+nKb39sCD7aKO3SrypwDhbCOSnw6ogOEkyXx2wfaYqu/EIuqvRS2waaP/BukjOSNZGjt
ylQImLhkcJrwSt4Ot/nqIGy1SairCUUqoRXf5bygD8Eo5n0SpBlCHZ3t9eqFCj2dCK6HkfK3hGro
9uXxDlu7j23R3lvfQbItlo9uTtlumzk0VXV3F5n8VhbRh4n0g6Tpa95HCqKaMpd1zLfoBgyE7SfC
c4sES0NolK8tqqxY5ZcWOXjxl8ucdB2VD8xZzW9Dka+nyXYPgicqq+GwgY2iMZssUAvjHvKsix4Q
3NDwpNO8a4u4exHq0hNpo64ImrnS6JagVKBoCtBt7cdte+TF8IN4TpXUSyX+Eb6sswRLfwjQcdgk
fIeuJfq+fsn22rRR5YuUv0Yef3ZiYK8tJNEa1vv9o/HgOa49xA22iufYIZmEaZ9+6piYFQ26xvYl
lEYP28rOy0Z4ZYWJ9qIb5K2TWVIVgYRFi+6SGvtGcVCmGjm/l1D3j1F7HkWAvoMra48JC52pqNe/
b7O/gWKQfEYq/gn/7LeAzMGOjP5SKnSx9xnTvDFziJ9pyzCGHbNQValFxe9L6Czla4oxe4HTqlev
PRZ4JWg/iY+KUdKyYzMyEjUIOSpKr3MD5AahRd7k0RodR0SDOwldJYg4jTmpI4maweocBITBxMiZ
ceLBLajT71kBUwz8N2WnFXoqNyOL6omJx5Bn7qiAjhx1y/j3cQuXQ2H1SEthJ460uMZHLIBMTwWK
2BNtmf8ry1t3TKbCv5rBgkD67kQ1Bx7fFy0NwU3sxjrly3wfxSrdKeeZ/RZ62JMHr+DA5AxWGu4h
aiiJpmxsXYx9rTAHNV3ts2KUz/Fkf3hUzd/SFlpfJWypZjQi08TqbBAT6COMzudCoOaF5GeUfE7I
n9cLK4rGrTyqTRbrH8aZ7yzy2CtCVogA7g9bWLUQ5qmz2X12a64arEXClR72pVCZfSZZdEpj36s2
7O1gcRwmW1m8GzUWx9fsfjE5+izURjGps0nf9xmBNceZ5tcCRzRxJ8rvVJaUbZHu2VZDs/7Wkq4s
unyXkLXy4qgE8+Ywh+LWU+iGscAols/Jxk3WX9H+3gVF09ulXORz1127+DVikOOCokE8ec0iHaxZ
wptI9XuChJS7Wwt+bjx7O7dun8Iba06GX4xsmCZwqFQUU4nFyG8rXnBMINjrtfWcpaSaRvIrpe2V
ENMB4l+VHeaTCQGj+PeeEp+B+Yy9qARHoBniRzvCQChpD5nFSp1fVNv8HAjaKEkqFg1nbMYdoezZ
oOQ9s3Y5QCC1VnF6h0WecpLTMe62fYzbY7hC77FftjP8zcoIUvG5d7RUlT7MpsWB652JIW2dQrW4
jtb+eZhdaWLQqcl0sMVxzOfjEL3q2D9wa/YKzTeeUvYaaV5mrxTj0G4xez9Ap8BfkMWPWVJcT0Va
27hD1DgJhEG7xkAN73W0HBbxYpRF1b+U82qORM8PwRSWXhABb8pehhwWf7HaUZtWc3jlcbdPi7ER
49iVorhLi6ic3XRMRrHTg8bHMad4mU96qLNkQHod3lQR490WOfRP4DWcRvQjl7SyJtyzcDsViTj1
Bk0ACtksm57lWjzQDgCjD3Wb7Sp3291qX/B174RFQUhnZHCI3WwoH+KrHNyVgVwiQiz2qRbnQHhg
C6wvQYQOieCum/hqimSFbYiDdeF+xXGjpm1yFd7qYLt263tXAGjtG9P5r9Esapp4BxE+ZYEos2ja
J8m3dICN6SRv2vU7Tc4UEcTL3JN19C4HwLK2Qbl5BJ7tn76PIE0A1XZ4d/ilSelm1t/49DmTPWXq
zQHcWjuY1vDYr12659FWrTpv0uHKGaB5SuIemHsepqWcHiB+0SS4+wnghy7bdqjUYfYpGgf9BngA
HGx4M8MYWoTJPoITpMseJCmaefLLAd0wnX6twPL0HmbIJUUagw7wKY3eUHlfzag6prHyUCeP/tpY
zI/4+EKKlxmOhEVrSz6g4lxQ/ph7RcO7xJsrQ2SV8vseGgQZS4EEb3s6ktLLI+yCL8hj8007ux3K
qd26Ze/dED6RzkfHP+saCXCRrN6Q0Ud6l9n71MLQnXa7IUbGf5pWU6f2erO2Gjr8cGCPAzdTElk3
jUqzoMfYdtFyx5BSF2x/uPaUrI9L/4zuu85VXi+ow4ECdJEPtOC8+d9REHn0h98fc/V9607jdmfY
9wEA8zAh6b/oBZxttJabkfsMGaDNP70NKo3hG6dJyTB3ghlBs435Llvnh9GEHxzOwHBi4WNjHBD6
rX0Wy0EB/CsCB9RiPa4QZ9/ot6jPkbtuuvHaKjQ3AgGJUHULk9j9Mq8NU5moExLXfMOv2im8Caar
ZbRB6SVnrc4tlR/L0gM/zuHX65qsTRuek5PPtStXtewJfquIwqvWmOPo5feTns6cxM8SroFzMt8U
HN4+hIavl3g6muJ1nTABSqjadX0AVneEO1Qw1oTZWs3o67EH9bjlpy7cboRnd7Bn+EWpP1Z0ILcF
uF+XtSzlL5UmFnm1q10YlT00ZuqiEC9dkh/U4EoHVlXaX4LUuAO/YIdebb/I+RCH8y5ZgIS4zNaa
54fQPrI1PwZqblaZYqU7qlcKI0zY3PAVugx+i/LRvxJqxW70fLLe9MSSuZ62pUTyrR0Lypyv13RG
/pjNrohJw6e40jbdz9CiXhDVp3y65gDbWvyZGWx7DQZVsgtOHjEHz4sqERQVs8kZQ+fbNYqvY/aD
B+6M9UpEoDs2j1dpSg+JfPSWqyB/Ihz+T7dGPDH+UQCi7KNzkT1QiX/LHSIQqWT0atRhLeqA3FKY
D9IT96fdxosb1e23MTz1JK7mfmxm+971UwPO2XGQuw6LbdjSp5+zHE8mv7YAfkkhji37JufXDm4H
jL0a4dVZm9+H1O59vgIKeaRReM3d+dKvtwOEQbrPnnoHi+YIxzOA2o9TbwXGO/7LFm/7BWrgcaLr
jMMiJBXAzr2GMVOm8JssOnvylu4qCGGHAfHEdEIMi8A53PkcSoDgLmuYYCd3rL++qAuM+jUIvlu4
VGdvExmR2ZLnSdlmEC4rp/kzQ0nRCrzQ1lyDtlUv22ucWkwWUICPlQAytbUfCrFoYD8Abr+P7qNb
BGxfitJF2dECw4zGFTfdP06rKFM/BFC81V7HqpGd14Bd5X5bp8pHpsuOxM++FUAvxt6cFpeetzRo
S8rvO4SlPlHoqucytH2d2fcJ06rII8Ap/awK54+i+1EAT1hexgR7+KOWZW+uuuD7mELVYvxU4bGQ
xZtivDIirXLIrWB6vxJAwjB87kHl1kkNIle9LQB3uzLW7S7bsNXa3rvFnuC0WXlsPXAkvyR7DrGj
TtFfTQk28noD3Z1jAgPHWUBWJTC7WI/VtBQN+qrX1X1oLGKMcinFRhpKs6oj6yEs1qM3blUnh5cN
S4slwO2G9yBOKlcWIqo8AOFd3oxZ/Mrjto6zcT/T/jYYQFaTmDiheRng4TTD+Vvl8K9Y8Uk29O5S
oM5Q1QaIZMZ0YILUKVHfgszDnbmjOMPRlKGJxUPolXDmMYepFwkhOtzu1fqd26PY/Gs5/xwCv9nW
pXRBULOswFvc4e6gR/FQYZB9LJYjVCWqkCZNVMAwBPQEy+sxQruSAmObME17mDk9jzLHRMersbl2
p/rbTOSNaN80v1uQ1Vjbtm/QmZW1HQqOHjhn8k0GFLMZ7p5QU4xILxxvl0NeHfNLxa55Z+MDj7S9
WToao5tIUcVsIl/KCOtj+77QSKkZwBGYmay1mFr/ri0oEg1NfGBh+KR05PMLLSzfBcbcsY3TV8Ac
wSG2vG2mQd51XtoeMU08TNn2bHt46/EJr9+irAs9YL49iI1NzPvthq7rdBuaPqlVj8X3eeQ/sHpD
qxne4qCGDMmRE/WdAxnfq5BEDbqXtB5QrO+z0YPw/Yg+L44zFEACZgneOqLhkqNpxggDUJN3AHpg
F7rvYHT1HC2+vGpdoCsKG7tqu+DuTMqkDsFLLWFfxppe0f5ghFmaiEH+KV+3Z5fz5Ia43v8pZ/fz
okj7alf14rKOHmKGhMogfnTq0sWVEV3mu2VKDowS+y3CeP4n1/EIL+PiuRvsa1gAoYO3Ew46wAFd
h/niNzBI0NXAAZdCk2O9wuX1dhJ8/tLTI3xagY5cdwZpT3c2nHDl0bpA2a7YRyl7GkLIoKaeQTfh
BIbJBByHyMyqdvhYrwMQpzLjFMABiVtsVlKfYfEQvWXZZRZ2OMXAHhNnxD7mbXYqxKX4cG44OhGu
jVN9iqxRYHISAo7rWRZfgODufiBMnGJvImUA7o7AFMDPmiIlGORsY9cAqdYAEi76TxASKQcRJB9t
lhWqivpUJQdF2XzuI5K/wLrwI14Y7CYi/5saBrg0sTjhZeLZ7irfJCo6FXQYobWJOhClfmBiqr1S
ABfeCy8iGNdReoMBQ3gfzUOKiXUKq2A1AhAUnVh21l9jCPujH8VHAFsGXsj9z6lY/Vuj109C+9Yv
V0paXJBJ1YVwcS0cwRw/V1j0apFZd1Rj9M0Xpvdwv0yuGAcSmEjH9nG2uZtZCQM8pv0wFHI2fIa9
6Nb29NcG4XWGhFOk53He7kiPgBEIGQLsdCijzDb9kMElnlEKNZdQ6/yovdG7Upkyj2rBKIegArvz
s+He0tZVObHjKRksfWEq1Lt+QrfUgLDBzv0MB8G0LUCJjyirh37KS0yB7HUcAladqVVHYErrUdgh
3qVFm2PumQBnX2JvN22k268uvO8utlmtmVqDN7HOVZFtEG6XFvVpX2zVglKMOnerYTOJMqMrDqHZ
VCkdDCGwUH2/xOKxiEHC4CkQv4j5cRmM7DFX/JAot94OEHB97Sf9RrPYAvohjZeFbbmMbVgWKqim
QP8yYeo3Q79o1DfyEE/kHZvHeG3UXgYzKGEmyq6MP5wY7e+SfEJqdm1bchbCVhbGdVF7w+f2nDAv
L8PNrxYy5pimh5A7WyIaPmdF6+09skV7NQakdnOHtkh4ybXXI6yUY7fK260b52Pf9ucu6WKMNRKb
PPpjYtCU8oA0axgCZokh/I5Rb6nNfC2DAT3lavTLIpMNoNfk0XIa4KrrNDM3TLXo67swcqeOZ+lJ
r4mFgmdPbyx6m9oL+fKChjZ4zaPeexgDiEZG2Dyst34152kI7zMe3I1+gIktWvRmkMk7whPAoY7a
KkrWnx5woPuYz3mj2fjWkxDw0OLC73nuMfT8qwOvI2nN/aywYOUJHSPJefNTghPmlxBqyx4AMB2E
v51aQbNSGHYXFZdN74L/mP0JI2AFz15fZ8BxMXeuhQkvs2iZ3wUt3GWdSXGYc/gIoiouitpHfKwF
N9PeMYbRhmuzC9Xko1Oyv2UpANNQdfJ9Ieu7hmPvgh50CI9syXqI2kZLDfZbeOVGIm+hp5gcaT/8
ohmX52GALmlF/QV2LQieDWBPbI654nk1Yrieo+xXFE3wGNLhhqq3p7Bp2tZb6uOqQcLF3WT58C0l
LEH5C9gpgbdiCXdMsK9BLSoZuPRP4NSkFe+7W2UL5EPivUyRwX6uEI8WlBIXt9f/h6Pz2nIVSaLo
F7EW3rwihEypvL31wirXkLjMxMPXz9a8dfdM962SIDPinH0i6tntY8E7fNb5Kn6MQRvfRuC+VVE+
vRly6FIxg+YtDevZ7J5yxQiNf77cgvsNz+1xY3wvB4uVDYnJKp64yw3GuK79HSKYt9+0LBELBbwN
++LvDSj7m2qrq4PsPfdYukXxWHh9x1CdmstES/Zdkk4t9s44umml5MY4fZepj0GxLM8FWWNWYo4c
taNfh0zzyhz+9wlkQfkpq+TcuPTqfa84QxaT4jgrRX6YfXcjZe33l1H7WBZGN3MhNS5GMMsuzV0V
jeK3F/V2i4+5Jkz4sL/pDcIjt4txo8ZZ7LfBg8zom1ffdf8yRdlgIKQlCgv07HnjtG+k9bcMIkpm
FpdtO6tePCyljj6o5553MeGPXru+NgOBgmmgVB6bITt3hqMEZ/LV4VkIahUZZVjYDf9pNMjbaVhU
Mrf+f7OQzmu+hQVzeK+ahmzmeAxdyW9NJzWNfYSeuvY7L+dgMCte0mbr54M9q6e2t1lY0g79rRsY
9tnOxLhzhBkco9qUF3Ma1t0WGIy3tAjXLfTRov1yG9Unbi8/m7aXKbVjkMrZX5E2rqjNkL16xRbt
Qie/2dwcv9zPJ/T9TIqbSRU+/+a4XAIzR2fhbnAHnjaSuDzl8CwJu7QtsLZFOhBEyCZqZTxpCOeT
sg3wduggj6dF7a8+67j6xa6S7JTRtqP2cz2fdOfOt/Bcn6O7vvNwdImtvCdHGOPFc+y3rCIF4HxU
qnsZunaOFwYxc8OO35XD3xl+rdOgKv4ZyqLs9bswyWy6UWUXIt2i4bdcN+eozZrSl0+N+s4zcdI1
hSdxrBdvZqMT6v126BxNjKjrWzRx7zxulbhxzLrH2ywgMUcglaofeAoZHxALnvK499f26A8RpYxY
8idjtoDKeuRmq5jenbC1ReyG3Yts5BDbAxAGmtgHYimD+t3xKzLmp1EZ6jLr1o2ZyvyvKwZUY5Ub
ydUHfQgK7HUbmi8ZK+PWKtobl8qZF77yY7eOrk8v0dd5NAVFuQIeqFBGh5bCMjSaCpHTQarD9ueq
KJ6qyXpuC7M8iC5r9m5YkS4qOyrK0NR3oeMhc69yPY3RPCS5ooHLg7aPp6bsEu3nb+NUY2PMqJfr
4L2PmoBSTtOZBi0RcwIvSDt16dzm6+Tc2Y2oD02U+S+Llf050ezHm+D27SoaELN2szjvbXsf2dsV
HDSvpgGFIA9MfbI89edlgvmvpaxvgy5v7tZ5q0+mGV7cZVgOYA4fvtvNx2Lkl+16qH1VN0/Swm8u
cRNfy6bl0+Ssylm73CN+eOt28AQNUhRqoJ9Z36jrH0DBnd+slpWhdkWHue5p7Md8PZQWtEM3ddtx
zms/zRFIEnu4WiRX6ymohjVZZsN9zf1AxaPr4GYxZv3UB86bZff9Q0/1c3ZbV+6HbStOfgmavMj5
HDqiY9q7dcfcVmxkRKey0MbLWobCiJ3S/LJGe94VDesBq0FkCR88y0xy79Ia45PRmQtNl9FAzeHp
R4t9U0HXA9c5Oa/3TKm3Fd0uG2nbTB9L0wuvq6iYb390MvTNiPJyEo4TM9O/3RcdwQC/aABI5WI/
mzbJxJ2r1FkD65CmDpgzstWNPC52OCahyT8caw8zs4HiK1nCGpvO0MbMDy92tnBZl5MtWFjSe5Fm
4wJdqOmw4T3HoVV/OTVL0QcxwYZVuTxNMnovnIUX01sstE3G4LcleIXd/bHFw9uNBe/acgUxjLwI
0nZz5XFtx2g36UIjqrZ1WriDlwbWgpbgOC8NW+TjdVkIlUVcGgbiPAa6M8eM0Xn3y+mh8mxrV232
dst3RFRwXTtyguIpcnKqJHPuEkPxDFue4VwiDJLmJ7BEFBswhN0yX3JtLHHqj+vPjBy6V6b7aWC8
wkRaY+yT+c2YY1Nyp+j83il7MK7S7W7nuUDINf27obX0UXXmtLO2caI4TfV8xMHtg7QZ8LzGhoK+
q0L7osLJjavFEWnR4Qq5DD9NbOFX+9DMbTro3HirhDjbG2TlVjtuDEfGWnMnpCGsvPIQgspsyoM1
CssnJBMubHM7qpD9Kh7eXcLX+BRR3aUkpL07ZNr2sRudr2zQKEftvwVrfu+zxe/DG8xTppR+lCU2
DH5tf6t5f1iyGj67fYuFrv2XLnNJAh86vrEVRaypeKPcHM1vqbvwjb2XIK/lBu/cgh7HMK+GFUcZ
0hkuTRU+lNb24fe+vrc8+SLqvtkbrA0eOu4UszXbk25Vj3woEmE/lF4z7nvLno8zSwGBlWkdG3dF
zyqNFdGn/JES4CJ0vSQK688y7/p9zVDLe89axM3auWs6jNfqcVq/stbKd8Mo+SI9P6QyrtsLMFr9
QJF6tcod8C3iM1cJW/+FWXOr1wFwWFivblQ+LLqJcA6QlbNaj7vZPJl1ncpsLhDtdHfyOvZsS2Mu
0nCqmLwr5/ZQddZbFtDjtR/lWE131PdT6ozO7xj6D5ltXha/CA8Qa4bxyZjHXTuu26lYrABVNZQ7
Z2r+CXMEUHGao9+iJsBljaS/nRzdzM/vwITAGHkCaGrDcVSx2sT1YGz//My9raaWFcJugKDStGdv
U0/lNjGF3y0r1EGrqLABpKBcWxjclpdX3ZBD90lbXpTqQbuYvPB2FJNnOcx/azuwloBdBsvOGuv2
RDARv2SgxdfFNsVRMGCD4MxvRI+cE9nB6hJ64xOjBR7kXDr0NqLYu13FnnPPqZOmH/9zqM/2NptL
dz7zO3d1tSIHm9VNzoZsHhjLjhdGNItd15TPtjamv2qW9UnWKJuL8pskytWd/X90KYSQOeSDXG8y
r/Ruh9CGkg0CLCYwy91gZ+ulKgWeWKHrH8hHM3U8Wm3llkuK3269dTUAntRWUSZXUCwx8uY9F/1t
7pe4YA36x2T8Cn/ejs7CFbONZrkXAUeHqWydYq0PbBp0sRBKo4qgogCdxh7BfskBwRzf0Rhf/ltl
qwEg7mmWzJ1kEeLKg9Jy0Yzn1icGYPbuSz16G8ykX/xj5tg55/1PdTeSz7WA1vgrkAihn6t2zl+1
0+GerkuKs6rWUz9KaGOBg14s/vyKkBM9G8tdJjekojiMqmPUZcelrI52MHI+Z+49aqV2qPJdRBMD
o+d+zEUFkV/V4zmy+vnFCaKnHq/1zNJXGq5tabMklHARKM3zeByWkBH4oznc9nnWpt08ijvPhaTI
x2XaYc7kNedx8RvMQwl8A0kdDTDo81j5d7n2vrcBI93XYtjXwvsy1jk4dUWn7yM8jrjKSljyykKM
t+kYZeAeGECIdxVk31FhaBrp5rUtJ+/CDPkirjO+7sUDCjFMEe0NdV2mLQNr39UkE5yscONaRMCK
lA5Zxq68QPmSkRBMAei6yTx7KhouWcYMZjSC5cYI+iEBOyt3wtLBg0Gd6/FUFNb1Ky+c71q2zx6E
wD7qTcRXJZvHUVszcLn7ZXuNd+6c6Elk4W3HM0/QhSLHXlmRGgLHPGeKB6ljtnq/Z9jlcGqENs4Q
1QexIEJUM9hsZxgE6yak2i2vUQ8EM+vhJrGZx/CFYwTU1Q25uP31IjtCDEIV7m9UeU/dtlinSFkj
AzN975GmUeyt68te0DpeuDbuWivMnm0u+edgWTG4gyrNp8pIoNbCs7E24t88NU1SoxCms9wSb7aS
TXK8l+0A2bMZlgdy2vapCmpYYZIk/xVbsexyJiEwdNw8sx7B3HF4DJjWNu5QUz+ITnyyac8Cb3Lm
kzDnce8EtKHosy3lhFRan6xpBqjpWY43dFcwWGr1OxjgEcTVQ4Ca1j/1QtD4ewGBw6jowQEI8yZr
b7f7OvOyeMrzzIprqik839F9H9H9DVHeeVcMZPJn0kAlDrEeyru6w6oewXbfTQCk5yXsqh/DFfOH
FVXOLlT5cOOH47TTfZ6zFVX5L0R7VpLWbAdGiefy1RhQI9ckfGEeHD3yKbHvb/2n3453rXT/ZkM8
jGsx8hNgIRCP+F6DlnZwKLsnjkFIipHzwhiKbeeH7Vujhmc/7G+oBKmvKyxrMAJmvy2VifzJ8IPU
kJZBRsb6tVfHe/Y8+0v6ebtn51CeBpHf3vvXEQhaqguvqHXOB6/IYpcx8/doWNcuBMjqm4503EX2
GlDg+dWMOdyPL7Wp3H9imxEVJztKySF8OJ0pbnNDbelgi8mJNcdDBC0qOpytmnFFBjYqOUKo5imM
aKIiLNhiRKWPacCz8xoGZWJ3fY/oxTIn1B3R3rHSGUQ0eljrmWl2hm0em6CZ03pROq0hLdLRaKY4
yGil6Mc4t7zm1i8NUA/XDOiO/eaF73lMOst56lf7Z8XOmjAGgTia9qeb7CeiTwztdDn+t073EP+j
OuWuwlIMl/xi+6jKYaifeKfXZz6UdecgdNw6/naqoIRffOXj0UiqXJ/W4leHwD+zXZIOLvRNSd71
OsDLxoEw9aUkLXxwr8NXQPKrxCI0dMyurUelSqyJFSTAdiKQ4XnBfq5JzIx55GUJHbBNSZP/MyOm
OxIE8+/m2rgFnuuPznQFKrArwLlXGk2VI73XFMeJ0At75LLmTfSr+gn93Dk2eqHHE/5d34XBjR+N
DoQrVTqfmsm1qvgmyFLvN6dFSqjzcc/cuAcX7Sg1r7n3Vng2E2sYp8q8w7thESo1TdvewY4UcTTK
8GzN612QS8SUaYPOtub53bODNgF642/NlXpBO/5Jkja54SOp77Ji+pgp6VOpyzkdcChw09CRSJfc
4hOzfm+6MrtoTjSExvbb9/2vK9f5OIQtR6OXPWfTNjP6reD193sbl1qIeDJJeU3bTy+AM+7cZfet
neoVgdT41Ru01NDq6auxon+13eQnlxL2LFen3y2d43H3lkij1+hMoYmBVYVAxo+eCTrN+94Po4vt
+NXfVnbOU9dXzo0s6uDTZNj3s22bP+Iqj2UFuAODfEE/c2EmrW+OSb2YxTf1LfocJ8K5NsJLxNG/
LwEhj6Je3HQgBBnTTRnp6hqMzPU0YCK4Czr5FpUYqoGYvxsZugMWqW6gXEwjrqLI+Wn5GBPDIdK1
lBGdlzUVqbWtVA4NrXmgB/Pg2+38kMmJfq7y/nMkGpmetXneuvK1a/Huwgql2W7lr1Ezd3hcGEA8
9dOP5cgw9Sver63k5FSkphBCupxjQPJa9SgntsHkJ6qNARipL28CvHrE2/UuL9rHgU3Osa1LPlaj
vcXCYS9f1WZcQwuCIyPJy+lOFB51Wy6hQ8zwgbcaiSCC8pfTy1Do7kma4VszyWHfckOjMYDJLVT8
oKKWEQ8Om1K83CUssHb3vutdulz+OSwr2g/ClncTDObe6cbr8xPgc4aNQZSJwTdPs9Ug5nH+7kpZ
vk3TND5I1wkOZl21D17R2mwPVBBAq4G07yoU9bmAARM+wCAUVMMv84LdxI8AzE0wkBUub6S+3YPM
oiVWuHMPpT+QioU7oB4GK2diMYRkRwqtqwduv9A0E0sWqCp9+8NYNxyVdnZ5BhBpyFVkr1kxRPeb
Hk1+A8Vk3BAhS/c1vg/g3x8FJlFVJKFdsGl7T326Abn0J0tM5SvCnTyNa58j1UUrrJ2Xn9sO/g2u
3ivi0sn9hAr5BnMquxF0bMfVrhHaeIAQeayXbRjVDj45SnR3FbJzg4Fp8/ITLcafKsf6GNLvfExI
/6lZY+WtRN0OZKvnBJdi+TLHjDdg4wJQjDRPokKu74vTZimDbYAFzfK3oQk4N5un/jV1OMG8Qh7v
VOQ6P97gUnf7suWOCqLLkA9gCB2ds+h0+KvbdiZKx+NpIjAdWFtXxE2k+8QuuLGcLuIm4ERhyE/3
JGzvj0FLddx6DPK6zqmPc2f8LxMF1UBr18may++a8h2KgSPPVwC5E+AGGaZ6SMDlObSEBvpSzUMI
hpW3ZoNqP/74XfXBVJzs3Nv5m533764On7c+93ea7PlFGq685E4rjohCmtBWc281/t26mm+i8+97
Iz8I1/v1KuwSX6g6dgZlHwdDFTtDl6+6gpD3Am4jQmYIw6a3Pel1DZIy9H7deniZVLYl+CAvys0R
v66EA7vT/Hj1F/9z5K4mZgYD+P8lEQDxIAn5wDwuqlzuUJXdXRFRAoduw7rH3r8U+YKsQXV0At+F
sERHut82ov4y5z/au9OrNTTjYRta8SxkIPedmKIY+IR8k+6f6yVYKbTXK3BQzuzXWMxdU+v/Jju8
M2SE5z9Hb5utxmPfr0U8t+4/u93YZUzGa0eIGRHFglIqc2PcBYYHLxDKdm8GuGzD2i78fuNjpnsq
1owlsNVm+RAR4Z/a7Mu6urd1XVvHgpRx7KpsPfQg72nGMuF7R9cyxU0bE1rNe+Vmbayz/DO0gv7A
vsMqtZngnZa2hE7qMlBPA2J+x+R1SD2yrqnc/I7cLEyWJEQE6mV+w9FusetZ3slgvO7LQsYjZV52
CZe9jGm1ZbwpkZoSTxOvmBuj4Pa/oh8GdI2UaJu4MZN7KB2CMKUMWdZr49beuaXovrPCxHyrwFrD
AjYk34KXJjdOxeqx18BCp+RU7IaDnfmoKE6uEzMb/LfOQdnSohfPiwoVkzvs9X7Lr0dksK1HssQ9
7oe+9bUNYKMgKpYo37tzfQmD5a3N6097mt+FEC9tWxMBqKwoWW3u9Cmfzfco4lMShuqeTBMe1yqR
QzoHj7Q2evGQL4a/x9X0DsPUfxRXjcULjDFxNtt+tA1YR11Q3FVEJ36zSNfnpsCnts3wixPyveeB
vSdIPX3KVZZfxLz1WUQBY+hblJj/jHn7MIZ+SUfCm8zx8h88QZZUb7NKmrl5i6zwqy6VOIcL1kAU
LDLNqjY6gFfMUHBcszLST97guzDMBmVPGdUrYk4tgsQhMrCXzrpegx/9Q4fmmSxq/HK8dkiIXWNN
KB8oKCov8+IdFObFd7RMYL5O9OCQ45mzPr80mfossNRux3XM074j0utnON7GZpcvgxRsmRyN/rFs
ozzOQD/RaprbbZVfJtXmwSpZDUPiiMXympmNMrKa81A5MjFWvz7kfv4fudj1wYzUbefZzcUruuho
Yu29isx875e1ORgOq5ZzT741dqNOs3LJ8LXObtRgjTrwqybNRo5XCKGXzp66z5lROW+raei0lP3U
72S3bEeZX5/PCeigNjh1cIdw3mwZ/DeZfZ5UVYGnpxnyGFTcRHNu7RU0/d62JtxgnfXjTjNe+LyN
3s+at2/8h+lc2rrQMm0r278xVcAj4ClUevhPyAPtzmvsaGLp9uK/e3nT/7LM6E0q27iynorpFdBE
y251K/FfY4tb9Jwvs5vDC8P27ZgMwnprI1lW5RK+RW1kPqn1ui+82RL+LOZfjK51aAY8K/qNckwt
Iys+jW2jZvI786+pqEdMkjm7jjvI7FT9nq95mAEgBFZsrmhHRh86bLss+j2MT46QPxrHaBg+FmZb
vS2ITIfaaf3DqAdvj4TPNBQRbje+QMzNlkmcNHfBgXVQDOeYqsdODSWTWnvdXsJinZKZizjfTWYH
Tdnk2YtQ/fDKpEaRcggDZ49QlzAsfFqCZPjSgw1J0xveW6IA8UJA4ojAMT67odV8IMBnOCTKPDBZ
52jYQ+CnJm5XMmTlu5nLm8wvHhkQUV3MTsiH0KQbNNcgu6trZCQ2vm4bJEolBVlXP/isXe/Gqdsx
obp4sLIsP4bKuCcOidAmtJkKq+5vSFH2Z1UKvGKtWva2huHwRHxBnJxuqkh+23ii4FCOW1hxVk3/
NBYHHyyETp+XNrPVIqk5kmb/c2l8fac54e8bY1WHgnd437aw6HyZjD5qSFS7i3KOrKzebuvK6i++
7ZVshdyauGRXfEpMydiZgePuIqCaPVs98Q5W96gFS6FZLiaZT9CK+6Ew2cbeLv8qTvT95o9BErTD
feQAfNTL3cocnaOy5IuxtsF/WwB97WzPw9Z1/0xzAIhgvG9HoN+sD5x1IKsqr27ZgwnEuxgfJMT1
3iTfsbc7REo768PnhqnycVDNwx4n9KfqsmfseoPmypiopRFx9puHOeUTtz/Pob4jDKd5pUzSGAtW
BLFV59LDlDxkc9juQa6MY29uitc/eOiictrPFd1wtvo6qWxsOSatDbe5ySGXt9I52M5H7vr2eyQQ
WUNkE6NMnaw6MY8iLsgDDBJd3a9oG2XwbC1+Ys3iJGZS4S6g6RSV90v3Af2MI2H9NTU+Fq88NeuK
h9wi/INBAstbfjM9hPno7CobfMKIpuLcVhv7cTwy8su2cq0X5W01NigrBY2UuigLLmHrj1tkH2V/
McfbMaiuDRyDAY58SoF/XMgR5IXJ7IE4v8e6IuoIpRVzCqF7muOhufqVZuu8mcXvuJWHCPvVwedg
ROx+Cwj7bGrpgQxZu2T5pzE02H4UeP9tquLnCmg7QE4RR+mqOPBCRAZqriMH1fvmzW8mOk4bTBd6
8IDFITVWi6Fx2bzysXJ+F0j/uqx27iZOKFU/3Vo/uZ6LY/0ftdkvHFeSqeCxC7NjnekfGQyP2cRM
srU7lhxoYcvIkBZJtA7eFshlU5tskV4KYqSrmI9qg+Yzi+7VCc0nI3cPrh29hNKNqeafgBL25dot
yIveOx06+S7jhpLWZupLNtooRKzOE6oTe5qInhYBMFUx7jVUzX2kCcpm0h5i7IjxGovyz60ATpg3
qXCYuvLImYB5WASvo8vsglbATYvSvel0ZO/ckkRCM9cidclJnRgM82n19GJ0eqfCjs7QDsdReSSt
LGZ5DCkOJS+d3Fm2Ec9gnaPJdrJRJlZnHQn/HJelfGTx+anLJ/aXdafNVcyT8J5wvSEieCj6v6b3
Y5tC0gk95gWASLfGBV7mMMGB1wa4qqmO0pphDcy0Dqqz4arPTtbJ3PkHuHqgjus44oyxENEE2Ax9
kXFQKVpfptw8K467MRh/NBYQBGx3Wohs2OsSB6Z9kfipQ0ftZmtx7L130i+PzUqqdgktczcqxrHn
LPzG8BvMOq2jnJqB+8QdHjcc8rrw9mMLVAG1hB3lfo5VyT5yMykQT0iHEpmYmj0Xxy67Jg/09K8g
099vA/UnBosb2Sk3VeLI/A/7/qR7FhTrhd85P66WfSmXKVXDdmKEDm8LWxpnwgftrBkgYWHUWN9u
C8MleXWQGkgVYC62XqIdDK0VRbne/jYcjC4kW7C0QTq78t8YDEiSTvdPMSioWXoWW8pk6cb/htK1
dkzchTvvYJIq9iWyXsTjjbnGTptGJqAgP327wZOaP652UpEZH4FezoJ01NS3V29lPzYPlu7uxurX
WeDzI/UCanFxSKsjaIV6TCPny2pYCRQ2l4G6QJV007ymQxn+dcGW6ki9RoP80E12mxlh2syM74DT
b+VMsKQ8UqQqkMf1bWbwY5BTcK7BfatsVi7zvBcLpDvTGU5jW6Ck2UexrBdXgbmIJZViPNBOkd6a
P4SldsqwnjYd7Rp1zSUzJJN+fQawccs65d8hM2rusEQXThZpLDPR8s7hcFv3tGix4mgIGuve2vyk
rijwUbmu3Phtu6mnrjOuMYdXGMhPP/fewDT23ug8ia59CwLmZXBnwF3nn3XU7GvywKY1P5O4JL9p
HBSBFKPJ0jZ0/oibk24lAeVO1XtBnxIvjrN3/AWCQwYhgGx4IBT6pid/l7nBzjH1rrKmW9XPJ2Pz
byQYW2h16bySjbii63Xx3dZhvss2Zl8p5rmW/Zt09U0QfbczBVvGWT+Nv8NaXEyzh5esfyy6IVCD
s7WA4nmSnE6fr6+GXeIR9rutF3ncuc5eC5GaPvWRrz6KYnn2rrM+Iq67upa3JPm4usU7s3PO0sDU
Du29qvz3YDEe+IZjdvwCGfbb2zAxfospNx6OSw2AI6d137TmhZuW/BvbF0r5UIWYYUaUGI3kfbRP
TeT/Z80N94t7G3CnBWpOooyfQFhfikeehKVcYzpJ0ATcn6DjxfewKd0h34/kGBrBhc8ZaqK7ZlV1
4239SdTTo9cGT2aDmqKrf1NEcTmkBBL2YxeeRDVcxLKkTYFlU03LBV84UaMod34O1+H6fKNMA+zp
Y3ms9D4cxWEqux1X/NM20o2BZwKV3bTi15mZRxH2B7mG9HzVX65H8qT4fDx9vUHEpM4OofMN06DB
MIO/ZRNJIVp47jC1CDu0vvFRy/86waxNG8+z72/nwiDE334pRiz6zZAzLrBIzcH+mvzizu/Zz6Er
57H12lu0uL2fc127mXWyZuKVtno0gve2drgNvd3KtiYalSbVvvzNfPt3NZsHoy3vrPVaDJrPuVcn
UJtzzE7Xk18Vb2GAbmhszn3hl3RYejn2LgXOarN0ncu8YnLIwJiXoZOnDgDS35oDtMmuzrYTFtBH
a/DtbIzz6mfvzqZ2LLPpthfXiJK3c6vtNBeE6Kb6P6f6nprgZOUyDXn7M9NJN75dU7UJe1zerJzo
wkRMIYLk4s9bMutcTN4zSuFLOHFyIHYSkn+rlqfV4SuUb95UnKrB2deBfS6MmnZq3U3FjPeGZFl8
mqv11mC+MYQqbbT1XgxIw+HfHPFuquUc9stdaGw/g0LkQHbN14KUrjzMnbw4WXbnTk3KAlczFjI7
lZDEAM0zAjquP4AO2WOUQhsep03nkGiQQ7U0/BTavcxo1Lk5XqyIJg3ipqG1mBe9z5kWTkk8onpV
4wttwc7vultUHsqDMMEQpxL1jRsrLG60Xm7WYAETiVLDN46NpDbuq7tcfHUlPrXvc/lCijDmb2dP
w6dNU4j4touMJu169vuwU42hN14tD2wFRQ2wd6ZDXxcO47EqrpY6SYtxxAEY81uzF8DjwzOmUGwz
s8ryRarc6pQXf0GwxLbK3nBq4+uclaZu0QAXJl8EX2FX7FwUzQ6DLPKns+nXr5sRPTIN46SI4Rie
mSz+6sQVULSjqK1YxxxVE8OGOPGC5jVYTNYJN6+gp7um6d6LMCA3OvT3veRnbniMazIezGY4NaN/
wv9M+ut9T3SSgasjojD8kamsvSFJMcKPH6PoOnSlPkcb+468bkfnRkLF3Ytq+863j6HBUzXIBFjZ
/dKOn9sCSqYYUt0FzanyJJniFm0y6PYA2bSKw57Afx3XvkJHn7o0yv5FE5wHwl+M3HkYFbVJLoOr
Vs+P6xK9DuzHMgsvhoWFVi6g2zkEzfSlof+QYHZdVgJDiRdwBcpu+9BIQFiHo2/q3zD/zk77agJo
k1cw45G8EhRqgjALxRdepOpZRk+CH/jTGNyU/1PsedM5w7r1q/pshuwx6+yDsdYvAYPb4hELs83k
i2mic/Pzx/5gvzGRuUuYEHkZTbzVSfEaFc9bWxyw2hMEy++mn/Zlbt3610dS/liNeVomP9GzfFmp
KaalOQylenWLfzSiO7du0io04pK4rB+wJNDWqICsc7meGt/E/55EOZdYczl4VneKivwjqCq+NhsH
12EGx1D4C0G36WDQiLoIYqQys33WMMUb2/5/nJ3HjuxYsmV/pVDjIpo8lKfRrweuRbh7hIfyiAkR
6pI81Fp8fS++nlRmJfICD0jUoDLvdUXymG3be5kUJX+bpq84U1Bf0mc7U9nSVzynsphMt4U7uzS2
Pt6NNRLgsEgZpOPedxZSXFMb4hMdBJPstA1JoSP/hzHYPt1tXsluYlSL623n4K4jUtX2xChEfpiG
r8FsBwyA7Z71ktMWgMEOL2e2nPkLeq1IJPBwMplpKdlpK55OGND7px6lnDA1y0uUe9Lt4lDgYb6U
Tokhrp0MBJjpdZQlZ/w4fMq8kGufC8OL0tuQh/DH0tXs5nd6/WDxZpWN1qG7FyuL3uBBEVhrd97g
3pkdMl4Zn52Ju4G57y5te3cR2/I1SlzojPqnmYdPbWLtjDYojyRctrrK7lj2rhbWVKIS9fKK0HZO
Ex6sPc99OsUthJ+rPYn1oHW7Ko73REIgabDnGRMgyX/4HUdVqV8BQIhUAI1kDBoM7kbFRGOpfr3a
vU4xo2HTKbaa1x/j0DoVAU/OJiEETtS9s6tbFyNmE5juk+4+mjp+4xEnWeq+eprdLpnifoARXQJt
Ewc3woBZaAtBZKkqodDZ7s6Np5ONl9AZuk+vldXGMhHrHF2stMEnb4UFzs83TDwfh37APafsNTwL
cHMQjoay6okb/WSUWhL+D9atB70b1jijiJA5W7coUZ/TBmrNeC1SNDgNrboW6y4d3UWSwb5S0ZvG
6orRAG6VOefY5xuCZodpHUYSjW928/vu1jVqJgbW1bLwgn3q8Ebgkcw1L5DESdxHLpVwxiiX5+m9
D41mbKuXrGVsVZO4Gznyo7h7LYmVcUc1zs00k8feHcN90abdCiAb/R2Iqk4DkxN38ktm1jFsUg48
69GhjcEe7LCvWOZqFZOmkj6jfIUnHJTE+AhRZ9FWw6nwG94jETf5q+RGt4rgY+xLzJFqsAD+0dKP
qdjmOs9NTOG0F2rVlMOpj+jzDC52aJRuqT692uZMyfJtzhWIGRsfs2cuelPPmQpV+UYN5dHWP9to
OjGTPZLHSFZDB2ggyEwQcWZxnZCU6Y7K9hhUWXtCckF3DDgrrQAdPpT0wrPO5LbjChsJBXGIWwsR
17TkPvAxFZoa0EO/fo0EhJaALr6O6z0T0ptdNS99GJyRXVocAtUhb5NL4fbLpByfAnR7nLjNrRja
JQfUs9lLMqBCp1xWhxmXoLdq6/sM0V1kUqt6y+hGjAEchhF9Q65IN57MpkU7dS6hAvfbjR7zFnUV
tQ6AJQemImVlMSZMrWgVl+BJ22YbiBhrT7DKmn5TQPCp6/bNMqpdSQeuLOtD721Ep2JXR5xjefxC
9852dVB8dnPFDiJ4nJfxwhCUjJF/MjSBX3RYu754pCvdT9FniLFkEOFj2GF11+UhGvTXtg/XirPF
IEyF3kefIq6jR7qsa5eW01B2z2gtjcQvmUyGr5dwYvnRfKi0v6TtyWVd1M+KphOQ8nYMmVRXHjqx
g5eJvt2d3B2ayqGnz+uBi5DUvbYZgCE0lrAv1zQeMCnTDb7RW0epBNjgW1cS354aiZYOt7xiP1vn
Z0tZV1ceGHeFSxfeuRW2pGxVZeMdretCr3AXJeY39wnSwPitZfLMBvRV0w2HEIF96PNPvVLjikqB
Eg25Oq8TGp1eLpSb/5Rhfi+bOCfUbie7MKdRbOjWGA9h98j50g0utNYsTp0gmTcEFUH46uIqE1Jm
LYnp6zfT7h66KAXRJNIaWJP0j3kb7IJMHUtHLLKMv6H2vUWKCYLk5RqXwU4rNBgrzYbUyErAllF1
sA1K62t0rI98shHwkAuKaRVp8gDB5CkNkUXTDuRiL5I3P3+tm5mKZ++QMJY47XH4GktsHEc/ch+E
2W0i5TzVJvexabDB28CRl/W4QVlqilcR0hTHwaTnLxWTlJAJA+JudzfzHZCD+bwuJ3RB8a0NGGy1
lji/jqfIshg0Qe/CkGCshBIbiHbRApJNQ92KrAJjKVpnqWUT6/HfBo+QXzBZ0D0LkiBxQIaf6hcC
TB4ZDzkJ5aVu/dJLZyMxl3pEchvPOxuD8VpO9sjzp9hpPTi4ltapmOI1UaxX+oh1ybHcaOgyqX7t
yv4gK3bPAKstAHBlhn01YnfXO9lDp1PPpfleeOUCq8QhqURLrWfdRlG9kkV/4IB/yWOKCrNMj+zt
4VBDT/Ba72q7xbOLJUeMhJ4zPPswu8SLDeRHVGoDA4lRpkG1q5gzFHiLw2BFwPkti5pjoabXqOeP
atQbQMb2qgF+O8u7uFMPMvFz0tviEmj4IUuyUJ1w5LJJmfjMqQ17mkhKqJHJVl9G18kcLhmmT0YP
wPiK5ozjgNCgMtrDlArShrHYa7oocUPpMaqd6vapYgwfJUczU4+ZAxfJs2j/iVQbzQZewrgse//N
FRic9eiYuNZKZdW7G/rf5IoIHSfngvjyMvPcaIaTLXQVPTt4EIG3Tve10ZDDtZd+iOMRXXinSLjS
rKCppDfR9j+eTbyj1Yt0rdc+F4zE1Oq6DvdOdKzSBk4KkndO6Y036QEo8y9MhM+TE1i7UUcUIh1z
8MjMb/weJ6ZGodNpcuPX3aaW0zYMvJPvlYfEwa6h+zOuNGhPOtHkIiVeMY39Kh1sHfVUO6S2C3jO
sMNlVfK1lnM6QWYZvs/JoXTO8UAneNh5umAg/VQZ+N7GPkc9s/5GvgqYgiCO0whbYrqf76qxyJhJ
q7uxSS9prJwdxMFyO8IQgUCJAdA0g0Vq6uYaBzD7epmeTUhvjfGFPvvS8nKVLx+geDTLKCy3jT3g
6873NXvDwJhcOaPxlcgg4ZHQZovUd4t1koeUvykCTgLHJ3JBwhMLXVSCWKCph+ceLFvQR8+xaGbG
AhXkYAISSiDYZMOH9EfmmNoGzme2Mdr4V6x/T05/1hUnZjJ9aF75rsXWqkYR6tziILsK71uAvduR
u56wkDvZF6cgRAHFeNSxD5ZPFvbUNDDoHES1zDSAf3j9S533g8wQLI0QtNGsWRZ0SWwfhImIKFCT
P4k6ClKsGDGHQ50PyLuAUCFGL9EroDhDiIS7uShNnlGtRXKuCXFmCZiQckiPUeTtTYgCU8APqlcr
rx2Q9sYFwaW1SNo3cqrLbDJ+mY68wgU5FpA7mNHgcoqlnUGuikhRxytbu1NmewvjJtxKE/22AbdU
urwJbBDDMrfqY8BqhK6ECgLd6y7vq0M9tdOydAp3xZLSV3d653s/al2NU9h58MdmPYyYoBKtEVuY
IxkjZnedBXLB3PQjcpt9o8cuYgCm9mHQHgCpPLZWvDbqCRRNClKo2Ld9eke0ltvb37ZKPpceHAGw
QYvB+SkDt35PMcm5deXQp2Yb0AFExtS20/W1Z1tLi6kTUlHZaqjo8ZKQ/TL0w7XPcbnuRqZonsuj
39Exi+vZwXKrjwlETDT3FkjrOhm8yUUsaGCBrppGXG2dFFGPkLaJ8D6SusvPjm694jjleq4xjLjR
ZYBrVJmOjqGEKkYy9wc2zaH9GmTdc8evXUKAi6v4rZEgRlIDTSmPd7nJdgsTDatr3SdvCnmK5Ove
Tj5yjwu2pbdTUc2g07zovbyqbGT0ELvrgjqWe2TD6f0GKZ7BSbrHwUcRRGivxhgZxuH74J0kU0vM
G89xax0KatKYkHY3+hvGSHuDUWyr9d+pHugbOr21JrRtM38p3QjXq0JaHXGLA5PYWR1RQFfi3NPJ
fpew2Zx4PFnO+Esa1mPD0zDE9J8GHU6+8JxZ7wE/CvSEfId0DEEGQESY3JN7OsFW7NA1COuGT5OM
NviE3tRQ35EkXmPp2mVNelfqxb4JinsiZ3vVa+sKiZ+KA5d6KTZek/3K+uYzzkj/MCUJivcWTDHC
5YxdBY+iyovdYnEYy68xyR1wqcWP2aTqIKH7r3gU+DsbROg2ZFC5N3HVbh2yZ3QDpLs0vyp+/JbH
gCjjhyQB2WtQAbOotl96SFvYOMGmucV9hq+AdeROuwmR/Q/wb/vtGIHfZNj33HfFnmfWtAgqlJ/M
EucgiddZq94B+VEj5P22ospirInyrY8Kvchql3XT7nXLOakuvAuiZCNluM//m3qNW8YQzbnCceKl
7WaySOclo5ftQR6JZTMbMwz9LoT/8VDjlBj04K0vrRyOuk1b2Xi7KCzuspk03QfeCs/dU1yI6ABi
hDEKRz0aZHcGO/JRknxrq/i5cI2bLaajYMZjufpF9iYLEfL9WOPG6vGrmpRlEaPRdgBNqTs1vChv
1tUSuCD1Q4CzIuXgCJiTF9NPlxcfJtqNm9dHzl3QZzwJCtQmT5CKVsWjX5Fq0/GyZwTneB1uNQC5
Pc0mx3iKH6Z1tiBl9k5EKjGqD1EZPoV0HnHMl15iFEkwUVna1S6Hu6mDapFpNRNTB1CPBgGa2rWF
tNQMa6Oktm5ZB2GmT9NgfQ4gqPnATLsM9ZDRlGNKOJuGc6rkdDd5hbfE9cmQe7qFouJWLY7gUxkP
d0flM/4d672w6WsYz7kQ4OmfsKvAT1Jehj/a2LZRey8NbmMD+seqEf1FKrIZ2ELLOTVg4ZkH3s91
wGfQC/M6WAC8hp7errGg0kvAlcumV/c+frnVNLofsY32hP0ITqbVbSHlPEaT10HxhPYQOTyLTPbL
KCTsLex9534y9HMOZnWcjPU8ua6Sclkw4cXY/Njlj0A4xkXTNPtad/uNKaOdiEH+FQ6TGedMSnbp
mxOe+4lhqwfjgzn4ytIxQVSeufIcSAFWkUKn1BlZ5wEe53pMnkGN3qVB40PDplfpTWkdqoxfH96p
DdNyqraOUWwMyaQiyTS8PzkS9shYivymhU8ymXBYjhm8vIbLbQSyqi09G0YlBftRufVTktanhvjG
Mq8IhMtoih8cYI8kpL/qLlyXXvCi1/pN95A/AAVgCxiy+wL1NjIV8tHwga4ApYQ0GK7So7CqlcWY
rI2CfTQWhwqgkV+1F3c2lrmhvo3ldbCHDx+DW88UMDeqIwf7PsyZPEMtxBJsLsIkYoaMOUtV/Xft
i0thVw96457HLoQ6MquixCJ9ceRS49TEU8cobOEhkS4rp3ohKXOKUufHtKJzQGIReRD6i8tKlhAB
b+AxvXINTrDGdE+CfQZVg5sNqEEVGp8McEnr+kSDcFmyPmIl3Pw0JO1rbpdku8yHIgsPOtNQvHQL
YzQo8cA5OkWP9VjfisTf11qygs22IsP6OkSCkX3+3mZQ+jSw/4o6oZb6OqaD9jj7pR3sJoe1T0Cd
qb7Uzkus/VTBgzItuNspo2F9N0HqAUYy7EIASbs240PUvRz3NHjvCZ4ckD/uXRnq95CASK0a7g5A
z702uddgyJBoPhwT7WGSm67Ib4008Iowse7sHj+T3FfGfJuViDUoi00r7kSI8zf7mG1HrW38lFN7
wEfGZFT9aKg8uEWJRgIPNKiSYuvL58Jc2FV2ZRPKPvfNZ29eIuMhV7dedBdpEOXTYcNR/2qH5QEw
6UFC9LAn8vkKtSnLmY2xh2FUBRCV7iK4URubgrkeqUKCBHI4rF2PG1IV9n0Ahw4O664d8k+nCfxV
Eo6vDoy0DrRVZbOHp+OS90tKn/jqjtZ6SOs1TtJ5DJ39BGbzGAvkdsNd2kAIOfqWI9IB62A35ugf
+n5kagZAa5oaQUKHHTKpaHbVQMBNWOFnU6dc+fWZx8d908AtIljT6S+FCaZkzGfWDnGh7KXz0D9x
zUVD9qszGFdAXBwNf98Z4CtQImJNOwwqfKSSx9rGSMYW/E+tshu2z3ZTp96LY/VbWTkoOVBtkvFQ
qmhnBek7IacbM4W9cMZjQhQWvA3dNYiEM8Lwi5M7xHYHKKLdJUzUi2MHD3WUnrOU/itkVWBGe8Dh
bsDRYh2okYn9JIIfs9RX4KP2PL/uY5LOcWzeFfZ0q2y5MtNxObYo144dbnMTKI6V3AUYp/N5GzE9
L4HgJtpG3nCAqCx2FowGBstERnAHaKc0CPpl14XmJk0tfgTQt9hmiT9M6adhfQ01jXkVPoMq/OmT
jFayhzZR1eFwUnECJF6D4R4x4ibl0K1SQMTMw9B3IqcFW4XXx6sIo/IGCDIFiyieVxWXCT639rk0
rAO9vbXQzFyBHUlfmOcMaz0kABUbwQm7zboxpx9bwz9QC/rt2s86HDXMuuJRLnT2JKVx8+oDiRgZ
em1wj3+xfiHbkOddB0wcS+WCLEQanYxdpsm1hUcxm3go+Tk2ALt4T5I31jElxF0VAl4CjRZXsOYm
H5bPjoaa0V2T0jP1WbHMkC2CrodopH/XdsPpwoqgzn4j0ekiAYo22E7JiHlvUK+FhP5NwiuSHUNE
uKmBjmNqoJmouqtnAdaonOXkqLVLa9lq1ZHGbK9Z4jXMfhW1vOrY5ur6jdhCiwG7D5dG4Wwz/4ZP
8Hlg/I5eNkjzbtIbYIOIcZBgTb96Y+/Vhvj8KVbavVO6jy3WwnLqtkNmf4JZ2Ja5ySCWxBsyk6e5
DMe1jTOq78JTL0ix65FH6iJI3U3BLVCRJjU5ZcgsbYNa7XpBC9ZaCy9A0Hf1XwmILxv9n50aS8Px
T0Hf/BrgbajSWRVc+2nMdF+xq6cBnzB4+E5NIFw4tM2Jb6oSt9zLVrEFAb0aDBxyXvSUJtGh9nFQ
6wlnllatpc0NPtJgwt9e5kNw1hI4tW7GInTd2eECU7jxC/IjMX0s5UnpQ6ULiqucvIs1xZuQUXiY
BlDmuk2e4yubMaEuSU1qV8o15l4KOJDSJDykfA2KYGen3dHU0n3vWvf09CDA4dNsSWq+24FNQz0Q
DYjeBA6urUr9h7Rrsx0dPTFrtg3wd1Wecd/5KsciPcljHc0bTzQ5rFwNAqHvFc4hjEcySslTDhaz
EGKVY8Cu85tldXepyLeF1N9ZHnY3ah4Fvc1+Prg6C+5kLHCd9z0W5rYvjc9WuslpYp+0hwuES5vC
exC7FLPBeZj6rSG8R9WkG60T1T4KOOsqPSkB2hg3OabTeQLDhUEl3aBLM3Eo75vZPVz3jGGwCx1z
Dm1iK884bdHve/I0TWoRRKUi0nrdxHjNNLjUR3pZOCB7s7M9CIf1W2TKH7ZEhDtDtp9J4GU87I13
yGEhdSnCG+RtwBKxh7QxMtMLvFnHqBijEabwmm1H4gsCeYokWL3j7f4VBa0DW9DzQPoWP0GSI5yh
bBZDXO+qiYRCrX/HzNpLO8437pSpQ8x4DVGUsaztYSu3SSEmZDMHtRkaCXNPZSfX0HjkzH76hDp+
F8bDKgrAfEXnKGB86noYgJqKfTfmgBsAnTxWL4j8l0LBhWVGzgHApuKEuyXasnttp0vuZe2n11/y
vj8UNRnFrNy7bQDZ9NsA0+DyS6N3LU3cAE2svbMbiGHWTEctBw3rG24vcyTSVr8Per4lt0PMCc65
86YyhDlzOCZayKqRad78QGdMEpYNaXw92NvcpZQBfhJW6WxEbUTUqC0YopzMneHp6E/+qobsOahx
UZbupR5qIHrch8LazpTmsf9Wnn5vgsN0bPimoSJjxsKxKd0pwXAlarw9lIynpHmPa+w+VmSv3Zal
XSww8qBrUAxzG9VU8tXCE+bBNxWkl8o+kt2/G0LWlIDPAZXAvM2atqWdPlclju9CwcEwyyewAig6
BDq8cqc3rxLDTFN/axGGQMkQmI0r45EDs96WABOfoyqPH0sXBlqdl58WzxkkB0T0AWjTzgvmWcOk
MXxw4UQ5XJyolfrCDHNjYTDxiOv8F5mRYG0PwSERQAIDJmXOyF0bLlXUu+s6bG85A4Z91oz/fbS/
OJC3lzIgRlQY5DxEmT7JnJ2M0L5ufmf+6rL6xKIkOkrkQ9NoGnqUqwp+HMbiYHZPDZkEJv24KxIS
BjVQgMXEAOZYhTppDC07+0wkKx+2ha/d4RhluJ0Wr2QKtK3VGk80RN0qqYHnuFxv7NyAnejbTCdh
uY0PWsg+EPCY1EO6bp4minGIrYyFUc060J0NlZ1HN4F7xVkNM/UFY+9VmNVFC9kIJVh6U+D/XVHh
4Fcq2Yuo0sPQxWdUvfgu9dgKAwZlERmKam+uRzSNt5ZvyWauwcM90x4CKe550mHTkjXo2Yr1P/ss
YjRKyl8c+kh7Yl+JwRE6Yv7tCVRHt7b0b6kxMFvG5+4SeWFkFlwrP4RcwNOlLMnneDHaiWa/ouc1
Tv6QDuG0FVFXnZjldTq4ZlmdG9MEQRcnE3bGmscbyBCiX1qljXCW2FvReBNuU0qSg9B8eWDSNkAN
ZP6cu1VBucj2AHRfZFpdWWeSrEAaTNlhuLK44jvRYQ0RRGZMvSbqkVPkwqPFZbVmWsJB4dRybY9p
8KPj8DFp+dJxO2mFux1q8T75frUcC24Hj/AJhFepOPiNgg7aMbEViBBG4TBV8tVNknczmJK7Vo5A
wKdkOkwugXKf5MKc1A/XOb6YC2xCGt5cS/aW4fFOdb/7TDOPThyL3RkH57iag4bHKIa3WgXcF82M
G6nm6kO0HmNTg/DsiJD2IBxRYVfI2LzSat01SMtLktXxylRNvrNYNrcwBh7tJLrrh4hYM4dljvTp
OcaupjpYOQRvNsMUh9wtpdj7OLfOpoPTqZ/kPQNfRGGzzKcn2gXcbmxSIlck9fJoiRhqZW8E73aH
5TGJiFLYnlffh33dfI9GeGVVJkmwASf0ziQftcoLh0qRUODO16PXKLezPc70RzCh6To36pvDkp6n
iBNjEzDARWl1oqMIR7FxekBQogK22JoOUzG0zMU0MBVpKbIsZoxq2oWssl6ZYig/DQmkkB1YBjtp
EgqtfAIhhnASsM/FYvHYNSNctcTz0jwIRHz8oyWYCWR2Y9iBl4xhlAbmnZULIA5G+Wbh52BL55yj
uFkVD3UTsSXX1/yx+yBrnxv42SQJ8EWzKsxv7JjxDgQXLvZeTqjJ6YpY0VL1M4i5ObhSZzrLjL1m
IUMrWW2Idl6nd0OaHxuk2WU3EoTWLeNYj/UEM1Y9x8bwSEbtbjR6aKOQtYK+3MaTdvC6/jQ4yaep
wudCGgRCrfs8JUvae4Q0q4bHCrOpa5iNN71TFyGGnVbl3+zJoWehKCa/YTCVwvlYYvMeU+8ce99k
nH+ggexZWrGRGvr6QMttxhTHvfPMH3jNe+NAuuE7EACeE/VV5R9x7hDsbdDagzy66538vXP4qR2y
huM4nLgL2CqRbj0auQz8qhO7V6eaXrx0wjhou2+eLzcJFYHDKp/O/u6d8sVT+p753lM/03MRUmI3
WxS4KEQXMyssrhBXtrKVVAj50kF9iYICqhomBpyzoz3Mi3fsDUD3lkAEM7EGVRnTkX6n4NePfsIZ
6pW3psatCG5rj1NRPEehUa9lEdsbamNwczYZk7C0xYZmhQYKbZqlmX3B1KtLs0XQWTzomYujIdvc
rWpgNWlvfUnNlDsz114nexrY1KUyImWgekMnK9ZNyQarKtfyd0yTGpVR4WgXFcKg4qJI65UHogkx
rSwvXjdcjbaoDmDJWNVSGHunx8Gimd7EMzMtlwPYjK2dJfSwJnmSnUMfvDYLXpzdwBzIetQ/g06N
j5IZ/jGb10PxnVvLXtpPsDLrdanNqdHaJF2dyeglF1OwDwpNe6s9/6JiIz6GXjjhGAx5ciaEFnGm
Rd1aZ6vpc2i02pJFThgq3JjeAAL+NUQnWTcGAWSDTTN46CNgJ/M8JCCEBqMl7WOaMYreNWITMI+Y
zbOllN8z7RRZLX0wmijGIAypp1KG8Zz1Yrozy9ZFDPVvel7AzeyIKzODB8E8KaBMIUEhFwrn2gvR
CaPRQbBO2vcBsxqNStw5t6Kbg8ZclTv4cNPOHcD+2MVgbYXy0y+hZYxKaZ2W+MZ5GGU1edfaVPY3
YMr45oTAQvoWS0VRtNDCyA2HRE4R5WS7hrXyXYgKf1UObJ9Mk7MdZ1IYiyM4hTHAkHlHfrSocGlB
WZeqgpr2DHbHOfWJ9peIuEYhhl+Kn3pphiThMejGR9XD6w9yg0K/HC42cshJGzvjYvsNNMWknwWe
Rr+NVoaNTplFjQjv9YcwZYsjkQNczGwuYoNJxW6V5LOEALdqzSFjiWchL2lJvcqy3HknE7tVqHxI
vWgYW5UU91YcfDWDi7GTH5axlu1AzJrGkYKf/wRPV8amp1K/A+U4xCu2oQa7ylYp/vNI/yC6yH66
aNonrDiFRNCwBTixJNWJ1l5MPI/6VkJnyQqqf823fxqPvFmfJJO1YE8wtlr1mYJ/CmqHQ96fZgJk
hO5ej+PZZIfqqjHtCwP7bD8x6xyDzlgDBfdW1oiHIRXMzVyZtqfGLuKt3rCIUu8iY5sPpfiI1Q2f
rJ2ygkdZalM5Y7PJRPzOj0eYwxuGhZE4/Fo5BifqFP4CVghP6wHP2hF7SU0UFjTmMpqab8PR72uz
wIVYwztk9w2FqKbTtUOlvaRF5X7D6/1wIw9kfdG3v9JEqpXWZ89uV5iHMff0lerwo8lIIz4no/ho
QXbZFWUl39gG1kKphR/hFeS2QB+b97k/YamHyq9YzXlfF6hHpZHDeXMS1jE31lvo690G9wl7CmBh
Uf5Yxmmq+x/ClvOYuR5ndAIHYa7s6uxOyj4GIwlhEQ4dPv6A/Wjx9ITfx79zKpBvcfuTBe43e8uv
gTznNbdp2xk3KgcwKIbQXyOVCYa0Yjq4OvbYTM8DTKN1x6Q+LbkjO2E+mXViQnMRBob/AoJkiZlP
N/FuGaH9kirW8dgJja6TWlcv4wU7n0ZTyx+1BFKWV+nmHQqbcwEeiFm+NXgUArVZUugNF2IAQOPL
al01Lo/bOISdAPd2YTCiW+mZP2/uYe1MylCOqOKnWat+R1+O9B06+DI5bYa4odhvwFiu0X0dwK64
Nq1A6hSH5LHxeEa2xNmFX9cjvU0fLbRHT5mvgH1YfuqayTZk9yDsKKRRtkcREPMzDnWFRbWtwIQ0
TLOVmGmvVfMGgI08HPt5liN7YEHlCu0VfG+BjcuSa92oDo20eGcma5wXlkGgzsuJZmh9JY8ZZ+rV
UH39BDGVdgSMNkM8M34aG+hvYQdBB0fdM2BITjc//ZwsLWUHRiJeKiUvSpgUF3ZP49LHF5gjl9Js
xM5O7HPMGK25WJFp3BLWOyabvmFehcmBEGPDEGQZyeyry1go7tq5fx2YI7Ji1tEPREq9KzvhbklX
GwtuqLtmbFESRezd6CRKFEecLppd6kuJwWzL2fnQN6wAQC6xH7hk4bhaDQdPj6ECNOd3KpmRkYlD
Ik1YYZj7X4PTuz2GpvAcd12+Um12tstyvDpTOxwjbAlrppNAlMLuWmCkOSF3fKSBSA8iAeFDVcY5
yhOPnhw/5dIkJv9FajxfxU0zXHi4o5DPBpKKwXunovgZwYGJSGwUbPKwGubEjN8Mrz0VUztGmy5h
Otpm5g2Shnut+rimrKufSKGFQCjiL6/g4yvS4Nc6c/rHkW3tkHkIUutGLU69pxl3jUe4wGBxhGoH
1q5UlX6k+nxhuhIv/uXZMrVyO2blEl4IfQ6ddd7pX2EPk1nSCEE5otMKjdM4hat//uN//d//8zX8
7+Anv8/JyOfZP+gq7/MIW89//dP95z+K////7r//658efY7DDla2u+vCs3QyPvz7r49rlAX8x8a/
Ktm5ViUxaHX+h4aJwBgucEIitsGM279/Je+vXskQLr2VaTiebvzxlejaMYw2PkHYvjik2nC0M3s7
Ml9xqujQBTFrksPHv3/J+c3/+cM5rskOTFfYnmGYf3zJNiE32dvEykDNV8ldFz7J+P5/8BIeGCHH
EYZhe3/+/swxbRIJfM1TO0EjGeGVM3kW//2r/NWvxKJ10xS2tACl/ulV6jDSyCdDDUugCdBe429U
7Hdeoi1AxBueneHnf/KCpgvrwfE86M5//ObyZIDd0UUw5aI7DWde72DhwdCVbqzpN1eg9Rc/kmvb
DmemdD2S3398Kd8cccR33MwdDjE+483yssXffxpD/OY1nD++BgUz2bj5rjcvAPw25RZD6wY0zFKt
adWWv3m1+bL682X3759o/jX/7Z7yQiZNfs3UwTphTmpfig0u7KWHDRib8Rro81H95t6av6P/eEXp
eJbreqak9f3jKw7sfh3hGYIiIHytyWe/ZjWm/ptv8XcvMn/J//ax2PCaVp0gf8TWD+Z5+rInhtWB
Xv37r+93L/Onm9bVM/L4QcmkDCXJRTAevZ0q93//IsZfXXXwmoRnujb7TIT844epx0yznSnkwyzl
pdpnq/JEvbft1kxR1smBge9vroq/+ljIpvxjeIJ/5sfjv317euQmwwyrI+tqPdSoyMyokI3z8jeX
wnwp//lS8DzhWszQAT//x6UwCCbKI9BzvC+kdtmOHoRfaf/z99/f717lT9cCFKemZQZRLJUe/Fjs
uHdceTYzApJsCv/7lzLmi/c/P5FjeKah4+3780/V9mbZ5QbbW/rltBlW4XI6JkeW/6yLrf27y+Kv
bl1adYvYHGehFPOv+G+/Uuc1ms5wFJbaBofkwlrn22hZr5IzffQiWLW/udb/8sEkHcN1LVsQSRd/
elRoedv1NnDBpf/er5u9sXPX4v+Rdl5LciM7t34iRtCb2yLLtZMduRuGLL33fPr/o/aZETvFU9yj
HaG7jhCKmUgkElhY6wWUPG5xijxrJ9JuuKBDaUPhsre5SmwhShhQ/sCnQ3ZuQmglx9oZcNG5s7Tj
7Q3b8I1nZgTfGCUrC50Sllq5/0vR/qqze3OEtyzeW7sNv3AUTTPIKNAhgnH8+V61cyalhaahftae
9TvNC+7st11ycs6Fl37/k7VTLEXjpsecbglRybdqQ1NUHMPU6CYgxsjMG0+5f79yayNL0Fp5n6oh
SCxTw3aBvDGkjnKdmf8YHPmReZSH26Z+5j7CqXJUWVUdUOemaYmJi20gRDKpoKfkc/wWfIIXerpn
v2As/SIfwqP978MfzIa6QhcS1iXFFOKtFZezUYyQ7TYpLItwMnQqye6r2x+1/CfiNzkGlyBtOcZz
LOE0MdEltTUNexey35Nyic4MS5zK895tu3V5kISRN5uOLi9n9/k+leas2AXMGG7roXj1ZJ3mC1KF
UJ+4KFq4yYmCyt52LYfm+adZMiuHv3PLY1VYv2q2jMChaM1Y+pHr6tRfZrD1r2E1P6VHCcaCnbx2
Waob9hT5+ScWVtJFMG7xxIKEYIaIBjXOnHmur6X+/vambawmn4YeMe6haho1s+empknKS60CtIQu
yN1jfc2OwRECwwNNxWt7rv/Sn3YM/h444AaB41zWSThBcgnbN4LRjEEVIn0M5dGZ9ynZWZO60hmI
2qk+3bb2u08+N7ZEy9WZVhS5U32dprAvfxzn91b9Ro7fjzIiOeqReYy5/n7bnvJ7+MWgqjJswdGG
nU2IVBAAoc5jOER5pjbfAe8yLtGr9h5kLqShLwaPMsOL8S+wHDsnfNsuryDVkWVZ14Vt7AuQjGmB
3XyhEo3Axi/6v4+q0u4E/mV7RNfk2fq3IUN0zaHvICGR+MAR5scIBew8/MCEwnVnIZf/5zc7i0Pq
S16tiBEyMwbJiSnRM/nD7O+jbr/LZd3toYwL83d2ep7MT9WU7HzcRkbA9q2sCv4ygwSjRwOlD4NU
V8axwlN7gJDfnR8R4tzNSnfNCSEzsoOAQomZufajfQYZwDXQ3jln88ScoLfnIps7t/o2IQcect9J
E40VZXIq16+B+a0ed67QPROCF9o1lNhmiTJT3+towpT3QNXvwWTsmPn9+cAu2bqp6jpDEZYYHqdW
Yv6pJoRYdDSgCW3ly473bVmwVJlLU+HVj3ze87gBzjoIKYTHLv2++cq8AmSvd/3FeizfqfYZzb/l
njnuGN2KjGujyy20ClbtABYma4fUZbD0tGRU+aXglbz4wh+8koGwqJZtGrJNOBYv6zphTteC1duF
3rb16uv0yNS+S1EWLZzTeI5OeyncxkPiuUXB/dDToIgTsqTJdCx/XjMwG2THwVO95GTvrOXW/tka
PRaIv1CxUoSDZQCzXMRLkUyJXw/m16TwdvZqKyNYGxC+BiE01YdZIHbVV/MHSNAu0rHyDHqPx8z7
k7eDxVVi2Qoury7Jz3PPyCZZlrKB1KroPo8tZc8O4M6Oz2/lHGsbwtntRkPP0JskfSMe6dFFsVOv
g3ALAiA63TuBdiNQKLQqyOAQv3Aomjz/oMmgXh+FgGirBDhMH1CtBVj3srQALd7eqT1Li6esDlU6
mtqc6JSDjDC9s4oX0PmdAT7tWFG2zZgKLH8qqa/48A/SvjdGmQ9C0I856ovuGvcwCbudx9RKeoE6
6wgOZcfLN7aMVfxldHHS1be1keKgugLcjWD5LRmnu1GB4mLu1fdGBzMgwkR/sJaM6BjgAnF+8Rk2
oxkOmoFCaO686M3HUX6EF+e2iY2DSwfLdmRFVyzqDcLB7cO4HVqT9nvPL4B2U299VwpU8+NtM1s3
7zM7wonSU15EUxcxcnFUTooXHY0l5e288CLf07F5e9vc1ldpFJ+I7j8rusLZAn/WDTCccLZ4eBmy
DjPrztZsWTBk2TEchUwepu/nrqAzZRwMA9WFoP7a0PNrdh53WwvGi2spEduWaViycGL1OV6K0jxJ
qv88gaCpOYQ/4nfLbVGe926Ljc95Zm35+8qzAbdV8JVznORhDi+W3S7UN/XeU3JZFCHHfGZlOdQr
KzX1d9rbMuHuHFyUS3sxzsoRxOO/P6aqTPWCZJa95dp9biYdmhpwVw76qImPhnOp2gYEFVSWECfF
6vm2q208BDCmWyadJV3VNWGfKsPQi3ZCkSOG+Xvor20IuKcDHbljZ2uHFNkhhhumaio/35WrtaOR
Vowd6GA3GphFnkNgYFOo7txJW69TGjsIAquGhkyo+JxK4sA2nZxKJ6y9Z/U4X7LgMtDnceVTfuy/
R57yMW692yu46eqKIWvUGHQSJE1I/sKurEqGQJfYUHxWj8EdiL9j8pacz9t/A2yuI08cBRaj5a0q
vKe0pJNm1DSWcf0ULo3vIbfv7e/ZuCV4kaoG5TPH4ekmWAASqsgMlPDKDifro9Xqb+C0QbepUOwP
gRp/lhItyXZcfssLCUNsGQ1AxbaFMG7rHfW6iX3rbOhuUhkBMOtTEfYvmXvf2a7lkIqHmK+jM0ez
UTbF0n4ZpmgctDj8VH+xjHMTfLaVnRXcdMO1DSG6tsVsMzpPVwS0A1OPL5WL7clX4zwfi4f4knnB
Sfr39+CyZ39/lSZsWthaYGVGLEr2Y6dCrPjitlNsuZ1KFVolpeQiN4WYJDFTBBc+uLs4g4vHGjLr
VVrDi3PbyuberKwIwSgybS7zJRhB6XxgFsvIIobBdipK6va34DlgoWijizmDLXdwgqko+E53zWfj
a3envKE0CEDQhRbUc1zApZW38Ha/A0LnNm9h/uBRFew+sNWNmgXt9V8/REgq2r4D6pFpTBJ6w1F9
ao5Lu7M7S8fuo/VUMSh4hor5EHmo1/81XPbedNuL/cu64KRlXPfwN9IMLxacXV8dAOEcZ7Drt/d0
62j/+khFFjwTRK05dBWeqftM8y3zxHeV+r1pd0L/sla/HWsQiLzfdFWlJfT80sRIAiwf10FXghsM
wGsFx+YsnUHMfAuD+c5Uhh2Tmwu4MikELYhhch9Ks8zVHIY+GRR/nPZaXJuLR83adlRbNulkPP8q
Ka/QO+44dinQyBpeY/gezlCV7vb1Ny8x0n660Sqn3LaXQ7O6nxFmtNEyWNaPSbuH4Rwce7hoD+aL
8Qhh2G6Os7l2K3PL39fmanif82XtAsbFIQ223hV7a7fRNIG4emVDcIlJ0qGK0WAOjK/+eXgKjoBf
r+nn+Vi70Ymhip0q0+4SCpsVIiJW9JmTkx5mT+UJxsUDSqxXikFHODH/5FgBMzPhuCB9F29MffDz
0TT4OMboHfuzBbAR2fOke3/79G7u08qMEKLMFF5NWLDppE3SGTIJeER4MSbh+d+b4Sls6KSIJKOq
EPhbvZJbRItzVxreRNZJmh5b/f5PTNg6T25IwvTfXtxtm+d63+Jx7ZfYHJ/QbLkHyXK8bWXribAU
of+2ItyTJPRRbRZx6YbOcB9STS+15j1lyTP0tyrqM1oafyx5bN+2qmxFvyVx0nkI2w5lmefHCZVR
irUqz1MGiD3Fgyz6BHXsIzBWN3rIHlB+P1ZX2FXP2Zcdy1uX6dqy4CC2QdE9nhMgaafpCI7YG99D
bL5UwaWzepFgF9otDW4FxbVJ4eJyTMY9crDiDJ3b71u1uAy9DBQy1hnjad7d/r4t/1/Z0oXbKwAf
N0vLTLLB9CLyw1H5VjZ3fGYzcKyNCA8Ia5Jgro7o7tKI0U4LZELJWML+h39QD9N9tLNne98k+Khm
dAOjEsgj65GKYJQXIvLVFI+3F24z+q4/SjjSmoJwiwTZh6sWSAgy6FlJL2XjZTQi99G8h1gN1sQ6
fAytRdfj1PbX2/Z3nEQX7rM2kzulVjgRs/UZpoySV6CW31fdy9tm9tZy+fvqHhsgppVknwu6dB4V
/YIYnLpXqtmqFdJL/udw68I9JjMwkU0MM7g5Wgp36hEhCsa1PfWt/qJ5gDTJjTzHK/accis5XVsV
QooCmZYWZrA8MoOoVufZOBYFbMH+t7H4FtEIGFrIf/q9QLZtFXgNZV4wL46wbUohh05VAB+SELTX
oZEcmNcJZqWHOgRFD0Vn2EvVSCTlCeLGPKx3rtXt/fxlX9jPqJOjCsr4HG4qhHT6B2gOmLfYMbId
rX8ZETZ0CJkJDQxuO8v8akBdNjH21TMsDM+4Zp4mc+8oLgdazI01xV56RUClqCo+d9IAoWiGeyT2
zB2OSAW53AtPugfb+lHywr9un4jtC+GXMeHcj6VRJ2UJVi/TAwjrYfewP/1vFgQfQazJsFOUtWEd
hoExe5zyXTfcWzHBDcrWBgKOqCapo3lXnqDWP1GZd9VDctov6Wz73K8VE9zBV3xNjmeMafHnntkI
dZFO2IGkbIfDXzaE02xHjRYmTKO7vvUER8H7uIWq3bTvEmg+/rfdERKCQWGSyO+Dwo2s8WMDn7Pp
+O//NxNCApA0ZeQAHaK2HCK2UZ2tZg+1sCzHjRNjC9d+vahaRQt7v54uQ339GaTPkRbHRZohuWJA
+fvtL9p0AdUAw0g6rwEFfX5CI3h0ENAki+r00zzfazp6Fzv57/aFvLIhrFqJ1E4bIuINcsc/L7Cd
4C/DOvR3P7vTnvWxNXbC3E/c+W+r+I9FTXz6Q5tjM9pFCuBMILuiwmsQ9vDT+El35u+a/LWqvmop
TMEB0GEZclpoiuYOvpr+oe9Cz277Y90Y16SELsRSk3dzLX0K0Zu6vfRbjWYqW3+vPa+Q52ufI64x
9A1rv7TRM2rGzakFWIzG3j7YfDM4rmwJkRjkVArRF6lXD23+WT5Wd+XL5ux77SGB3/8HvIe7+LfN
kw/Khze9TUPYElw5iADdxBHbHhHLgu/MxDwkX2kC7jR8tj34lxlhFVGqM+qqZnA8ys6acU3zewZT
d3ZquTp+96dfNoTV63inopVHoFyacAiLd+f2Ej10XvKyeokGE9zA3m2Lmx+lUU2irq8CkxIMtrrS
OCkstm5IjS6tj0P7sQ7SPzqYKyvCjSn5UTH6LfdZ/KB8DS4QilKEnM/pZ5hqqVTs1f22nxsre8L9
2Q+9lc0mBX4ElmLYUq/pibnpBx1+hLMKdPqy1zfbDj0ri8s6r7Jkhr5qec5p/kDOBRvBZ/+s0T2b
qDRNICCARCK/vbN1u18p3KqmBiPG1LCqZedCtfmzrjoydX1WXBh84+PeR25eGatvFG7YyY+lwjAX
VnQJpuEHfXrhL5pZycdZPt32ys30cWVJuCyUQJ8cNYQIq4vSlwmFktj50Ydwkw/yk1428Ij80YsR
1AVwVlJI4HXP98/WR7Vj0q6iOAi3R/6XbjBfuzcLsRkbdaCQwIw0KjSCkaGGWiVFqRyN4+ZxqlBF
qPZaW5vneWVCOM+dA6f1PPGSsodPSmEfbaa8UU7Zcb29DxHOc58nNaRlRA1Cob2IoWbZ4bYHbH/H
ghcFI0AOLZwn32h8We7wALlg5NLiiTI3rwa4BI637Wz69KotJ6xXNPboxcp0NlFU+MtQYAHPpcug
f/Id3V2Ebf43a8K6lcwDh7nP229GgCuF41FKL775EJdI0e5VzDZvxdWXLXu4ikiI04S2TNmM2j2E
ZcE75Lq0VjuYydvb37TtC78am8JOmWEYFoaaFuSM3+XuConr7f9/2xN+/f9ClMsQwATEk3DtgobK
a4+5eArD3h8YMShryqRhsip2IXT0J0qzkWKULaazOb5KJoWR52LHqX+2rn+73ldmhLimT1YB3QO8
kNPdkqCOlwVTjujV/iDP5qqtLAmpcBElipHa+HV/Cl6P36wvS6E0eOjB54ef9RO8WKhu/8lZ+mVT
BELPhqpJTc+4iG5DflQNjFV3kJz6efJaR1UCqcfSvb1tW+ByVVuZFCJqVzGpD6lK8vPdn7zOqBzV
X6QMOIQJiA5CyMPwIvICb/eG2owbhmkoy6wKlETCSUZpC25jk0Qtz7LZ5XVzdhjut4jtXQoP8Tjs
OOjmKVvZW/6+Os05qo9jmtsICxU1ko8w4lU7zZ3NO3dlQTjHkWoiLGbRHqu1h6iEsPxNrV8nRv/H
5D7t397euG33/LV8wqGW9QAIi85q+fnXjoyimp/G4dWf2AAbCiAHXKU4XjaHZgXh7dKWzWC1+xw0
L/rx820T/x//+2VDuD66eDJgYqQUhALmtZdcmJyyvyS3d6vr8Ca8dA/5cbiHBlnecfzl+P4eSH7Z
FdyPIXrI7WrsxldwqZf6Mp3+G5zWdopp/LIjuN1gDLICffjyfdoJrqpzfVHfQnYARFm6qvNOfNx2
8l/WBBfMqTIPccTbsUtSy4PFrPICLgbv9qZtWkEXg2OLZ4DJeX6Upi7om6gmRcpK/8PQ6mjm2f75
to3N/fkJODMhxAPp9txGCAVemsx8CZpxU+dlOs0B5Gus7E1vQWvkFdmH2wY3b3vb0hGwB+HmiO3F
BPh/HuR8VONDKZk2xwjuxwwB7/bfz0PTvHTIy0zwqMu83vNPm/VcsqaMkAuQ/jCUJwsSyizbKehu
xgdnQR4wnCcz/PrcyCCVpo1sAXUVWX0ZauWradDuUz3f2aZNV1iZEa4PbbKswICHyp2LUYXKMlag
/dhDdm9tjQ4c8CfSDP4Uwd/QmJDgmEXRMHS0R/hZQjSdUWwqGQeskeG57QdbCwczH9BAQEy4wfLF
q3uCNIYpkWHki8rhmxk5j11jQuXZZTtZ2eZHLXMSPzHJtrHcjys7BhpXyG0u4+Nw5M3lHVKU5xA1
BP/b7e/ZtrNg/QEyMQEt2IH2245N1EJh5JUOendptFOfXZ1pJ5BvLhtow7/NCIlZOff2CAEgJd3G
vkOz2gO9+uBk2k6AW36tGLZBC/9jRnCFEYVzhEAYETb8T2F3bMevao52KQIA40482PogZDbANzIO
xJtW8APfl4dcgUmGoeAGKtzTBLoGfuHbm7OZz66tLL9i5QUIj2SyWjOFPN0tVZ3+Ah0n0zLt2bre
trR1UNeGFjdZGcqiaJbHHLceEx12TN35YYZ7sMktV1vbEFwtSGrqsvMIi0l8l0Ze1uoHx3nTznvz
F1tOsLYj+Jri2JWeO7i0XXeuog+Pqf1iTmoozFoPXqWXt1duzxEEl0sbe8jQe+S2G7WnuExt15Kk
CypxOydoM1VYfZYI2wVCQ0MzBjo+uMqJAeCLf7WOkKidqpPzcW98e/nV4kFaGxMC94xWThe1nNfa
vECfDzl7rr5TQyQtXgxh59n6ztftrOLPj1/5XzQrXdrO5KuZDnvPfAej+SGvTre3asfJxaQhQdKu
SHS2SpeNU7iMzBh/kOMbDMhohgEU6bepd8nUjdicqQmYi/hE8TjTX0cxR6qfkN+M/qRgvrIm1uUT
eaDFPtB2GEMkLkz1axQ4UF/aO0F1c29+fZRYuourqivzimUbHPWjIUGjHIXJi3D496RHsDYpumEB
UjR4dAonCekZxRwHyq0R3Hu9+tLUvwTUiwoI/3agyJvVZHhZZMYWdMZXRE/wqzhtmprXOwqKPwfQ
X0muZZ10ouvStqF+Xez43vbxXZkULozCiuISNmMkrOI7dA/c5D46Skezvsuu6aU+702AbOK51p8o
XB2S2TY1RwoM/jF8WXr2mfmwS3WOzigEPZVH9PNoRnvTpXiPYvftc7YZ6Fefuvx9dZg1CZm3ySB4
6DRyUD000Rip9M9auhM09uwIF0pqjI1VwDnulsmDVt5p/kOXPWTDTt970/3NhWaCSSpLF3HxWiwZ
fT9EXFvJ+ywCloZ6t7mDR9j2jpURId4mIyUzZEUW9F0eesGlOSdnCbX1KzLgbvt9r9Owa094ZChJ
gIZfw9s9tS7+uaRfhELlJ0ofC1/VPlfA5hoCLGRWwnEsKFOee0Tkw77bZlzJTXIZy9ZV0mNn7JW0
N8P7yohw7ye8mooZFWsXsMpBRrNU03cce9uChpSqzQADD8/nn5Hp1qw6Ayi7qvgaZHfmtJvwLf/D
b/euw6zbwkEAlFqIgZlUq11cADGdXi0z0gtXhfyRlVKelgJEfVas4+2zuv1J/xgU7xCjcvoEVnWq
v4bhTgNYrXFn0TZP6a9PEq8PZXRKHxgYQltB8A2WbCgt/eJaTtY7q7B3AvvW18CuxMsY9jxuEsHP
ui5t2sKRKEnp9qGKnrp056BufYypWsxDM4AGAZtwTo0urJJZUwrmX5UfWSHfgR9FDPw0h3vVtU1Q
wdqUcETnxEj+w4tWKOel94gU1VcoAOfj0tHdy/d2rQmuLVUwRQV8HC8N/Qc6TveRG12dM9XdXeKQ
zU1areHy99X1YIZ2PbWFVsEpb6J/8S6Y3t/26Z8sWuIpMjlCmgwmY3mpP7cwZlatpTllz6BJw6e2
9GFBTh0EMvvEf1Aaq0aBqGzPoQ+EqZvm+sj4b+I1pvE9TegaqqX2I6kmSKwgM3GNQNHvhzx7CR+2
/TJjgNOr0rK4qGEf3Ns22rdxUaOfNi7Mz3oVvIzyBqRo1yjX25+1OO9vX2WC46S3CTWkKawb055Q
2Zeke1aveRMk0BUSujItVR/q2xAUzG1zm9u0MickEH5j6L1ioOo7aeg2WEiEj3+SWULB8M8XCYlC
pfYMpyzpcpe+6X0vMV779un2V2w9ZNYmhIgwSRKSCMsLWmXgdnlB18DY1V18wtYFt+AiDaBXyxi5
EBdGZ8jbNCMVIVl24eCRc8NFJfr2t2wa0WwaBYaGd4vXT2QbhZk0duJqUX6IqKMVjeNFTrRzJWxm
x+bKjuBooQ92SnWWLtoraihX5T70vppvltRYPfwXoWc5jb/59cqc4GhR0+aqslwQRFY0B6fwa6T2
j6GBd3cprYW6Tg9Dkb5ESuwRZta9bPUnM8ct+4IXpkbQJygmMZP9KuwPvKSOKJOefkJcaTRYMGz8
GB7g5zvtjhctIfyWZcE505K0cpjZ0OY4MnPBg8DVnrSzfkLs1ZN2KoqbxaT1tgr5UWtVaRaSXZCE
eVJ4X/qfo+iHATuqeXTS2dWb92W4UxzZjCGrrRXSmSBt8gShJzwJPZiyfNOEO8n5JrJ99VFiVSSd
Jdi7a4vE+U77wLsRMUivvrcfpg8m9FcH7ThdzCd/5+GxfVtyzpnxZJQVkrvnF4wkD5ljqyxl+iC7
uqtcsjOqwNeYh9xeqr65hIwbadBSQTgssh7Wad0oRkMA65gdmduXeRv9SZWRysQ/JoQD4NvNgNQm
pJSS8t0JXiN70wSvNXXyYkpLyJrkEE/vsW5sxrKVTcH1DVvSC54KiZvAYR9adzEiXcawE8mWH/7b
+UL+lFe+oTtMQD7fJkTDdS5onh3+8Kkt+reB/MkBUQNC5M0fROaVISF7MlDbHkaDEFZXH8ysdskN
Tk2ueLetbLoCvWcFGCGUr2IC4GS1rPsGjY4+6Z5Caf4yT/LOiu2ZEBw7qGzVGAou/URBXsfKjiby
K7e/YrMyQcf4n88Q3G1uw6DMJ+YOfxLXFAeT8yMdUWT2mIG5dF7xVo0OPEbujZfJlx3byz38m0dA
SAEeU+YeFflXkbvoUlmnbJ8/LAAR/1p5nTd57Xkfqbvp4egeoZVGK48+wXPnQ1I7TQYfBEPhd9de
197VUn/KrHLHKTZ9fJVDCa5XM8s20Cmikxc2CNF969vgR+RHbi5pr3YWb9M5mBalJ+hQOxMbbU0/
WgDRqOsocnuUKgRF2uAQmhqKq845C02vQTlJMtLDpDt3gxl5apGee8RDTKvdKbRu58J//5TfR8K7
Ea3MkJ8iVdDKeVp3nIZrbJWHXP+To/3PRysitnvIIgu1gyWGzFp26X3Nui/DOD+gKfYnWLllGvc/
6ws78HOPyepkoD/PrYL0winNFM+GeNsPmOjzGduavt3ezr0lFBwH/amxkfP5P+SzXSd/VnlGwDt/
9PPKQgSj2kNnbXqqBZEjx45RNLHUYDZJKtfLgWin/p0/Rp5my4uIPKByVd1JdjYP38qWkI/76BwE
iY1/wAT+rotRKnWqV8Xg78SyzdfFyoywY6iPDryRljoywjlypSMaMb+ZeAhO/XweghyQlnLVps69
vXWbB9GmjEZFDQ05caQ0T0OUoFBPdUMqUKTEh3HcQ8pvmeDahAAODIKuiNEL9tlB6jTqAS1fYVDy
j/cef1v+By0BTHkQEsO3I2QAvo9SrdlUPJkaoM6fo/RdZD1M1ePc5t7t5dqsdq5NCZmvPKgRisSU
hdpTeV3oddRrflDc/3By7ILjt+6YtTUh6UXDr/CnnGTAN/SXdVRcx7h7sMry1NcK96p55xSjCzL3
YxaSklR7PC6b1DFAoIFkkdLRixLs+0zLzmZCjWpwoydNPTCe66kffW7W6lt79qFR/yOkvAWQWCah
wqws7OWk6EiuD6iKpA9oqx+as/lSPyxYyNqF7/G6s52bC2wx5sQMvmwBynkeJ1sUgeuhUSGasM/2
nXbxPXg5M6hxMvoZe9+2FbUssh4oNLSF/1O4xjsZIcZZoUbBKBKa1d9jxX6dZ+FLKLaOt79rk8xl
bUpIjJSyHlHP/blx+XV8yD7Lx/QUnvJ79WNXQgShuPGheoNE9yk+hw/KLsH6cgzE5GhtX9jFDAI0
J26s0lVe+K+Qnp1P1il/07+MT8hneDWihHfIIYKn8Jzr3qnZXmbYMx2ei6QXwrfHlG4LBCMZtpbV
gxnELxjjvUxx+NFOzD+Ingur3N+mhM+su1aOW04J2mCnBPgW9cida2E74KxMCAEnkkqVSs2wHMHh
OEOmUJzNa+8W1xwCBWnvDbzc1L/v268PEg48IpwF2sVIFmlvzHNyie5sz3ywPqFtwVlHA+XtbT/d
TOBXC+gI5dW4Q1y0BXnsykHzWPfgreTZKxCzq+LqkKENWDjBuYu+LyN4uRldJrzXzqQXC15PLcbT
GH3rmsmlLPsngZ4JNajgubYY/xYig64GxULnQs3y3Pz4m+q7D10y/P+iaL6VZKytCaGh0MsemVdS
w8FBLjhsI8mjsYbmS2TtYdyWHy5u8dqUcDykvkxzhAuplA6S4Qal5LttqJY7EWjrEK6tCCfDjFS1
S2asVIXzgsmNF/aI0msaMBhkxH+0Vwg16QakuRS0hdypl2rgCo1UwnDWLWfksFRR2kPxEF7CO3OH
sWvzRKKS8o81Idu14iLKHEr08ES/90fI2f+KuRol5ECLp8lBrLZ6mevn3EGybk/waNNNVqYFpxyV
tK3rxqKBPBO3Ue1uEuMahPnO5m26yMqM4I1dHbVVP/CFiq08ZEH/yjf2WgLL/v/mhSsTghd2WdEa
7ULEZcj1a18qj9r4ItBMCISQoL3sRJlNZ0RBgiqbviSJwo51U1DHQU+UoQIxuUtaEaZu6rGDhzI7
mIfBqw/ML/0X2cwSL3/7zJVlYcOU2plqha4HNUVG9z+0XnsdzpULU/rBfwNhQPGQPzHbC2ZjuOxN
FW0uMRpFzFwgkAUVOL9t1RzTR71WkASFmSCL7mQ78AJNfwGpVnJQB/XTQj60s8zbH/vLoLDMml7O
cYrwuYtObOuZd9ZlkQZBwLcilrsVj3uvuZqXEvY61DrL6rBX4Nw8HnDo2bAOIWAkjniXujqEasQ+
89Q+TPMxUN5F085zcCuzWXj6/rYhPAdlu+lnKbIrN6mSg55cZ+ler4xD6LybmiPqk7fXdNsaROBM
hwGrFTX2rMLy20KPUtewBu1rZ0nTuXfmvyQjG1yEGjo3NDQ6hD3X4W3Dm0dG/2VYOJ+6VKa0Mog0
vVweQ9VF9Q/d9C+N/OW2nc1Wgr0yJFwU8dj3U7lQvVkJXJujcgCd3KX1oagBk5hw9RSHMgTKUu6k
OhsfaDJJLfOP8iFcs89PRxMY9QCvAmJXgTf4Hzrne2NeJXQkb3/fnhkhAEigBPtOJ30ry+rUQUIy
6TTE5/E82B//wBLFUAZWaSbIIp4g1aWRO5C2fptw8WnpO/CPh9gxH6tyj1J0wysX6pZ/TAmRhUaC
Fc8VZKK5ofpXs7J8l1qy/gCF47csgMSxTofhvh2qvXx760H6zLKwazDo0c6u09Qd4kt+1Y95eFgk
WPQ3quIZd7IXHv2nvTi6cRsyObboKVDBgLVA8NBB72d025mVa+TsbhxHpECNePz35w0jxGqD1+jv
iiGRwrAYsk0pIiEfzLg+NxAKQPI1J875tptstbl+TrugPsQQtSPqM+ZDnxeKUbKErpW6UUTTKfei
V47bnQIUgSHiQXH88Q9C8zOrgsvoRa0yd1+gR5pRLU8TT1XHN/YeU8rmabMN8nLmeHj7CcHZ7MbR
IdlkpBrxv1DyilFxteFixjszL1tRi8/5ZUj4nFSeEYBr8IkuuZst8vQUweqgZHj3MY7eWf5dpLop
feA/2rtfZgX3p0aX9p3DddB6ErKu1+bsHCt8JnSXF9oEMeb0CpXwPbOb5331tUIQ82uqMhZ4KxdJ
8046lBHKJZmEhtBhlp2O4XuzeztLSfkmCcsQQVzeb8aUa9dCn6j4AaCa3bDL+5epGb+Lo3Y+OEr7
Th1q6XWnt3sVza38nOoRw2LsP/0S8c7s1KQ3xzQmw3tQTosMHw3Pk3UOYMDe16XZOk7PrAkXZVeP
aU+RgS35UFym7Gh0HKjGHS/qN8U/tjYPxkVvRXq74wobUQmtMnQlGI1j1ubn71pld1ZFOxKEYgrU
4VJeGQJ1GVVpDvqB/vvCEQxB277kz+JfQjqLYA36VyYYVprIQijMFTh7TIlTTCLdBoAbFv436ZiR
4qVu8HY+7sNhtuY2n9lcnHP1oY46RnrmY1M+I1zfOgfnxQIzta9ac4CHfqm9Gneau98u3wKvWIDV
gf/paPf9Fin9osv1ps9Y4nf5Vf7ckLY7QNkY1VvY1Pfrgxvp6zN7QlBp6gIeOYPLTbM/K8ZlRicw
Sl7d9pstt6H3ry3Dhwu1rlDgiZUsR8aR1ZT83ovTH0G1k4bsGBArOlFZI18OaZ6bok8fpcc63+uU
bEEmWCcboRKdmW6gUs89wm54PJY6JEKOdlzUG6Oj7QXB0Tnbp6WeeXvBNmIfcqgGqSIwOcY1xZA7
63452HxPkd/nwZPS3suh79aJF6rvFNu7bWzb2VfWltVdOTtEAGPRNBym5od20j8b78v3+Y/x9YyD
26f0Fdt2Mj7u0aZu3JrPPlF47g/w4ThBQ0YgI5czxF+iyBshPJlPtz9u0zNW3yZEyjQuSXFSzEi0
mmb9Ebbxw20L23vFwCsbRXASWXXhE+ti1Wf1wvl9ghhKLB9gIVE0VA7vpmjH0Tcj/6JY97c14bhm
qRlpWVSTQ9mUZpv5oBwW5gb9wEBE/to6y+DticE7/rgc0N9C8Mqq4I+2leuJ1mF14ZHuztl5vPtv
pvi2Mu0lhwJcwWQvukBCoGBoy7LCgIR0eqXfpcxDowjkn+Y7/etPSEV5Dh+dy+3t2/TDXybF8YgR
QSBNcdi+zm5cS3nS/GU87CE2dqBkm3EW6D3CHEtSIw6qWlmeB3LCEjIId9DHM3R3B2f8k31aGRGu
LSmZ7XYKSUX94GQ27amFwz+KH9L4pTpf9Lk9WNqw4/7bF9bKprBn/Qx5l5rxYck7+5zcz5fEVc6z
W/4/CeK9RsvmOlILgXSAri7AlOfBKmwKNZ8inZfE+MlvikM/vTCHr7d9Yonlorurss7TyCLP+W14
OSmdovJzFRSR3Zz14XPqwzJlRd5gJYfUqXesbV4ta3PCrjWjEZQVQ+yAejTo96gi39mHhfg48aqd
QtLW6q1NCasXTZPi53GLdkrzZYxPg/K9SN/eXrytA6WiGG4Yprb0xpfFXd0mlQXKN09ZPLlM/koY
l1C04q+mmnl8fb9taStcgDcBjWHAAADqRFi4jpQ7nkvcvT1FT7zF74NX6sfgPLr2QfbSV9Gb4suO
xeV/FDzjmUVh/TJHkqSoMcHt1F10Gse+uq/HPDzD/OgftCaKL0kUAAhr1C+mVb9s++hdYo+Vl4Z+
crCmZELZJX/VWxa/sG/hEMokSOWhHdq705d7QPih4Dool0ClqZBHCI9Su8q6uospAc3OGB/MPDTP
hgNDWuto4WGiwX4YJSN8HdtVzMZk71Sl9o9oRmcH1H12yWS3buH1rxFurXAanL41mUFb5sDjDwG5
k/qCV/KiD3QuTvvCIluu8ez7hRsr1SFIn0y+v0nCD4PafZqD4NFI5hMv+E/xnN2lJnTtAb1aKWKY
nzEla/ZanlLamO6V435iXG9txrI8qyNhSUptM0BZcX2Wb323CQ7D3XA0TtYlPFnH6muHYDu6Ml9g
JTosT4tFNak9p+c9fYbN079yiuXvq99RxUOUZnpDfywNz0XZHfWiu+v9ZCfIbF4JwDeQVoNAhUkw
4ZSMo28VxmxWlORcm2dTfJqtQ/h+gVTIXvUmPauvb5/L7Q/7x6DILFVNTDVJ8vL6Ht8H+lPWfPC1
ndGszRf+6qMM4UQxN9ENFB0rJjGiJ/VYnSW3OS3yZ2hpeHuojV1rwonxY0WZuIXwCgh8yjdL72Z0
F53bxTeKnQ3bDNkW7wzCxSIXL8TRcUoao5L+j7Qva44bV5r9RYzgvrxy7ZZasiTLsuwXhizbJMF9
X379l9DcO2ZDiMZY5+mcCUeoGmChUKjKykRp1ZquszqQNytUAYN0RhGEjhM+wW34xxDrGNagmeuK
jnPTty7iUzAm9wXafE35mwyd5yiHy37B90RHxmCLQqXk2FcbWaEU4ah43Q4xTtyEkkWM53TfB1Xh
LqheiaUZ6BLenfWdRWYvZclRoBs/0VBHU2X7qET9fxjY4aYoQM5BjxsAXZ2F1W86yTJZpZly/nUp
H6T6U+Vc28XkKl8EW8gZb4FKmEzlK/E/0M48DxqLMYHFeAKTi9HelwrUQBO3IqGi6odqvUksDKDn
qtuPiXvZLs8n92aZA2DIdTnVA+72FT3TJpK3uykPnONlI7x7aW+EuSXK0mk3TO4U3paVXgzmV1WI
Fqfbw/oDhD8xWeWgdmCz6VA6zeUolThbVOFKgbRFdhWfyqMSkHvRK437ONzbYnxvWJdeGRIcL8OB
LPHgBASd+jXJgsFAsCqdY7fZKkhLZjdxULqyctyASljrsW+jByapiuAbcisL+x/EnPe408ExVZH2
DUcE8QI/9jv0ZynbM22AKyjdjdfLt8sflRs7/1iFuvu5x2YdcQYz0dFpT/wSE6d+Bfr6FgNtq1sf
lRtxuUaw8ZjhPrcIjQi1qTaHrnOijX6PhOa3YrjrggXjrvKhld0NOkUfYKTB9A5QfUiCofbIKleq
Y6dU6obKfKWcyPqUFr9U63HTwsv7yT0kOytM9lJvZaxmKjy4dm5zQkAXK/hg3KO+M8CkJYuemL3d
axh8z3pgg7wVFJ7acNImwW0gskP/fZf+FEXr6E29ApGhgPPKTiHSM2thsaaRLhQV5TVrLOQEkJYF
LxXG7ZlnUKyry6C1aNmTY/dIqTwnJHfFQ3XVf2RVO0PMoc/UEhzdIA72KuvBLn+mznHsHdc0ny57
AS/F2q+HOcr1bFpE1fDyqQjxhi5awaLpbIKxCO59vbPCIsMnvVdsAmkLT7+ho5tFCPXS/nUK5qPs
JhDqyD9STtgbZE5uPSyltPUU61BLfmUfMDMUVqISIT8i/flGLIv6kvRxncrA/5DTFmaH7eAESiSH
sUulzz8yC793PRZloCRz148TrG1JoP4GSDSYDkiyFuVNqxdNysuewY/yu9UxAWKuJFVeCTLjTXGz
l/p2+lygJGn/tL43T7Ovefqh9puoFfg931c0A5q9uFcxXsh8urxAfpqMtHsdVo94s6qJR4vyGhAc
rrFBrzILS1Gvl4cdRf76xyiTlqyd3MsZJJC96dmOnFDLKDw9tE8qwBzu/LwEIPQ8OAfIWIk5cbhH
cGebyVbAapx2uoEWhGZFnZaEmumqywfEKs8WyH7MRE41VUOTOc6OGB91jWZwDXKdqcKxTRox3mVG
u+UwYX/uwR6IVzE6T86N+t0EyjWAattB94vCHV+nzo1T6H86N7P/3wYdRPaZ60B3RqWcaF+bcrNW
YR6NIRVsE8Vn0VdjLgJZbsGCR6mNDXQg8vzOsIpIkkWDjyIrzC2gtWZDwEcB5i5neTIsEOEk+VOX
ZKHgrNO/c+mjMddA0jSVrcbYtPxJg4AHOUz+5q83deR40pfkbrPowHl+99/kYhXBJ2Pf+Zs5bqYe
Yy9bw22AxFkO5AcQ8ED7qUeqRE/7z+Oxi4xj9tu5+9Bd8cdh2QoAALgAjllozQ6rferM9jEd7dDG
QRTsMT3H7/fYBnG0BSFXYIDO85R17gmIg9FlV7eb1Ub+ClHeMPNs65iWGKJQATgSPR2or78zCZgq
IBWAbb4jnllU0LU0ldF6oFI1+sdpyd01/95mhuCu4LqPboBeDk8hDBgwZx6SkCueHIjZiWZ/rR3w
H/fSwZG12zXrXMnOPoERRZBTcE/GziRzzKH+0hTjiEltO0W1z1BujNlCX1VEj82/jnZ2mHPuGD34
kChiC2fPp2gMMOvHnvqIIooaFrgVDJEKhmhlzJlvOkzr9cOGqaUZpRvrqgdCJhENdYqMMM4odfMC
aA2WJUnXpXUs5vtcBPXhO9+/TsGe6koGF46TwynqUrnvmiysGoDM5W8x4NEfOVqY33xj1sHsFeN/
zZAsiio5lPa+vKYxpAzqm9KTR1SDKHHYh4L/zh7jfKTsu7Y3ksqzAUrqjENVXffjs2BRvFqQZpqA
JRi02m8weYFjT209g/kHkwg0GufBAiFSKtmWeWvYA+ytQoL0P+gjcqPxzi6TKoAjxpkLy8YcTTQG
85NxWH7oR4ozT260aAmm2/5EIUFJaH9RReUh+rffBaydbeZDxkmxlI2Mh0JvF37Z2N7y5fKucp0S
k52UIgONQBaxuCp93kP0pfYGKf6s5OphaCyMlBn6dZ1thSAs8oPHzhqTVraJ2oy2hTkOY8Q0SXU3
R1mgH/vn6kkJ6s/i+jL3VOMUUFYO2bBZwEwKmGFCMlAxFFLYxUC0xFeaQ4LLW8gvi+ysMBk6WYxh
mwDy8KSDfpV6YMy6Sb6AXKo8UeHF9aAczS+pACXJvWHQCwTLFK24sRCCbE2HfO1TPEZMG6WXbh4+
yfKquHbsXAPXjc3tNuKlnSrSQud6pKOh4YH8GO1IJv7Xq9Ut7YJ5dGKiOZ21n8HWlQr8hPvZdjaY
iD/Z4J2Q7bb19HnxEoKeAKVvexB8Nm7+AcY77CKkqMGqzeQfmDWYwUaPxDjx5dlf37gtJG+7L7bD
P2FSyPbJKzJD+RrfTEE/F/Nv5ybrpGv6XhsKz+kOVhZ7cXqX92k4mN62hhh9t52oG/0PrBMkOBaV
lafdfiZu5mvdtVOPQ2ei2LCcNLB4qI9NsHjQHkRPUoR44jmIDnsAW0OyCO/l8zWWCyqxeYX0cQO/
IwbTQFvzAffYWWAvUiioZpZMsYPAyn/KpK+ttt4to8A9eD64N8IcalXanEGvV/T3qw7SwldEBwWD
iCqMd6UBomtiCFIG9wh7T6+pkw5aMmIl9uJjHNXNBgz1ZKVLMFUkyuv5H+aPMeaS1jtdaTUQCHpt
RfDkTPTXrBFx3/B37Y8NxsFNKyZxb8OGRL6r6ZXS/NyEcwoq506klWCgYwCUxeT8uYOhhzPZK8Xx
0SoTeLEiC1UmWoChPcOPbNreGN3UXTF1G+q0S0DJhR5vBjW07rHtRU7A27O9CSYOOUOTlPYGExrq
wk3yRCYVlUcBLot3X+yNMB9/yMsSGi0wskxLFg3EelVI/TPpVYz8tmpQSM41GdCxvxx7eFYRdzTE
OpSvADE63z0jLbU4reDfvRE6Ce78J+VrtkCeWA4H6XDZFm8bgapTcIxwmNDePbe1mqMhV9WCZ2uK
98Hi9s2N0XxgF/c2qGvuvCEvSJ8P1YwidD8ewExOqk+S6vfli07kIFsdwfaJlsR4uiI5nZ5tMDc2
uZtbYTqVANYEl/eNlwHu18R4+DDlhhLn2De9+AUmOBfpJubEELq/XLYjWgz9993eFdOcNyXBYubp
RJR7dYZQbPS/mWCcvHOGNdEXmDBnybX0U53E4FryLhvhhVGUDm0Ft5umG2zm5Sx1k1UK9qsHWZ7a
Pg+bYBU8pkPMD/1rgcVqWkW3ZFMGC1NIVbwboP+AwX6DwJaeekTe1TxJUenLP0T1EW4qa+moWqDW
rCiAtZx/pKqLQV1qluUbHXl2KMDEqaCKT6Fm0m+K1IN+5+Pl/eT6xc4k89H0Zp6zucPLWzEDuTxN
C0Ye/n4eEbwgOlR0kLZi2JM5R4UCFQF7nBAatMRNaugAZkpo2SdiCgzx1/LHEHOWSDXpTbch3ql4
oRbf7eRJtwSJP9f9dmthvtBAhjzvIcPgjd3glslnDJMLog43aO8sMB/EsAdMHU6wAA6+pEndWToN
cRRn11U2+Uv2kbANbgGAXEH1Bq6kc4+bVmD4LAVnNp8Hd67A5KnfLtLx733MxjwPlJQ08E6wgwbb
MtjJ0IN9LZ2u+1zGKNlB7QV3Ay+X29tgvv26xYhw2oZTC/jsrBzMunKJMbl61bmOSEGTe1Bthc4m
Qd9Ie/f+kxQ0Ji0HkIMOeIsNkIME1Gquedxu48/08TIfOnDzPVzeRt5VsTPKBibZ2BJzdRRkKmYM
wdvNTbZQGQOn9C/b4fn43g5zlRdLi1SIpJ0X6/NdO0nEbYhoRpl3VAEpgvwH5tlQfGYyVSCmnKK3
FCT1fWz6hrFdK3CTL22xirq93NXsLNHztrv41M3sZZkyaAybHiaxfqzXOPjAhu1MsG+uPAGLYQW8
87LJT8j0nkuSCr4J99v/a+IdlR+wGdI0zkkHOdjWcSc5mzxdeVlN4k7DKlgOr+L259u8I/OrJhDX
9MCzeYku+9JWvJRp6UL+1CPTD0drwa+aB4T0AquXPeIdr1+vtxIaAgaAGeb1qrduWieuvQpRsvSy
YUt6eLpomgwlNOAQGcebLT2J5Rw9CHJUr5bnsXBl9D5Sr/+VR3GoREOgYhSkfOzc286br4krboPw
Ijyd48WYLTjdUCQ+98jYShuaLgO8F4MowlxA/3PU2s+JkbjLekyaSZAycWHKe4PMlUK2rTSrUsMF
HC6vzjOtkVGoZ/+6QCYLHMdCqjPut9ytkN3kMcvidcTrPWueijiyVVxjIvC5yAZzro1+aKpeg43U
7H7lNQRqFj1Iyyr8wNneLYU5251sSEY8Yu+AHXKVwSUQUfyfLLxhfHYByijmoexqwLo0qGSvuk/g
+JctCBzubTRkZ8FpDUnXExytzB7g21OxReparp+SvH/I245cqcUKitd6GARRixt7/2zeG2JlZxjM
ruNsrLixjMWYfYx2qf6sisra3NC4M8Kkl3GH54C94Atl8o0uN/6aohugn6ri6fIucvE1u2P0dsx2
q1nWUQGvtI32b4dKs4Y7X/JG4o6jC2LXbx+c0t0bZAKFXZpJGQ+YQtIj43nLXD2gc0/Gd6NzjSsD
pD65EHki2kz677s16mo2GYWJu78HjLTylcNI/Bh63f7iLYDVl5DaqcMiKjIBOJw7nrRfKxMyEC7k
Su5g2BnX71IleWUuIcPJ680zNemmH+1Dkw0npRtCSa79dfiA+LYFvlUVAz6WjGYM40ajNeRVlyBJ
Nbtb2/5EmgdHFIi5m4tGD0RfdYiXsliiZlPKrlERsqqlc0l/M6G+3lX+kBw+4qk7Q+r5V7RQ1lSk
BByF6VH2ZABe4qP20Pu0Qyz5H5nXtzE5D9VmEDlT6fJza0ASSEOj9pR2I3uZA/pulYI+BPh982Q0
BRNfEzwoqDMwl7hN6/jgDQITG2alzy3aVlJNmoVvtSgQA4hxAIc0aGzlPtbziGj1o2A/6d+7ZI/Z
zwLFOqvaZCBC7FvKDND/krxmPRgR9ETKUCQzyevT2fRRgUKAiQYJK9CjQBVF3voGZ0Eiq9/n2afZ
6qWTUkAleNnG8oWY5Td9yVR3WyzMNlsF/EhNQAo7vBbV8IF+EOYXAEnBDBxGAdgyoixVljnnyNXh
0e5Yndq5x7zn/Qf2eG+FiTy9bUH2MgHJD7bEV8FVHSfOoSh7H8PIfi/N16kih0sCbU9pApdgLLiq
OOkE0kJZc9CJsqBZy7jUaHeN3C9Z501Aniq66pLZCFL972EiiDGQxjIxUIHZYybK6amTN5I0lqBu
IQcFTe3cau9TZLuCzeTc+LSvhrYTmGbpfNT5AdHrCcWzGZtJoeKKDwChjpEA8xv4hFzFS6/7ExXq
TqP5IIJZcI4mbabQVzEmq3U2jJoO9EutiVoeXiQH7AXg2jMtTCKD+GoYC0Eg4KW2DkIOWMuA7Hgv
NdXmcd4sA2pyZl9VntQX0Jrqfuuz+UDZJtU6Pa3rb6tvD6oJKKMxBp311M/m5q6FqFzMKxxCJhoK
QxpetOgnMTfIPOtm27R167UBqGNumiNRoZs4RnQYKH0CB9gMbZhQPVSeEKjAebI54PNAJARQFaTz
jF85WefUhY7xkhrgZlcptnAypHDI1cVN0jkgaooWp+X1UGS67GmcK+3MMHXEXb6QWduYGyYpvVxG
BXFzC+sWP8AYBGU3npm3dZkGVS5j/dlWuqaz+6X0bDlSRz+ZG5fWJyYRuy8nYXX2dpggNOW1VfTm
2HkLOoGxHruVKM3gYXsRXWiiQUU8QeNzvmMbMedGyjGHJkOxxwGQZiBXff3bIjeS/im2EN/ArqC8
kOKqXqIF2lsaKVyrgg7XU5PfZLKgZsqLFCqI4hD5oNX3jgzBRAGzHUYMsMhg14GWtt9W31YSWtha
Ob4ZHD247DC8HdYUPL6BmoDeCAtSN7Y1m4YBBce2/rVYYWELEklOHMdVhVhgAHUCYCMT+YjTzLGl
oA5Yta0vg/F9XpVbqX+9vApu3NmbYRwlAeu20pYN6EqD3gYtUn6tXDfX6VO1eYZHgvSmikRkbbwU
+WxpjOeYWiG1ho7XVNLFvm6Eg36Yi9LVjOOkVv64vk4V3nUHZfMEi6XpDZP+gE4NA5X4blQOhAls
agbYiQP+S28gEASh043gnYJwkAIhzCpIwjS6bJAXzfb2qA/tggr6vPKwzgik8+Yo4eQM8Y26khPa
nMqPtpxnd2nsxMVPdSK1mIX7TJfDLhepAMrhYBLC4B79eTvzZZZCEM16+7ZKOH7Pgula9+lQcXls
Q+koDDq8h+XbUKyBpBbx+938aDNTaZym8mRMc25HSrXS+rZb3kFJzBeBBXmhFF6CwIPy9XsEkQWA
SDM0U+l1mkIO89w+5hjwAsf3el2loyTynffmoCiEmU4oDOJVBTr6880kpjEp6thCZfBlAdNPGXQx
JteygE7n2VIod/6qgtPrv4AHOBcybCNpfdNPQOuJyen6JdZq1dggmJPOUJ6HKMvwHfrWVihbI7hF
C7SLHjND0jDeapRfEOsG31HyNijA4vcQ61vstTlJ71NpkUHzupifLKI7t85gWH+fFtL9gY6EijYJ
6CzON8kuDJCt2dgki3wnAyqgP5pccKZ4o2KwAdVPtGCAb2ZfaXliz3I5dZVnGtfO/JRNr0P5cyuO
yFi8AerGQPPb4++/P8h7m0yUHIZ41TeT2gQtYlmHs2FDsNwHVDXcch8tBnRqvlw2yXs8OdD7QE6I
h5P+jizU7s180CRc4X1gR5oPWv5gu6UdVJrxEmFThnefAbkJbBeEJFTQ5Z9/OjVdyFJXOLuWtvhl
ejWtqi9YEe3BsfEIMH3QxAB2gwUxOVZVFZI02Uh+jPXWUIO1skOzOfUG1PCaMN+otOUPZxPc09yg
tLfKLEwqpbIhNZLq7An9b/Shs0j9tEFZtfQTMRMBfxv/XSMrRpqAQETXZayxeV5X9zuGdKIkyDxw
nzbuLTDTYou8Sw1vI4oERLMdAFzmwyW5Wmc9Ptzw/M/6zOP6bejAHkFBo0K5b85+4uUH1AK0203w
AbDnL91MFEpsnIUppMj9PLAeKAoQSrWR4zuCrI5zClDFQklGAe4HzSEWpaVI6Swp0FjBQHh9oEOO
fWTdbpHptkeQ8AdCaOX7ComNxeGxCb1fPJ9ZdDiZSiNpG6DD9ch6piMz0N+M6uN2I/kiTBgvrOPm
osw/gKFT/sLzLzdqydakuQ6hmufmON9XJxvKrl4VllENtsbRm309rEFN2UHG5fJR5FxmyNtNrA+s
47R1eW45tVKUpHJQrGCS2LPb1VWm2O3MZwOUO5ct0b90fubtM0tM5KxkrcqSeai91Zr9CrlI3vRR
BjrWy2ZoynjJDJNSOoNC1thC7wFggw3y1rKrIigDxuO2w/GyKe6KVIoYBCU2LiEmiYxrlJF0OpTj
5JhamYOmASOfJoiV78MItk2zIPeEUQWUo5j11Is2y1CbKj0zvk2U01A/XF4E9+8DzA56fxuUxmyV
SEmSZpwdDMDJ1S87vR1HgYO9f41hiFs36KCpgXFTNihhEoBgBJ+OWa+3WxuU+BjtJHtdR1xlfCmI
6PvzPoqGpACxAnSr2LVzh66nybE2ywLDKvk8dl0CVu3Jy9OuEbgzb9/2dui/71JqDeFhUhYVwCYH
I9a2dKrmTOBfPFfem6BL3ZkwVIC7W0lBJaLP3c7Og2KAIq7+vKBGm4pAYm8fgj04e2vM+cyttay3
BAui0zC04g2+I80v77MvtLc6WW4XKF7nFvcOit/y1/4ar4cwfki/i1h1OK9CJIyaA4fEc+V9wa1o
V6tuDPwS6fOCPjbVJVBurSi9Xg+iYWhe+NubYr4ias3lpskwtai/zOJaIr1baVGpi0iQqNexm7u3
w3zKZlzmuDdhR763XjFZDqme5JRFqJek0I4FRe/j5VPNcx0woKJ8Rhnm3814Y3MJ7lLYK3Jw/Y25
fkcKcpSW7hjX6pHIz/+bOZqZ7DzVbPMlk0qt9DJ1dIEEc3Ptt2z+1qurXBKY4n4xHaEQ+Q0UBdmn
7KrZpd4OMJWaQUN16jQd5OFPciJCrfECiQlZCg0qhFDJZVsWk9FX8pwZ4LcZ5xOISoNyqGxIR4x/
/VKCt+/sMLkwRF+XsTFgp01BRWL9Xks5tMq/F0aEFSCnQRFq4kixHY8pU+aaVCYcopevnRyqhaC4
0YbVv+wIvJzQQrUcSl5o9kDIkclkii5rjFUD/1YbzAF0zDDkrx+Xqy0oUFURRgrOsXobwwIJv4Kh
LPaVOS7WuEKOuYBy2fi7Q0aI7NClECyMohCMjgo19qgjM+fYVnCdgRRL44z4kCKtkA5j/osOq1Ji
ntTPQOoqRV2UhGt0eTM5Hgj2KCjJgg9Sw0AHEzSGLTaUzQJ2dssCa3hpTM8xBFk1J06AdYdKGWBZ
Buq35we3AaNfk6HE78W17Dv5odkeyHrTKRoaDwLX4CQCNJWGqiRyJdikP2UfI+q8LYhTg85ni8M8
fjDGqAIKve0CrT0koPm5vHk0cjNf6qxKw+QBcQzSuaFY4fCphbi0AYSu6Xl42QinBIF6jIEWsQKH
B90kU49JHVINq9qDORgEv5SthhL8qu7qjofLlji+gGcdND2pUB/Acsy5MkHzU6rgWfQwGFG7W+8A
WNMZR0UTIVt5HrEzxGJ3NjmXiKZjRTOgprkRkeUrKZ7HrfZj4bOH88TaL+otEdi5RCMVzqYqKBI5
yYs53Q/9UZ9vEil1F/M5MQ9bQlwoXfem4Fzxv9qfzXwLYju7Y+kYqzPDbpp193neuKiqAywEXiM8
TcYmeZCr5EbtFQjyitJ5+p3euSU4XqECAEY/iz1wW59L8ljizaxHYOiJ8kiL9BBVHNESOYHKQf4L
FLSFy/LdTBO0hzKtn2EnvqGOSXUV5rA+qi4gU76oQ8qL+mfW6GHcbSjA8HmaxaisKJ/sSA/aG92X
bmi2mKPOIbLGyQDOjDExS0pVediQf3sZ+ju5fm1Cg9fs7ichHSdvD5H8IfaiC+m8GzYipUGkPkfE
qk7biT7GZVSLEo+WsMdrYY2edxj21uiyd3s4GMboqBWsrVfZA1XCAN7kRXVlV/JFtnhnnOaGtoZb
DHUb+u87U7OCJmdSw9QYBymGA1vytXHKsE9Punl/OW7xwrAGaBClJ6c9OSZAAoivxWo7Y8ykQnm6
j7pBcy9b4EXGvQX6FXeLqdS5SpEHoPso36eYXM6+myJ9RO4icOdjCMyCYDHb4ByNZkPtBqW8roGu
QH0fz5bggfDeAgpawP5oJmgINJQTzhexrtk6VpDR9KrhiljfwBZxeZM4JxQG0JLRMbZro1zHfPIp
0+ZlwTvSg2qA5qCJX2ESp36VNYDgqEamKADxFgQYPOA+aK+9L1vouEbsbUsrL5egetM5ICcKLi/p
fRiglA0ASQB5QscWmAsegp9JVcpG7YHLyk8VKxiy3k3aDP/987IlDlHXuSnm60hLUrZOBVN5gbcx
rt7USwLrFsNz8x2QizLIrJBs2kH1Kgv0K99fF+eWmVg3Nd0A+ipYTmcQZrd+LD1Uch+0ckimb5X9
Mhq/Lq9VtKtMFJLkeEjjEQbB1u3Hq+Sq3ezLgCfOseCK4lrCQwFkNohDYNA9d/kYSPhVLfLaq8lV
bN6S8Ysp32V/P2GCDdTxFMZz10IuzeRNS9pA3thGfVOT75LkypbB6H9jiDQ4uWvBwaWkFwApsoTq
apPklS6h6FiovwztS1XfDdrVNgk8nn7s89wBa6HxB2V3erUza6mqPk7XeKECxtdJExWYeZT8y5+f
Gyf+tQEKUGZ6yupXAKsLcCjByZ6sEIx7qHpTPpKP3eS7BcEYczkoRqrlmkTg3ZXsNg7Q6Hp1sJyn
kTxeXtbFnYMh5o7YFrPrJCiaeXX7tChfnORmar5cNiHcOcafi1q2KkWjlfTfznMTbl8Lxwfo9uEf
Yru6Fn0p7pqQm1DCDhvIUeakmuW69cuCEZ3p2bzSPe1gzu78DZgs5/6fzKu4sX5WoqoINyDtrDL3
yIL+Eq4Y1LwrYkQmmdw2PeTSZ92xg4EETXEoRGwobxXod26/M8kUSEpwM0hahnnOf0S1QdPzQ76T
HpKT1LvLlfzpH80HqFHfbD+hsv2oiXJ2zmwc/BSPPApABCU2ixZBJpVLsW5CKhGisDRt17/1swtc
kze80HEax6+eRYgRTr/r3Chz6RhrmWXAHpae/n0MyocxGg5ArD+Mb5jn9VrEnE7/3LtdRo2IPtCR
TrEPzHrI5CLPZChNV5IVbYNuHrM2FqQ572sAdE3/GmEfl0bTWmo9wXsI2qBjl4TN2oVW33lKe9Rt
JIiWoL7BWxUFplo4ISjivX3ZXXKoNr2c6hPYZJ3qEwHXtqN/Fhx7GqPYfUPShrFJGSQsqEmeX2PW
UOmFTrmjs2n0Bv3JqIdgWT852ee1u85de3JjeOskQA/yNhISKyhLIgEycX2eWzWNmEyLQY+hkbl9
erBMSECN7rocdZCkNEsmiDbcfdzZY4JNDnAYGdYaxdAlDts8mE1RaY1vAdcaeOVRoFSZfSxQBCsr
u4JMQDe8Oqty59S6J/hWNAS/+1b0Vfz/bDAhOhn7eUwwsPA242rSxkKYRJj+Q7WwQ8taJBvBi5Wg
qgC3GEqhOFHMXYqJUyepFCgcVxAHNSfNTVAh6q60QcVD4roFDamDUvnlNfJuhb1N5kp11qmtYhOs
800fdOqL2Qfa9HjZBA3x73YR0qcmTjLt/TPxOJPLpp8XMH/MddRuoGdbnyb8l1x+6eLDZVPcyAv3
/tcWk/KgUkIwwWLnYMKKo/x38qDTSb/wtX/VP6UP/0VIULA6k/lo8VxsVZ6D3KiXUIiCK0XFYB07
U3/J8u7OWjtBhs/9YLop41UJDD3O8vlJHtsSiMAVpOuGQaDnBloOUAqozjfBRvIyVHNnhh6/XSBs
qxb3VwyKI91w6Xx3fp1doacMRd4nqkY6hnTGWzoCPHLZMPdY7+wygaro145UGyr0pLFvYsNwtXwV
XCrcL7YzwcSmWukgdDrCR5x4DDPlxoxfFxKVsulq0tfLq+FeyvttpL9lt41Q+J5LooLiqwOqOMoP
JCx8AjA88MxrMP5sIiEpNY17706bpQH3Aro5lOgZi+qiJK2ioH/evYF6eqQB1pfRp6AlyTeOl9fH
/VoAZTkoc2hUtPF8eXY5q/PYYHmG9aKasmstRnDZAjcm7iwwwcORFLXBy6ZG/dO+ojWILrCuoGYg
CBxvL6532wbBcHBOgwJCZeeppK21C7VHHJyvDH/wp1N1ApwfHI9lZPpjqDwopVtGVDiIyinQUUAq
EwoOnkP/YxVOD9N9e/9raKmNstq/G3+y8mFqGkoCb8i/JSdSpl+y/WJk+D+CfEdkiNneQbWWrjNh
aCGnmdwuqt8tJ2ew3CoR8VC/3ciXFsXEZghUrHJcAWlhuOlj9rs5plB/p0oxx+JrH9I8dbqagFRU
7ssj1TsuvPjlsjPx3BU3ECZzUJfDnc7EznaQ5wHi6YVXdqCDH/ChRdIHHCwCVfj+Y4KNm7lTqYMM
1Nl6hVcWGjy6nz9Sdk5xXZuDwIctOkkJ9hJk4WyNrs9jZzZHVBEW4OlMr43sO/nOuZ28ES4qH1Ti
5V8vbyA3nqEJQcGl6DCqLJFNo+VjvMgErOW/kC+AGbrw7SNAM3SMfonyUISq41xDgE5baHxgylE2
WMhU1g7xOA6wZzuAmy2T5xS/u+yQYATg8so41yrKjsj6Ub5HMGNhU2uf9D3EFRuvLIMhvS7M50FE
XMn7Xmc2mMNmaeDvj2XY0Lorp/kWkyCbNVdrI20BCsIO5eZGhjgCoEHtw9T5VnZ3eY2cw35mnzmA
XaKs25CB7DeHHluiPCsWcNaBWd8jcl+2xN1NvHFwJaCV9I5WcEjqTDGmEpRKTuHm5ldTC6z212Ub
3NWgFIgZUQMDcOxhJuBa2xIDNsZGc4eFvtXgJvNhIF/bKv+Ie+yMMccanWA1afu6AezRdueMRP02
eJohwv3w9+3Pmui/79KFyaiqMu9gpilPi/05yUNTpEwp2jYm+1nArFZrJZygcj45ye0Eyr1Kvt3U
2q1VEfkB5/JWwXr77yeiv2W3HJDHNrIKELUnK7XbOmkgaZsbr9E6f1WqzSVk8WpRs1a0hcwhy62i
stsF65uKx0r51mWvGJa97Hn0TzAX2dmymHMEugg7W3uYMKAWblaNO8WhVN5u06HvH6Xm+bI1Dhk/
gAl/dpElPYrLSlMmFbtoyb+yfPFVYnradt3Fd8q8eplkuo05uCnG9TpJ9WYw1YyQGtTS7rnO5K9z
/bg6UAmJE3+ofl/+aYK91pjHI4nBdYehHZBNgORbl8E0dbA0QdDi3Nlnq2fe+XVtkHV1sPole5AH
xa1F3GyCA8FeaWlMeuwqdZjqRk1pTfm50O4xbum164/L+8VdC8Azb1hTiGUz+UcDlGLcGBAWUeNT
4vij8Xr573Nvy93fZ6JUUaNHUlHtdDs9ZlvvlUoTaPORxIrgBPAXgsI4gGiA1GlMnJonrcU5Q5wy
7NhdVOVu6UzBO5cbO1BB/f8mmDgVzwMxJKdpvK3xZemuRSsNuq6eMj5lWh7hR3kSWmkf2D8bgCO0
PaGpySZU5ezka0VtVt1xbkt3HQ/ZFGVCwlXud4I6NYCWyNpMi/lOw2KRKYu7ziu0/DhaCUYJlRsH
8GZlSgUuwfXunSnmSzXyLDXaCJ4IWi7Q28pt7G9kfJGSzG2F1FIiY8w3q6x1LtMUxhLz2rROGYQg
tkTxTWT51d+n8sBP/dlC5mohkOwki7oilY+TSHEAVTWPl52BG9x2FpiLpF8qfLieOsOWR1kRhxZK
mUXx9/hzRPedGeYyKdt5kloJZzbtr4o5sqqrSUS5IHA3mylRKWibFnWDgDZp/lY/BduN1QlqKtzT
+mcVrAxya2fVNsfg62hqzRu1q9ksD10K9cqwIAet/V6jqnn58/DaPPuNs5mLYUiUrqpzKN/K9/oa
pI/D0bgG87336gJTbAInLQN3k6kY96EgJuC1BMFC4B+2xiQ3UPhe6xW7utqN26/FaWpue0MVoH25
kXa3sUyoAKPBauUK9fOx/NSUzqe8E0U93kKQqkNxFHgPEAswHjg6BanKCShYffs29qGmN0/taAoc
hOeDOyNsmXSprFY1c/DHQEZCmn+tvew5800bN/5lt+BhL9S9ISYn6WJVzu3KxCPr8/BteJOIab8n
97aPIZLypHixO31pvqgPl83yPhNt+WFCHH0doEzOnSEZJ1BjEeBx+hrAor73NBGLPn8D/1hgYit4
7s0xNWEhHsHIa2HMoVYORIJS5P3lpXANgakfI3qYRrJMZgPHsu5UaAehoz/VkaWADeYrkUCYLFRs
pQeETaMVQJh0xYaKhMF28+c27+O1QcntHzmVwp8M0HlBVV7xqETM/5F2XU1u48z2F7GKObwyShrN
aLLHfmE5DXPO/PX3YLZ2h4Kwwue9L96qdZVbABuNRvfpcybJQ5fq+tpYmfvWJBUzLCUxU6QNKI52
lptipDkRDlGyU6cDApSrNCsnRjDdYrNEKkbMnRiZUQfOSpSEjmizHCKjDa4viRV5t0uiAkQ0xl0c
CiI6e8WpNYOhgdbsL4AA7Cz1tcUH0oWzJlaPRd5apHwdJGFyXq8gx9QzyATYBMAJiImjl35vJ8+K
g7jrdz94KE5mlEIrDr0dABENuq6tpms3YVoApyvVVx9PcNAkjWLsC13IA7XwTFE3/9hOZr0aoNNL
ewNOKdv98GKlvIY90zc2C6LCbqQnWQIp4NqpqmYXhtpRKVrOHcnKxzDdCyIJEK5hy6gkqcy7Af1L
lEWKvn0q558GmIejaPGzvDpYacXxRGbg2Fijtm3BpPvQVDJqJMAAARigZy+z+dssdtcdnrlvGzPU
vmHsIeyNHhRyhjp69SC7Ak/ggbMQOl+CtDiUwGeQDvYCRvT7mxa6TlPpqQun+M6zQ0XavAprI29g
J7O+ZJqEJOJu7P1I4Vy9zKD3uWF0oqTokzTNJjYskePbECIIVTMde31574CkEq0m8XRA169/JGZU
AgRatjB/DY4bsvRN5UfvjG7WBpzR1QiaYrG1Jhhib+whXfpiorvdT/vrBpnpIAFd/22R8nVFWDDJ
3gFxgH7lYluA94D4T/IFu3PmXSx5WWJjWvUI4jQXxJHxobuJflz/CcywsfkFlP9XPRh5rCFtndTK
jhisepCtyJ01XvWJ7f+fC6X8X2/7agJ1FwoixkurP4QhJ75zlnEhbpPkdS+UcBdBPDaiJym33Blf
jnfQAo/DYkRj1TSto2PyFqQkohub1e+wf69k/UZdf8it6uFzcjAwnI2jkTd5UxQIuXidjmpqh/l+
RkvhugewMH0y9D/ANgeUMUakKLdXe2uUl06DyIkfPZIpCtXVgsX9C5XPuxEZE7ig0dpYo1w+7vVY
LIm1+Ki8QQLx1gwMP/TkW9KyF4AprNCwNCGFEyTB9Nbe6KfwRIZweXw6bI/5XDXl+EI5GauywGMg
LXVXrUE4Kqf+2/WtZX+8Txu012O6EuyWkBvTUUoeuxgoKY7fs6PxPxZo/o2qgOqAQKhJJ5Cs1nLr
NGPqh8prNyYcS5z9okfoh0UYI92ApdaADK92DyJPr1n96xvG7DZtvIMGSFnCGpVRA500sAN/2QOh
e5+DpE6tV1ubpLcEo1pW0Xli7ZXCN0V2hInHpMvbUCr5nWKMkC4FfkCZoN2qxLktrKvkNGLpFQ3v
EcszRvxnc+F0eq22Uo6crVisn5jztNWu8QctcYSkeLu+s4zPpwAjgCYyMlH06ClTWi6gjtbhKaul
GJWO97kIluDk9bqRD8AB9To6s0J+xWZBZboCV9EjRs7ptDfEY1wfqvqXIYEwKslcY2jcCSdBW5+S
IraX4qcgJbY4inYvq4nd6/e1st6DoyO2pfqojb9qNXdr5TZqen9JHsvsPofmdK38HCZjB21cO+qq
58wIyuFZVV4i8UWPvWEc7Bzad5pxEhrkwOjIxzy2QdZj4myZ5LtulqllZihjRxuwtMzQ1Gwc3yrs
Ef3kyW3tp/wQ+TxiGJkRSs5MUmFTF9dBiECg4kiCAepq011mNA0xe1w+l8ovo/ZS9acG7C5GGFvt
2JeV0ymHcJZcUzC9xvIbIbcLYS8WFdCamt0ov1blWYs4hR9WIePsZ1JRVZpBiqrG+JmAsd0pfgcg
m1DY643gtSDob47WAZnGg/L1ut+xOvxnZqlAa63D1CslzDaitZvqxC5axa6UIE57V1mORXiQpdYu
BlDEVkipFtFOeb148gGuuD6N+o06gLuHiqy8z+yqB0JdQIlAPQzml1H4yVkvI3Bs10vPlFrt3Ap1
AgecHOKA7Z6wmpt78Z5kiq1dncggusRpavE+7kcisXH7Mk7EVcARB0vLk9ndTKLqdiD0k8Y7K0Zb
FjNCw15XXus1qJN7vfFifSeSGMppsnCOAg2vmGOI3RoLfsYiP/Rx5uoL7xJgpHrYXigyk3wIhC7U
+e7GySwSS2owtfPFEo+y8lavR62rvBFjXhX2t+E5sMz0nk+L1PHO5DwpWhlluMICxi/tyzqou3qw
jUl9tKbK8udBqvZx2eR2G0qP1jol0FIf8GDojafrzsW+KYAlV/EKguIGFcNHcJcaUYqquAyIwmo+
JgY4iE1OZsR24E8j1A7r8VqheyyQJixpHyh+ClCoDskaveZRGfLWQ22tGiZ9JYQmUopYG125BPVJ
NZSYagtlnZMjfcA36CAAShcZU6AmvJDuxclhEo6LDubC5LXej751knwMCgPLq7pDUASjPbiEkr9/
FV0CHav85CTxbieW8xL1dExygPEAwMDzy0lAUWU1ZsgFkuFrEER+DF//DyoHLJe1QHVgEOA3GSA+
tyOXq762Iux072HQ2aiQ30GbxK2eywMfNkbuDWpjVREMUTpQlaBYp5FOcm5W86hgYF82CXagGMz0
SYzEKMA7zPTAhYVHemyagFrJQsZ5grHgcWfGqUttTgrcvCHho6zCFIo6JTxV9Juu21er9aw0IMHM
BD/pzb1SQed6/nOOc3xNUJqSSWa07z6eVJu4q2WSVlbWhMHzcgIcVgWuIOrn8EEKE957glWRAPki
NtiSVTgR/VVXAePgMqG7M79179J+cuJ7wZbsxLOcArDSn5PfH0I8Fb18hxFxn4cEvvjOyEx1cI+g
I4E2KSaqz51qJWxJ0whcwzKutlwFoYD7JfLl6Jey7stG4BzYy8SB2DNIIR9WMQFPJQ56JzbLGi0E
qftxWL6F9/J9Dw6o6l7d6ZGd/LgeXNkGIbUJuxj2wBafL1AAu3yWZmjArSfhqbgbAkK5lyiA6EKb
0Lf2MueyvIh+MARGHFlCIAfykQaKtHI/Sg3e3M4wvPSDt6QodPNKgkwbYPZDS4SMbdI2hmQpR01P
gK8UJm8wJlsr4kc55ZGJs3yDEAj+bYZ6wkjj0HXmFEOWfEj91NIOUz3eSCBAsdsab9F0cBdp/tO+
Etk+7BuG4kiDjubekUvZTK0cNlfhOQOJpyI/VOPgNyonxjC38NMOrec3lyY0jQVQ7oyNWzanCbgH
a+Yk5zwbVOXWKmRhSscM2EPD8goRhc0OagmGc93DyQk9i9QfO6abMunMXl4/Q1tAammcCAMi1C+l
+jbS110NUZEKMknonv1pIkHM4fqBhxMSS5o+SE6yqA7lsHLwMkzi/Wg8GYJXW+/XF3VZI4MZQsKE
FaEvcTHEayqTJWYFKHeng4mJCGSGjnkkGOnMjXxejYzl6CD1A3uKilbLRQwmJFCtZAGoJCoQGgPT
qWrYYNCyteSXVL1gsd711THtgUQNRwsGL3is12zCREYMe73yqyvduTyhuFmMzyDrdKyq4MTci/Qd
W4njJGJiUUdUor8YCECgmJxFoDTQLHBaqTWKjalsuX++pq0VKsFMpCySxhQXidjUfiTMtgWKqQoy
AZgZy/xk0N9A5RZct8lYGRrCkAeBGBFYwWg8SZEA3lsZJmiTFX2FvqOeB6ak7q4bYZwvwNfg6hJI
mVBHpU6xUVf63CcpKunTlx6Mws39IPkyEG0lrsrrpi6SdHwcGezWmMEEpeUFg0o0lRa4tnVQ36ZH
cTpN1mwnw64ZZY4dRmA6s0P8c5PfABNlTVaO+8OaY78zVc9EFFxEnqIkzwx19cIjoUTShqXTqNVN
BOrXrkVRwIrkr9e3jRUsQDGKcwuRenCAWVRmbIwg5Id+ZQXK4MXTndSH3thXDJIj2x/siXNDXb7K
yVcCGwMq95KCcEGWvdm9ZRqlNdEAVZqcMJgOk6f5kp26ptu49W59VyBrIOx5feAPlCwV5jVIlhAf
xCFGqnZutVBLY4xBOOro0GwpDGRKWXdr9j+LagRpV4n2gWpC41J97kvdNwRQe7bGvkJTLepUXA3t
vR5GN6OUOEVj2nmo+EUm2aOw/h6q3AOefFc32s2oacfRFPdTtbp9unqxOH2tMEi9RBXHBVmnCvEd
LwsLn+xiinW0khGwR9y/a/1Qxsc+ewbuwYqQlS0R54K8fE7gg5HBEDIxS/BL1NZZS1KKYi6DmAt0
ajUYl8IdBBFslJyd/3CTwBTRRgLtLahpqWAxgcMAV4kBhR0ptns8rSPNnpWTIr7V+d6QnjiOT/45
2ikAdiD7CD15CDKdO0UYt0rZzROC7kHz2x6ebzkVJIsKQr7DI1ZjfTJsIByQAF8BFzg3Jo55Ps2F
hetRy9U7K9S1/VSYratK/f1q1gNajaDhvb5CVkRUQeOCAwc4B57X5zYxX5R2ypQnjlY/VKqrFrgs
W8ha8GB6rLVt7VCp7hw1hSkPeOdlqYVAH9sYrLPL8K4Z72Le+DHr1traouJHOORDtOYKnkBl6IIY
55inKwczwIq88EGwbwNFjgYEheVUqilG+xcBXlvRnepNqEqFXi3yThZzJZCnwWWFqAvdivOvo3cA
R5dthbjbPOvV8zT6178+6/Gm4TnwjwHqOC2rFra6ic9i9Fpjl9PsDmBcbJdqp8WFgmGR9iSLgo9H
5WOr4OPppY1sGJnv+sj5JcwdxXMLdQFIn11M0eXS3Au9iPSmKZW9BKyyqH/t9PjUhV/EopjtLPsu
RpJot9pzJss3M3ohYyUdJgFRJ9c5KQnzwsNTFvVC3AT4gzoWXUswIflA5gfNB/DpoNyv2vl3iAhi
fJd37plLt0g+jkQc4kfURygXOVSbBNlqIT1Xk+YU1XJbS+mX6zvMsyKf+5KGBpaBySa0h/P3uvTb
BKI55uL8uREytge9BpS2sH/nRowuluWysCDsm3YYRLHaw2TEr7PMbfGz4gl0HjGViCQBFE7UB8qt
WF5FSQByRrN7sKKB5A34QUfeK3eTv3rjqwyCFyTjYG/g1dKZzoELQQSlDMYTkGSdL3IqgRcDwQEu
hYfR7fcN6CCTIxFQaP+HS+GS9RKXqwZCSPApQMpNpBleJihdSrmEgk66Jxpu405FzZWINRj7P/92
RK8Eb06RPEHJlm/SLmhVAWvf4EUol7/i9UbLOzTV3Os2WAFta4NOjId+VksT1Qep3U3VS1H8edUB
TFsYeUQAAY82/RQr1ViKWx2znX15qkZIU1aujJTs+iJYd+bWCPn7zUbNmECQJhMnaYBC2vxLm3t3
FQdb5pVQWD5OhE8s0cLc7eWrOc7ypazIEHMm7cKm8lRJ3JtG0jtCKg12E4bmf/k8eIIRZQkg0en3
XqVkabFAttSZ+hcQW9qDybtwSJShEyoQFfxjgYpCawntWf1jgvNvomlX/jr4pFQYudWP6x+KeXa2
1qgoEQtaCdEuElnzwGh2kPW0a5C3C83T3PhjPIC1Jph44fyjdE+vERVKvDM/xsLp0r6STRXU5TCy
ogYLLlOwkHZO6oIrLV/APaU4BSRBMjcP2t88IojLIUUECxxgSHrqBNBNF2OTuYzFUJfA37jYdWWL
TvXYQVjeSyDY3O/aXeemcqCeJlf5n5jhPtA5F0sHdQ5hd4Q4BZ0vj+MyV0aBe1N5MlSv3jffFbBt
h25wL74hxwyIIgqgUItbAFrO3XjyOS+smyaecRJePBjFPz+YcSckRhImSJcwc+nMsV3donHlgG72
V9zZ6i56+mP6LbLfFlTMVFJKu5iwNqRFHzsdNDBpVN6BvPc0Cu8cH2Y+QVCsxY6i6o333Pmi1j5F
1aePKxRsRzdWvNSA+qy5qzHyL9zq3b429roMEsbv1+2SvaL3El/wH7PUQbWWsI/iDnvZjF/F5QXq
HLYBaYlS3s9QMBO1wpZ5MH1WvNs8WWnnzbJ4shYBhSBFX2Yb9OYHOSp/tPrqShGaiqMyBtfXyDK4
fXCR22oTyE25KHQxwhs5DnUfHK/OOPSHKIzB8/RlXSzvujVmsr01R+UNqgRF2DlT0F/0Fk916hNG
Awq7emsqO7+DJtluTjgLZJZSQEqBlzIqAEQr6HyFSBwg8wsyDCQPmm8GOvTuQH3vqLYAMhrCYB2/
6N6v6+tkJZp4w2JoBckZUmey65tdXaJ0KUoN5VB5WfwV4OPZGlwh4o4YsU47KMHwevkoLH9AtzZ2
hmFKw1pAMU88RKud7aKD7moP67vk4HHupi8a53JkXftbe9SJkJWkU/Iel2MvfEut+R4s0/frOt80
mOm+voPE7+izt7VEXVumtcZplOCrjdLrNO0tXj2P+YU2O0fsb3ZOSCrAvRaU85TOXa2bNHf7idOa
ucQ9IjJu10A5e5cPs7XmCMPdYs8uwX+nT0ljr3d5bpcQBgb3rrXvFs7OXQLZFFy8qg6YByr/uklf
AasSN6254MYHpfmD5hcekd3TAumbeiJ6agkkQntedZThiFubNFS7mnKtkCrc952nHkzQzVSBgmgJ
gYnJld1l12rOdf9gbe6ZRepY1wlpoDcWIHHeULgdNjd+ghIqoArCA96PYG/ntbFZwQvFDkVCK8DC
U4RWIolbSy5mMmveeWHQ3yMhdbW7/FU56Igi+l3GS93IaaLOwJk9KskWy1aWqgIDuem+3g8PxJ5S
2NkxeSbSO2bMSUwZR+LMHBW0qjkxs17F3SNmhwS6nPJx5cV/ngnq7bNktdavFkz0g913T/3qyQ0n
3jMCx9kqqAQI2vGz2UfwREt+XdOnUf4PuwRUgUik06BnSjtBGCamoYfk+VY9D5ldSK8q92VPfJf+
8ISe0FRQ+8coLOXbU9tBBjYFP5UcJI+kmJyBpq3Hex5Fqj3nHLFO7tYWFdKXAsliroA2e/QBpHKM
jz6DdrceTDu1y288hD6rcqCD+Je8rsC6Aj7388CrqkYeZUICsvO72e2gFBi7wOB4RqB49QsvN2VG
iY01ugUvjSjsZtCGdswX8dDuQU3lhO6S2sWbFghBf5sHvFNLfv/Ft0OiAakTUAfjBjhfX1Fiyi0k
tFvpPtrVoImTgmafH7jfjeXnpDX+tx0qOOCZoVld9RH/jJ/JTeoSASHrVvOqfQRRyWmncZCiPINU
eBC1QZWQwqDF2xEC+eakIg+47oys8LBdExUe5EkD8AvtVqfCCzVM92n/O40ertsg+3Lt+1D+twK1
IMJO5bTRd2DXnSYanLH+uSq825+zGBo7jJK1YKTkA7Vv0fdvqCoHdgygIIYPFn9xATLgUpSxmlBo
PQFMhk6NAU0kKm6Y1SKXavZxYXxIg+8Hnzy20/8hbrC38dMUFTbqZqizKoeppD2aw21U+OZwF5Wc
6MSzQoLXJkvTGlC6V1B5cmLtMYW+6PwGjg2F2xNnlSvONo74/sZOJK9hvpCNa13UKhCWUjfcp/58
kzk/yQ6aN/G3aceNTqw4L4uEc4OojEC1+NysOTTasCq4q6A1/kEp2bgSFLmIqC9v1oDljaBcw5sE
zWRIWFGnd+10YxhnmELlAKpzb73wpeFx1TO3ETVhQHcIage3yvl60mSRx0aHkdHvj0CvHwgZYHJQ
7hZf8uQd0OukPsyXD2bF3K1dKhaK9SqqXQe7vZ/craf0qB8KL/ZBR6si0Q7dzNFPKIe7mKjiso8z
0+2tcWpnByG0+rJFTpO8mi0K8RBnflEeOx8zCbqvHUqP1LkMLmcBb81UrGyiScxDEcno6Nd76Wft
zj6RRkG1wjxCL+l58Ovd4MY7eWd91X5dj6HcNVOOK8/KUCkWyr9r5LaY9vE6Z/1iuvk7JBtLkL3j
ag0id/163SxnyfQjo68wyquqH+71FwOrElhBfvhPKQrKZ5IOOWPZvKB6rMEy30kjIrd5u/qG3wSW
lx21QAPoAsIInDuPuaiNMSr0JMlkKpCgJPkCmjinJMj2up/5KacrwCpLAk73uSjqbLZZFhq5ibxr
9FdfdbogBrJEOIE2YfCSXRNoj+qpNp34sb8zIVeqP17/dsz4szFPHdFCSnLtg7YQ3dZTN6IgahVf
Crl1r5shh42+3berpA6joBTjqqdIUqYucZsxcUVobmejr7SvVb27bot1OW1tUSewL8ulykk3cRT7
m6rP9x1kOkYhOYJwP7huijjBtWVR5y0rG2lF0oJ2i7K4aZEdxDDzrptg+SGEBoCCBPzsEu9bJO0S
R7kFmfeAxJEikHC4+B22Syw6qhNbO5S/y6AAjKoYdrL38CHxDReyTqObjg70a/3YR7GkdYm+PQat
prfZ+1+oXCXyZajtxDwHAPEEGwlOACpP6mcJNy+pkJAq5OqTCz/yBAfddn9yi3vRBRrJJsPMvNDC
OAVnhqmsyYAsq9qthNtV3M/5mypHIE5v7OtfkuEsZ0aopGkB1MVcCgWs4qoHWLotTzwMIetZdWaC
+oh1OQiCIGMDJyf7Hu2IIAEm2VVbfIOeKDrA0RMP9MTKbc9MUvErrybVGgj35OSIDr6Y3dyCCC1A
cemGR/XL9Q8qWOF5qhZL/HHRCDsRWcy8TzAn8bekc4+h0Fy3E+TVAc82K06frZOKYEmzSNkw4aj3
bvq8uoVn2LIDznsvdGtvOMpufIj2AqBl0G3lChSymmdn1qmYBnDUUkDqFDCXV/F9uCO6NbgAb+sU
9fIJPbvUy+8kL30grUoePopVXzszTkU5dUgadSb1riK3Vz98/VDvtiEcXtmhPZ0g9ca5ezknhU4o
IHw0z4XeoSsn2cAX2OXATdPIib4SamiCCUyeS0VO0rTasiW/9lNXA83tjQoyuPYh9nhPCkYUx2QD
BP8wFY7rnk7zBXmUUr3HFhKwXnHIgslX/fzAI6lndZUNmdCHyihwAyBEnUaziFohn4D/KI94lgXh
vvaK5z7gCz4yP9HGEHUUTQWks0WnZk7WKH4i5E9rouyvx0t2NNvYoI5cmgHOMAJSjtdfGCg/STaU
fxFuB1wGeDx70YnXo+YtijplRVXMSUzQMytoe/upsKXf15fESE3OPg91kjKAW4DQgdfN4BwUd6t2
qIRbKP1ct8K8zT73jVaJAY5YbyJC8pqu92kPzo2DzqOYYX4b0KDDmQG/B0KTcrSoNiQQXWMlILE5
rG7tJw+kewcBmsX+YFPkBgWuScrlhBCimQI6vAS74BHqFMFpoJWtAOst3hD9DIGDpGS5w3aNlP/N
izL261qgJ7lmvpSUzjp+//MvtbVAOdxsiZUYprjQktCbk6+JsVuy5+smmNF7a4Pyud6Um6oktRo1
IDItxg2hYhv88ERAYfi/nAcFq9hACPL/9gy6tCuPqxUCrgUfx8O3c/KTAZaZbAfdP++nFuSPEZpA
nWkbNSe9YlWwzwxT2aOpL+YgEICV+qAeyPPQdKUgPBF7fGAkzxsNcsFsSlNrNFV9GWJbO4w1nFbX
8ksftAAYOC5kl2Sq/CyAda63O0slkHM5LIVuwGScAL94FMuvVfPlurdcMgYpRDfo8+uRM7FZVq0l
Y9qQNo1m4+F0qN+sfe2CCcmVgBQC26Onom2p/upt0ZfdCkQ7r5FT+aXDuzC5+0sHmCGa2xWtS7y/
1dxGWgl4YbnTghX8nBWwrgOXP5CZym7XTgUYOVHnNF2wv+Ih2dVPEGBDe6c76n58UDhFe2Yqu7VF
xZZeixczWrG8zpvd9j7zxp2I5x0ZXp8d842EUG2yTS/0eIUNrmkq6EBisU7qBRm7+lAfw6B0U79D
qSh2pJsiUG3d1g7tXV4ApMptjhAPpbOu7aqpWGQspdHmOUznR+s0H5ODeg9aC8il6X7xBGVxzkXI
um435miavkaMyg4CoHieF7+zUbVjSM63t2rHOTT/4jgEUoD6PpgUqYO5LKUuDiM+5uSoh2gn7fR7
fEQ7vUE32Lt+QP/l633aog5oCSxmORiwNfvF9wUFvty3/ArdM7zyfjb7wq1v/zcyMfJtLr/dp2Hq
QErz2BmVCsNSPTpLfTQAilwDCa+C6W2YbtScQ0rIjnaf9ujTWHT5BPVynMbmVVJ2s/KQ8xhzeSao
Q2hUaz4if82cWk59iIQEfSv5Fo+n51LW6COmfq6EOnCqGierQHoy6T55zB71V/lQPoOe121/zA86
3lBibH8HEAQNoco3IRzIk87mfTrq2FmKiYG/DnmtjMH7gWDC96ovQ176um9yzKjUSIhqZGAzIJBW
NRgBPW8RrXV/2fHG4ch2XXFEukpkRZPezsRMqf6u0d9S3XrFYBK6rIbmLyavX8h6KUJJ7+/DrVIX
/Thb8gIqQhxuNKpjJwNKbbZHZLrtXc/9Uv9y7X1ao0JJJq193JJsjZSdRzBe9adwP2Kwq7xLd5h/
dnkxmXMGaJ34vJVzcQ2xm8N6W/Y3pRRoPHQaLz7S/afIbFrBNJFUlEfF146JB0CQX96ttwK/UsJO
2j83kAobZh1pIghvCMoKvFCkZIphq3vlroPKFjIW3DK8asW/ZNifJqkwAmKQeslJ+FdRohV+Ek2v
+AchqZZdkAbxyyPMWhTwi4ChoD+JRiWV6SbpnBclqSYQbMjq7jsbItGkIpR8MzwFTFhe5Ky3sv/9
wL+ALv1FQikaHRhdU8E4QE8CqsUapkJF7tRE+Cap0puqJQ+haAXXYwkDHnpuh7rnqlDFQ3zFALF4
IGsUb+vTuovRMhxcsbIlL/+WBsKe9y15qyN/v0l/J2toDSUzUjzQi12XJc5UtgcTJIGc1V0GlfPV
UV66rAb0+/ToL8hacUj9+ma9w5yOQ2TtGt6qLgMzMD0QSSOgQ0mWZCr+S1pVztnyAbUlxCvjTgHI
pg141SfW5m3M0DJE8bx2Vlc3IMZrBLcXQy/qzaPQtDfXN49pBnOBpBmigmeZCpHlPCltP8H7u1B9
0Kzsd5tBL9YseSk6OUXn9wx2bWOH8sA+W6cKlS1gvI6EWWreRUeC4clcEMNz/IG1JNJ/gdC5CJnM
izezvuYtBMxAka4cRvF5jA+JyjlQJAjRq9maoGKGLAlzrGkd4qL0W9G6Pdo9O9APHRUVpMdN+fbn
32hrjbo0ZWscKzBjgV2tjv3BtACylu184KFNGV0rSTREzFWAaFMDFRgVejGMWfRTCBYI7QR2y1gG
ra3kdt9Sl4hyojX8PvmmDVFfRzzldxhtAXGUfX2lzEC1/QlUdqfUi2WpUYy2Dlg2nXZfHWJ/RK2l
dMh5jpw2kLz4MGJilfe8YSSW56unzjUw3+nU6RhuVwPQUjjTbK87wwFJ8q3h6fYAzk4UeMLCNtzO
I0FU9+rgz1tnZ7+BPvR6EdZmp1eZE46FjYl3fblfFs6Jv8z4zm1Qvps2pjkMNSAUbR4Gi/rFkn9k
MxTYsy91su81DovT5asR1qBFqxCKFvVihjIey7LujK7ArIdw1OcXadC8REbljMcizzqSW0PUJaDK
VV+AaA2OMpZeGxtuVkeOlhiYcX+NZE6IucyLsCowLCo4JboO9orzm62P89wKCb+IZLw0xeNaupxz
wIphAI8qJB8B0oier+prqKosEgjjJ6dBhW8FGUfiJUGR2PX38rVMHDKhHLk8zi1G9oWFbexS5y/J
1doyBDziCPp7PNUniAoVdu11++InuNv8kDcLxPSPjUHq1AGBPv7V9E/K8Ii+nGgXeuEac5TbcaRM
HmdfyYehA/dmfTr1qooNq4uqLiOA+vxZdUAZdGM+j3+Flofphtd14XxGeky6NRM5bWMzdULo8EAX
zI4UdN/j5r+5C8gkMEAMzDbNs7cYcyZnFUbkw9vxGId2e49JARCpDL4WiG79PSJdXG5VkZV3ga3g
H6vUkVsiQ2oaDB45yoncFMkhubUAQkOqbos76/n6p2Nv5acx6nKqQeeEeVyErTU6WuWhCJ8r3lAJ
MzJu1kM5f48yXqpHSuEs4mFqEki9nzIFc6OJHTZzkCwrJ4rw7FG+X1WDltclvMOEjrdUguBkjb6G
cm1La97bmFrbTR0nD2NGSQvEKnh1YHSafnBY6ZzU9UBY4cJvsQXYoLjHxKO9xIWDbxn8+SfD0Doh
2oRsMghjzqNktlYGRMPwyQbjZpUg6PGk8wjAGCA9CWjpTxtUblQNUpdoUHr8QEw0tuQC1XOriR+d
fAnpv1jYDyoXGsJyxq1VKv6nuQ6m3ZhQUqCsQOYJEmS0OQrOva2gqN78ijHSyMuNWMdta5RcStvn
VKdk4E7GnYDYuDjVnYJRmfVxfJd90pPhFYb+ZWdBL6ngmQMGBso7hXpAhmvi63Xvs5vsgICUvS4A
pT0YqO06t61D4S5fQk6EZt0HmA392yqdAYUqxFOaBYuc8+OAupr1GEp3o8TbS/YH/DRDuaZYkJZu
jNBFwB8q6lClfluCDl27a9zZAyVrDf3BgPcyYXTViLd+mqW8FbkdeFB1zPj2LomYuRu7oy2fINvn
5UG1u378yAei7zpwuYFMwgQWDejrc3/Ju75vkoh8wHh+SLX6K4iL39tZdWUNs5pKi/byiCYz/nvd
7r+s8tMwFUdTQRRroDArvPXqfYF5zdozMYreY2Ijd/5DB4bs6ac1yk9LTSmNqEOnsvGWD8xU9Gj4
hLkMOukiYinOIxnFz/B0uV9/XV8qK4J/2gafxvkWx0DWSFDEKp2pGmu7SJKfbZrfS23/dYUiHSRH
3VHlcQWxt1cC+xYZvocqAvHtTRxoc1UO+/IDJDa6ALna3Yu5B6l2ABR2jC7X9SUyD+TGGnXJh4WW
Fb0UoogjT05thPbS2AoZTV85LQp2wNlYovw1DEHAVUxY1/hmBtIxP0Uvo+X2oFL46AA/xYdZsCvO
a4gZCDZGKV8NtbGBMBTqH2qW7Ixw+AFekWDOFx4ymQSUi8MIAhsw9oKw4aKrla5S1hcjbozOy8Ax
5OizvRwUgpXytbvkuLjCu3kq77DSIH5Md/Hhz/EXOCabH0DdHqu0qqjz4AcgCN0Kg7Tvu+m/3Pcb
E5RjpobVQnwKnZFkqW673Mxtaf6ujhEHScIo658vhXJJHerHWk+4RZr3yRM9DRFGnOzQHzFPZRNk
pppy69LE+a59P8o5szFXho6gactstEsTIoZR4QhL0FU5ns68VxH5GNesUV6p1HoOXi6oYmTaTdns
6ur9+qHm/ftUzBz6sAkzGfeQUd0uyW+l5iYrrIfWxt3o9tWa1I2lQNjKqQyIPECr8Mb4phjAOUqH
bq/eDL39n96uW5PUnR4X7RwBRIVm7s/Jkz3pRkCush5En4QPfnOEHTnAygQtABNMSpS5vMwhwqvB
I/JqdBrrVzMcBh5lKs8GlS8kapWnNRnZshb9vhfxvkqrX5m1PF53B+az3wSNzN9rofLZaO1kQ6h0
8uxfvAbYzdKGgiu6A5ID10jcMELZ67pN3tKoeGTJqbVIH9nsVBDiPj+NBj/tRc4bi700lGlUxcAK
FXoUt0NZylpqLK3FSEhPUr1UcHqM7yiH5lci2SV/Hpe5tE+TdAHaKOREWFsUMQv7RsgduOKOpM3r
QT/9VT8V9rzdZN7SG5OUM5qZosVtCPBjU92H1bs87qpWcZRxf/2jMfMdGcxb6P7iT4WKguWYiepa
4YpO6tBW4+zezFunEqLRtvQa0OIlAVNx/fX/Z5QKhqDyBbk1Cb2W9D6B33lUG9MtheFHtuiN047d
nSWmEyeJZX/Dz5VSEbJOYymaNJy8Rpsf9Sk/9YPxHCkS58pkBuLPDaXDZKIMKSqXuDJriB4tZrgH
Y+b13fuXA/DPSugOfz3lVV6MyI8JEKvT3DjB/IluL8jHTckBK1Z5y6ulczaP7vKb6tCLvYLgX0uv
TbyXKi/KX64vi+OJdN9qkKVMQBs8dcblSUZZVBvv50Z35fZrEn0dufw6zOts852oaNXMs5AOmZCC
PvW2Hm3VkewIjfc5PeSro/r/R9p3LNmtK8t+ESNIgnZKs0x7I7XMhCFLEgS959e/hM67u9lo3IWz
dUcaKKJrgSgUClVZmTTOI6Uciuor8v/f5fnQA/OqNOFzNNW1Xzwm3XlV0bRJsxrwIBuc9xZD9oKJ
pioWSx+5+7VWvOUp6DY/a/5Dt52SMj1d3jFpbwd6of8YE9K2ySicFG05pNqPeHODqKwaAvY9+/1n
vuXk/lwfvVBXzh/Lv+KrVSFkMdIUVtVhiU7GHjQGwlurGaN8VmWlcod8tSNEKavw59QEF32YJnpx
8MHFFG3G3EeD2/jXRj39Ir2dHuem+3X5s8oj/6tdIVAVTuJqPsMTtJjLs11B5cRoA78dgqxJFVe2
PFj9Y0oc9t9mNuW9AVO5MbA4HyaIu+erqpEjtQJmOQxwQ9odBd+3bu8NmoZWN+dHcPRgYb+BJrv8
xaQesTMg+GHHqqGxSt6KLvRrb8VUVzF/H71E8eSTB96dHcHz5nWo+tzBnWzf9y/WS8bn7SMf8BLI
GGJmufo6NvHllUl9YWdR8EHSNdbSFQPalE0R23ioV05/XeqY8fcTxcUldXdISoAHxsWbVrxV6tKr
SeKD/MtAb7bS+qDIjCCbx2MyZ3pQu8OhcqjC/+Qb92pTyIbJUPtQ1UEqBz2NKui2LPK1jIR2WyvS
nP9l614tCflwPdHcLnjoncM/JZY/dGoOwLUYxQa3lOptLsF04UW7+5r8TOxCvTW6XsoqdB7mMuav
pSwyacDAKnUoDyMk/xRJsfyI+cB7oCsLMIsQM0Ai4JI8RxfA9D5tydHPVboIckf8x4AYKdaFdkk6
AflTzPSYkSlI1piNTrTlin6GYiV/Puzuw7kpqzGRwWtGw+d+W4KRKKpSKgOCz2nEbLXNdyjkmQtn
CAd9NfHApIbCjNy1Xz+Y4HDD2A4Wc7EjaRLT6rZMbnOlU8uP7KsNwcmovuZAlKK0PkTr7+wLxFvT
U38cTijng8d/hTIWgGBxdWwiTOYrwgX3qHcFDfB9/3+P+1P72+1TNxvZYNiAAczWwR6uc92J8vaw
6gdjvWLWFEzeXwULEMRBSg6E/u/EJep27BN7RDWgxusgGEhzl/vgEp+9QVWOkpb2dpaE+6RMWm1O
mrEK025Of7Yb+50lrnsqV4aHZtkWL1nu1JHm6fdknfKPbb8A9ppMtiL4Sz3VQegDzgLkziLDfz/R
RJ9MxBDHf5iZG2e5SiBJHqZ2JgQPqi1qWBnDS4yDOcBbeOdWaRZAENEK9Ulzr6D0WJ8AIahjxwMd
bQc9qDS1meJFIz0ru1/B/3/nS266gbC0xtMMao/XfbN+6/Tmw1CoCFmlx2VnRthWzfUXrzXwiKk0
F6TCeDOB7GTqsrDPsy8O4lqaWofL97d0ZXhV/6FE44oob1e2Qfen9PmYzgq6tWSwApcWiNGq6qLK
jPABV7YUtBmHNswtdk26NgTLzUeTKFGn0kfTbjnCF9wSXYMMAK+Q3RR3JhL+9Nje8G4MZAfDk2qy
WrIqUG+AlweSGgb6pEK6hWl9m5IJ0A5DB/vzdEXNKXAmBZxJMjECIzsrQoplbr3l0RFYvD6e9VsO
AE0i9p2+gGMVdbK47iJOe9Wg3qhqdEn8EaSMEDcFySshQJ6+dQ6wwiQrK2B50g42ZP4IEHhbGaxz
uLL6aitUK5Xs3ht7ws2nT7ndt21RhMS4sUCVey7R47Z++ojc6TEJOPmkqoolawG9sSlcg25hebnl
5tAVLONxDcgB81TokLofizoozsWNfrBDNZCFe4ZwOQHCBZYMIGdc/COkQyBdZoylUK9d0iRMyZVZ
POqsiHp3fPRXxQSE5CLc2xLHiV2zSQuExCKc2XzQGQB31/MWG+vZ7B4T86ej1KVXGRTcZsio5+RF
CYOh95izwJqjDPnYkY/HufHw2/1IvzXg0q0fNADcVfc+P+LvPy2X/4QqMdjKhVBj9u28mVydCP2M
8zL+npNTYkBlqY8uR05Zxo7v+mpIiDUFaHeYZiK5WcMxbp84LhuK0hhuB2YULuP91elwfBOPH8D2
32nVkrWxCjvBaUw+5nd/cODXfthHzQvYPvmwn2p90g+5syfEHWsdzJx2sKc/Okfvt3H4DyAwv5li
ErK4OHOliL/avZ1R4WCU1LUSn8F3RoiTV1sSs8mO2hklr8Hvf13eQX63vfOUV1tiJZQ0GQoKGSDV
VVOMgedtRtCPheL0Se+InRHhMMx0aeyaD/1aE9FCHXoypU3TIB3N8+XVSA25DnoLnKXincRwnjrU
TWZsV9kdsvyL10N69vNlE7I2KG6iVxtCtmDkhj8aDASq9QbqXDAgR2D3yTG6OMU6rtk0HJT4ZOkm
7UwKx5lOU+s1JY6zp1nXjlZ+9zv9oFiWNGDtbAgnWe9NmjoLltX9WLugeNryoAOgMAa8CmCA2Q/q
LKJP+YcksHG0079Q6eEX/OtnFfKIjOU6RIcW9DhaqARb+TEd4m06KVapchDhPKd2pw00Q7Yy1huF
Sgp7SewaXH6QPnqmbM2ux8L27z1/Peu9Zt5Rq7reSM2+lkNbxlbf5o8e9cipWhZVM1AaaXbrFw69
kxSNC/4ylJ21dr1K1vpT4+tbrKclDbSibJ4vfwmFOXGsWBvsCjUmpNkti6jxXJM+MMHKT1RuJU1n
XpclSp5MvjYWuYETaVf3nDcUxaNwSmIXk9o4Kjxh+6uE1Ifut+UTcJGIFo3SKjxrgqhXPXyrvahH
XbbL/yag7WwISVo6b8s2QIMktDLtl1Euv1dzeS5s8nJ5k2QZEqjEMBdicjoDcSlmqZfezPXJDPNm
XmkIEbTKDZl/N9ZDeNmULMTsTQkrYuVWrtZgY2DARR5fpKDcSjQSXzYiXQ9wcXgpgyj0Hfc0HfpE
a9MBXVnUl92boow3KF2652r9eNmQzLu5ouD/GBJW0462WW5Dia5AMR/XMo+bCVOMWp9GepsrchLZ
lyOgKYJKAohkdBHvV1BnI0OaMnQ6lsfKKx7LVvHZZEGLYP4a/V8wL+GV+vYJwgbPcdx1qAEaLG9o
A9ZNp34ki+oKkJmxoJdtYSiTq/oIt3SZz7ZduW4LEmZAlVh1ZbIhLKfsL1azNyPsjVYVqQv1L6ym
/uEnX5quCJZZkQfwMC5mNXsbwhdzRstr2IalUB0TQ/NV5Z9SlBGWIQuc6gtuAMXpUX06ISdI0sxz
KNHbsDJ+V84WNFq8qkTTpa+0/aL4j9gVYHTNS2ix+XiJtlEC8DjgbO0CBtocgJEkIODiuquj5mgr
ar3SHN8CGT0ksjzLeSfS2fdMNzNTQ3vjVj9aR3LgKmneTesHQ8zVCToVCECaYiFwQxjUhRICdI7e
rrRjNahFLAxh6sfKgywbf+2DzAqDWYDIYC4Y9VrltSFf5s4ojym7z7uBRLmFPm0RVp+HqHDQbGbR
dGLXZQc5OBZrkaa4G2XRcL9KIeNhpbZB+RwHAfOoZ01/soc0MLWvPvvRV1NwOSAqVyckPuBKWbVm
NvEevSq+TSjRoLfCuadwEdcfOOGf6umkWp2Qz7Bl0QfN4F6DkqQPrSH2rZiODv1gZdH/bW0ieH3N
7M4rXZuFM72qzrziVX3SfHAYBUaIwsV/4yw8SL0LMK/O8kfteOcsrjN7zQBOUzB2sQ9LVIGPuvru
hvqhik3MkChCpiw333kKEUImJtJ6t+1nrqOQnshJi2couqmrBtIotluUEDV9P0vtJIO6WLXozaO5
+V1kzqN9bBfvw+Utk93PqE3gmUYg7orK2tuzttKtzrPSBBDS2g7obh/LBBSJYwX2zbJWafDKEBCG
DfQ/XoSgeXtPKGg52uZyV+xj4zCCq6g4lY/82bY8teDtIeFWBOtp+XJ5jbK8AAR2XC2Nwy/E6zR3
E0gA6SCjnfPzpj9NpqLRLTtggBchPkINArT8wjec0xrVF20uQ727ySB40TdB6h1ZA9y2pjphMnff
2xJiY20va8ocD/OPx+TWPvD2VX7DZTI5wlMFY5I6x25hQlzEVtKiG30ulPkw9UtgedVdYT547vB4
eYdk/r5flRATex+jgVuDHdJTlwb2iOZvj/qExQpFOqLaKiEW1tpUGK2FrbILkA8PsQ0R4Jx+XYyP
8/T58poUpsRY2Bfz4Ng1dmrVvGPXPXm6BoxAceiSMbYnVUdbNhQBnZV/nFCMg43uLd2sccd4XKHQ
fLZAje+jI3fm0kyo/ynyLFkr7I09IRKiteGMUCYrcZTLLbQP+ZUWVqfiXEGh7KAaipJaQ3jCWD7G
6DBPJ3hiC/VBs/VXaMhsPz0Mcxb553q7Ww0vrNZ7M7cD6Mvjcfm50f7mOcaVYgkaqcREY/FtgBwz
Aw2cTcvDDEAfj27B5P77CQyMOGNNYGyASIRYfZ+s2k+zMqVht1ofwULx0BrkgZrt78v+KMtaTdMA
cQekFbEgEbHS1Y1Wdyker3bQ3PjPJrjF+iOaN9ddhxETHkHoV9V9KQm9b2wKXtK3Rb5RstDQmf0f
m54/d5aKfFdqAjKrnMIfkyXiDeYUdB7TKaeQcnURd38PraK/LTOAUSMDUmsQWvPEcSOiEb/VACIK
3b4NGPvl/7q8MZLgBwUo24IIJZjZ342pJe6UOt2QoW+9VsvBrZb2VFgZuJr6vFOEP5kpXL4Ornof
WomiCxS+7TaZj+aLBtEDWgUzPlu3KUoyklsDwk+vRoQ996bGMlY+aFOZNym79o0vGY29UhGAJLvy
xoqQIlV5rycNgxXKrHt9AMHimCi+liymoreBXiq/2ME+JEy3laORje3YgdEND5H6bjyWIWZf1j/Q
4f+ixSG52wlqF6bnovPNOzlvQ03rQ+e9I/w9fvsftQYv2o72kROOqO92yfUEvieigx8GIi6emLSU
eeNDwxztBr10PxQMyOGFHDQdHOg1+QxoQ/DvnZwTGiL8oL0P5fS3a8vcpWTDPKNwnlXPNLOnQAOC
Hq2Op8t2ZG6xtyM4nzPapZ7rsONMzhlDgk91YUSXTchecH/42/5nLcI+OZtlM52g1YaO4hHzh+F2
nUXN9RJycBxrA+Vdy/+g8MaBZINu4x2OURvIzb/9eM2igTiI18rBlxXafmRYT9byY2lToE70YPW+
e1oWNtNTSe9TIxo3xQUlOdBQLcIFCNtQbhNB0iOdnNI1OI6TgfAGtYklTuvBDLMNOs8EdO6KDyyz
h3uKow9xHDwRnTePtJiyeS3CtnfDdszDPH8pk/TEPEVkVxh6d763eWMZ04pwSNnzvOQ/bG/8aeU2
ihtkOSm8RnLgEEH+WZWI1Cu3dqmGCqrzdhYMkR5qgX3DfnAYPTQ0HfDud8Hy1bhVd/dVqxSORGdy
teFsK0K3qo5LO8UzBTlG/Wyp33cyR0UX2scLz3DBDiacDFKh2jd5BMik5KtztA/s4EVrd29kIV/e
f6UKxX+9eDb2JnlA2L3/Jx/nojB5Le7HCjwfBu1O+vPyR3i7OSrzUH7S3ltzwRQGnBkxxT4AcxbH
m5uMhbQGOZQZOmHzobyrojx2znacvYw5WJKcEz2ZQXVUMhLw+0awjkIcLm7kOTgaIh9/V9RL46ED
FSKc/3JSMCwMrXenOXOc0fWq65Oob8djm3kfG9RYFf4r2VvbQPfDgFilD1i6sLf1kKcdVJ2BfSsO
/EvPT3x6vwCBK4ZpFnTElQxwko+NnE6H6jguqvcQ6yEv62TVcWKsIwS3rvMjFxjrlD1dyfl4Y0Y4
H4sFZOLoQtpL028q7QuB7qF2SuaD4vvJNm+/GuH7AfDoL46FzcM8MPW+5PRntp319WhYh9H+aICi
aUbZ8bJRSb73ZmnC4TDNrUXGAVTt3D1hvqoydfSPP1y2IYlrb2zw37A7gEnpYK7FRCKWTFGuX5HE
ior+uICUnbLj35iyEF9AUvMetr2g9Wt1LdgiUZX1mgVB7GrtT9l2hXHe8P9kSrwactYslHHts04v
u6A1SRG4dXu/NXi8V78L1ivcg1c4xKONDNN0TOR+79G6eou3YUfghJM3ukE5kUein7s5ZFl9AI9F
vNmt4paV7tvOIj8Wu31zvLrq5wnn2cy70C2vt+nHxOKakCB1VJ1g7meXVsd/y87WkLmVVYLrB5QU
kWvfr77icpUe4d1a+Nfd/X2oKdRjrwHrPJZHDxNO1fhiY8SK+orzpPpmQiKmafWizRjwDGsW9dmp
1+68+nYBt6d1/gv3e12QqFnj9kXWgQAjCz0wWpD8pp6iyTzN/lXPvl62pHA8UbomHTSz0CrueOYA
botEf1jAMhemI55VXdHddlr/qG+bGV82K+ssoY/1j8PbQtRFLbVZVg/BffqxHdYXLsZZgiJ//OGC
TbS6Sg8q3mDF3omvKzZqXutvONEYAggWagfl8mmcT9DSDBG/FOFDGnh3qxMC7+y325zVOFyj8aXd
jlmZBakKiiu3gWCBmgQGgMVkK2lrCHk3+IKjx67dARxd/bGzFJVZuXu8GhEWklbUSJ0K8FfMHvtb
RMmNY1zz5WTgpnf/feWAkyT+syLhKmGU1a6V8uMFUaMBT0SwMuYvdak4XPJo9GpGiHwrCAUMfcbm
ePWPRf8G2SGFb8vD0asBIdxVKU28LoNO4AzUsHm0oNLUQl/Gxch9H1FwnHCJSZV//y8n6tWqGARL
3/N7iIX+4XG2D0Ws3VkPHJPZnztwlaYHlQi2ygGFaJi1jBhpCwdM7M9dHmdWHTSFIuLyv/H+5vDQ
8vX47IyYcCdbvjhAQACM1boBBkdOYwfu07UPJ+J+ST3rk4HZ5zZXjUiqzArRyV/8Rs/4zHiZYEyg
cg09yEb2cfP7cz0Oc2jrw6F28FA0zXY6XHYf+Wd9XbKQKI5Wn4GsCkeu8dbAGK5LKw8GFW7qf/GW
VyvCwS7I5qxLjrNmNHZgYEIoNfM2GAsnmnvzuKKHm2tOWIBpM8NMi079CHlZgDdRRKbu3zfQcO5f
f4tw7md7s8H8h9+yFNUx31BU0UjgJdYJNfOodBU33p/c7ZJPCec/67Tc1bmuOQSMz+VVHRbhdmVB
KUEFklbtpBAHbKMiDohMeY0tx1hQdyyIdZtUi+KMyOPZ6+cTDn6x9llNG4SbougDpHRgfVVUgFQL
EU46klM7GUu8XawsPdeL89CR6tdQq4qE8rj5z0LE2QAItPVg4MZhL5wmWItjRZ8n6NioBqylqwHq
DTzL4E3ULWE1ZQuInct1Vs3+29ZfL/knTK1fPsMSiUXIjtqAvZmcJhcVz7cZaV9siTUU6OBD2KQ6
Vzf5EzBCoCQtoDDWf5kP5Mo5jBCe68AJp2JOl2Y6O9uCf4/ganIXPkXV+AAJAUhcgQ9S67bjClfc
PPNv4tXOnODlm8v6ZCkQKyf3Yzcuvz3Ag7o0/674ojzkvju1DvIcIK/QeRa7+GueWCTjXxSKBJH5
wqFP5EjvAP6/mk+qkqv0EzqeC6wCUivPF8vVw5IBVYrPZUJWomnRuKVBrrdA5B+aJf6blXk2QLI2
ABggonjrK3mdef+ZKlwOXEApj8HB3R/WA4n1a9R4dAVMUnrKXs2JjemyLlZWpinKNtVvcxyjyouc
qQ8GlRvKRsVQLfpnXWJLGghv2i5AdSMNAqF4jHV9cX4mTaA//Mg/uFdclYrepqgoF4HxU/VNpeWW
nXHhBqc6TTSjw6SDXfbRXKYfVtt6aCofF0xuP7g9/dw3ZQiBjyDzu2BurJ+Lh4e3mZ4H14r81j7S
0QkGa4k0rYgbe0NVg35bsse+A3jFWu69yX4qDP+xd7yzmwAD5Okf/JyEOdTRZ72PidvFWTUejTk5
FC4JLc/7thD7Z+rNVzbug6Yw7obcBrfuAjpRok0hYIuHCqTnYFo75ay4SxvkjfOIgtv03c7Sw1Zi
nryxw8nKr/Pa+dYM+a2ejg/GZt8z343ciRw2lp+8vgkWgo4VsT/2jhG7xRxquNxpPp5mGywjrnFL
siQG0PhgGdljXaG3Cb75utWRz1ArSOY6ypL1xnHI/Wa5166zPZPaCfrOisHuH9Gq/Lz6n1oMItiN
8zQa/XHDlD6xPvuOfiQNVGQzLUbP55QnYI5fMcrQGseqB/ZsJBk6CFUAxZ0HkM3fWlp6IA7G2uwU
WgJDmCIsG8Z6l44dANBWQNL53qmmA54Dn4HxiU29ARwwLd0D29ardhxfFI4jO/no9KKEbaBW74j9
fhei1cXQwm+qzo9M8GMlEN8qfy3a9cZOfX1w8lu7eOyqIzUPFN0Y7VSARj7FjuWKuCpr2Nv7nyLc
63M3VpqeWHXoP8MLg+LKfWq1wKuCHjOWdphH86n+7ubR5S8ge/GZDseE++hDvmsMGsCej2Dgx03R
0rjK4zl5ybbvc0XCxLlnVPG9ZbmL6WJECPVdDu0Q7smOGGwB1QSOKbU/9JtznWl/IeWI1aBc7mEq
3IVsrmDDKvqaYPQBMKZjecelN3hXlU+pZjHQq4qbXxZdLcDbfAcuBLSZkL0vre53dQaEYLt+LYsu
aNyrRJvisVG8lWWQGHtviH/ZXc2rLW0/NS0N0dXGNGMDLfftyX3k3L3q1vT7Q2H6poVIjlI8CGnE
bKYcAOOuHb8Ml7x7ocx90Ysbs3+o22iqFF7//vu9NcX/f7esDqRPXu4hOW8z+7Ha2hu2fXaa/Gjp
qyJtlmiLvjUlJC5s1ca5SHIWDgeSxuyhgSAXi35lkfGoMQC5wbQGiDP4SI+XT5jkYMMw9Nl1tFPB
yyemMrXvt0vaofdOz/ydnj23NMAQlNtDcrx5WYBx9s/m0zwr2p1/fO9tCvXWrnAnus44I7NqWFj+
TvPQuwKAFSU3dOf8R2DWweuiSqP4ybpkUDgMWz0UfssRDdVSnVuWfO3SKWpsS0EeIjkLbxcmnAVz
zmYr2fBB3eUuqQ46lAzH+365I9jE8svUfNP9T27xN9tI0JjitQl0PD3BfzI9N7RsQ34NtMQa6qEV
AsTFm2Jo6HLFxjRch/9iWlt2QtCA5LPaEP/2fGEX+7xPQbALkqNsvWvIxzXXA80EzObTZS99H5mh
+r0zI+zd6G6ayzwA/FrjXI0fe5U4rAQM/NaAsGm6kSDbn9G53e7pDdoqOAk8SfRj/yPoBH4YsX5K
QtVwH98T0SP3qxLugg7ihVtp4uPV5a+yOUCgAhKNBwI0LbK+v/iAEEcB9QogNpZ4tTVGxaZq6wHn
odBABSqjBRXsZRPvy1T4hADx4N40HYzqCHtkEVBsoTzEQNKIpwr5oOcvTvpctmvob3qcMxoOqh6c
1Pt2JoVdS8q5sMuBsdD2r3wDCPv6gztGTfnt8sqk+7QzI+xTNjXEK3vMjTngiUnc/mZmJuhAsv4L
McYgTYx/Xed++yWFa0enmtUXyGtDygXokiVu0En3m/7UWhPa7dsBN2N8eYnSqLXfPSF+WKO+jt6y
8f42ewC4DHK5Y8SbH2pVQVkg3psSUslBr1FZT/w2HDCOUSyP3nA74DsqFsQjz7vDtds04SELSrkB
OTXacCYa9jb09cBrdGVAYpkD2LJ/XTR8s2Nih3bqHTp0OhxxXewuhKpNghqHrh9N69axr71Kqcv7
PjF+a1CoCZB8XdmaLxhlzECKRuoAuiF6aIYTtJ3LMNUAosVL0rAD8+BdFwfVWZdmDVDd41NYwILZ
Igosb+cE+EB0uq3NfLGW9EHr8HLX82hB1b2a8VaiPThpUR5xmqgZv2ajG4Kk+9YDbDUFJlyx2Ty2
vNtsHyV5lOV90NgIm71ZszFqVQ2pSLzuHQgH44W5pQFofkOE7msnDdZS4WDS2PNqUtxydHm9Oakw
mT16YZ6djOwTQo9DFPVh6VnZWRH2uWOzVrpAaoWbdj+lBqh00NdQEaryMPn+66GSheyB2K4IaCe1
1ecGawGfpye6faKFioFOvopXA8KJZ5WfO20GcvYBwg+gYu5cPRxV8k7yOxyyof+zDMEJgFZaNS3D
t3I8xMt6+0qm5tS17kPlzf2n1VubODPJeCjsZuE+akSeXtCg1fsP6TpVwbTZzwaehcE05KppI9nl
CMprPFgsIMN10Vu6sqdaWloM4bU799Apng8W6AT/PUeIiYfyqxnBXciS9gbIizlSpKbX+lZ6GIgw
vmX9OAa6uzxcPnayIwAsKAqFAO6+R7uPbVO3ljGCTyYBv9iYBqV/30AhdlBkFhJVWHS+d4aEC9Gk
Wtn1a8sw38FAQPTZemEROiYBeFXv6EtxHn9w+UrwT4ApPXaOjqJIKbv/9+aFu7Ge52WcMtQOM+pC
IWZB1cvU7zxneTa04lDO8+nyd5UdF0snACjzCTEAmnBed89OfWF1puU4Lp5mo9sW99YcjqrGsOzQ
740IuRPKof7IdCyKGFC4ANA/gDaaCvMlKbvynXtdCl/qbin+Ok7mVo08MPPrqUffAYpQW2S72LwN
yEgzQOdm/gSS3odNNTGsWqLgNhsg3rnlV5gA1VFrpIFRKh6xKgOCY9BOX7J2wkb1UxGX9DhjBvuy
K0iPGIdXchJBPinx9vvRqTfZsmHqjXk/evfB98PMLIO+/r+ZEcNTPWr+mOd88nK5noZPAy7xAhTa
maP4YJJOL/wBlTyILEN9BXRNb9cz6xDMTjysx33WwzXezkWMB/l3+1g80MC6Xq9VmYrsLNmYJyUY
YcBRejfQRMGWa1IPZxdK57FRpmUwNr0VTgyqbpf3SmFK7BgayzZleQb6j7J6SM1r5j2PjqLQJnO4
3WrEVlBua55f8UCIWb772s9etpQoViHLLDn5OOZvwdvnm8IOmR3ph67VMRaLRp3T/hqmjxT3ZeNE
iOs5MqnLH00WW/fm+Ip3AaKa4SWYRALLYps9ZRRFPGYcjcQ4mpjxbwvj+bK5P7wbYq6DFIdgsgUq
Vdj7t/aGjhAkIRRgHrvqj5ObfC9N2rxMg8diDD/1B2MzzKO/GR1AUhj7NOr20SnwlZHIuk+92WAg
atS72Eq7Ouj1ZokyjS5BkWSglNZyCvSxNV1PqbV8pMSaA3fK6tt0Sc1DDvjIw0wSA9wm9HdTgg3C
XQbAGBhm3kY0KQMwfN0UTv1EijEJILwO3jSrYl+0xVnDeUNCTRvQPOGX1/mBjIQFppf8dmhvHNp1
6AGqXaabtpu8x3pyC8ySgm09yNN++JnOGY1S3XgEf1gDEQAQNjd9C+B9gQZLXRZGABLFsQxI658B
jizAO+A2TxWGZPB88T4Ws09vKrqeNYwuvyxDA5bDeQIVTEnIT5P08w9zKIDTGAhYJZd6+pzT3jou
WZo/pi1Bn9mHiC7T8pfG8PEe2+i9ZllovrVXmEKDokk63NZzZ4bl7KLaqM0PhesNcTe53gkzSN9I
130tjXZ4cWly60DUKDAHt46x5uVK1xnBF9zYy2U/kcVdNMrBYYeGuUEcwS2zztYaJ8FZpjnIP5ez
0aAwOSOJokqeAu5x7z3ShyiKj3fUOxh/ptmTBjwPbvtb6zc6AqCumw/pzz/5jHKKWhqj3Fdjgvsv
Wrcmfdug+1/dN+zDgFrGv4cC8v4GH1AF1ABa5sKlmHj94KfIDUNdv9eLZ6P+5JhPl3dHMgz31obw
oKinYtOoARtzuED92QjQ3TuyoD7XgJa1inRM5gv7BQl38GrqbAIuGZiC9SGfIlo8ttsdcRVXo3Rn
oAMKbip0vN4RA2hDlYE7HcXAwb8iKPF4X4xOkcfKbg/eSQRfi48mlCOE9nFdJx2ILg6vLY622Xyn
XvY31W80KgGI52y9qEi/ja/50BUNmI9g4zM4dgCkHb43J3pXxRpVqhbJrqq9LcGZIUKLJkKO90dC
T8CmIS4HrndjZg/VeG8iPl12OpkbOJxvycLoN+5G4etlmzXOk49pvm25Y3lEkuvOOFInumxFukc7
K0LgaccyKTsCK445XVmu9skeicKfZVeug7ozHlSIb0jC3m5R75uL0fY6cvISLKMavWlLByIB5q81
z862/vnygqSbhFwCMnsAUxGRUs5cauKtFiJpXx991gLdjzsyBV3Z85a6gZeqYPHSD7izJ6yu3CjG
ZPsNWZgBaQd3Cdi/h2zh7OwsCG7nbCPB5iBlqc0ROi3aTeVMwdLPf+MJNnreoCeB/IY4Sz4ltHGr
DWYGEtsaGAX8n5d3RlaTQEsAY+R8nBI0i2/9oDQxWEh4ptcMx2I5E9IHbfZzmLrjWmkHhzwB4qQ4
Q9L8f2+Te8su3aPVpPeWht1xDP1MDXDWZPpdUuSoViZ9mJosBNIpMOdfmuEf1wUasGX6mVYYR3SN
L5eXLwu4+yue///up5AS855pDcd09Rfmndrp06oi3ZabQK8fFTxQwBHBhN/14GiDIgIW9Snr4Ioz
Xh+tFv7NQl6t8MC1W0g/TsDX8YW0+POl9rNIx0BjT5eNSBsE+50TbsG0LvV+NOAtPahyoC8eD0Og
n4cYXNun3FAsSXqIIYeBhrRuAowhxFpC6jwffBPJ4og6T25+HQlU7y6vSLY56FX9Y4P/ht1nM6Hn
2k8GamUF18KgDqhaveXkdY7iSpQGwJ0dwQmGfsuTtcJaxurBWs519tMzItu78dLYpQpsrDS0AyEI
ak0gZnRbONKsgBKBT5EXDa0dFGVQ9Tf9eiyaJqjSv3iKOjtTwkmuUuQw2YTPV+vnPHmh/cfL2yPN
8RxgtHDVcnE7UR3drPxt0FtkK0PfBuaWPZR4IVr9Gm2Aoic1SPvWqo7G0TuhNhh5oC0J5sFXBIn/
5VegZoHEDEmZmDMxn6V5B8EKuP0c12lgBGiRne2jEU94XEVK6hx+PYmvARexgmvCmxhuEnZwmmtr
IiVWjRBcnUnEMN0SlTYEhdkGPjYVLlJ2CPC+MbkqPEYExAiFSfoeg09I1yg4P+zSj7SljeHMB8Vm
8gP7blk7O0KMmjTdbpGY/uczQmsb1H10+FMCrB/MUxL3qtMtvWlAW+lwxXSdV2/fHu8UOvRsdnCh
rI/T5wFfsg0TTAjjmW0/mofhmEat4vDJv+WrRWGNs1MOHjRdMMrj0auSVLd4M8S1pRL2lcVGtNd1
riSOMRRXSD9G6tT2uHUsTFh/rVfkROxJEX5lYWRvQgi/uIvRSeFvEds5a6sR+P0zs6+14ofu9X8R
hV1kONh88EkAg/R2m5YVb55u7Fk4ThpGW9Mr28fIpO5++BsH3NkR3KGE8GJDRjRgqs98EKo6UDgD
OKJulrj+L8QT5Jv0uizBF6id9klZI41nqLDokx9ABfnyiqTeRuDZULy13Xcj8BsmTBmrXASKpDin
o3sYx+xgrt3xshkpTgvhFwECUh6A4AgBaZ2XSquSrAvnxzHGOToVt83JirTbLS4P7KhS35J+uJ05
4VrJt3XI3QVySAP5NSWhpyJPVv19IY0ZdVoNRoFA5HXDjzHvDpbVqu4Mvrnvgt3rGv60s3aZRZVN
8GkDW/P/mPuy5bh1LNtf6ah3nuZMoqOrHphkTkqlUoMt2S8I2ZY5gSBIkADBr7+LOud2SWldZ1c9
3YiqqHClMkFi2NjD2mv50T2S9r0AInnjxC95gCbPR8o3zN2qMVVzj5TCbdB3SUl3tL9gjj58CmyP
RU4SPA3xmZ0IqzgSUYM3nRaZJyA7wmjfuC/2pUaZZcZ+eds345wZCwPNmh7aMoss8smNMquH7srJ
7aN0nnmS+y5krS9s/Q/X8M2Iy+dv5texrCgSAg6vo+/H4rO+tOc/nDkwUi3UzS6Y3hY4/5vfl0IE
bgtu/QVLF+YvChFrXaY90O7/ztkKgGyGLBZyCq+NO28GsoRtBSCY6VZmM0LrGWD2tX8KIRqwkPfo
x0sm4+P3+p/hzvelcAxYBDqsVBs+9n23rxCzdqNezZcABR9fvqEPbuqF2AtO5/sZRPrbKYPIwXVv
Vgv9X571V76fGg7l5fKh2DZrJIgu6SF/eGv9s/h9fuPb0KKy5YRl6yL7FkWftfbNMZbeSvTA+KNC
9/vV+7Aq/abYbi/T/Wb12nr0e4fBVNm3OTJCCUHHwJ065Zm1tPClxfMEUdr6EDuJjfaZy1w6H94A
b973zDKzXIWmKBBL89g6QIxxHdDpLmLkwi69NMyZRUbFLpSBhdNWt3nmay/jqtojPX7BEfhwc755
mzPD7LujX6oYW4ba5qqeRTL6fDtLdlcOl6qdH9qP+J8B89nEcc5173V4o5yDov+oLjZRfWgSl2w+
OFbiEOzY73fGEEdspBLOBuDNYxY9uc/gst0ER7qLD6DPwMVZzAsSLVm0twCZ/f3G/GjBwN8Hb/71
v+eJSr+YQ9aYxTxK91l5EMGK6X1vvfwbo0ACC3ibCBpp56eN+swVTuVj97n1ThX5KmLFqWOXCM4+
OtSxDw/RJg7gq+dof1uTguc+wVoR+6vrG2AiZaLG4UhyxAxGW8+/f62P9gYif4DIYtgtoGXfL501
WZOwl0ClouE38C+Sfct6Z/v7QT5cIYC0fdhHMOqfh7aRAK14E+OlSBfdqFiNiWOe3eCi6O2HLwMq
YGhFIIsCAd/3L9PmEVW0x/2CpB6BNitrmi5BEHg9jUGfCenUSSM7fiUN6e9UC4lQo6ZpzfLZ/0yg
Qv0oZ5sk4WwuXRAfHZD4zYOd3eC56IoagkIIyXyo1VsmmYt1Dj43Ym+5mZOKXBnr6fdz/qEjS5wA
9PEo/qJ75CwxHJN+RB/lDDTIiu+ctbpZSD7c+/hmEV9Hm8olg/bRIr8d78z/0mMf2ypG2SgqRpRb
h71boGIMjPfv32sxv+fu19thztZ4Ag2RmOfFzYuefe8e6ptrX1275uRD5drjm9+P9uHN/na4s5Vr
43m2CrftV81gtnXhrVnZusicedcAsROr+m6sBnPpHaym3uZluy9pnILVOIjxtxee5SPbgFImlMw8
9DzY57ah6VEe5xwhfjRM161oNsL6Hk3fTdlvWupmle8+VHGTgCHkFA8/PYZmPTsEExRI4HORRX6z
j5H1vfBQy7L+sh5vHurM9rfMtYcptBesGl1aapxtnOZtoqzMhpQrX3kXQHgfZqgWdJztQjsYpd2z
fV3QKSpphfyiXunMSsDcD3gh4OkbnpntpXahDzf1m8HONnWtvUBoirfT5toHx0ZADzP+5/dzuEzR
L1P4ZpCzLT06Q5zLCBmOXH4Tzrdq+KnnH/klLM2Hu+fNKGc7WbluT/AqsPTDZlZBEvs0CWlK52Nd
Pfz+hT4yd4vdcWwoGyKjfebbIC3RzTarwHzibUKSMf9zGa76eofcVdJ3p9YvL/hsy7P/MoP/HPC8
rRr9eF3DLAxo0fymGfy17C/V2T62pwALv+45ghZDPMMb91cVDJy0jegh+R1s58ha6dz8aAuWRLp8
ioC3ZuDsQC1uC6m8bTDMmGC8dCu//X5uX7Fp798Vgk5g5gSFApocAep5/xy6LuuRhWhyrHZ06SLL
FtT3uLsshPDrKgK468TobcEgcHiWDfXmhWlnD6GDZVhV8XgKx9JHnSos0e80rbvAOYwsT0A6i/6X
Wd9feMdlx5+/49uhz3zwOizH2J4gilntADsCfweYJfusPEwra9OmZnuJKvvXY45XDUDIi7wBgjjv
7FUBp6u6sKSY027n8tSgQw8c8heO+a+bdBkEKFdIqCK1dE7iKFlJemJDvy4w7guj4lTy+kIO5IPr
6v0Y54d8EvPoLJCHJX2PxoA0hvz0tlyhL2DlJs093wQXzvqvZgUHHAQyAM85mLlzcmGLysDtZ+RO
bSgyd6md3wf9iEzCs4qyC7tiMbbnu+LtUMvnbzZkT1rwZ7fYFeMesOiFQR0a10nRQbti+F+wNH9w
07x/tTO7jLRzYBwGr83fhD95Om/Vlt6bdb5qUnF9qaXmw6UDJgrdyzHq379QxNtFaGyWo/nW31g+
6E0XzpJyQjUE3S0Tlk+plG/mLxfm9Fd3Cu/4ZtSzOY2KIFfUKbsV2+l9eVwaAaereL/Eb16TRKAn
gkAd/KtH4FkunbqLr3w+wbWrZDHBlOnV0KKR2jnIVfm1SBc9krJM2/W/VXB6/8JnJwQtA8zzlzGX
PqnoakmL+0mc2IdmHe0uTO5HZuzt5C5m582GdWlJPUBOsaSQVkFiiFwtfEctkL/IeHXryymSDy+H
tyOeeWP16GrR0nzZssOO3ZcLhXlWpxCEvnAYP7KYgGogoEONB+7Y2S00I2ZqSqNQrQ7UnUOclSTk
OPvOv1x1xWqBsRyXAYRMf2nV6ShXge7B+etbR2W+mulfRqG9//2zi2aKW8+2ZoARq3Hld1eCHMm/
oWX9foyzqYqM5rw3MCN9KnZg7l5B+WEHvWd0KbuH/vpST8xH18wiloiCuAsRu3PWtjlHMqmCpvRq
pjcg51wBv7r6/b7+cASoZiBDAXWOX2g62mIegpZBzXKm+6YZE3d8+dcHQGc+6HHhdoTQzHh/bqQz
ITcCYewV9axPMcmvwsJKfj/ER/sXaL0IVz5kt+Pzy7gyrfGkQa+ENBD8rWFbx2oXX8qsf3Q5As0U
BQHEifCfs6V3aolCfwzEnlNZW5RG11Ix9AoHP11ungZe/3kX/+f36b/yl/b0510o//Hf+Pf3Vpi+
zIvh7J//uBEv/H7oX16G62fx38tX/+dP33/xH9fld7if7c/h/K/efQm//9f46fPw/O4fGR/KwdyO
L725e5EjG14HwJMuf/m//fA/Xl5/5cGIl7//7Xs78mH5NUTK/G9/fbT78fe/uRGKEv/59vf/+vD4
3OB71y0fXvgLMOi/fOnlWQ74vv0HoHhgz/aRCnGRxsNK6JflEyf+w4cdQ1sneFDgm8GG8xaSH3//
m+/9AZIPyE1ChgI41XCRaZBgGFw+cv5Akg7sZcASgB4xQsbz/z7bu1X656r9Bx+bU1vyQf79bwA7
vPNsoAkD3DUo2yPQD6NtD/zm7zc8HZRmaEmEZ1NX92BUbDdSFH5ipnxcKFPRqxeKa1uaAQQO4Ewd
iqLZIx+KelPVbvMYpyPvQI9VKuiKBHE/IplsDQmTmm30UCC33BRW2s3+fTdV8UPbiE9aAzZfRJAL
b6qnoRHxipJ50YWcbpVEZoP4IMa3hTyVYfs8oqkkActYuCvgmG9d2fkJdJJZqktm1kS50yYvzIOI
oHOzaxUrIW/dUbWSsRdRQN18AEl0EKtdFDL9DcUmLykdO9+oYuytpPQ7cN4Kq0cLiW1d2yhjPPS9
7F9KDy/WqiZOx3ghd5oCue7icjxWdNQpmgmAFFH0m+3M1haAtHqrbbvdh2Vjr8rWsVNq6LhtOM42
hONWMgxGBC62Wo8h7zOPkvKOz96UAmGv1iTk+9YvZOqh03fX5nW+m6TXzwkp9JDC1vqJBDFeK+I9
76i1iTW3NmS07qHPALReW5UbMDqqBOhPdsNA2J4i0HgMCy1XHvOORe3nK63AwqRLoChBLlTD8ri7
EoXzBLTdV0RNemMhOi8AXEmhXzai9kDMqoTw7dUwkeJA0FWQBdp1EmsswrUa3PCad6GjElB05gl1
od4FnFRa+hMwH3ne3IxR/nXy5jlxI3mkZRUnvmzhvy5/0Ff9sWrGESoWZZCWWraPszuN2D1c35aj
J4+OTS10TIAPTcU2GMZHPeypdnlC6iI4iECYIiG+AU0LgYKJmqJHt6HFxsqZSHxwuO1z1rCV5fkZ
iB50oqogPkYyrq6oHIsDn1FelFo0yWSFAaiw+uFOEYoC0uRMSSjnOkOGl0KLLMzZTlI3zCAUUaQU
keoWCj3iqIKCbpbznnV+HCaWcruHMBfsMZceOfjB2Kdt7kGiG5t/z6Jx35n6xahRZ04fP3G7uXYa
1z5IbSbUOjuxRmtFt7PUVG66uANNce4N+4KDn0uqIVq3eWBtvMHmazkF7IqOnbcpZaWSoA14Nhad
96VpBy/lgzArVIibTRPWfcbQwAR/D1tjOxg3fOoUildeLXgGJUM0qEAdZm8aq71nVPVbQsc5K6Py
2fUj+uj2nZRJ7GHHCursjCXD28kpx7T2gilKDOuKgwjzGGQTvY/Cvs2uSrAfryzRuhli0PCmIwFy
3Gbu1hH1kR2RYnjIeaOuwfTkpH4eG6DNqN4WTddnQaW7awYyhlMwCMSOYwMnJWZxNkf8yYro9943
ccJAo74uTMczxA39UXVgmmc+yCiApqZbKUGaZxoyrdExEyec9mYDigCTTIXbJdSxp2TmoKEzpWWv
6rkOf6ByFH6Night9MCnXtVV+3lSIM8oBmXlKx6a5ucwl2OCRxquq7B3Hjoakl2UE7oabNekFDRd
QTKxEfqFoy3t3UxUfM8sSjYFjldStH5QJwSlOLR4BZu+sqWTqDIMXvJi7ivsYZ9mYWHanTU7/LOg
sfPJjptm7ajihcu4yHCbjPupbYKfZATaemNVQCIJXgFwqFXkbISYirUd+6gue10xJGBvyZ+9ya1u
ms4P14x4WiSiD5rMiLbahiDCTonk+HowGIhB+Xq4DkVXf+p5PLBEC5DDoanO2KsKieY9oc2Afkgp
9ygX6lPoc2hIcR1mAUQpEsnknCHib/ZA7k1pFJU/kXzIqsm4a62RGkZq0fvmGLvfxh2z1paW8wG0
aVd08PurIC7r1Kt6tbPB8XHrzz2/CaQ9pTjF6qVqeVwmtTvP4LKzozKBr0YOY1O5idT8eVTtPpqR
JwHMSSfAy0J0hGjYFu7mQzLZZQ7N0wYmmaDbC9NiGqCCgnb2LRwIsu7GXa1nR20tb4ReI4rL+TMr
Bk8nMxXGTirts0cmiukhbGJ3F81i+UjScK2rtn/q8q5/spQdfgdytn8iYxRhv0xe+F3bjbwaWrfZ
Al6Dqc8rxax0cAA5mYjfbMfW7iGzFI33My/47TDpLumaMt7HTciu40A381pa/f3ga5n2AbqvfeDq
6TSWG7sdXzyO+zWfr20F3jzG5TMt8jDpNZTWZuZ9r4lzO9XgtGqjMKmVujYFdtkYJO0UPwKiIhMb
L5WEGteRF9ZJN3eZCdR+nsZmWR2AP9tgy0a9w24OMxhLvnar6IspZdKPdoZx1CEI5bQvABredmq8
9+YS6nwM5IfcKeykn8iQaKbmpNPxWhedTtug/FFoXuD4ip9D02yiprlyLbb4DYjx8/rnqPF6g6HO
AdJCh7ksuiuFA5FY1H9AfuBJQnk5YTAdZNEtCNrWTvvYO7bO/NkJpVoph6JPvBVgDq/Y17yaII6k
nLsyF3e4En5oBri9J7xbKII++JBjbKvqpowwkcOY+GiCS3g8sXXTlQdraqKkrMPPwhcnGrFDaQfQ
zolMEvTtsBYdGH3w5RCU6LFXnoYxemBBcRqG9lMTaIZ7wwGjZl399EoFSiN/mrAtyFPYWxNEQaMN
/PQvs+T3ThFYiWX7TWY1Vbmqov5n1UYvbVD9dGaIOTazZ2VOPcGbAJVHFlvaJLxZhBS4egj0EN9T
zwuLZO40Tx32Eob5F1qwlOQcbCje0dclpIUq9s2DYr12/E0tGzsZnB990z/l4DpccQ3qCY1iMFok
/Q0v+b3f+QfAtD3A5rFpwPu2jtpgA9cQ+JHG39bKhkSEBzqHSR9D3RWJbJqDMvVR6/kKIRNAwqL4
Zuj0pYrD08zgOWqXwbSGa0+0J9vyVoSqG3Booodyz/vwFqZuPbfI6xboyEpYHB1ry3yKfXOnGIRs
FMdkxmg7g5R9Euh559Iua0WQtbH5bgI4qZMb7EbEU2kde1sKH9HD9kWnBcyNhVZ+tq0xxYkr5M0Q
4FHoAFUFYMAMBvSuuziykt6XewDjUZXkvUqaoL2X3LHh1nRP1Rxsh6G5RyClVsCsX7VdqTJuNfdt
i71UGnlNFxmefnJWoR3e9xV8sDiwfnhV6W3FFO54hR4pIkI3gxBzIgQ+hxLuQ6WCL4zmB2ekJ6ra
I2gt0bjJXcCPe7bxLHLUIppWwRQcezE8GVn/tHk1pPBiQOPLcJpZs6ma+Loo4t0Qk5UjnOu+K/bR
qL97A/fQIts/8Vwfcg04Droet54B12ZtjT90x0+2sJ7ZgLJVS9FyTDIzRU8Wl7elxzJ/mD+PLuXo
voTfoebPA7H2uUX2vdcfWWE2oIfYUbiCSRzVey2Had0YDggu8FsNzqOr0U4LldNaYDpZFWXoORhX
UdndU9u9Fflw45X9fhjJ3RxNJvUlvZ9mBBnV0D1RG2agJuM3RGpYLN/ayw7rQWjGbAvBBcf85dK9
RXFjShwxVomZhzQc5TooQY+jG9CXail+uPNyk+XmhnGN3KEdwL5HR4oGylTU9JjP46mZ/V1rolv0
bj3CuKS9NZ8EcXd+xzu0z7EgcxhgRmEX7Do4YHnkpGHJN4MoNm1rfZ8gHb4ijXoE+LBL/B6zMNdV
hNun+lnEU71GRhUmR4cPU4d9N5VoVm4sqnYyJPdOr76GFKo8RNwUzN/2PTTV2pZlowOSRVc9TWW+
Z61miSTYKyO2PQy3yOOHsvc3zaxXfhvdlna7bQp1J0QcJ12Nx2jImAZ5e8oH7CSqHCgkgqfUdb9I
2m65EJ+iuryCWsoV8cldj+hn1TX5TaBmOLBN56EjGarrfiA3Hhvs1aR8giuEzGurZTsaRvC4xQiq
n2A56OCYWZfl/KlUbZlGrhVtrdyuU6Xqg3BjeDN+e3KAg1j3bqWX95/aZNb1tKfcFGuHNugshn7Q
n7mbfykHgQgS/zlPK7xLRfw/kw/v/mrz0i4Bvjz/qf8PMxS/T1BkEozsJbA5f2Y7lpTG8oW/khPx
HyhlA6DlL+1vEBpEDuLP5ISLPAPQN4sUH5xMZJGQn/wrOxGQP9BxutCbg1cVOdilevFXdiKI/giQ
IMMXoBiGX8NH/0J2wl2ybf8su6DKiAsIgOsYpOrQfvpF/3cu5sqqQ4gb5pAquEECx+w62hXpSLx2
TckTc3E7VZWaUD2DPDBT2GejW1SrfIjvKmaPpyKnh65scX0W0TUkFngyljVPcdlNp7AYnEPY5P5N
KO2LJaMlcfL22UHPhxQiIMHIvQGY9lrieZOBD3lYkhkNSelEZQWR4nnIar+ejkgGTKfRa3Gnxc1n
ly/dNQ08AR0WGaKZTRTP3rXVl3SP8F8+Wt7QfQ3LHJADIfLHoA2hlDPzT29yVn/lhd7mgZCdPXtc
O8LTAkGKtFIQYwXPsA06Gjpw73R26vX2dJzsos9mZZDmmWZ+atEm80AFqONKaZEboB8RuAd5eUCK
Z7gpB5usqryCrRgK9BLC9p6cSfhQYupMnliylukY2TKdWztM6WDtG7NF7ntGyS7wYTWDJvVrBz5A
UDFz9OxJpspuyKaSHv0yQyE8XIMZaABrguH+HnmHkidO1f+w/AZpqRAr3wnItSIdguADdAz5RLdd
RcRVbFk/+v7QN8rBdfdpCoobx+kSQAmje2CG3JXjTmplTfaQ5f6Q9uMo1jqcfraz54CCyIJJnzpS
JbxGbGHDHYmobWfgnZK7uBAjQidyHwvxI2KBSZs5B54KQe1e9GB2LdpBrQgwOzvS6H5ndw7dBx1u
52rE1UXhVWzC0vBrp8qHXd+M3a6bXJAOIv5Yq8YBcURTdvO65BGIK+qIbC3i0T0qg9MRBJBBlmsB
rRcBZ7dAFLMafREdmA9vXIXhypY9mF4bB4IpiE22jtt7nwc93wwcLqnGS4GJu1GJE1rVte9an1vJ
nC1V7sormZMU0viph0r7ahrlg6xmgtuXOFunaWfkcJhMmZuTDdFmPjKHf+oRvOaTC22Uzh1PbU01
uvyC7rpT8gopRcB0p6bOwJY5ZF1bzmuQW0brIQ/KdNQh1NiRbHtQrQbzx7LqyhqxHLpFED0hCkJq
BFmMwlGrshLYQ37u3sVUY24Fbq3GVxQOCnOuUWRPPRZMqXZGmVJhw2tzISpCejiuftPJ1B7wI9FU
oR5mBZ9Y5M9ZLvIrlxgPb4W+C8q9r3wCoKHJf6h2sjMpUTfTxntQ4BvaDN2AhupxpF+Exea1U89I
oOhep7pyQI0RNnQPolu6dxokrUKrc9OWSC95fZSetgBTyvLUWprv8hAra1DEWr3+JoULtuQl9MOk
i3kdFV0wr5uSWrcC9KSogkynoYczwMytZO4XuOJ2Ns1ut8UG6ndQqcFkVDbEKAWPkeqzijLRbowG
8LwMPkHadUqMBGGJbbmIhas2/hTWuMrrEQEesiOcfyck6h5LqWW5Gngcb3LQLl8FU/lDoJcINoB1
8hEoFD/Vft3va6+VaQMOwFTQbkxNw1GMGYR8bDq73+Vi4CbrQFm4d5f9EjvSOTQzGrcVZiMtkCM/
aGcgqYBcBZwdyvokaqYha1WXP82ajJ8jaNRkr6vdW6a7IzkLvrmjRCA+IlFsIFWc2FOJOubChob8
57xqi+mWO1DoYYLeOR311lCKlil0V+EuEffZzct6/+cLzwLbwypEyJN+wGEqRNfv/KrZ2qHQSWDD
3621CzJhWG2E82QTBlQfK9KAbbJCymWesT0j1XjHCqm1dSvtfFVJ8VkUyDnQqCg35cBxZO3ZSZda
exYQUBKbcMStY3O2hfDst2EoYFBG/CGURDscpdB49jdu42xwJ8aN0Nux3tkUs9LM9uOs8hx8+phm
Oy7xW45Qz8DUkUz4XbsmROuXAK2aSHqPclvn3U1ewg7XIa6cxnT2erSZzjgJyqwp9AspyI+O1dii
Xg35G1F+byHrmzqtRbZTMEwJgzNwVTgWpChGZj3UYHPeTHlJVlNg+lVocvoIY/YISIRzGFo1roBa
t9d+B1P6uqedAPcAnOe8OJrShzPOEcWu7BjkPXYJIhmP92vpDu2P3AcfT+Tm0bqR/V3OwM+DvJQW
Ke0imvXagaBBMbGdyW2Ga0SAontU8DUNVE9dSq800ho9RHAShpt1S72Y4p1sNw2HGoXnOTJpXymO
4Bdt2q/Wwi6F3iNFQ8C3BSOMDBuOYRv2gIf5j3HnVvD7FbCL48Kng5Dz1uPxQ2MVYI3vCVABy5NX
2vWQN2U8dY1PrxG7Ih2R+6iWxOaTg8RRaoTuVzFAVAADc3PjLy46V3F1GwtyI73lXzbMc648ijQC
Nz9AZnTTK8u7s9vCJExg5qnmdtKM7tPUDN4mn2HvkF+FqSudfqfgrq0qYfdrExfPDpIAezZ70J4I
mjHTnnAT0mogBjukBPrlUqF1h/PVCNhLMzjbAbb2ylSCIeLFByFVSAFEoPd5te0ijK9EKd2UNF5m
AU+3jm0cETdAyVI5I3LscrFyvMQM/t4L+dVlCtA/hWYWD4CeGNRR72tRqkP5OOxBb/pqqXkzq1VX
9bgRQs7cpB5yCxgwkCjtYdjsb7JQMv39A5yR6KEka4fo4UL3LMgawLnqnxXldaxrhOfdIn+AC2Om
pXoJkOXdN10IX6jsJmiWVOSGONNjIVCfCBmix1dTYYczND18mdDKwl7o2DcpPCwVx00xt/1FWtr3
VeTXJ10aBeFhg0ke7CJnnVMFJxAa0g6SfctV3A+YC86pu9TfQjylwbcyaw7Kzdiy+0kMMYjMchvM
1xPwc67BqueBfIxcRl9QXeov1OnPhJBeHw8dk6AhiRFihhAReL+UpKJ10Bcc0sQeuZ5Db8pGBpmq
GQ1Dqx5k3EjolPZ1baLpWugIRJ3xQNOI1GKPWfPQaQnlHUuDwBSnp7q2dPxtJMGDhch77fnghv79
ur8vluNpIUi59CAgmkEvP+Dy759WD/YcSBciaF0Mma6+H4Md3MBtHM/R6dXes+Vm+/2Y6CM+c7mX
UVFdBrzRWap45w25mICI5E7tp7NtOYdytrBuSjvNjWOh09/m2sqqJrS/eZ1xjm5kwofOFfO6k9q9
Q3Lsms0EEq7zkshbXB7HGL33B5esLbloNkwluBiJjhLd2uOVFQ/ySMrAztBmTJI8UmY1MaQeAmVb
qzDA9Ybg/IFypAGGqVnBk8LNP3m1ObrMB4EIsmCxkpD2tiScBHL0JoOiZNRJCMgMICOFF17B0R9K
2qwHLy9TlIf2r2FPh3JmgnITZGe0tr/huppOryccoGDnYAphb3wdfY2FdjYg3cfth7z4VWhXL0Ps
jChx6sIF4ANn8dVDBiQe3kgNX6wN3aPb0aOe5PQsYtnv4mb0cASW/U0KK8pqC8aQh+OAqjZBfQaY
m01DjXrpazMd28XCID3i3pGakQ3K8ShvsEhtWymHDFqOuPxq+KGVog8opchHz8Ls5NwaT7mvTQoz
oFfCNySLlRPtpm6ECEFT3VlmELcdneH1Ly7n6wnlvCwTEwvnqpurHyOMbAImOHf1ap+7sBozkRf9
FY0pe/aHzj2aWgfbfmLgKiMUnDSDZ3C9IhPfjrGVcqXlo43dkdpoTk8tgVysO6gdn4fuUBnIvhux
cFlqY6dAJD8Ad9B7iTXnX+FAn0YafHPkEKVDpNR+6h3wdNsSWSec194Or6kqoiwu8hdiSJUp3O7c
glsYELZpEDg8NR6Es9N5eTlViuFzrku9e/UDwUcXE0yxX2Y1AsQpKdtAJAqR96Gp9M7xSbyZyegk
DbUgKQRIcfMUEKgB0SjwVxyFvC8hhRJhE1GU5keGnTPRskkJCF22flXRPRx15KiXDzriyuW67MOH
sp6ddWW3IKdnmDgUAopwO5aoqfBe3gpIm+/tgllZvNhrp+mwARfnajZwUPVYxFmNTNX61cWiDew9
sZCdbOH0X43BdQsOsqBDQBYyyHVDfCoTra6ydpi3tK7CAyo77WmOavgSQKReolcPz5MgMBOwo+i+
AH0QWDq8M2Cdx33CXKQvUgMYyWEOHGcVFANLIQOTZ+BvAburiDnSyMjKimDqUtk2JfxsW3zuZ4GC
+1z4xb5rDZId1MJUYUe/Rqi01yMYKAA8lqKCi0eaJm3EuEVQ5INoRAfroUCBfI6HOvHclj32xKC6
i4J10loxvWpAWkQlsXYgfD7EuhueuMeeZjk/TtZA16Hb+WvSlVcO5CSSKVYo50t2ZfxuWCNn6B8V
D7dRbhCQatKfsP5y3QKCcDuOs1zVLAhQprU2fgluc7M47WWOpEi5OG42Q3FQeNFX09QqqZcYUJse
lQT4w+Lz7+30L04Jph8ka/BLFl0oiKm+vxscRIdMsjxKWSU6ADugUTlZ8QOz4WPmk3/lTjh/VI3T
3SCLfPv7wd/3ZywXExD3HnBDCBTQ/+efZWV4FU96ilQIshAEz2qxa20RWtuJGKBzbVGfLoz369vC
QQZF1YIGArDaXgB4b7JWpIjBdzGT4K84ewK3W+NzhFqLG9mgA+aIOhfZwHeg+9f/zwCD4SbD4ovV
Bg4mjbC9kPiajnmICOzVCubR6AF1QHzAJqgd0M89cv0IEdshKz1UPKcydO7+D3PntRu5kqXrV5kX
YINBz1smyfQpb28ISSXRe8+nn4/ZPThd1dO9MXcH2ChsoEpKMhmMWOt3K604YdT15V6WMQ8YBErN
ywggPd9c2+jErnchukB3TuaLHE26n6wrOe871U3yyoYQtVrAHDiFg1iPCEPkXbxRiLNiohmUVhQY
0+1190gBCi/Xj7oeA2YJ4GQagAsZ89M8yxyps9cbvFbMlWzt27pp3Yk91LvCOKlJUdr3tKHXGtVY
G/BuENMlzeBpqNlaOrN5ur1+xBXOWLfg6y//z4/rj+EA1/UhaM7BbkmRZfTUH+vDiuxwGfJScROz
aDSHm+/dPOG90NSdHk4/jQF1OhkfEQKLvzdngTI1e3ZdTo+ZErdYLLG1reTlLy7sf1m4mDfYtBgo
phHS9kd5GhRmLEvjoLpMoOi8K8qhtHrnRYLxdRtFAQdrzaHZl5a4BdvdxqH0UmMW3quh0u8LqpFC
WYLtqKK20tXm119c3r+WXmvkgDAUdJhM6/xzDDmsVtFT85juFVTLspVt78R8nBCG7oRZyL4sxy+z
VJmuWpj6sR5AZv/zNfwLuK3yksmrJ3UdgkYVvxal//SqmVlZDFE68m6HwQbIh7MUq6xLdkpAfnZx
RsWQH225jrwqiwxoaYS1TDK8r6u0Oik5s/ByjZKwK4bviCTDvTlWgxep5s8Y2M9tXR/HxQxupaTL
/6q45+T5s3SlR6JcxgO34tsEKvx+7WEWzn1o9yEkdUmxyFRmMnjmSfONJSC3sx7FTdCpTChrhgDF
OY2swqRhpXqPW77NSVbqG53YDDhp8lQukZyUiTe3RuQvRaNcYsQe7zIVwjqFoQrfUs1qHmGRpMWZ
DbP1Jeirr4yTsCAJt4wPuqk2PzRo3c/UaNm3mtZ+pjc7Sf7s4vk9YgQc5qltZ/VEbY83FfN4hkrf
Qhi7qtpsOhvdiNyAy3YMPib8m/mIiH/MjYlSwalMM92PgXFvjqQVk8CBUGkeU8Qv3Z08ZvkZdOC7
1NTAb9vsHQe/TFhvcGbK/SmS1c5pFXYOLlwupQQKt/oShPEOIfET4IPEX2xhsylE9Yp9R9adutfh
osuTCCzqmZYhG6U4y8iVHDl6mYbpXEQXJbX3ga07UmQcqAkURyWeWpaeU9uG8e6+0sV8LlmvRmr/
ilSQV3lk4F1cPbZ9h2fKkDpfDoOGrVoCD0hJitcQKGmZRecTlm6Z0uQyl9kdR83V68wtSmI5+LFj
lZSnRkOHF7YW19srhGWJW1MM+0oBmwkrwwNhgTyOsyMd3HY1eDharzlFrT/D2L9KLXuUoneuNSsM
lStucfWkjknBscVXeRNL9mmylkOUj74wuDE+At3LzDsYP+m5pbltVnIUzZ4SIfZq1Gw3aTG/oOoO
fRO7mbx4xhROTtspE1qohVkJ5q7AMT/3yRNvV73pZ42sT0Kep+reyrpTtVQ3jP0I/N5K9pOB+nWu
LtLY7PpkKty+Raoay6fIUm/sxGJTMnuxidNf5tBdZinw7fGV4u1gDQBj5SpAi/ryDEmBzEju7iu5
vNdIBbDN+KnSRlA3zTXl8RYBuJPK0jbLVeyzpWPCrqZTsSIcjpWRZJW2voWCEQ2rg6gTCFU/IMpy
Kmzi/XZV7Sj2tAmG/EZXpH2C8CSL+M32TBB1+BQn+0IofiqWS1mPfpA8tDFPVUJ5gEbX6OdHRYkZ
DPKkp9IusI96+kxN5wpY/9YIiGD+Wrr70NJv2Xs2EudG1zyOzdFGcBiGfq+KO7VVSTO1/WiygTse
W/UTlbuXy9U+jENkA/dF/gZ+uEOYdreE3aMJsNpL7TEtqUPZ/pFK8HPy2dTabaH4TSY5NKqOUOzH
Pp1AOntCeTMnmyLC5oRjrLLVOt8zvdNpYHK0IXXjeNw1meKDY3qzmYMuIPiMk42hWX4Ymox2TStP
t4LOQWlB8jlp/lOLVJdQFF3Uu6aP19lp2lbYhQ36R1tnGC2TEnRErVLbvSozuiCjnVsSsO+FMvKO
FDSSFlmM+a7RjS+SSfdZDrjI1Ai5eW7jcZtm4sjNG0Pjq8xsHRggGxbZu6JOL4V2Pxtt5+g6uGbZ
8o3E9/PSXAowzXHSA0cJmGocKd9Jk1S3et1M5zydBnea6vtkar9NjfkN4oIk6dCL4S1Z5mWv1r16
aLvgs8qb8W0Q3Y7T5DmyW4N472ITiTxFGy2+q6U+lESBO7XV3s8CsXQaBZfGyCPYPHU/21QItfWg
ifC2Zar1ttEnze3C+d0uW3rxPDyaZf+xiBdtqj5KneWqi9dxFkwVUGfJXWDd7ApJZGMclISWN+hn
JNrmzmQXaLXobuFRO3OIGDhk3rxE6SR1lbeM+k+pTBGIh/7JHHgkDmobnROoMwQjcxDKLjiorjuj
AWrwicSvDdxsjuL5MPFlD8p2SEljmP04ECpsn/5lahWzSsygd5E3ty5C6DeoAWWjMNqVV7CZNxqi
LDFmX0Q2v5pBWm6E3unsD/xfYM6zn2hSD4O3VO6Kbcp9v590/dJ3GE0C0Z671v7pu1h77yT8xRUY
92gNfmSq3U4LkoahvdF9GY/KDb7Wt6i16FfL6b6xezRh5XI7J8tBCgLrpgqCtzweEweOKTlUghG7
YR74upKqHo6A+8WCxUomNSES3SoSCKDlIwgwcpVVp25oFaONGBaETUHckojb9ptkCgwvstF5jDBA
qL5VhXxm9dvgYoJq0NlJhv7USOnitEFhu2rb9t9g4bGbG621qYa0d7JyJpa4KGgpqwRoY1h3EwA4
ZvVpLnRcdrDtFTifsOoVKimukTJQqksfo1nH91NdZa9ajxqMcU0wei0esEiONgbtkRtQ6m0EoJAf
qYS0FUmYb+ZQ7xzG/4R3KMxuy0YuFNe0YslweEL3OD5/MUOyCt1SHugvmL4MrlPAYxzRueV+2Unl
vO8IGNAR70i2p2S1/joZhaJtl7yQQ/B+ZmQ5itQEdLAMj4ucUAqaByOA5CUgef2lmT0s0oE33X4b
uiS4lUM5HnZyuOKnvRlLzI6mGzHksKERTnHh53npz5IV5u5SqPfEVE8w1rP5AUCL/bQ2LloyG961
AyEUsfMyYS8NGntIcJqoOd6gyQzORAhEXyXxb3u9CnWkTCsSYRmB/XYlzciYUN2uGV5SOTZdQwnH
AwkbryEDFN7g7wgsj9BRN86VH2ubgR5KGobviTC3L9Ss4uba7CQsvQvyXRVIAJJLMkY+ox9S1NSc
j32OqSAmMr4pIM+qNN8Hls5Ber2Ua7Fu2qiHkqoR5wSPmsLEmqLktJ4hlHt+pA2nLECTaYr7K+UT
puzLdR/BtVhvnKvggPh1D6OlSFsJXHoXhULxmlr91sKAn+zWhsoE4Xzsy3AbW+LTspr7TFI0FzdK
6EJ696c2ahtnySSgmwrPuw3jJ3jC9yGMtD+RSoMHo6XGRL3CPZTBWxsZXGrOwewp/RT6XY5ySo+W
/FDOMsMV7AHzSG+ezaos3iemGnhXOkWz6XJR3sJdisVwe+aXbiq7+7UMzNASmUKGoSIN26KepaNZ
6KODNwo/BEMGaFIr89YQ2nCQgUVcG+0bu1wOJMvUeulRTmhx5NTQt9JgoUJPinJGqloIMPjSyB8z
pt4yZUw2BgZTgkWGOlQb7hK8IMUE1GX2LMW0NBDgm/YaIAYNViNpDESW3yxpmexFPFSOHUdEAVgd
c5sbJI2GdmDCJgDVFA4giCBlrayzxsOw+zBHTU0ctQnuuiQRX5hiBH28pj4GaQ5cBMjHOmoeh9Dq
biAzg03d0v2XAZbqJkooPePyQ6twefd6e5ii+N7uuZ6u4IiWJ/ip69eo9etTWnUC6yjrLe4dZcMZ
PK7tfHPhqoJNoQMYXFnhQOFIMSSyS/hu24MeqZj7I9Eh0ExCZzALcSRjHxkItOsco52J8iL3p8au
tiJS5MN1aae6tWxyIJm9PC6TP5hyvJGiYI1qHN9KuUou4ToqppDCBv4Y4K4xZsWNC1BD0TQo/QbG
xSNbpuePaPwLw9QklMvyWZ8UbTemkXIfZyaLS+qnHETZNlLd68MeIW2gPMN/dL491Sqxa4S7SkOY
OiFTRB7RZKj7WkmBKTXi5qEe0/ZFqXFfTJX6Ma7c0BVYbbRivIkta7pJQS14sVbyOlFLYMqwggVd
oOHcNEks9wq0CDbaeDugwrkfOdOcaqqavV5UrJ0yUtl0WR5OXoLdVal+P5mRth9LbCZmTsUeNVZ4
igvAlSuswmaZGIx+Dwe/66l7hR6Zz1eS/op/25VZ3UjYnF47g/qxv+vyJXgOgvyN5WfessHAT0Rl
s7++0dfFciUro3VLzHttcueGeqC0gY9mZRlPQdCgT1Tbht5/JSTTVQ3TrKoQEc1cugTPlqj9cLTX
XSQcZ3aLCOn92xVJStRZ9ko9lxx7kMbXmWBkN6Lp8oqqH7dGomYnRGIj5K+dbq+AC6gS78VQjOwp
SexVSvlh8l0AhqzwjQb1NK+4Dmaj+t1EpOUvVwxXNCmvTbEkfhWJnW10yrEg+eVeMlSibaD5lLif
v6/LZkwhHoyWgaFX+LpVo+6gMpvhXNoBia51pRrOHAS0KaV1Iw2ANXOg7sbIjO9Y+gifZawioMf5
8coWWFFdrr6EjHOfWV2rjqVVAnwjMLf+mJncyFLU2ymjINDiRXOCyBD7oIM6dTiwnKsIo1+lKmpk
mU7JIL5j0miv1xu+PiA9r6ZLgRzwJAYA9XyK01NmTWxBaDtteR6dcsmmvZJSndUKJ7nU8E4VVPJu
NGOQWynEK44GKosTd5LFeR3G5LZJBz9bjbmLBg+ZcsqNq5195lztLmUFTlBDnm5NnZIajemusZLs
fF2JSjwN31fFxqggk7rCd9cdYkiiS1fK9KDrGyEbyF0UJpL4lYF2RluVauFov2koaZysAUk0qWeo
/GQIixkJeSV34ZMcJ3SRmUAtNajNTomsxFfKSD42CSN0h1muX0TensycdLooojhATU+Hyxlz1QeI
rpC8UJ4Tz1qM8GQrOXvbwsEqcGL4UmLE3rweTUMCgS6t5MH1m77KluJQKbdSvLiFpc67MrTfGU+k
er3MilshweveNQ45TJsyjvx5PUybFBwzX8UgYqLZrtSK9qihJBzU+hiv0o5xGTgYrkrCOZmgxtuE
c8KC0tKbrN6OpfJaJPqNEdUDKsIicruVb5JGqA6ngzDZX4VoQBO08pp21odYc4tJmb1g0UcXAsbB
EbN42Sr0CUJWNtX6sLkCeNmKBhvNOlcCcmGTiPmnwfhKtJjKyFGaxsl4sGgFdxmCqE1d98NNU1ZQ
hnP2SeIbqsYVwL9qopSKGrjveyI4wZIclcQrN9Mqsh3NVLuHKTKxq7EGMS907CDhfB6AQrEEtNgv
dGqDYF4Yg1qiPjRXgHeJVWpIuVR2gm2DapEfs8bewpACCmovuSdLkv4IHVp8XsUxRgY2XPYqvop4
RkyFijoKOIbhOTnGtbm/ie0S2U5IV9Tl+nSRU3OvNGsxeYXiORUfJ5LOyJQzbhWh/AyNwPkydNqW
Jxxso6YzbjSmLMzaqDuaUIqtksJxRvPrEs6tyxcA2SvUW3hwzSd8T3vPTOZHXTfmpm3bl6KUcCNU
wCidIh+tiol0sSanyPALkrwlK9lwlbMXt3q6JydevyQo+m5zVR2PthEEu3EtcmQGZrW0Sph669eO
eosJXNGmoy89XaHvHgta6uhT2zsGwqBtuEq0wJWNO11lo5BLzVW6/sbmi0cHU5Drhf7NqyuTnBeq
eE/ONXGSgzHayOmw78li9ktJkWp/XuzMkdPa/NX16/s6Numzma+WNFM09HQhEOcGERdFZInQSmN0
p9PC+Bqu3agIYmcYnTApoLyLjhc8Wz5bY9Z82ARxkrRGerzeXq4xdLCI07cuHpAZteFusKJdWReY
06aSgmaUBh9UWd/NpZVh5DOXJ9lmUHAblRzMusZrbMf8yutWVBkLPK8RWHT2FGOtKNuXLlAAcWRL
8iRTm24weuW7lhpKdmy1ysBAK0sivtY2b6mPaG1VZSAZBuP0T4QD6oi/vwditBcyTaayaBqH1mj0
KqOW36zFWs4KCVwPA53FjZLL8nHAtYqINQr6Z3mZhmeceq1XwolUGy4xeMiIPD7FA62OKXfJBaBM
A5rDoUZ4EMaEaZHavYHHz6s5Ljy5Cz7UbFDPTWA3d70VafftBHEbRSMzW0O+AVuyhqNlZ5DivIZ4
5Zjr2uGyBCiMGRCHVaookCAyH9c4mFpv78JAJ7NixmYdjfLoK3Jm3iHvaFpnTkXdIHaSrHuRJX3g
9pGdvyYVT8ZNLMQL9mwEwIHDjzHN09bqxvA+CVhgYICCEiqZXFWPapee+1J1UvQYaWXv97oxnIo+
C3bK0tyoXRdsRisx3Vzr6xNBJ8wXJHtofE9rVnoUh8ttNsnZVpdbzI/hWtlYhnQjzb32Ude1pbio
TVDU6ZaaeyqvQOMMQ8UoOoGMLzP14sM0SvDsNlf3sVnJXlqqtsu5Oh+HPloIbWhIH0E2a5xlXZke
omr1M+g4fpEWW2UcEnyRGvvKFhFsaNm5yiSNL7YcYWfLIjQauob82ThMxXjAkA9LL4x7dNZsWYo1
bklLY1Cn0hTiUYvMGkZEtkoPDUOFXQ5eHNhGzmkmiG+X/xEU9X+yUPw758Nv9ghMFvz3pznit3/y
b30W/x9aKDAYKFBY/z7mYd9m3/9V/vzX+eO3cIh//NzfzRSS9jeVjHhkInikTU0YNuzq390U/BVg
LTGcMr4JTei6AtvzP3YK7W/I7jnNLMIVLaJkIVv+x06h/U1WTZOxQTY5NPyN+L/YKX7ndi2iHnB0
CFa1bqDyR2X3O2mT6ig/k2ACbNwG23Xw/LKt9yhj/ioJbP09/8/58I/PUdc0MEIsdCjs3z/HqFOk
HfFM6q7fexhz/chVbmmX3MVTdqG7/AVnLX7nGq+fJ1BtEdSDV4VBFH8w9MyegLHNZFizyRe2s0Yz
nquHYD/kDmd+dEGu6XbbYvtXId9/sK//8sGrreafGby2pTyV1w+GAggQQ6QyYhv7OS2/tWgXmXdZ
Y2xVsIDW2CU0Fphhlw92or9QTbJSV7rtj29cQLeaqqYxVZwV8/uFBIUcEU7GhQzUIP2vNHmpLU/B
MAFq44TpbWm/aMH3wtDhUdrZIaMy3Kh5nUmYDrv7Nt7lTF4EUBQdEqMRjBh7gPgZhkuqnUWxz1Hf
yvBaVbkb5xu9u8jGm2r8CvIF5knb9P1nXQEKvAzTg5I+y91TP7mKTsbcrjd7zwq/2/qhpeWVXaX+
TJOvClN5K86GjHYif+7C1G2W8Txp1mOF+jgHdNYt7czMZC8RBrkg+1k/RpgKzdyt49XIQS2QU08N
pkP6s0P8QUeWRtaUOP4Sv8glL+qY6VicTAtIC5V/YMY7ztmdqd832X0TaBtJv1nsGyMpvaEZnZFJ
5lV7mC0XJ89GV09df46FtG3sXad9FUzmEM/UYYjSCwle03Ary51IVaimrZTdWIvutwSoiB5JtInO
mQi8KN1P1pbCmc6Hy1bs28TcKNZFjHtTx10rPxXzYdRwnWwARI37unyu+sOcnanrnArfpIgGOtHB
CeIK6zueZdrZPnLtwAmNHBtpgdQF9TD/GD0KAj5BgmAoNft63qfVL7vbWZFfSeeyPPVN4ArtW05m
WkOKZP0E7I7/9znROnDkW4szML0bpmPXv+m6R9CLXRA4+l6SpZdNhdfcqVr4aaofkD+jjOs/3de4
PNtlPza9N8wvZXII6ksePjRkJfBtZj2q4fNEKb4U/qQA4S23tXFoiXOUxTGngQ2oW4fYHRL7Upt3
mrjYCXb96WiMZB927tSc45E8kHBf5dpxmP2x9FUsPxmpK2LZtobqdYaXdduVJC/D23VAap//zAKY
frjL1cMa8KGIxs9yi9Jbxn96L0vaQejjZiCQwsb8MLTW90yRaQyhx7DYMPhos7No9YvNU1Hmcxt/
0Bh1s/GQha6uDE965SJ/cwjzSPrbrDy2WPGl+dhZ1bbqJXIbIc4oxUpX0raZeteFyqHRAmz4pLzU
0ithVZ4hJIDs7Alw4qEY8ntF+unCabuWUKpdvy1lcLTCYtzg8fGUPN6xu+a4oAu3bu7TVHhLMG5y
XXaG8HO0TgWUejCfOko8eBMdp++oHxciT0ukvrWnzb4ZMzTxSMQexsxNByVXwDEonmU/NOYpLJAj
hne55VP37yzU46l1kNRfEWMdzeFcFDdd/ZYxmXocsdPpj2byjExws2injP1iYE0pMc5OV0yGNy+B
HwXY3xuyF9Rbw6pO0uI2sY6Mr8X8fIzAJuEeB4xeiZr4abVNzE9FLj2zLzbIiNk539gGat0HGpxp
5TrAcX4ARYFrl7ITIyArcJTDANtY0BNbcoDOwAbZ4AmkcCW0giTae70WHRPofpg0rFrdqecFF7MO
0g+3/NDqKs56z17uIQ0lynr7rKXPapD4ZvuKEJ8l2F/ITGH28gj2M26LofY16SWtolddwtFgv7Qm
3FCmH7rhQbfrr6E32Q+i+6wMN3W8q+yPOG2cVl3WNZ8P7zr4hj3i7E22aX0q6heCkWupoA/1hmG1
ux3mdJtbLQM9iKnBVDcRoixE5wkcC8XwkqkuFjGKysduPJYYDeQ1voAXCSZ0iEu/h1IkEkGeQ1fW
hwd7DYxJoDOPAf7/CWMwIkY53NvSHWbygOBx8JoQ+I4aVl5LeERTaF4dsAZPkZlKJXD68dbbq9V+
W3ZfZfFrgeqEGI26vTLB87nd8NJm285+MsZd2Z0sbkMb32U5dHP5qew/reZzHE6K8mgJ3yCtI0SA
LOsuLMQ2Hk5Bfp7Ec57t9fbSKm9hvTjdEDqKbTsLiYjr8Jam9SOSV+chc3TxI5pyP014h7IPrGVK
vF8kNwm/DevBqC8JjuX5FwrMIVx3tIgB97iRv9Tl0ko7iwQPfZ/ZH3XzECVPHcOgrdTDiJINEVE5
6xmSbtl0uuFZmz/i8isuvSm66UKVMS76Qye2lvRrVrfIDJ15nn5NOOzHSj8HHfSTvuy7pfkJ2Hwl
DC4BFqtVlVuZyiG0XvS0dLN2r7Q8Dzh0O9pn9XNDvk5i2yQUIWwIW+2QBpUXGv1Ph1x7zadxJmj/
uYOaNZe3AdppFcpPDvswaR04YhCrLAkwTRqg/hXnqiMFiW3sY5SLfKMSfB0pnatKyT6ZRshozSx9
Q26qnRRMlCEY8jaVMn9GiSCfL+TQm7TzsHTzS95qSIZ0GehkLm4blOp+lNrUDioTsJeseSfZPqHn
6H5qEaf+VPa/6pCnQ3dPeKakPGeGWbg0koqvS+XZtPMbowSVVmOB+bU33rtE3ErcJd/4dIdys3Ii
OT+g7/bn4YUN7yZV8fenvStRscld5JdYp8iJYalC5C3G6CntQ6kU93IqkwgkE0yx0e1b9oWQYKlQ
Ow09FERy20y8d+mPEZzB+jrrZSz3WUu0SuPNNfYn+VZo+UaYLybRNFZ2EiFZMwLcZUyI5rkZx6Ma
btJg2RR4Uq3ykpIT5qjajbm0hzj30S06lXWsI0YlSh8YK6rBtVJ9qwsU9aGrgV2FZygAnjHjwuP0
VsOJGjUksx3H5kmQYRwRbopiyfK0moGO/PIxOQ5adrTJZImJttChRdJjlaJTmrWNERZOKW6nSEOQ
xijycG9QpsXYXIPDQJQVATzKiC0MnnkpT2MJS6AeKLi2pEh7RQFC3R5L7SRlz5LYxnaPaL/Hvdg5
YZB7Rf6p2wQ6fI/dTk3RJSBbVqZvq0o2Cpt0xkVZ5J2MXm581fpWKAfCmPSZ0BJesUi9K+f7puYG
9PdORnzR627YHyjaTOVuXCsLBB2D7QZsfybfYfWMiIZKRd9I1DlJRooWE0gDThh6aeXbEBvA5QMs
mdKzh7IZIsSLbtLwWIrnstypzKlP1W7DrOEVCLEJsqwuunqOuxpQ4YRaZbCfVfkOPZcu7jqMj2nw
hDI301+N+lAtt4F86pErA3xNByF7FXth+Fygak6pbEXop+m5X0UMs1s1jmw/TsWTrvgmeJ98Cgz1
nGraBhdKzBdZaW8xwwW6FO9oQ1oFiUwXVbwTJEokxUnvUK9WH+us91qKyVq71Zr8dhwFDNmLme5M
7aGjBoPODTQou/CmFKvjYD/FEeK/9KUZTpX6MpsKrQyPd3lIiKgxMD+qP1kB1I3G7ALJauTsA1Sr
WnyJEoUK3/Ii/dWedn13GIQ/hZSRBFfsg+pMkIhSvLVMlSvkCyi2o9mfVeXF6FPK5VRXj+XyFfU+
pz6Gas6Ssyw2FS1KCT4SUzLCKHrqzPEuMzJC4L3el+RlafFHQmKbnXoBix13RgaSK0cHmdmJ6OSl
+mRFTxk8rhT/VDxaIlY3Y+yz5JrxTmn3fUiGvp35WXUaW4+AFABILxQ/FJBTedDZBib1Ttg/eFTK
4YjRyE2lx1LBPMkwrxjxUelFxduwbGQcF1k47aaGlKW+3WSRxb6jOpb1acRvaf/ExEXi3/2pv5kj
BCiK6gbC3HZE3UvZpZ8bb5pOCrRuvWorN3r6UPbA6ZTo2viM48TH+b0ZKl9VnkwqxQ7wJbE7f627
sxZS/ylNn8x5G8frY6nj0G3EJxgeLArBcpOyLVMZguQtDi+1fjME1aOs01Td6u1nuIDZbW3UULbi
i/KH730qjkb6qGmeGscbLfilsAkPUK3AZhCxTeGbzbtqPSUpO/xr0R86+bVQnmMVlLxxqtSNMJ0k
/sCrFo8Mfcxw/7zU1X7Mdvny2S1v1vBctb4RCYonVPPCs2cm0x87kGSEETolEQOdoMhClQM5942U
zs9FxmBHt8g9HaUmElqKNiYniTk+G9TxyHNyXIiRzBYbmE8i0NgOz3pwP5WPNBkxd1cyWtMa6Jgo
IWynSd8n5WNMdnH7lBq7UHtEEgaTSDPnS7XkGtFX14HCR7eNfhPUz0t6nihwsG/Q5QXTmbw9tJqj
o5nKplK/4kjz2uw0ju+FzkOhOIwdDLOndGUDyBewIs7uLIXDEHQmvsh3dbqNlV/qlBwLGc2LyTyY
5m5ElmYcC6yx0tmGnSykN7O+sYICB3XO+5dv+mTZdNmnYP7fiLW054gUt5xIQ3dY0GbGnNN54y8a
udU4lKdM9nTd+KxNaxuZgjpZfQjH8ZRkzRlJDs6o7Hksk2NaZb4aUs1NqqcO+GuobTs8jhOxgETv
LY27prDo9mnB5mfrG/IKN83wEfWQCi+xph/U6GfqPrLyU4r3Jml5RQpyumW3klH8QYluGN66KRgB
zSGVKDoCwkMHvxHrzpDy6WytMlLYp6Hr3ahDy8k0qJH8BsmxKl/v643F3jg8Bcu7lgJg69wZ9Q9a
AVXdLN2mJ5QijR+DmF2+87t2Pyau/FYSXEM+fz+am3ilzdW3BkNOR+NOVhS+qJ7GPA2ILXwsMuoL
hfUFvItQU76fFpKYuoI9fjEB5E7B9CsOjrNo8e/PWFDOZXSLY4nEiJlwMHmjmsO2ht7UKnosTCnd
3WweKo0N8NEYjjnsAXeaSsum6b4F85N06XacP1XO8nKnFOlTmJ067RJ13gRyXT7b4TlKt4WEuzf9
K8n0KsT/E6EBocLnx+hNi8yV3xGaJKXaWw2/jgb2lnvoTBN3fh1dyODdbLv/BE3+L2kev3tD/45L
WeypBoMkkaH8ab5k+k5B5Ui9QmmItAJpnc2zePvPHyJWUOlfbkm1DDLjyY0nXuH3WxrimMYXozZI
xFO/0Io1TzMPvhgnTOUTyu0Xsn/m+bVsHnOqqjk91cbJqsBR0jul/AsHp7g6Cv64HEWoxIzq5Cqr
/4ICjrmM3RSLMBlcuo88ya3XIrdsj1ntwbZ5LeZuazstvL2UDeRktBNtFOmlkytBVLP+m4wafHKm
5N2m5Ak/lhI8n1GfYGkNFH2Sq+6S+pnhTdlZHb54zfTqkLc3WXs35XeV9q4NPzZJEHK/HQbvv7k7
k+W4kbTLvkq/ANIckwPYBgKImfO8gZEUhXme8fT/CVX91hKlTFru2npVi0oSYgTgcP/uvecm5fuI
48t5SLrS4xBXRGwi5totrZuMOaGKFgF5XiJG9CcFml4xOK5eXg24BSUG35AWG026Dg9j0Rm3YfFi
RETVXLHcjNa1nuzG6X0cL0R9a8X42OvbSGyC5WZg+bJC3+FAaqjl2kbLiS1ikdc9uXZFx628Evmz
4tzMyXE298qMW5nniaRFsIYRatnXQXHF6BZop9vTLGLOz2F3nC2EufkNjOpo3xmcLWGpVsHWNh+d
4TbFOKycc6Qb7FxzeyB8pocNZ/BTP9/88z33h0nvz9/x54HrmAGuKVu+Y1N857ydJ29DfcGh6J+v
8ls5AINyUisqw3KNkIj5OXUVTDP2GItZW+txiHVjL1jrF4Pbr1Wv2WQu/sbdF1f8NeP344nlisQp
dM3Qbe3zaB5jZ+ukOn9YSzklAFQ//rBcuTq3J0fYxr5ajf54OZMIh4PN8Axs//XRJSzVMHKLzpcr
dtPa8KZt/Y59ZH2u58ofv/jj/rD2aSphm7PqAGn6t+UoiEuDp5MzAbVJy7p1OXTvcWh4xab+Ii/3
g6r02yrAkqQjx0rbQDD5ZSRv2j1Zm54PciR72i9PTnR/djlkI4nz/rkRd83kVZM/RfSh6V8M4v+w
7PJxcruoQidS9GPB/CnQ08YtUYMmJlQxvIbNlTCwTQ5f3Jt/XOZ4BjTo4AY+Yvkpqk6uZZGxyoep
nXpP98dN4oenZK1vk7XivlvXqC4uzY4eiJ/C/fLGOa/pnz9eXii8kaVAQvp84+RdGHRZh4QkNsqt
7rebaE2a6xK65RpX3Cb46kb90/V4tcBkIB6vk0n89evsctmjMy0IG/7sdVf1hqMNKDlX+mILXnhj
fqEl/fHj5RWtEsgCBfBb2rPLsJpZKfNtbRPRFBu41bqgVRXyrotd2ePMtYpPjWfRBVScvmq2+NPd
izhISQ/dBlAtP3MI8iSy8lByBzGcZSK2ztbLqngzVuPaOH7dsvSHF7jBTsQU3LOmIz4vOk0yWijb
CdYF8OIQQEPjmwP+IMquRu2r5/IPX6SBA8ZBn/rBOvj0XFr1KHNmU8pKvR2e5L7yQ8+hLXaFe8Sn
Fdy3/vOc/Csh+28F6F9k6n9sLfh/UKq2eOL/Xqd2l4/36BPtjx/4j0BN4YAtkaDPPWKGLYyzUvof
fVrV/hK86sjB21QOgANEg/5feVr9Cw6gbZM9VCV9K+d93n/lacOmpoAuDloK+TG2mta/kadZxH5d
QYmqka/+kWeFw0FG4XMsU07nDFxiA7EtUNNMUwlP8FjLrWkBShpyZ6ubGgwbR6RMQqRzCHEerYTW
V0+dYgbrzgl7Tw0WvHF5Oan7fqlUHiWzPEZabO5i3oUMtJgEGy2nU71PIAlOHVFyoSQcEGcDDQ1k
k+nWQYJCajY92FKmWlEyf+vxtN1lyxJ9LKYSuItsq0u4zCMYMlPcKUvMzm15LqO0u6w5NaJX2FHc
uA4ZhWSlZTmuPGF0lxnD36GFWW4byss50SlCHcioNOtdX6WspUHQ7UcF6aYf81NbN5FrLDOGRNNQ
oFlbAkbr0PZPInBCcGelThyHpODYE86CO7smMa/fKBrlsKpyzmQlCjSOAYBCUCg3Q6RCYh/m2QOu
/uyE9jdFCYdNl0n7ccolIUFysYcoaiIvDcIbaSgfwTI7K6Nz3sdgqFe2EyBekIpyx8WhdXm0+3VX
6lvIEzZwbuWoVWHFixYbemjq3UlR2C3DQv1eY3PBJTdXh7Bols0yycSN6XFZs+Bl2wgceC0XDuh2
8yKULNy3w3gykmUEjt1flppD2C/Amq/XFuzXaUZI0+r+XRHkdSZj+ihwRnp5zom+nLkjVCj9B6CK
DLpHBhYtxEM/bsjzqVhdv095PL/qC1BZAFDzg2HnyrbNlQ+rNIgndTUDrSRMH9shlBcB/5jAD+dR
AKMlkZeFxXJFtMwEztrzcicvqe4oQYCM1ujWxwAmr0TyMxGT8NHyxTeZva4rTGt5bizuYMxU1Q9B
dLH0sXpQG7yDjSSDSsIy24XM0ImR6MW6MChsCQuxuGGSR57M0UlyazB3xdSRpdMDXPuTqXlx2n+b
+U3reuz546t8Ega4jnTQCDZLJhXdYsz3ilYpaNILiglNGghLcgy3hYYyUdRQbJmAkM2KlF5/IszW
bPWuH26Ir88ZSmM5PwFomfZSATthwcl9Z2PMxCPU5/iiYQe96+dxYko/hOaFCKgs6HqapeOwf0na
oMdhLLvHDPsqQyfRbqOa+1Fpqv4YtuOwnRuWKcYtxA/FpOfbIksuprrBEGkxYgAQjt1Rh64blXN/
lKX+XYV4dD11U+W3Me2nOsZuXL1AUVpzagD+xQbxY/h3ykbKoX2ppkQoF1ZxXhFsjGxYMdK04LkL
GIJpizZ4qpExdMmFlexlwvexClW7Psd/jOjOVibr2eKGNVDgwB9qVRI9THA1DiB/m33AsYlZTdl1
+NsLRR3x4QNvW8HJavK1if8PjcRIuWhUwjpY0TEh0c+oMLqySAbtajGWt6PStg9FMIvXbtLaUwbO
jJBqEqAFoP5arp0i889KSXcfsW6rd3NOCbtSn5c7beihEA8jh2x8kKtxsZG4Sedwp3Y4JaPKvk0I
sOhF+E3I1pHnDGWoHptG9nuriCnpiPPl0lnanNKRqbzGxf9m95O8TuzOPtVt3xDA1XpAHjb8bhyb
Z/sihDJ8k7KDKx2QY3JlWkCQHEkcrDIjbPa9liEnUJtwxvBTYAL9VGP3Nre0AdjavaaRmkOS1J97
LS3fCjl17gw0TV/XZQ8yqHWYDdnqbY/lEoqyuQn1Tj2NCSaOZDIEVkgEWOo3bMz1hH4x3LPbhUR6
JNjNfkKxzNeY6iLiIaHwmmSh5GPO1Zgb0smUq76tyQN1QUafZE8HaUI/EEUROeUyAasPRMXmPYyK
flOGDZ4U8ypXccqoA3Mtjs9YghORgJ7vzLUsau1VVnaYwUGtjQ84Q45cQbgJN5qhGOQRtQucYhhG
WvREO2n4JiOcE5iKWb8mZFBi1ONlV6WSwXjSHRIzMEnb6lO1pjMDUFavO/4ydcn9oikdc8BFkPfu
b5q0R32YdcW1GQbKUcG4DRHTTyrJB/m9K53cm8LuNGpddgRj7mxlk6ZMKxtnrRH+OdRKRPI3ymBE
9i1DgKB5JKyAdJnjnQF1mLvCiHs3rYfusoTQ8lqkabvtbestTRMGKxFF6zKwmvNQpW3WoF3GDykK
xj+dNpeuZZPQHpMej44qgdQsbHRXeZTd1So5wIXFtRoHT4mnDKqSgvM8OUxT/r1qmrvGsFRPV+Py
mlH94GUNYMoihCXq6IwUFGNJN7NRhJcCZytvM1vnzScKkrdn3z2jiGbuCD1kfScfGRSQBm9JlcMc
2BaSG3PQmldrGANPLc2LLO3HA9UM01GduxBJQ2qbpprtV5A/3FCVYHLTCfmKxElLgpn1bmkQSNa1
ZeIV3WjzSlOC7BrEBLD+FMpE6uaz6RzybMpv7FhTH4zF6uF4qUXLrDzLdx3J6F00hPlBgl+5zJ0K
1xgr1zmwKjaLpbd+oOfRHf4UD3M+60dJWJZUYHSt4wfdzkEFJda0m3U+asMjqWVlMwVT6Jli3Lfg
B0isDRu9LKabPEaoSfN8OsnU0N8nU03DTaQmgaeMZU7GP8KWmyv6rWCLwKh9sbbI0QrxxoV5x2jy
LkjN1MMtVtLzMNRrY8gC5qwZM2R9ar8nlTPekrgoT0YPBIJCAA0ZhZb6bRndVGNjPI4G+sBQkXQp
VT6gWtcSprNaGWxnu0zdSiTBt/BMHqwzIHBDbw+K21tKukWST45pUhiXQ0fiLKyW6CoPOixoYxf7
jmKSEo+HyDlkY9C5udV0fibYlwxJFyK/9vZO9CaZjly3vUyJMOkaEwYU4Lx6Ez3pkRptgzKnUagh
1BS36Ra7LhyduafFqh9p0Amz09DabeqKsiRzDwTAz1EAvbGkScaFf2R6w5QNNz0NNZeBmVSbjmX6
fhm6HI01H1+NeHxSZHwfM6p8sM0q8fIRTK1d89jaurqsw0AlHCjlArBe2bANOHfORL7KFsoLesnE
b3kVegjqvy2jS8kridRcw8EpwhJNWKpC120yP+jt996keycpGd531mLd9iVKYuKkAKFMYaQvSZaX
B9tO6qu+RmsXVuanIyxWgKvjTZjON4BlC/bD5kKyo1kQVUEgZ7HZ76jYUVZLmD0zPlSOU0kot45t
vEwwS9bYDh6EZi1bxj018aLo2iEvUnYltvbZYI9o50cAaBHBLzZAaa2b5ABq2Igmdgyc7KjGIb0C
c7zcBeHU+GF20UmrwkWfvox842thkaFJ5Xg21wWbxIgV3yEXue+VsLqEzwj0KuWx4hYwIZvGmsd3
+90eHHETxudk4LTwUadtfMLmnl7JVPR3Mjxvg/M4u4dFbVI+kTlH0eewghfR7xRace/yRXM2hZH0
e6VNKnJiVeDpWpz5otUyH8KWX5gM6rF681ZMu3LraKARassoPhyLghAhFsAAaQWxwwIEOwV89Rl+
W7cu8c5E1B/czTJXvVFt7onlvGYh5py+xDmg4VPfd0nnXGr64KV9cziDcr08FQmijSOPMdEC9pPV
hIw+jAeKWiPgPQ1+MnvYA2pP3WaxJC03odp7bdfzBqhk/ABhglquOAzQ9uhCk1nM7sNCYoUTAtAr
RM807Eqi1pxj/nw6a97rMa6XevjWhaAOAL1mFzobXV9RqjciESWoPxvqJfDA6qrLy+GxySKYrY1q
TQDDjMJP1PpVQIpghU/rlVpCtBsYWa1EGaSeXBoCmWVZP+QTidc0zIx9klIuIbE8oM9yh6nJtFFL
OqS0RCIWS14GDk1ma4VSq9GYF8pjZsI7Rk9yi39Pe6mWpHfY+81oXAtpXSNp96LBSCZFixw08MHJ
NKFkE+XyEEl6ejoM2ngIiXvxmLSnCvCJFyhC9VLdQBJO4mEVw25+TRc72s0CMq4ZEZcYGZa8a1o+
rZQ4ryBcDY8FHRYHcxjM44A5iGq8sN3WGktUy84KcbUmE6vM4zYcczpfhUQsC9OTjGfjuXeqCSeD
kt+BJqeBq4quMKjCMdYDuYtpaFoRY+BsJ+LG3DUVfrV8ScGP1J16BXWjxZCbdJjjLIIrbknqFOzz
swyjeK/Z+UQ1UIwLOsZditMm92Rp3uhqdMXDRyIiIvB0VVtFh69Ra72IqPdhVNN+B+/HOsRa/ExY
ztcLcsK0TjgUs8wPXZNzpKW/xdkTuCu+GeNidIRhreRxHtJhA7GyODNppnWRtNiGDE2vTqqiQFiy
yKx4gZl28AeMZDOmdMlR9VU/ZdOor5o2R3sbs54etq5aFdSfYEEWLzZpa3Bf1RbS3+izXQFq4WjO
Li1DipwCTfcFvCZ3cqbsdapj46AXwJDkiMoR2uNwPRDWPLL1M99rrVa2Sj8C3bDsN5oycFGgAjlW
mFwOBivgzF5pS3SNJcpJQ2wUvfNkEyEicmGTmaLYArmle9NS0IHmvNxGEYCdVVs1y2sE1dernAgl
uecOECXZXTij9Is18pGUqPk2z8V3zmbLzLx5wo+kL9jyhhqdTO0r67J3pvxKAOtZVsasJa3fxe28
T2NEzhC31KpRLJjUzECvp7nObxs69dZJxQDbDKv0uuzVaROT1wGRWdFxVprRdjSd+NaasatqoaYd
IHlj6MvZl1aJfTvnIwiVBK9Bl2anaZbJZU1ByjrlcFebenNt8OIMsqK5lvF5e83zczLbKgQCEbUb
MQaCYUI3309tYuwExudnSw9omoOLHK5qI4tfIHo0KycjlA746RFk9XOZcsgt+rncE6+GtRJpGh5y
TBNpIWo2u1nxmDa4Vx0Q3ATEvB+Qiqa+7jWMrKFhF7t4yaW3iDgISJfymuyoDnNzDWdRuMy0w6hi
Oiap4NgsMN2AmSV7E6SI59Owj9UJM1GbdS6FPYVbqINVrhTrQq81TseDHmPgSVBYZEhZykjJnGYj
kWXRwt8jGSGlMjosg2HsushO74M4+m6Fenadj3HrD9HCjbA0HALymsdjycGR50OG03Bx7Js8xAe/
9Hm9ziQ05qhPEUnVArRLMvML6x72rYyjAf+M7itzUlt4CG0T8KvBniSxrW+jHQeuHYQLrtFQzU91
Gtd7E8Ci2w8YpIB40LGnpoWzdRJHPs5mq+xY3mZc/DypZAM13se9wnGH6gzWeD11Vl3Vpg95mguu
HSzf68ZsLkJ1CLdxmvLurbJ8X2W4HeZh/FbaFiWGnPsearK9kCQM2mOszLkITU2shAWtrDHhr+PR
Q+Kfa8HcaJ4oUgyUY6fgA88dO75lExeS625M7s1BvWQEoWP8x9Y/1BxPYwp23Nk62whSzdfTcIBp
RU48FUvL9miMv4UwTO81/uN1mYfOdolltGXMJSD69OVW9DYucFs9G0CtF5Q16yE8U1r53l9DRyRu
HjZPmZyGC0sjO045afasGQm8UzsgLzBgB5u1S0ZT8L70iTJy1Xg0C7sCCNRp1QVVEnjbQBm8VqLX
blRrFBfmgANs7qrKTyRrVj5zPyiz5zQU+fEKd041TZG+kobTNTkgubI6HAyZHu2cuB+vVCeuDlEY
2U9TMNuPnarl/mDi61FbtuyWzidpMDlZFzlOw4Us8ZtSQkNIugJ0slBFfq0HwliFTVqHbtlP0ZWS
29ekB8F2dWN5TeaZgCcULkopzqlXldW61eWRcLtGcrPM1p0q5+1SmBaabepQzqBR6GcxaF07NT9S
zWdMjg4lYDBlcbdUBhYtYahYVuRIqK5WDxU7NsZqlMXrmQMNhWf3SgNHVvsJ346vViI8ELQLIIhE
+nOkNS2mqrqiWd5o4g8IAB/mCMyg78LnPG/eU1DFLhVShjsvw9pKge+GdtoDLq1eW/o3+DPn0Y3L
uPJtakTJDkzrsgc2nLfQAcY213Yaa+G+Mthls0Oggc8sePQKG1fMvDYT/ZjPZUWEMCfp3ipiP0jG
y0PguEXrNF6Z5I7b88b11VmVjwNJgk1YkD+QhL+/DXOBX13L01MhM90rS1ndD4sj1kpgkcjvCItA
lQEb5TCSzWTpG319MzVag0yuhXcTM3cgwxF5iNCw1m0YXHUzVkUMQNaaUfJq1kR5FGo+0C0X1Dj2
KDhZZTJrbmxR4X4+V0AakoTLpADskpy5WFsFa5bT3uGNaV1mRgQQ8rDglyvhSmSGsTWkXa57ocN/
0bqPPMtJD6f9EYZAyTjCvJBMtFaVrEkvzoq2U4zUWfPi9CPMd+vFwgK7ECS7SIvFYcs/0BqCM3kV
RwtY3S5hh2nCWrP6eBflPS2jfA94vWMiji7aQw9UH8BbPWQtRn/tuGjkyJ2+v41su1u30fIiJNW/
Soj9XaNWYFQB8DLTWoHVCFyiD8vRaKd+OyvRi6BvqzEQqIwiOQAkbDaGjKcNJ7XYj00e0Di+4SCY
HHVwgu44cbrqBzmB56xLl8qbBYNH0G6JsqfbNsuqQ9/PxN+Va31SeUfabC6J3T3GVjQclDzKfaOF
5QY0iYRDYJIhAuSByy0kWdExUnbrys5vsilO9nGZVtspxSRSObO4duKaSh8l1bCDiSY7MLD/PsNG
YiadcdRdzkOMIaoN0i9Tgofeyq4TfNjYv8sOlSIwqZ4x8w0Tfb49A0vctEiysk3QH6pS0flu7dZv
KS1Zdc08P6uVDPwlCpJnwRv6klRY6Cokqh+caKskQOP0DPSzZtkkODLs7EnUnqs/rgif5iul0OWF
tEhUdETTfbj67RFOZ8zQRFpl685o2ReYvOdNGC+BqwiMoUg2ETXPWbH/oU/9K6Xu7v+vNOnZdfD3
Ep3/2pQf/wf/2mvxrf25luv8Y/9Nksq/YPpbIA4McqSaKhzjf5U6xfpLnsOgjiTyKOnzPodM/yvV
Se0vAnfkAPkB/awT/lenk+pfOuBSCrkEKi/K9r9q5VLPovvPJgDNBuyq449RaSBA0/2UNkx5yfa5
nvAC3gWbyh+2re9sYE+7/Req8WeB+vOFECV/zldGoaKWHEOEC+5KG452Qv22N8uXbPJ++gKu/vNv
/7n+6jfHz+cr8Zn+fKVCL8YMCLtw6++UNK8rv3aHrfHN9PQNOY6Dqaz+K1AjLf+5ef238OivlwTz
/Oslz9Vqim5zyWY9esLL/Brf69q+w0qLDYeje+KFvnbxz3/o+e/4+68O68SvF8WIVNZGjSmZBpVd
uu8Oo2/gMbJ2/3wZ64cx49cLOQyB2AZiMkI2/nwhagfGouIc6VY443Vna+o3qVpuqH+trH1MKqw2
h201VqiJKuAhax0P064fXlFiPBa5j6KHgYOQgFGnZfLeZOQKqZYty9eyfq/RTYM250h1McibxQx9
BT0HXOuqNQ7L/D6oNQhyZdXjRa+nFySzNda/pntuyFTQUhNPympqll2j7O2qBXdT+yG16TUBJxOU
UNdcLvKSTQAZGRzYDBQTjmOw6FAMkwAF9Tzo0F9FfnXOAgl12g5TuO5S1xKbkZRbSZoqtFy6vjZC
xbbC2j07vCh92wH3wz+1xXyNt2ShKPGd1x4vGopYzvXbAPIl8z5N36W0oChneqVFXfBB6k9x+74o
W7PfF9UpJzBiym0BHjfydYWCaGqExB3TRdqvKW6L68fBGF1GB9V8UzBAgCtK+oEeSMvYg5WAt0Qn
V0qBaUJjWUHqKNuX8gKXrFMxGVpcO/YM6epTt0Wy9Ybue9vWK6l/dD84tOA7CNQo7G8GKnw8db41
A1+rORXSHEGJsw3tVrkuKSZ17uL4StOF5wTxlhdj3hPG5CQSFXx20S29ICexvHTGFg+kjTkXhBPH
FKHuuuFpqCklH98Zja9zu9jQWm9JQixOvI1J5XGCQ6ZhSg1CirdkC5HDGm8zrIeV9KMRN/JWjnf0
krXgs1LrKTNubGN1ZjYyDuc2KRjXUlhZ3zpyM6p0UyvYiiQiBr22dfKCtHM0G2s3A7U9O8f1eWfR
CBdzZ8wzJdFPqmodW1mvrES6OIbH8ZxWOrLlBP3pLgkCcTe3Xq/b7uzgyEzZauNianHYByZD+KrT
CDkuO3FGHgfT1ZSkt+ZyVMU1+5dS9RvtIeqmtdkfLEwKSfU+kjIz5YnybE058nY4tz+/DGKv6dE5
2nHKecrUeza8prHpGY4kF5n9kvQX0l52PaOusf7WNADTLlVxSTyxy49q3e2N5c1EPQ5tvvYYSOO6
6HvOIR/qUHpIHbcUdWMVKElWkZUJkRcIM1AS7+APp7o3chDJFiwO7DE6nSSNw3gVZDBEcVVsKgBa
Rv7czg/gGYPx1DD6ik7taPkzv2Dg0Kw1ZLHDFUnhmVQRGq2fJIT4EFmgpV1PI2G9b5xgr+LRt/tn
w07X+VQ94en3tCrb0JCK1UCbroZluQuHy7AXK12nYrcRvj5EG6Pzmng82HSv1sYZpVEenPSDAxms
sG2ZwFx2Na6WBzeyuOQMxEFRd9m6NsW6oV2ynC7z9KK2LbccPQso1TxQpbzAlFk+HFncB+OjzlQl
C30h2Wjiv1DU770iLlAiqprExa4mK9QMyX1KJqzEsBJRagePbl/y3zVekaEOa/FaML05s+TQ9oet
xr2ZZdtOv9CKJ3p8QD51ZCY2Kdb7MrnMnCdVPI86YSe/IxxBUCMdP0KiMQqu1GGfqiB5WU3KozRw
MRB9jMeVproqp6RWPSswwKS+Z+KQwMuSRBt0BomjOA54JsaElMOyljj5B9Bt1tmKwMLbNe+9dYK6
rylvkbq3gvn8GfXDRemsEM5bYH1VycpG3s/h8KzciPkUiDchv+f6Q1S+q817MQwbp7rRcIqH81E3
bjIymOk2jX0jfbWD5yiKebTpS/GhhvqMuaG33el4o/tcfku65qCXN+fzVaaLXdExwzZeVAzUFK1T
gm5qbm+znnZ7yRJC6dnwTQ3paVS+pfbLhCYPiAJdAvyoDaEpXUn1ygEOm813CNx+2h/oTeSGZBnM
ydijodJJqN1TbRfEl3a3jXmnRLHmpsqzhPo0wYOmhmAJYbfG+7nFFFjeMp+GFBxzx6yplu/Iwmmy
2/RFfJlT3KBLbVVn7cFuZowWCj6HazP8MCb4uEIeYpvZNlun1FfNdhU/tfMu7prbdgr85iVFxlwJ
8uvMls5p31m/tIrL0Dyni4DbYWmvdi1+cwTKVTJfncdNOV4SLEhkibeE2HjTb+yY0dVd27VQ2FvU
wg/yHjMxfujRK2mw4cdkPhLkLJ3nzrwpWKjiDVJ6IinSPoC6Ykk8j9W3VXnP+rPAgox2OeUvBYnl
IB3WKiMqo478ueEdQu0M/cDrmFR51EyQsO618LmrGkI6LF+mZ8O2QrSJMjc3/LbYVzOMtqg/qXPy
hEzPuiSjtVWGfGxBRHGx5zx0sKJH+74gGI5he2UoMcneFFzF+1xttOH7tFwX5Z3YSmrrgPa/LwPO
9Fuh77irtHItm7e44jf5kzxqvCbH6THVmfKpXq7hFBlO4fIx8K1WnBMJA+rlQR+ewTtkwUMZ8MWd
9P4tMpjSAKsmBXXos3PMUMF24JizGwenfLqadTpo96FxygRMBJID6zz3e3o0YVarYifpJyfJZ7pC
XLWmdEn3z86r3WyC3FkRypkbHpzeVevvvXlCh62zOyM5Zfo+J6kLjk001qm3XTGwCm7muX8o4vql
fevUddn41b1SXtVUnY442EaJb0scm5o9w46hKMfVAqeGPmsXyXhKWCDJpxYsueeQZTz7vIYhE1O8
9zQSyu1IHLfMiIa+8DISp4t9dDIi59NWTvtMe1hqe5Nn1zavwgkRigRZnBBPnpeD2cITGDYmjFJG
XO5sX+AR2i29zSRL3dldvpY1EmLPb6lWM8dpLGBtjK+sxzWinIXcDVEBLbJOYbp8cYb4QZv5vBOV
wjYwhDO04kj165a3hQynzc0sXO5eP97Wm+JNUGG35q72xNZgXvJFSOEPhwkHHMr/veKnw0SZGbY1
wBV0nW12JMou98xLtvPVshFAyjfITRfy3x9gfr4m57xf/8pZRinsqFJzeVzk5nyciLfqVnEbj3mO
7gJMX9vuF5t8fuVvHyxbDU3iZJH2Zyd6kQE4M9A23PPbhWJRLYRs+70brq3k7Z+vdP6KfrsSpmiw
L8xvNftsLv7JWB9jF8lLI9OYLe2lsuvhqhTKsRhOAXvKtPzqjjkfgn67nG0ImxwRzSrOp8slVjI7
uFSYVm6qu/NX1/pnhBDzrbX9xXnsc6CFihRxBvdwW+J8/Q3cEwcmDgvqXCm+WdvLU6o9ZvX9PHz7
58/vhy3/01/EWR38lGkRnNLMTyf2PJLjAv6JO7Lbdmcq92ul4SBq39riFumtnc/yxBU1Ba7FEqc+
RdO4TxWTVr7oHkcZQXMWdexskzHS+Xo75oS94zc75CUOS4io006HkFh9KEy70rFeTzoetciLJreP
uTmaDjJ2ul5UL+7G/Zjc0Z4ZfxG++NNTh6NY59ysW3SqfI4maEuJNIx06CpbWgd8w029hN1+uDJW
CDIkFvj6tK8ede33W4WLEoZwSHxYxudYX6AxHu1yAtAEX3tX85at40FilCtgC268/ip/of3h1uRA
bZk6DZmcr3+0eP/0JHQaNXJTGqqu2Idb65Fbc1W7/I3FATsA+R3bt/bn+zTZdM+D71x9Hcj4019s
0s1p6Pw7+Kg/3UoyKPFW1aPKEJ5TBa+JmnsiNoaVnXOS0viwlwrYyS00pkYp9kGAF7RKOBuQiAt2
Cw5KUd+U411t3HWxDoPV8LnrKcG+xRW6ITnpsWuDR8Puc8ScdAAV1Dg7dT7VFG0W2D7dhZ0Fh/gM
L9RY4dNa3m2LotiCokAcUOJO06+NiC2Q6Z0PZ6W8UurpOxjjB3sgkOiEzrWylPd6VDypSQoY490U
jYv4gn18k3PqZXuZQuwfZx8KQwj9eRhXk3wKr4JqayiuAmmpYZgs8oxcu+U53T1K7yqME4xbfAPn
gw0nmAA+aTLmHl0b/O+pJQWcaHvHLP0oRmoqbL+Z7kor9CKitR1WXOnHb8PZaSO+GQBrqZjCo4H7
MIURAfu7gz0tOT4ofkA61ZwvihRMuqBjatqZPf1PD/R/3KbhUTY3ao8i37+gsS9RCbb2ucErjLzO
wfg0DWyKukfC09byCEN5G9Nbqlffmvk/c92/HXD9PmpyCH2pFnNHZpiO+WkVDSkkHgoLYTnZhVt9
K3fYu+G/JZt/Xtt+y8ywhNLhRJSNKKoUtBL9+nKARt+3gxhU5mgk2VxIZjvTg63KWMtZf/VuOA9R
P78bfrna+f//6QFsutQsepXazL686kbfqu8A3WHRx5YV+c2wQcR0e8dd8iemSQ1AliIGNyDXpXGl
DoeZ43GkXlnWXTdsDPQCzq5uI0htG1dK+WTHB2n5g3LfMyJI6x3QFEafeEGa6lmV4cMUKxPgaxvZ
Z76l193rWsYIBgOG9EmyObbGu/J/ODuvHUm5Les+ERLe3EYEEN5lpL1BafHe8/Q9qF/6uyq/UqXU
N91Sn9NFQsDea68155h8Q6K5ZBBIVBLRH0/ReLIQMJveWxJvIzW6QNKhCkRhtO7qfQigWgy8y9R6
y64W/GUKeUBvzmzs9/DMgSVP93lH/Kcv7EyhIWA+wknAscr8SqEvjenl37/m/GP9vlEpIvJHU1UJ
RmWzV36tf789XrlO6TiXA5wm8qBjccVH/sM+8f0H/HWFuWvNUkIw2/etEEV4B0cZincwHlVrn3pE
a6z+fRP/eSX/3zVMoISYkQ3jewHRMprxciwkS/nS2nMdhpRTg5pxZ7iZ3a+j6Kfqb/6Wvj02GsiS
zh0xUOaz+/OtzHIvQ5bI8K1fCqdhRT4IdsDoDfShDa3g+Sef2n++Am7wj+vNm8RvP5MWS2aQdib9
Ep8T6oxUKheyDO+KNy2T0B13S20GzHfYFuAZ8WoSAsUYn3MAIUOduK4jGPvbSLNThqz8zgBjL2qY
MHS8giurJnlXwepRi2AfWih00KKBT1NEQuEelO6YwvqJ7xBWqFTXAfP56WzoHA/dPrnEw2OTrFn4
w3bbIWO0psCd5HRpWpYzEjY1MhnHk2GF76F1LfKrJON9lZknIxKvh89IAbwPV4bcdlBvqBkYWa+7
8YxxBMpDtJParSJ9leoGkYmJkvSHN4e5+befcq4INdYxhjh0zakq/ny0Vo/sSxEKcWkSTkUXR7RW
QnTSyw+jPcr6Tgt2XX9ph2sEDawW9p30aMW3bDrGFgbu+GwppCyEum0pdzLwhomvqN0XmWPC7Mie
Gew6iDtxqOzr6pyp1GNONJ2F+jSpdsCOBTqfOB1aiQ/1eEvIZdINmO/kba9iAHc5oD5lhSwNMddQ
uw02JkIT0xgYnpsn7lTizzpCG/f1xzQ8pBSDqupIACfgxKlsMEl7TotzgCEEUnvnyKLLENkDUxXh
OTiQLNEDSeNcyA2sCvF+UpZK9hRH56Dd1Qpt+prcMs5rwZM/PekZk3ia3wiHpGYFPXpsTr1pwcf4
SmhrpDQ3aZv4JTFpieA0sBtz5AiBstWifVs4bUVDgvn5eOrmrsLwQnmhVI8ynfVmspZ98aGQE9Lq
i6oFi3yiTdMTRxpvg+iUmiuUKj6D2AI1XS++Fsl9ma568Yl3p+TP98njGncSUAmJ7KTWQ8d2aK38
pimc53k8kU4HXqet062jAGOD9CqT16P2/meURc8U1jpNdy14xLuE5YBcX6esOLaCwKj4sAoc2xhu
ou45rR0j36qkREeO4J9QhCx6T7BnTvScUNeN5aGuIDxhERCZZ/F5FeJAjiC/mnSnJ5ua/NU+vOuT
baG91AOt+apfewjf0vYWjXAbtZOQWW/hEC4CHmlF/rsIlpKPfKVYmOFT6k6LzhrQ7QYEznsV1Ieg
+jAMJ0nuCgQidTvBnZgbnqp2kkfYHkW+7PVqHTYcPkwexpvnr/C47YDeJEDoMulFrZ4s30Gd5ULL
OESKLZqgGdlqyt4eotckjJbx+BLKG2W6Zs2hJZOjJkyU6Ld16uMjDfdVfPPStZij2bhn5tPoDx67
iJ/ox3kvNWoB16lAJpIC6YeIj6dhaO4HWXoKYx9d97bqR4xUjiBp5yw44DrjAkO1HqEbZXcRSKyO
ecOYP4qdeQdxHOKYrfkPZUFsritlGjjUnUrgjOnk+n0GTgIans+pKXHlIrZpFUo0yfI5Zs/ATOzJ
1yYFWleCMexbFYxn+ka0l+TJH5X5BdxQq+W9QdeQrup0MgXAiMOKJW3ZwwkV1YsxnltDXJjdSwih
h/cgjOBxBACtZ9ncmgqFpHp5TLe9N9rlNCz9wvZMuw9JcJ0xkUTJCHZNBx78gF2a/dJjHBUI4pUz
Pc67QHhter44LUd2/6rIRIAtKyPfJwJt0RJLYzw7KGnTpc9G6BA/jlrd16HZcWkEguE2EFjT03rd
CZ99+AgBVokPcX/f870oOoiql1DchfmnRExVvm+qJw9qDCGzdA6h5FBjj0A7ryRzaECNFIr+ELWv
Lq2lEX4FhMnqMZYOlR7ZDa9hQk4i5jWRHAC7qAeUmxE1EM1DzRUIOArWCWLgtqPn1pKK4y3wGcA5
2pKBvpDMeTg3uKjjfehNYvgy9YzjZHQ/5k3oV4DK7hmJ4Fp5NrX+HiieHarniqaZZNxK1qS6/DD5
4RV4nEidSmaKSevvNWuWH2c3k+rKn9yiKEBjCXtLfSl1R45ckJnQSgdOCG26zepthMKxTMq1NT6V
AbKbCak8aZryhxG8m3p9mBgfEaGzTCN0fF67Tgtvk6fHUnlJ/WDpI7LAH8ObHizaSnWb0dEGJF99
+Rl0GJ0UJSVSj2Yz7j95ZBNQDcdgsjnxHKJ4GWAzgvzY0hzLs6WkIvbuKzhklJXaQa5OdfGRk3Qu
eb7jp29UGxuiBhYqixN4J7NEp104NIQWBrOkRH32LAZjkx0kxibui6U55shu25Xa77QWeflBzO/1
TsWVEN4UYEUjhtsa74wabPr0dWypCPYp4V6lHr7GSGYTdriyeWCR78x1YCoQWXjtUasadXjE6NNp
xrOIny9W0w9Es6i892ZZrhGLm5Pd5AGIT5zDJLvlxpOFf8eks530xzGlqVHrizZ3M2XthQKp3i9q
SDdzBRsK7pRjcpQsjbfQ4N13E8wREPuXKeGHdbfqvJwkSs56PstU7+jJ0gDbVnlnBP72NC+PXvdK
tN3Gzyfq+SNPHi/t0keplzN1YzI1lRzr5HlyKhF6scC0tYk4bo5I53qaJ9rOUCH/YYPLjOtorrvs
tZiOfnOeVPNj4G9HDs3gD/ixp7OibmqLoYp1Fw7NapqeB/mSMlDoQnLsioPQLSIpgF+moJ1vW3WT
0jwr821tuAhNsDyaoZOQ0U1Ks2OyO5rxFj6uoSOnv8bJI/64ZnhUii1gGoP/6T3GU3mVmnUnYnxL
J7dlxCsNO5DRcf4hMa6d0H37OT4GMuTQ5TGwJgV+KQVcipVXeJejB5nSODyKEaUUrKoCOl3XMrfi
yL3mNuo+WfrBYcopShrdLYi8Znooo+vK4mvOcxcHbZk28brRy1fVoOOELpNcDLiNUI9HfGPFRg0w
WNAekCfklltOZr75oBCpq9Zmi2m024o4wYPsRSSMPkBSvBTSbI9071hkB51kDdXnnWWnCdFY59M6
ESz8Sw3t/wSabk6wYYfvvB6z5Vi0Rz+4j5vAlkK+f04xXxo2DiI4Vwa9+SirCMhh8GKau7ZWHF9S
F8NHxuSpNJnpunj1FqF3jvO7surtsl5r8nrUE6dF5wCRsWOjNPVzzXi4GK2lmjyUfb5ShfOQSgur
t1b6eJBNu03vAuFlho9AHAs2HQ98kADYsp4jStCZHqtghE30FKvQlJm5Bi4mSBtT60LOTh54uxrs
topazxyePf0h9GgvNZUjlre6ewQiq6nJo48TjVG81ewm3cP4DJjyqs4RmUjoS3NwcnWZx8SmKLeB
URr2E7oaCii4RjoVprKuNBT42FcUVXEJ4LJJdATZGcnrgj6RXjJ/Db2K3/NNhBol8OB1P1wAi424
GLGnscI7zGfTomNLk5OCwk8MyAJ1zd571vGaCCOhEPhlR81w+NrGmak43frZmatibJwYwU+hIym6
LWcfSn7fkaWlVoRBCdGuij96xjrDxiR4OlbOKn9n9hkJLWWstIi9czE+sij4E5gp/UZGBv7EudMU
YeucyoNQ4ZlskU80iHRfGu9+boyhy+QTiXrjNfNe2nafxwQpSXVEvd7DJLjU3UERLoaw1OvPTilc
wiLWlhhe4gmN/BS5OhA9Ydp4bBP1WLDJM4CrRZfZUx6vItIvbM4USyCwawmt9gIVE8vCgHmU0Txy
Kb5JoRYf2TP4bAAXEMEOBVPba/ktEQ4pPMUo2pvo8DcqdYJvUCQETFvb7jIOmwQD/NJC9kqdS0hV
3t3qQLmbpPwoeBJwclQvwargC49G/IjhgErA1tkPPdLg8QCQwzSn/YwGHq3oEwBmwxnQA8zXFuXz
EKEmwaT34YVXMksVgpSgpD371qnwHxXlZeREBmpZtfBM9QsD1Ga9MwjJUBPU2/KOKGBWcMJku1PO
zjbxfxWJ8aUomRy9p2fdKUuxxe9LDCHuqeGt7h/Ii4+IwxanPcrXhSXf4CkshVbGg/WR4oGF9Gda
jtTdCQ35VbBQJr1bA2QBWfYUAbAcmSCH/NUG6v+ao2iwUyxjWXkUnewYnEEHxbv5fkTFyul3fMS4
fCCKhB9apG13FaK1Gl8ZvAbsPMrC88jrxvTwi+TKnjBazU0BN64qh7FEOeWHDBgvhD3LKJ840+WG
bcTMGZn2qrtBPmpQrXMb440o3SYJJsP4PvR3871DAq+CD425K+t8lnVbckix8DI/YbBtUBYscnIo
Mwf5O3nQDxl7vo6cepKaS6jnfIg4BKRFLRCIpZHkDccYhQFraINk29a60Q4oABtmuj6YVmHn+bwE
HL9V8ItyejWIziWArtfxy4S4XfiH/Q/TuBfqalkBxSXzm6Hmu58d8YrOD1+uF7216axr1R+8BNKg
yIzHbVA7i8aFZCOvvENG0iNY15EviyVuU+7RWHvRk4AAoeLLECHuR5MrWR86eZyY2nxYGCzF/UWl
PJS0Akiqt9LqfduKixTqTPQmm67XbYZ0B5eWViXBliuzazDb30ozXoZ4YJpzXqFmT74mYmlkvmEf
JRiKdH4N1GV5gCQYp0Q910/9Wu8fJ2gIhDCn8W3QnztFZc9zgrHdMQG1e/rTTb5XLBzXiTOUX2Uh
HoQxfimpheNWwmfa7DUP0d9kPRaBwHI2UqmWW1mM6YPfZECrMA6Vyly0urgP6SfBr8f1z2kix73j
W47HTQwVExiG/UMFSawki9yTKXAa/sCCFevQSZ/A6tGu+9md54VOXLGWHEraASjd8vKuyXcFGGf5
geoKKThvmiQfe7zfxqzHCVUbYvgorXT5vhUfAGMy6ck+K6a62uzAmtiXaJ9AF5/K11FQSBo+Dlnj
DB397yvLiF0JLwW7hGGe/f4zzlAApOCJHVnhL55eat2Nx3PdUdDB1mNOHYJG7+E/awU5FtYwkJu8
NzGNdPUcOGbLCXZZbhAL9yDfmLouRST4ZnIY0XpzPp+w/8tjSTlFKIK8F9C/qA22mPBlbk6pG6LI
aPwvRCmhw/EcUoBpPdKz0e6hE4Wek3YuLvieFIM5F5zOAMIF1XDjSFzLyrU33z3xOuYpiRrOFI5u
Uzql/+p3F9PahFQ8UzZeg5EiW0WBthG1auVxveip6/bC8OTpxhpD3XlmWCcw/unu5x7ufyVc9UHy
QNS6Mpwyq8K7Q47oXR7dBG1wK5mlEJtS11xbmHvWRwxYYVKJK2e1lUmFpQKP5ENEa4QynJMUqvFd
On54EAPqcquQpmDxX+GF1ngjAnR1wpH/P7tDKlmxDLCyPQS6f+AvqTXBmUpI2oa5bKunqd20DZXZ
A9awBa6TyEQ8lV7oSRXRV8nB9lca+zGuN57yOjSYzze6hfhd6d2xorPka6su2UlUhJJOIxxCer8V
Lb5+hi0hh6YpOWbJFqYbEeGsi9ZASBhOB6j+aVzZgBdB3xQcDaBZds99tK3l1xFpplBvsZZZ8rUL
j1L+6kXhOSgExBxY8hOyL8unTlp7KkGI4mvVrzrFKShujaRb5+UmTJ70zyrc5UlMeWe6wpAtU6QK
Oh6Lkpq84LfgSNQxZZOfLe0Rr2of0UtIYaFYHHVgSAQ1thth3bA8yOJJyw8Y4Pdxz8FAoKvxrlub
1FM4DByHKFt5Cho3egLekDm+8iLEbtsR+d5uJ4Y24jpUHtUwsFtxm3hvQq3yRX7oMs6s14SxgqG+
p9WxEN5V7N+YdSSrJGcN0CxqOs9lt030uxQqb9N/aYL1CcOCpmxKQwflT7bqywTRavGUlRtPs5My
RiCkUCPZeeEjh3vyKR0m2p1Uht740aviMZYfBlmEwnI4JjZhxIcKwHIKFc38tDjiWOamk6BHbvzh
0UxKPrYHRT8rWMuBuBLChll7RtxEH+R5m/SkJ/QuR+btCGarhcxbrqmPXawfNdqELN5B/9hxoOHF
WFjGrqvHJV+1mcF4D56JpRCHyc6Mc8o2y57Aya4fHpJ+5fMuq/6+1F5ShmM0+jSoflo6rjBPEXWt
uxEn9fimSGizZlWq7uZdv0bRN7TwVHy7AFOSxKdJEjDJLlLqCFSGuuASCeyKdb8cdMgLC3284rkD
mwMPe6qOCdUWH7MOfIGG0thYO4Q4UfjcA3lR+XB86+hNNLrIf5/St6nB01GthOHi11eSxCtphaIq
NnV2mwFIKbEccNdtRdn2vFZjs5ZQ5XTKCtjzv5vL3ycfvzrLiMoYyDEqUNVvspSpSVWliyqEMFjA
xvdoIP3Y+fcl/ivYp3n9v5f4jusLKl8frZTmNVymqVuU9wnDxbDB/nH494X+qurRDIMkK1H9RSz7
s00+SoGet9S1y3aru5rD2X2FRvFOc1WnYu4n/h90Gr9f7tuza3DWhNPE5UqmrQS8gAAdXLbbf9/V
39Qgv13F+ibi6UVC6VuVq6QU4qadU/ibpJ3QGvn3dfB7/Dkv+vUqIDjBy4qTQ/k+oCojj6QUv8F7
kB/kEAgIWurAB4dNxdmtk2nnuRPsBroVdb/KyUjv1oG8Hcx9bTIqR889auzZyVKCXo7E+d9/3V/f
09/+uHlC8ttwSQQuhFGeyrRgng0NW4dvYD38+xr/GdF9fwLfxiwBe9wYVZm8rG2WhnVsd+vpOKDO
Sh1rJT3/+2p//V1/u6P5P//tjmIpHSsjRimls21Ja6M59949+td/X0X6izhEBMX8/3/Vb9IMP8Ex
QT6jiBhFcYCd0f1astUv4bZs65+UIH8Z7/9xsW+yOgVnLmHe7A/kaslMWuiXBsipI3ok2Pojlj8G
eT/c4E9vxrevUNIqXQglXtsZJKsuqw3xODacCQ3ti7egPbeNXuof1GB/u09m56KmogjD8fTtmoC4
6swXENbNZic87OtylR2R9/5wmb/d2u+awW+/nWkFTQERRFx6wjlKD3S+SuH2w+ObP5zfp8S88xKM
GajgKghIbunP1zAfMZVoEkqJGWs8M8gRD2S7cP9sLkBwrr6Cn9aZ/3xliqhwU6KhYVjTMTx9m0tb
6E6ykhDsJeh5zmg24KZV8Vg+zbGDFnijH1aO7zf4/XLfxtJKLYo+ZAGKM8JuJ4le3/iDeuCvdySh
DMQey06KOvDPZ6hMuRV7NaoWYT04hlO64WHakqK8TFcEE/1wP9L3t2K+od+v9m3hKORajgGESGwI
Nk3BI7ZkW93ILSceZG2yQwLU47j70Zr2fXv4dVl+MQz8iEWk/2wPfgTwO5cxDgjOLF4NQAuDDpjb
cHskLifp/MObqf31Rn+74vzL/rZCEooLpKniRsXsi7QPYp0xLMvBwRgNt4+yfUsPMpdyOwGVlDLB
jfwCvhw4haF7jhmF9UJ+L7ZXRXzMxW4xSge4hsvOTO4aYojrCukZMyKR3kVN/Vkbi1g+qMWDJi31
fDfQVvQmJzc0uljiLkkxjZEeKw2o1rRTP10m7+Qx/Z36DwLm73w5O7Zxh5dno8nhKYYO1ACnEjQo
ED7+sqRXl2H4iUd5xPEQRCyFyFoco6FN7j+OUNEnZUMgGyNOzgBuG+0ic4tsTWu2Y7nr65wR0INP
KkSm7CfaU0Xe2I1yHzI8SmiG1iAdvPA+57QCtIuZG5Oc1jc3nsDIIt2NtI3rKVgNiYk1/aTGjsFe
gOFm0GgsH2rlmoQw4LYJ0T7qftJ2M9rdQJ2hFb6jKWBfSBdEvgaPzK/Wg/TUq4eJ4XcbLE2F0eS4
TItTl+2zgXFj+ubHe6N5EVOn9J6ZFHkpCX0djYeDOV6xkGzFELUzmgGVPDYZHYD1IKdMxsnVyG0c
Fwb/mBrC40r4G8ElHULEpgQEmt4uwrDSE14hAOum9WES9AEI6of3Tvm2In5/0b99zUWhWHKY89p1
juI0p9y1luaddVHsEbp0sP/pe/7vW66KQHQ0XbNUZJzfF2Culra6inYyYN4CbLaIv4Ju9cM9mX+9
is6/ruD1FcFIf/uWhLbJw5RVUA9BVXXRtujyJ9WrdqaM3D5Ag3lM5l4yXsTRZxLGINVHdcZI2vTO
qGE0RAZpsAHsscoUYAVxuDWSe4Om2pzwTP+cQPaTSsACYh0jucXDho7WEYXhKN0pebSpU4pFCKHj
eGiwgplmvFPq+kUhPSkh7DjwLNdPc5pabHMG6dlec4t5U0BRpoXd96U7ZnR38EFqHB5Mgwacl76I
jOFMup3kEiy8gObEsBYy7ErAtEwJ7dxmUIYLqjspfA2SV1BMy4igxf5RbZ9rTukyBnqhAT/qtnjl
yE/XcEr0oGlDekna2h8vHbTU0d/U7Rv6zkzGI0EWiCpvBR02HK8FoTPjtFRC0Fvsk1N4HaTAlcb3
SXmhgC5py4ECmbxoo7TKPd9EyNaQLo3Ev4H+ZQqQhfXWZEQ6EkmSp1hCI07vubKSg3EJB4Op7LNB
7jUDTalw86pHwvEgz7lLl2x49fxfj6sOXV18UwPdNotVKxwa0a29U6Y4XbpjQWDy+6wzWBT6g0/7
HjOSVp7NDBpMOHxA09lb0Z2fwIAIz5bUOSLde3gqhb+RhBe1aY4JxXbUss+MLG1MGuAoOHIPDkKR
FkK1z9udZj1YjXEXiQSu9+hI8BPTL9tIoMnUFmkKeVDkOhrSqq4yevdnHI55cumCgyz+uBP/99tV
KcssQ55DBeZTzJ+vudhrmjc2bFKiOytMa3cOaSBLdTHZ7MWbHzfF79W1gtNKw/aua+j1ZTjUf15P
yJJJjTW2jMGRHGZ/LqoTRDDL3GFcE9o/fMX/vTvkbCo8Zws9H2rvbxuimBOczrRWXaYPDBaoM5D9
aId8M+P9swOxg9JPh8//Fk+6Mlv6OU7r4L6/P89JjvWhDWMUtNadX2+N4YfSaa5Vfq8+Z80gfnBV
QRdJCfq9kBZkz498CIHAXFIbzYoPYS54CaXlv5+c9gsS/ueF+KEwasuwDgxEpN9eDC9RSqNITXop
bPQph1g+TKk99GBKZrNb0tABCz8r7asBXVWp7+oU7hPacA3z+0SMnyXGHHg9gS51lrlCFccGKzzI
VD9ekl8yeU7oJCMqq2442NKIpJPGLhqSM6azqmDmZGeUk/eUY4oVExRGiqSeoEXXlXseMIbucqWX
S5V9doqEg6/US2l415I3xrEm5p1KUxZdtYniaJ3TQhlGAXWQPch0cmMLBo4/t+ImtHBkLEcXsgoU
+C8hPf85M24FSmwPb2s1ZPsUazYtcUJGbbgeatN9ZCThxBnSsky8JDC8GaZqAVSccp4fMNDIJuKC
yjjAZWnZQWiiX4iGk4hfXEeirENuNFI3qGaJE+yXKtlU/YB/ur511RpVSjy8t7pAKMSEQA2hR40P
AsaMQiI3w6vIr5cBbitT5t2ijp0OfePbPQobJhitj04MwZQBDmBBxrQJQDxq6HTXq8pbigNTXlso
AYuNpHrrjCS15iFj/ZtRvfTkx/AL/JET1JswWOs0ClXlhCMcCtuZLevgkeFmAHwVPHAx5sooEKut
JwGq87jzE+Wuk4tLRu2jBas0g7wJEoVI1egiKSHm0valUFXYlgnOT29dSsa5Y9AwIWGo6jPajXlc
P/XbKXFMPhsFKrtJvjNo+gVulUVG6zuiQb8oUeB5pgPSW2BTlGlvDIGyKgLwUwj7RkNzAdWvp+am
itUh6dCNBcJNnExXr5S9lFK6CatyOgyh5kTaU4GqAAzBpajp2YsDXRrDiC49zgDoZV4z2DhsXrQs
vnX0Qhk0KAbDz0SA+2aOR8QoiDL3HppbiNSLoo3Q223DeKYr8SVIx0bgZ+hE/ilkNJroncM23fgE
F3o5YhrPP5lsU+ziOXosgp736NZrbSfnxUbO7ngpHOLDhqBd+A0PIUOrpHzl7aEpK5uJcS8ZDiBr
LOgzYGBVWoco7neW0pEEi4/S2lX1tcLhmaEzTaV1lcsvA09NLgFW+B9p2pwGzLO1Ot6Z2XCrvTme
WMoOOZaRsfDus0Df0SFB3AHO1zQqFKxnJaeucEiRNPRwXY9Dg3A9WyPEWwVl+yyMoIT7SLlNI7AJ
C7mFv/dVbJNJu2rLzzk+JpS+JsaqsNqIx5aGr8SkfosfQhR8rA6WhUulchRcG9FUuWNeurHcOcSD
F6s+bB57fClpzYjDgANp+SSI1NEDnuPSkcGJwnZGyTCKpTtJj1FM1oh3x6R3UjDhFraOLaXGH1qe
RPRiWXKBlU5U7q217Gm8+p26EDkx+FQgOD1SfM6NR/BLaB6DSTnoU/5l1cyu8hp5bDBC5H6CdxSi
25KlVTjIGynX8W9PdtIaAJaePIWVgA8pXUeMSqzKaUNHRnzJsBEO/TIIPoVxbUknX1kztOhC3a2F
k1zvSuqRIE0cAc9OP30hEK1Du0TbgsjQoqqQNJQlo/Fc+sIhjhxWJ3bvt0qDqZwXw7Ekb0pmdyvn
kVJrzVADSIt2EcIbqN67Eu+yMPJbtITLGmR7zcMGQncb5iCdm+hnNdMYIbRMVfNlU5uOhTahh4KX
YowOG2ZbHO6SNXYkpkVXlcyGAu9sil65vveK/E5JUVJb7szS5GB4RQhbaeuyPg3QMBF+RpwFCQ6M
rhl0RyO4IDLvpYJuF8OC8Nq0vu2VLi456t9qL4oDmV4x4hhWzZqg06NMFZsYK3Xwd7DpCMMUJcZS
595CBkXCLwtjcBjTZcNv1yuBm8bbInpQhGOGIlNkNhiAEqHUQeJ11PU9NA9V2EgpLVGYNCO8UuZx
D7r0MKIxJF2a7RDp/V3V9UutBChTc4JiXbhO/RkmywHSMcqVInhv6SMuTF/AjCAc1ZnpCu5TKLqX
LO9elJKTdLTMcn9FeH2GPbHI9jyKIGVpaL8ok3Y+s0ljaZmAp5NYQmTdI6so1FuQzPR3WBjwixdh
/8lj0dSzEQ8P1LwWb63QEmqvQ6HNGO/XmuH6kkenG+UU9G+5VjeKZ62UhmFK6mZo9a0KambYn3Hg
cVRAWaBTIyPD3QiyuEH/8Wn25SPk002o/TBj+FtB9FvBonzrxhti2I8JeRLLRH9T8ke0Yf+uVOZM
lX9VRMq3g1qXyaTE+1ygqRC3t8oiVB1zwiFvLKPWLqPHNJ/TNvFB+M9+GvKMH4oaSWS1TPV6aX7K
c5Sk5kDkW7QFWBr9UPBwcxxz/FcsnpccoF5p8qcQwZuC2kDpz2OI8FNJL7XIxLVYxxrb1oQyIXwQ
Ybp0uSMHDHwxkrDkoogp62PT7lMJdWnzw+1T9v/n/lUYkcCByN/QdRw/f1bUWIcjKTVKmfBq4ZIZ
1a1rGXCP6TrxKUQGK3sKDIPhvXjKM1vFWN55IFrPBrocBc1mktaIeKt0ov8BfaIzrrqW7MnMwoNI
4WaG4gVW9VZLcM/l3jXLOTZ16k4D92l0Z1zal4TBfSo/lm3M2XaWY0pwnb2CQXeBDmJotq33IGFz
Ejxz1Q/oquTJzuM3VWQbHpdZIK+r0tv4FttQeMHRQefm3NT+LgZBkgSYSJoXRKtQJlp7MJj+Q8iA
KSLWNdLiF/R7C6vdBTgYIpnAXPVOVI5gO21NV9hpnsbhIlpbb7w0AyaObS4c5WAb567eriU/wNuK
1jEEj8dc8tLi/0QWhCbR9uWngoFwtB+UjSA2C8lz6+TOi8g7vgQS4CLNFrPXSl6JwbjTMvr0XbBu
vf1ogux8SaWXrFiJ3S7vAGQTl55EbjZ89tl9k9wS+gdR7gYo7rSUZbNzC61dQBle6RFahEpEKP/U
NxrQ4fuC0bxJ000p7qZ8HcfDEoNlm5LEOyKfyt/HkXEwWhRWSpOtur5qjWZnWrewgscCmbgx05sW
Ugo7p41XtXiumpeBSqv2EcwnhExGWItVWwvvFOGskyxbAM+N9R6tLlzlNwzPDCAvofJmGfwBhCAb
p1G/BgLRDZBLrOE1m54IE94oQbKbCIUnCWKVWV/wATMRiMhSnB/nhLMpWJv0h3zGi9kppx1Xdp8Z
h30SewkkQP5MqAuTsaRYJcpNww1RcpIoOXRY1lfZnbPxNfGgyYt7zMMLvlTyJoQHlF0U/1D4ZzmZ
1q/TzjuNnCGVYBma1qOv9+ytD31FdDvvLvSiIH+LAj9eiVOztRom19hYi30XdNtGxzUQWcZZnAb4
lnl6L45xvdRUvXbhRF/1qIRyZKw1lIBas1DLja6+WojOAQ8ZQIJjddwjgDwEpeOhDqz1g6deS++e
tFmspmP1LIdOmrR3mfHoFcK+8ghKlgTlksURoG8DdqN2SKz2UAGyGJIZImmZ21gWfpi/Ynj522Jh
GJy8AYrRkv42IGk9qx85uDC8yAlEUVjYsKMwJ3wUIhKhRXQo4Z0eQ4/qZLc28p3E/1bT8KmYDDf1
P8dSxgCRBuc23wnmtUDlnxGZ3pjrVhXtMgv3E13PwVtnYbuCK6Zi3RUke1RkQKyH3tubg+n6futM
5jVEJiioMl2jaJNJ8Cp3SkzVSBCLRl7NZP8qAIXxKHfZQ+99JRSunNA4oI017pEBAZhTDiQRGN1F
b0+ZeSeM16ZejeE7md6d6STFUZjeSLCV83D+J+FLmeZDOfBxSMh2UI0rq6o4tC9BCJlLf6ogyJDv
TuPV1K1Dxmh8Eb0HEoTQpMfIQ04dkpacLixwtb0+QZ/NkDnqrgnUKPEJ4UkwKbgyp0a6Wv1Zaegw
q4BzkzsVeZuE60RXdmFwYFLBIdeJVNNJ41nrTj77TSBhNNArRFX9VmlugXStgTgBP4vuBaX7NBH9
Uyq7ZaIsi/4OBGxufSIuPif/Q9p5LLuNpkH2iRABb7YkSNB7Xl5yg7hGgvceTz8HvVJJFaWYmY7o
Xqirm6LBb/LLPNlObRAD3LLW7iIDIpZ6SEGMimH12aBrziqucvg+Pe9DrZhkrhU6biysFy6+JUlF
BYyOSb+N84VZbCgFviZ4d1yXjNRw5MGTYSPJ7isSd6ry6kR/JmE+DNtkAd3rJE9E5Mk+mm6CXFyE
BC1y+Zn7cDflmayDhL7qdHjz71xWP/jy5kZW0IVBjbF0SzqqV91rWDoZybEc2zjFrVG3IJBCexTX
SxJgVtfj1sOaGCQXXS8fhgsPVIdEm4zz3IVEY3wMxoVWXfYz0xZa0SnLchsITCLqgQrqB0P1vKs/
GhZwyMJjhJFNJcgrrQoSNhnPfxU350p6NMm5U9+M4BCH15SUTp22tpqEC1PuVmroLzIu7uZAwn58
U7wB/ld4/+9DzL+MqNjEOeepdBbS8Pd7XlEoPNW0cp2bpQ003g65+M+CRTIP5vpRmdMWthK+le+/
vOh09Ppd4vn1RX+bi8nlMBrQiHn2HG/VOIlTM+YWnNr52/T3X+Z9/3x7vy07oxKOylig+lWAIUHP
bch2O4bDHWWWO3+bX0p/amRQR0hbTPPSqfPyt2FzVABXHkteDXzabmBcmrw6Rn7cT70dICA7PNOT
8ImK8t+f53TQ+v3jNA1sIKoumbqs/nYQDdsoKpXpO+yybUNjSb8Nvb/MtxXz376zX19kWuB/GfFJ
da0WfYQs1xjuAUIjQ59w1v+vZAeHMfw362gY3603/o+newLx3kklD7FsrVSSIUUa7yNjG2n6TqJM
3mKXyi6B+6BpbG5254DETDumyzG+qNmllJ70ZLFReShhsHfbYTb5weLPDkJ7Lt8l41UH6x4cRInI
AVO/0z4Rx/IETHz3jJAmRuS/yCjmVhluXe1g9CRLUVqU6byYCwTwiOx0eJnbNPuspXaTCo+E2VUz
Xbgot1YI/8QinD9/AraHLYQvYiH0W5g7rG+zUNBXNJ0M7uhYBcfGZyoOD7eQNi4rIiCTe1BnJwFZ
QJXOmnE23HMM3cDdGsMVHbiUT110pZvBwQn63tfqWxx3P7LaIrgy2HHez2pc1SrB6QaIv/tTNeR1
zI2hle66MIWpY/JjakQ6Vn/Uk8k9+hiJX48LiSu8V7QHvyAkF5LM1P1vjqZC40wO/MJ4LxlAdhrp
f59eFTtoPiWK+2Dbeeq2Bh5t4erD+I49chWHd6PB6ofdX1xl7ptsLSwYcWX4MuqFHn+lgGj4ABjD
ytFeUBnIrAXJlrN56O6lghRWRZnbUzLkuRyhAOw7jT/Ak4QyUDTHIEWnAq7v39UBagJLqKLMwAEK
yGagtKAkSk38pohfum7H/qTUy7FjcJI3kr3gX2pWxSB4U7WDxxDMRXXNxWzRmsNdjb7KaOfj/Mu5
QVvKK0/2vehw68cfHWp3vJUM9/jgGMQa6zpjN6wgZIVzV35LylcWifSM84OhJqwk80PJiXZyK3Mn
4uMKVPLyZPOYJmk4WmGg1oUT80MZlY2ASVKh8EQapvz1aQxvoes5Un3Sm4KfN3M2d6UVX3qtL1tO
4CJtdcZH1hBZZ7oUy05Sb+M0WfvgK/G0gtIzZGHWMtFWhAZBMltXcr1NEU16b5+hT4fCTsKPS4u4
MJf0nVZANgH+TfTFNxwi9/h41hJUQLMLnV75asm7eLE1C6CoKNEiV+UF6RJJ61djdjZIDHecMMzo
1pT9T0MX7OCpyjm/1o1FNC8rrG3L+CyXA0Is2qZv+CiLNwIG/uBRMr4NYxCoxCvzbhVXlzE6DfQI
CFvfPZjFMWY0py7d+lpMkYxqHyjjkngceZApp7iMiptpkWAL2t1YikQr7YRYkxXee8naWcopDtct
CnFuloT81OaNf5D6dWrQstzJA/hAhp0BhAlg08XHvj7qgnwsC/XsmhsJekCoxusoeVeU8F57Eo0L
tjisR/1kwRqQFzqwGWLsw8FCUuU2YkSLJnrvmwi6Hid8+p0awAhKfJLM8kl101dKMcwsGkwU4gid
To3O2si1tEkFzKmuXajklUZ873UnPalhs9WJCpgOTmxodi3vrGj8y8r/vznSb0s/RChDlqeNB8/y
b3MmpeiGiCDHBDDyVpQqHSnFnGdzYa7tQf0tSx5I5/96s8FFpWNLxk+l/TEE52lw6R6CtylrV5Tp
OtqSXf3vl5g25T/e1C8v8dvxoCwtNaRgBxJL+1Gaz6rAv2xsckhzefCXdyPL/7Jn43iczj+KCjHs
982TmrOspbuAg22i7Lwx3whmfw1r49MsSAw0h0JaG8ZLDL8M31bDAGuzYkvNXDROhXhMAJGkKOU+
uV3i0/TQbSQkZhlKYmlOdaOnUhT3US71s9zN1xR1OE0cHEoBp0cqh1AZEA8NfqiZRahb31mo30lQ
LERLuhnqVsg3EStP7t7Efqlqj7q8ZAiEYU2AnApt+mbLoOUgv4tYQ40u2Hf4s8M0B02wz0rP1lXf
JP5bzxs9WGtAwTTUDVnNFkMbzscaOXxkJM+UN8jirZrjZmEAIPfBOsDU3REf6fy3KM22ESU/sHkT
76dmwv6gtCRpb96UZxqQSMOZiCs51ddMZjQaTZLh3SivvcI689ZHkDyQiS2GcrRGsZ4Kdulr2FXI
v6T7ASlLGrjeFtuCBXusl56XLMupXgcQAepGleynMwc/n4cAzb66qTUhNRghLRoXArXIwqUjhpNL
mEdUi8f5MnIX/hhOLmke97RdywKHcLzojBCrlQmxmS9GqJ96eJGJoijRj7b5ICyg65tmOLjiAyO8
3Jzy7FsI9jisZW83oksL8n4EFiU73EFqrqVdTQRxqv/NZjyeWy3ZtNYbRFXLb+Z9vwfyxI1sN/xv
lRSXRUAIzkYGBZkqi7c+ZVlIjgWB3I4hDd1t3KAM9zpkxAvHr5yRiUvaNd7L4XJUxFXSnUKwT8ne
bN/idMXa+V6HwjAv1Ys/HjlSDSTiCGjoBh4NYXy5imNxsyHfk5TDOQJ5nBPPDJJNEks7geaIopdZ
40QYKuUU+zwUQ7zMZXmug7QUBwrDNKIlYRZ8ihMCYYyrN/5XgBJIYDQl6+N/P+//ptSKABfpewQ5
znr/z6NlE2mq1KhTZqgGA16TAFb/djT/84jMPP6Xl5i03F9Or0xjhChB+KBG6MUFTizX/FL+/97F
b4d/jTqVrgp5F4L6JVUO5T5/+Zj+XBZ/fQ/W74xIBW+kaYy8QDJFh6iINVb0epTWgRDFf7+Vf9lW
/vlSv90oJDeQKnWyL7Rfwhc0Stt9ghd+NtZsWDKwnqf3PLT/8pryH6s+rynzLwrm8Rrov31+UF+G
Nqb+GnvrxPDHGbyX1/WC6mUs3fLlv1/tz1WfF/vFn/GbyaBxaQQpK96gYqwt6R4UF0zCc4k79n+/
zh9BB17lH9vL9K5/+eHRpDoI9BzJcyAirqPY7poEG066BaFFm+o95/9lf+Y55ziA5RnzyW8P04g3
JDC8REa0dPTQmE3EDXJcf3tb5p8PrQqrUbZkHlrDlNXfNmnedmVW3ITnoQyHxWvXSpWyYR1pBFwk
yUpDncuyBb75md5/KBWVp89AuwIb9ErGpS2Ww3B4YMmSsRmaTcKAgjntuOioEai+IjgR3XYI8Vds
avecUQybSumi94GpEECNi++AXrQsXyJLScaF7Ne60QcHf8GzJ4kqclOhqDQpuPWk3wUafgqAoZt2
quAzxGOhdGq2StXOoWQJCPbGq+5eV2614jrm+oJZmg0/Q2mxIIhfgMajDEJNXc7cEp2dukC1pDgZ
hDVVq+XVlJHUKXylPBkLl/EMQH4Ueyt/gC6oxOdIaL/61pRjMpzH/CbSduBSeE0K3q8WVA0HwmxQ
lj2QEG65qimspgiVHBxgHSj1oc6PddVvZIya8VePkqW12D9BJwQo0fm+LF91ihC40/tvF187lahe
Mk8quIfak3Gn9mwT0YZHeZRljh+i9FAI5rXRQ3YZD51yTSd+a9WLyN+UFGuX1L3lBMa5OyfeElld
jQc4I+qsVBSboBlbeLKDUSFCAzCyp59j/eihI4fzvjknwCla5ai4jp9jmpv2k1mbnCOGgAVH4vCW
hjuaH9h3JIY7Fi2vS5/P1IisjUQrX3tgf2p9MBkPM/XXcbUSoQS0HUBA+daE360mLfTapaH4Gdbr
QBwoZySchJ22FZ4j+2yMxxVK0EzEAVcyrZfjUxvAPaUDCAKSlayrkfeJ86o8ogorGHBGZhmueZAt
BWLGxSXhq0N10BixlqiLXfSVoQkCMZAK1En4MwYpZNCMMkZk7EBA+hkJBPg0SFC7wOEh6UZnobX4
URl70vG2r7tzLaNEsFfvSqv98IvKBHNWgRsAFlPfAqYQhcoBBqpX+Ra72laCNCR9JERs5XBb+A2X
OO+uudiKqvgu1yZEPcwWVahdzFTPcYPkJ5axa+LBsQ8GVIaJVuA3S6N0xBKzInF9uoAOshJR7M5p
1GirCzXQGVdHKbT5NrBs6N1RZ5LgcvcSonLrE4M1dXGZCI8Md0nJIdj4oEUzZTbpe0zF07e0WjXy
Ua2ger1wNmS4fQnm+ycxe4Ov1geOHK0KChlUaaPnG7RdDRJ7u4/iyM6xT3DJTTK8VuJ5KDB3MRjS
GrDUny2Ca0f3FMHrMCeLW35Z4s4E0m9N9JscQ6R4hGvUSywa8QGUDKu2mYTIpwCWeLbl/KLG7UbV
dG7obkFBGL8JYx9V0U310L4FT7oacI0yC7D46FkbykNW4E3gO+TWjpJO8Bd9tIumELQVSC9XYh3x
eqJ8QEuD4a3izyuJfo9wYFRzCCEHQBof5KUpbEaI9tQt7onPWzBQsLo+qnEkGkrCOl8iPcW5a4/C
QweQ3tcHY/wiFkZacqvg+bEQqlQZ1tNwwzg6ks3PeMAErSBkGTI2K7nmJmc93RRTzbW5kmjvLfsB
iL3mXSsGJ5l5JttoqmQ+1Vlcr00zfvVUnEKHKo40Ql/lguuNfimHaOfJTlfAfxextuV4rfQEi1ls
Z/HCz5mOriIIVkoPAKXKVr4br6jaSMi1MKOlETg6+D1x7wIQTpuUxwEjKdUQZIQJF8RzpXOPps/h
nSbDR5iQWm3HfC1CLO2+SyNZBjg4gvA9DO6TdOg9zfg5jI3taUsV1VmQcLmDVwsqFlsNypefjbbg
JZ0jVXw1LBec4k48Lr1a2pa1aqnXs26Kf0v7n1G7T7pjgzWJxdEB/Zyw+IhlxQhuDI9Zf+shCLR+
7oxaCj4Ae5xmfYR01bSy8uYiAmjjV2DS2eXtQpfQBJ2hrc55lP8XD1Ex942zrOzrmpVYDY5lufeg
bEj8FemZ1Bg6WNgorE9LovLagw+3aNRHb649WChERxsiDTA7kLBGShOHN5kfZtauRdZXuffmJHGX
LkanXH/RixfkQD0pJWRi2aS0tvV71cXdMTL2Z+1k3koYjTMynNnhSJa61TZQw3LrfeLn9ET/ug0D
WRahZpYL2rkhPqFia2sYVqs9Aw5EiYx7G9TjRcEWog1fckExTizbUXmY7pZiKtvMUhuvfmh1+uoE
hisKYpxQsg9SCAPZIIVMzPpuUDSjqjGDN3hVdfCZT2hDOhZCw7awYKUmRp58VVjCKvXqbUYG24VM
FJ1yWly7s5eFjMNgpA6w8HJ+FxxXBMmARom3feSvF8HVVfvOHoz83avrDy845Biy6Q8oKejBBq6m
Ax5EbJD6FoGgZ7JVNnCknKIXniFFlaOWw+A4+/lbmiQvCXKru0h7Yx5MPdaRchUoB+DG2FGVDQcQ
vljbL5uBgnXrmuFf9Mmj6YvAV/ZkltMaZsRIJ5B66I17l+EkzzaMekcRgZr6vGxbWYJdxRBGtgzb
e5wX8qZs+sWYZfOCiPkQP0OWESmgXgF0YsgD70PY4+QuyXYp6MSb/bc0fAD+z62OPbcCBEOJZJsc
B9k9NVxIYSmITLXqyVIxixFdGpZYJVcgkS179uiYMHhX7y1pG3gfUFIhea3NHqNJGBB47dYMEHvC
dnr9ga+tFM8WWb/SlxyqaAnLuItyFA8oDarlzRqGrhrotVBeNiNclfbujuJbIAWbWuKhjhCpO1sV
HzgVN2HJ9zSmC987inq8GhKW//JaaNrWo5Yi9kEihAP8TzBHIS1Iq8lEN92N6GaooPCpb0EOPTk5
CCjZLir5CHn3CHx4DqCejDs5GuEhYbDq288sS3eeJwMus7Zs1BV/kV46c9EVpW8Kky5j8tYp6VpF
TEFTjTTJSU143v0POCnkGTBtCaDgCfq40avp3zQUgeScCu48015qadiJuYraYjMOm4zSp0y76+LB
xTcYDjetMmdidIcwtXATVnPlGmK5y5V2Jmfx0urPWYQnLXx4noR8Oa5ThOnOwkXJpsgP3XOXbZVd
DKOaKNdnL755BN7dAgMi0EWt1A6C1FI8HRRQbXaxTPEl2M2pSYJTj4frQk5pLaEdIB+3tHge6f2E
jNEujQIrq4b2kZTFNhLuA6ZbqgGVIG9mfOQH74trLzg33nIfrixqxAfFpnpoZgXkliKW//ZpgK5J
sjNlLQNwRr8l910C3zxiEB6zpZH8DGl35NxepLeOuIixCkycNg3iansXiksdf2roI2GwYcg419Wv
BttsNG4tZGJM0p0MJtCyg9Ix62Fukkaqd4O+rvWW0zA+XX9hqc2sSPaYxIDjSbNA0eyEkEWCUdsQ
jz7tPUb73ogSkLd6HmenNtpSzTSWmGL6rZWLG4yYSatigfhCApvnxUuBYCLLX7orzFRDfPXgng1P
vozTo1OdUdINT1uMTXYJg/Rd4IibD8NNCPnBezy7UbIVB9nJUqSzyEkpeMJYmyY3RTtRizXkK123
DqBFCaQ82/4o1SW2bkpz23xhgfvwFXxGGQspQCj/Ix4AtIxO0g3r1LiD2qxHf0ul7czCG1CI8taS
5bURXhvQR/ynBAREAYvFJMpzohiOH9im1D1U2SbmtCmkO5rX7b79COpD45cbF0CYORSPNqVgs2eM
nA12TsInZBf0JkzKtLlhBUb3wKNmFTNIn6F24lirJ+UiEU8SvcDiwBPp7kGlZCRxNWKyxlcAUiTF
FfkywkNDUZlBhbonfaTCyaDgvphORLV+oHQPS2b4EOSR0BA3Pg4VEqdDNTDerC48F0U0S3VAj0y8
aIwX/I+mXydBMBdLd5YX4HDMr5x7d84WS/FUu6v527r1hua0eTBumbgrtccCD7ehwkufLYQQX1EJ
dgqkhypwGuF6WYVQ6CKQQBy3xHZl0nYNpQYhrdqKBs8mhePj+KGa+17aZ9wLcK2hoFEylSQ7oXwU
GuXhyqbAcMDpEdvjUuxOFenWTl9HzT4L7wmjNT3FkBQxqPbHbVS/q8oPReXLxucwYpypvxo1XrnY
gbxOIbSFm8Pw5ZuGyzIrLVxP4gcCW8Nxaun5yqW0mEITxdK8+5AwmhEGAZO9Ml4t2mDVAf6Wppez
ROnhKdJB59LlI2M8oetoY+Q3M2dW424y61RhpDY5DU10tnUXgcDIPmE0GgNQX2wHScte/5ZyrWZ3
6ETsmQkNcxa0DX1eeldNusnj95CT94sv2GyVXlnpaD04igUcCGyPA84I1tmpGr2XvAMzX94BmFFH
EX5E1YEhZT+2y4iqQ8uCzDLMNYH0ANEwWQDUSMueX9W26xImMGl+S2yVWS4xIz86BcpRKLSL3J5c
a6sXDJWDBXYc3hcuSdPhuq0Vr1pyVNDlUHQ1i0dPWVRPQTv0wCUNCDGg8muKGrKgZgKkLysmYQ2F
FXrFujl1xNVFfyrojaCUd6ZjJvaTeqmOwAQBgpG/UOV1Wy/rSDqauIYqv972ycEPSwQDxcYEZvtW
NJvgCCOfiYrAHJqnbjB2EwQ7XWUaTHDA7gTDRKzTAjmFl5vuuRfPJKxtCYN0ILTdTe4aBsJ8MvSQ
T0UaOUNXtgJfXIypucrdeqn33LC72lb1l5bsYhhSzYD7WrG9nvIn9ZWAaVEI+rH2jfQqNaUNRqVQ
nQb7jERZlHSLui+ziyDt/WDMTteVJ9HaZ1vJIVB3ZcdqDgEnGpdENRnhz1K/h9AId+6n25xdZVdx
B876A09bAFApI9iBWp4xU1jo3a5Kkr0O281vOYlGZ89ickC3stbuK+qQ/bdm+KrGaqEy7EuAW3aH
SQ6PcBSJ1hr42CBsE6JtpEpmdD6UkpPXne1rV7fbUY/kIv4UyBpcRDNJm1eUTUp9Mg8LDPZhzdTz
58AaVQZ3IdvKaXaNuHCk+UU0lll7Klt3kxdIQKM9FmhrtS2kC9N8FIO8naq1OuVV9seS9nf6m18V
IO2QbZd0a6luffWU0tkdbBv0v6gxbwbASFBx+tNlPQMKitNKG5v55IbXNOYrFCyP5apoKNmVbioV
9+Jb4aWLIDRnI+hx3ZUcHTqZSCBB6ecK7XP0NK95srgR0I+XuHeDnTBJ1v1LJuYohep7q3MRj/mW
6x6S34dXH7TMCVAgSgbKWZrODbf6AenIbvA2dVfik8NMSIxHWzQLExCUJn1bfFD/rer9KYoi6ekK
EAFTlRVN+00UrYTW8ERCZsTV3YPo9gumQCOPewfa779f6U/r9D9f6bexpUf01ep98iwuQDJB/eae
wlXnXaIiEBFgIEP1368n/an/84Lk/SVKiJjHqNN//4sMOyg49oqJz1Db4c1baStpy8BorjjBSZmb
23wu2H/tdFLEf3FI81HCapAk05SR2f75qhlIfFUreZuxWJx1OI1d8UZgLOAmphVPneB7Ut2N8dqM
r47hG0kVj068yGxPIV6BO5jiGodugy3Vy0+FdywJ4ygh/k8edJbAuH4E7SdCMHcWuIpw1sYTuOq4
2ATFoSrvpbuRqHevCu8tG5MZ0VBJu7SJwCz+W0iPqkzVCVg4o6f1WzZIi0EU0zZ5tYl6kbgHTKoj
CXoi9iJWGDnG9Neoezfr7ZKsLbuQjomgpuBPBQCscbrhaMNQaW2owzkJge0lqXUe5RZs9hdPmG32
yoGw0rvvbbsxhkEOsqwuNgO40s776mJKW4Dd99yQ6gA6iEglQIJBAwmnbHmHKKyPZojxNecgM6lT
8xt9maQf9HTX1dqvtiOfjimsB198JYV0b5r4CEL2bmi0JMZTc0Ed+w9u60fqHLnEOhq5n8Gpqs+a
0X248dUJyx2y8Rv1o+CJnRe1qqy6CZ3oCSmBmNTgQMlS2phW7BQW5j4QuVKbEBmptmFBofLgKMMh
UKRTUXwK1k8PkwDA34Flk7VkaJg/EvOxKOXohJ9GlT/j6SKYfFdiy/p36c2j4eJ4GcyfE62IbWdo
OTKLvA3L6XEn5HC6xEH5iBUABnmRcteXHEtiyp/D8eCQ9vRRX+PG0V3SPoJxqBNr60nCSmF5Curq
K5gqLwfcrBoCnlfxN29F7NETkNkKuft6pMUxTvJZad03eLZjEsbzkQbMtFlA3gJ3BQnMFxZ5XR0N
gUTe0orYQrhA0UgI7NPKnyPVgK4oT7PJIJbsVAcKm3jbOFobdEIaIZcDX1gRIOn98l7RkqC3sfol
9JpjVJx/FT09eJYlnkyq50RwVIskhd44MuYsXKcZ3J3LladIzkYRzXsiMgbB2uFnr3IvGUgri+vW
7K5xSNSlU+5dm90wf+ySqFu7IwFBwcB9Z43WVSRJOTNG6ZTo1ksnTk2V/byRKm4qtlo4ekJvUXOH
YQljGZ3GhbveE7DAI8bYhagmnS8avxBaDukpTC+BuOYsgdq7LslxocFrrY/dbMF8mkvoeG9Ppph8
CzWsOlX7GXfjdhwmWD9eU8BuxJeWlSQWdsZ9LMx1R1ZJsYsFWPnYmEa7wlmCpGgBNzOqblVn3k+B
y81Y/zSZBYwpyS/XX7TAlWmiDGNOIa100bo3JZAQ3uNFRtNkLP4wJUQwY93hhVP31sghwoWz773n
hK+p4zQ4p/hMWLJmlQnbFv9ZMFzLakOz9qEh3aMjyxNZkZQrJOeSG2ZChaVS7Iph3ER6TavoopaL
b9EDET12BU2jg/CqRwvFvdl7WeawCgMGxAAXp3RQWiu/8h+C0VyIbe994mHzZPRAUQqlznSBBKyB
2cAIuZ3mTDSCqK3mfea/h117dVX5HAkWGUx3AYI+hSlf4jDoenllcgQqu3ejKTAHgk8nc+jBSxU3
lak4LkHUCJ3EFB5VR2OES7EGZHpv53IlG6lDLumqNkAQYNI2tjI9lsKe6/UsFu5xgVcR+YQiNKkw
Vci59PYkVFHomB9rft5JuYpMW+I3HyZ8rzJHKC8+hGnzbK32EEkMBEAPcF1RuYl+ZgIIGP/E4CiH
idu/gqTcltkqk8z5BGRHx9U6wQl4/RHBgjO2hlTjs1alOPjqfdkTH/MTp2SlrBpYntkLKXUr5coB
hdkKsS+nnKMrsNcDEx9ssHsONjOK5xHnJzNYtYilc6cfBVxtpc4RTPS2dRLOmH0d9CGlmBkvfkY4
adMY1bJugyXLK8GkBWmBdS0Py7EtkR7spIEdsolqYrfWuUpmfY6DJhS2OY2+riPKLsztYJOF/BrQ
LMaR9WVEP61hn/PTgY/D0XApcB2MUpLUpKRSRXpHtvpWOeiRdj1GkTGZXWj85TBeYHnR8c2YbkFV
x3TcZYHMlPXAvDPPrM005eMNjeItMOyWXsqKf8htLxGlrtpT5/vR+P25esUhdyokXfYxtZz4uSQ8
urSzLQUXExzhJaCk3CGUdlO6N9f9KSNHwzsnjJvgRvM54RrVzxwHWUVm8giSOldpSufUzR0mQsyL
jXskJ8SGcALNraF+lTBzZRZJoSERIt0ybn0t92XIuy+6mVaUbbeKvjUoGVZV4dYTv5On83BFlBFd
qiiZmO0RnB2oI2H7hl4x0/jJEVtISoe9VGM+P9WSZY+UkS/zSSQxpKTxc9A+PQuFwV2ozLZbvuAi
AStbCdQjqIemgK1LE7rCDPEjzR8azHwRq2hN13VbnHFghRXSqmt7yneiHnBnCAS+s2DVWfs8e8qJ
uRmrlR5umQKyp/KzW5pBcc3IFMPTWSlx/Za4P9ycFh5Mhi3VprG+lfES1nzvubIeiSh17g+Bv5aM
KtCSxqlAuE05mgofs/kWqcZWES9hdejKm0HV/CjcIiQmb2USvG2+jeGSWeuIT6X0mYL12LJ4gHWd
VrSrSCKCNBr14rAflQ9t9DBIqk4uMqNDurOusdKAjrc5ZTNCZKyDNpkti5yEK5hZ5k84/Kd5LxXt
6SkdndYFXi7/NMUea6M7qRKPNGU6RocI6zTjSUw2wFqEb/bHcNj4xqELLxbOKdHol/UE3hVPgctA
duOR8AExyg5CE0ksrzMGmfKPrGdOYq48c4NBKyTtQAqwJ2lU5Q1DXXebC9Ze47OPsCPD3tFzQMBS
vI3S8JUia+SlQYyQvjlzGRH5mHjpWQ+jhCUH1xddZJSEDO9ixfwJC2qJrG+0LVjPtTpuMiSHVuQu
zjCc317t8xxXoNd7x8XiaVTnjG75SFEIkmNKo9ZWSJiVyj/HRpt7Q0RahCWyBh1TlndFuKpsPnKz
6DL+3kSANU4mrJUAVxtaK3Va5oVwLkOChguygqoqJBfED7ua8HOdbovegYDpojYfOTzTyrxkqN7D
ETCnC1KfmzhNlHh4LcnhiqSRPBMIPGnnohlU/lCA7CrN1c5YG4LwKEYwnsFb4aLLkWnw1kTwc4m+
I6boGu4BtGMXd6kAhVJg7yP7KjkC6a1oE2HuSowb+4v1wwRGbRKjLlMuYR6lrGpjW8Dg/dCu/f5Z
TmeNm6jblX7yjZWecOpRRQdNNdbcu08Td+k2e83AQpt+RsEnAWQt+Fn0W8C3o7KkkPHUVN1W1tZJ
1pZQoA45z2AYyXeVlP6g7lSDFIESwJBpsrXqFSgX7YHjszPg0mU00NQ/wGVVHHfEdl0ZYHnOHdQH
T/swJj4qwyGOK5L+nlGHkZVMK5i+YXHopDv4slkk0jvPj5zU0IAgDKogJQ4oSJgAUUO8SX87FPlk
9JXoGZWohcetQQSO4mtUbM5+8p37COklxvVjEGJnvkaE2QzjPc7PgvaQEnsAvhxa0kwn5uM7CqIE
WlJAz5Kgo1v4YCzYs2uSfzRE5sUFncXFwUzZBMn2mt2v+t/Z0Ye+2mUHFWUqKMRPU+tPHZ9HJO5d
f7y0qbYcGG6GXn/xsUPQAXt3AVx2cLDyhnl27NtiwFfsWUC4Xon6QYMC0hU6uwkDR+FZ9N1kD9Td
UamRdjnijz1MBh/ykMVFXaNZjxi3QAySjVTj49JG8gfehyU9YG4n7GhF2Sw7nbhSjKT4kBETOqzV
4ptvcBRpdkHC+KWtcWeytcBS2Zo0X3VtfRg0OiP1YjcSog+l/iaYCwElROHh90dUSQlZkUv4ph3F
WVxoGA+Naxq6L1oov/RGuWtB9c2cfKfrqoYGmqWOVlW70VCwWfdzEiNzWb0oPf76rFyPScnmxxGt
A9PsTbVi7iHiHY2CYPdU7nRy4ljmiSDLPCOj2nDDqGRxN7Xc+M21DbnIlnfO7LZIja/YEM2kr8cz
DmJN71jxzORbgt6D+scLXLgXzxHKWFW1Ges4B30pEOehcKlMYtEhNpjoqETn0j37NAT5Dd5Wg/FT
BLw33vtmTSzN7k1b1ncjPknzrkhbE7cJGQRqbzOK4jI9vLvhF+GTrPigW1iLjpLeL63yGqkQ04dF
qPo2QVH4O4CurRKLiHbt0di9/jldQqUxvmsyjXJPbbS2YI/raDfqe8bQ1v8h7by2I1euLfsrGucd
urABoMeVHpiJ9PSmyHrBYNHAAwFvvr4n6qj7knk4mC31wylViSYykYFAxN5rzUVNX6f1PjjMuHdB
EkhmeVEePGbU+41w049ezqkqgKEul515o7NfSbjGhXoF2AbVE+XhlrZu1gOWC+9D/V6l5Ku8O+Al
CEsKHNzQSqa5SzK6HZncOcmDWkfkslm3Ls95Ldq6Sb6IAS+Rhbgd+/aR5auoL1VTPPENUbvOWRIJ
TWeScqJap9OtHSPlwFaf9/oFuDZK7IRvqSawfTHCyhiRzqp+kq9mYVNUUqgWY/CcmCAScgIVdLmg
jJjBepEYGxqfjtyhC54bElMIZ+DFYYFQIs+vxbXZoo2JdA4P8Lbddd6Dkl7rlHEpyNbtRRhdzMQZ
n5O8K2kCX2t4FlKkyRZdPUoLCc7uBFuzpgDSq+CHBN4ozp1hWjnx8+j89HkSj9fDsHbC5UgZuacc
GmqPCkUihQSWtNl149Ywtw0nsgjqjwoYJgKPIdnumkW5oDueaM1ZRt+inC7oQ6tw/dAo0yJ5GwgV
1s3LrPZ8i1SQPPAG5RAPi8CFkdi+lnChih+SM1wsFyjaVq7zU0JzoDE1FBhMW1AkZugJt9joYUAW
lrPJ/OysRMgl7R9Oe2WQWuKaq47gohCi/D2rYVBQGF6r8UrQO40yj4ibliO43m7hbgHnc7t0PXBm
ozQu+gcLkG+EUwZfTQJqDuZXQ2yUG/eIsfol1S3PrZpV2csXFh4gO56K1bngXrYV/4Egx9uhIQKs
28qEEyRPgTTY+eodoALqO2Kb0ebD5nyFU37LhNXa8jZkregQVqWFccI09pVEEAIlHEoXWa8qjkS3
oc+Rw5wzKmT1KDSYHvHd92U9ey6gHTsF0As7nLmRjZLF/bnA1gk0fC0ROosBdHjjKRzVCSyBbENZ
aWD3TLv9LgVCnhobadBeJVk2vZraDnN7cygo6w6I9YxkGXS4RrNzmF1rYwAOlXFuoo+AfTsbkPLV
P3HGu+xYcprUprXU7ICaEMseeJfO55DeaTuleKhLZTHZJMYMBG9xwmQvOoxsyUjYnPpr2R3Ad6zA
Q5B24XLScBa23Mvk0THeo+ipoUoRXU7F2md/699FHcceIrIi9FJzHfm9MLxYWREaPKjnE4AWy6N7
EqYbJUlOmLW/qpW6kMS4nK5F2fLoY3MbM86UikcyFicyZHKo6hrtv+8/uq+8kqQKEwYPl40caveo
IpvgZUybicmBCfeQPTTbcs22Yu/gmjlDxLesFty0CEB//Pvj6qqG6d+AADuHqn+eMnWpN01n2JB6
+wArgsopkJTDcpXoaPP4xGiyUJ4Y1Xo1osyo7h2jWhTNbe4++u3b969lVjQfzV7992vQLCH470jx
nJRaayQ1sntQXFttk6z71Yw/P8Um1uwvvJu6ChIOcjDOEVz4n9+z7TZQ5Qt2dX5PzIVxUBsb6VG8
pkALquSqyK+AuSFtUFMA4jzoVXQNo3nV5p4SXgr6Ni3PxribZUTbVPMIDU1Et8pmpEZMkTrvo6tg
7nUSNjo9YitpSNmsJrhe66GdjebZughCTig9xzz3LH2pOELUc+CP2T91k7tQkBKpPFMrq96CTH+t
pq3bvvFCIgpzczL4HNEe5fd1Z16GZK0kVN+oUoU5kZTNMw2kmJNP2neobh54YUH5U6NQFdLyzFtU
Ng4gEcIvFl337KZbxCRnsweicO56HhYy92ydZf7B5Ka3CeokwYezzExNWMfDXTQwJZqIiKd3RUDj
LvtFwmNG6e5JKMFPsZ7leaO4a9znsHXWjfZQWNsU+p6ML3qSUJL7uV/e3Dg6B7ezDhhQPPAg1ZEo
0rls5SaKp1WJXMvOQwwoZGoMl93rxGQkRZYQC/q+FPMMQGakrOln/XBjVlup1hQpL2sqo7bvcM5+
gV2l02si9SaNNjK+iiN2ev2AOck9n4M4tecQJc6sTglBzUwi9BwoaaGlbFv7NuVcU0Tac2ubywDw
KJo8GpirkB04gYQ4/jOyIIEYLRNuFX+EEP5k5rsKjK/cT7Crvr8rvurV6OCAQDQaQAdpnHyerXqU
5ErgUtEh/oQEOC/wEAWEF3yQpIKTPLdU7qpTPrCvdPq6Bs7GRHBBfO9xqyZINUPguDf+xSYHdkfN
bi09NlZeJw/UDtbfv80vVlld00yDP+Acqs7RzV93gdnqDb4zBAvNcNkAI4lPEJC+vJIaA7gGfxp/
oV3X1FcIjgHa8CdwnXPEJl9la3vRLgnVwMeBGvDXf/C20D7wlgBQ6+7RUiNDFNGJhd8BOF+kPfg1
7dblfzDE7+cGlFyTT+zz/BBBQlp2zpWLkm1adcs/Iwkfvh/kiw6lTtGPh9PvQY6jMKSsraDCo7eA
plsq9rJvEZgQhTYC0tu17er70X7TM48fBcBJ2b7plg3d/agh6qTdGLQ6l61M0Gmojx1gINmSa8gp
nzpqAj2pp2FRWUuEh4LajkXkgbVPQXzN+x2Do0SGzOydJBWjfprih4lzsxZigl0BvkKmpxDS5fJ9
37/uLzrGug79CaCHbbILO3qYRhHV1imkg9QFN+W0A6CW8hybTnzgX96cusBsaqoMpx+vCE5Iqlkl
RsqRh/RO9xgCC820Q6TIHAZydmK8r27Nj8MdtW1Lu7AGNdK4bXApthNBQuFOCfffXzptXsb+8pF/
eFNHH3mL8Ey4MsZUvpbbzBs2xjlA9AXKpyWAzBNvaf5l3w129EGNGIXayOUKViFdEnwMVnZiKsw3
9ncjzFPlQ4e9MBOFJaFhAeWg12mzVnlruT/kz1YzTq1rX70bng3Y3Sydhu3vY8GHscbU6RX8XTwh
zqOL7qBjUBt+UD/2IIoFC7ng3Hxiu/rVVg1w0bxVJcLKdI4McTWb/6Yt2arNrGJjQ5DWKtzQbPJO
TIqvph6nJVszdbZkrKKfr6JGty7z55kulwRxAlO9SJcEpW2HHYKZs/qqWQeX5b9/TNMt1h0KQQAZ
xPHV7Fy1bK18Iktl2qjuzRCfmulfyCAYQHDvaq6m4Qz7/Kbs3ohR+c0DeKMHY2bVQuhd9EvDG0ky
PjHTta82ux9Hm++7D5Mj8rs6GAfuK+usW6KA2FSb2UWo70857b4eSZgwGcHgYYU7/rDoI/eNyzTM
D9pKrmBabedkDJbkE/fWlwsg807gtmNLxA7+83tSksHQ0yYwFma3lAcu5CLyFAwtq3r5Z+RN8eP7
ifjVws4EVNXZkavpf5nvunQbC8It5VkwD0TRWf5i7sSC2f1+oK/f2oeRjj6uTupGYVFlpRB5VnvO
2vTipcLz5My87JfYElYn77H5Nx6vVDbHLQ3UB7f08c5rqGj7U8Sh1riNNuW1f4W2xFgPHinWG3ER
aSfu6a9u6Q/DHadCVbkWuCHGM5jEm8C8dYYLOT1+fxG/GALEOM9fl1qg5VhH08OX0xRoWcY17EEX
IOBMN5n4N+PH5nmnCZY/KgOMczwjxKhFCQdrxsCb0MjbkA6ieure/esbwWHnUqem8DCz04/eSEIf
WQ1ifd6FY89bsmH1nC3HLXdBo8Jec6bbVWCqTtxep0Y9Kng0qPJl37kGRllnnT6puB+SE5+Q9tc1
kPmmqQTC2Lphsx3/fAerToKpxB1nd7OxEot4lf+KDp0HxxEmwX/wfj6OdXRLzek3SM+kwQFqEYc0
KZKrpH34fsrhKP7LbcRCZOH9NQitEu7x3k9qU22OZD2QhNJuR8WDhEiiu0V5tjtLkCkoYlsQL9C2
+xoszqjrO07XZ0YGqFxUVyrpL3nh0NYbt1wu4KkGkVe0sZSasIXpQotWuMiu9UHd1gHqFfGSJg4I
1Holumrl+wymMJAYo0s17EkrqGGJlRdBEj353XAXiua6xjjVjrhSmwS1dc4YSXobJ7cGxigsgolx
kTgbx8k2qOUo8rTVtdVB41N/qdPO7UASh6jGg0XZO8XCsV9RKufVk5rcqiI+UPm+TILgwtBWI82H
IbC2GomZKepj4DVOuInpF+o8x0MsRs4Q7NwQbHyLdQ4tSvBT1+ifWtu2WAb9VVKjur+syHxkm0Y0
RkSzZAropultf7AcWphV8xI7DxqSmsj2EWA9S3c8xJzUK37WF+eo0reaRENLoLSONG9Ydt2VbnHh
z2tr55deI8mo30Rz7R1Bd6EuXdhXCb1OABhoyjq783xt6zqXaUQxe7ykllqn+uWUD6u04G6IsmXR
g6qVd67xK6EPV7uup1p37Iv2Vac+VKK74R2SdJf2uUf+R6OsDZASdNuwgeggUKZdE+/JkeyNLV1+
/MZJfTAmuGBuskeezM+BjaXHY63dfm0Nt6Rq6zDxgNArADX4EV2n6QpgMHwJC6iIt6F+M1JUinqY
nC29RQUQb6gUmBf8BUL5yRGP+eA8OKoZQgLtz/Wg9ALnYHcGYbIPg+ZLxMP6lSGJOsbetcsBX0pJ
mG8FQV/XAU3D54/s/DzI818dhsleeczs8LbKE+SHqJcy1Hrxoe1ImiQ/MnIIoMSmnaJpjK78OH4Y
+jjEAlLfpzXbHDSImVypZMcGCpptlU2dgZ0K4RBtZheoEHnQ6XRP4vZABEDZbbIRFTMyl6LFM3hh
aeWS22Td4iuvw50JXKlFoDX0wbVDiUar6Nja6rXRgkpU8TUQHSN7Zp1FKAq3CR2DNAkp9HULw9op
ZnGfsUOPK5ubgxY9bcAsvxc+zFa8/MYtJWZsy4F60St4lRYT30I8sqFvetgvo7uaKmCn/WEaxxXs
E1GgFFk39btwL30iy1XMsSniKrND7xPdokPrM4C6Yh+b8qEaX2313mbbZ+vX9dznnZ2B6pvIy6se
Drgs3ysMwAj/qS+cBfqNhI4zoE8IhwDhQHERdFdzIgwqjCG+Ap5I5LtJOYiN2BL0wE/wIgvDlNdd
TmNOJXu5G3DWu5sW4UT4OnIKxh9LOCOBkDupP0davElpI1V2fa5kb50OGpSUl06a206v1n20xyPs
DKhEn0l6aqplNbxOaGDUH6Fz56QeMzpqCb0+C7pzOW1C8RCm1w2+GrEz8KdkNPLpMuPvLJd1/aAN
P/t6BqG99FQIAQUIYBASN3G8c+0NCjOwjzXaBqqELef5yYQg/mJgdkuIYH2ktrKUCe0tm9qe0K4h
HYOioctZvad552X4TGCVtnP7F09i3v4SVFBJ7NFH8m9qe6f3PHfKV4fkhIDhMeSMg+opCuxU4y73
OVGnzTLPQQIrUIiy7szOIkLLI48ahLDK5eQ8OpilDGqTDfOfrlVO99MGc+muGnQi4UgD5QIt6cpI
f8S9J2xAR68dhiWSq9H4YcqNfkw6wPltkW8gJRcV2TYmQHQo+A0ATurxzJmRAFBFcnu8VRgcXXHm
OnQZdedOAkyIo9s2wYFAL06fViGiIdlsrOoy1OQmmOVD5a1Z/eABQ8SaxGkJ9HRXwAIr3nVg3E26
r3C7hXPwerMwEhVx0CNzrJS7iZteXNsFho+ItspW6by0J6ZWXZnDTx+5kgWnf+YLNu99DcF8ukOY
YaAA0AeNvuIhBDuMKQcyGC0eLFzBU5/u4zhZpQOpCeGyHVdVBJ5RsfYJvSebXOmRQKwiW2HVMuQl
nuoNrudDi3qEmPtIh17Hlkd9L5/s5tzH/xtiWzbQmdKERWOy8As0KtZOEE8PmQE/+KqY/wqY2amT
96gGz4p9orTlL5wwDfl9UJiSUv+J4fzcdPCzukWxLdPkRY67sX/RHcQVmaQcD7uyQTDH/ddAinBW
6JSX7iAv+gZvtjNt2VSMBKyTwIvi/d6YW/v+GN7GaXrT1tgllN6dl7tlH2PqKYV2bjf3JUAfuyEd
3s9+Nf2WbjrxCIMYMOJiGHGghaADLJSEv0/3sTFeCjBKdBAsCHjk19X3PDA9077Jet+zswKmE1g/
nmpXrYWe57YEbh8Pipcr2arvgFLQf1eUfO8E4lqFyd9Me1M1fyQlMjX9pVXvTedX2F/6LTJPP8G3
edf4/bWmnxvuWyWLS54IZ4r6e3EbiHM1lPiqMm6rJo6WU3xVMofLkhvP19j46OBMjPE54pXhLzGG
nc2FppFyhdKB4IQWmME40C+ISMPgCY2FKAMQIPO13XtxzmlbIODcKerwUuBPhxQwW93gCuQpayJE
47d6VC+EU28CO7yr1XFZOtHGHH1g6BEtFbgXFqY8UuyStq7PlKm7HmP/WvB3W64axFRGeD4hAwrK
pTVa5yJeGVGwLCDtSrLIyWXDV9ygjO6qZ6ekbYrVp86vdbVdp+X06FQrwTbKHXDWAzcmJawIPT0/
TwmRpRd/57bj+UBX5vvN5ReHQvExbMg42sFWGdXxTsGXgEN0gTRsES/tmFdxZr5AyPT6DbfPiSHn
X/n5VPh5yKOin2kNPisbQwa+J9b2KvIQ815IVqgVHa+TmJ4vuHOMRw3LFKrrmDTnPh8IOrtx8tb3
WRWLB6tb1aiyxXReWsteEgTxngeb1EUMuhZAOJAbMKVu+4CKZO/lDcABEAgDt4vILmwHy5dXKZLW
zBK9TQZb//tr88X56NNLnctxHyoqdjQHeWXsr8zaoSEOD6JYDv2JCtupQeavfxgELIo5xfP1z436
jNvAtNnPxSda22ARv/qYP1z2ufDxYRgDJWM6OSRt6DiruOY5RL9+MzQYjrMbjdvJdsMtKQ0xjUrM
B66/U9mdinZZWuolGWJLGKlNu3HAiMXrGPX16C9k3fH/JT9KLMRTTP4SYs8mO8Q6fB98Drm+KVmw
2/w55iBEtoCFsw6EnXvnZM8msqmCx9jIowSZc4OEgJM8sTpMB0JXSOcrq4DjGzepe53pYF65NL69
RbaW45BRI2IEunsXrbgjfzYQIUwe5Lz+DGpp2pGyMNx2zrk0YO5z4sqILu9rGG/dpq1XxE0sE9KY
cgLjGrLMUay32nUjrH0jL8LKXuTlC9Evyy50r3Pt3B+ufLlrm904u4kiQpJS6yccZ69A3Nyy/yrU
lZ3fR/5WsCW1xZ0RF0/oKsGURgTgNY2DXdvLUKACUW9HZb7i0ZS+WqyHUVMulfTNaG4wp5Y6GUAk
ADLzpwmsCC5PAhczqAclm7ziPe8mFLvLAONT0xoX2bjvOuVMxzdUkiucHrRR3agO9L2fLQ/ttFRI
bF81YFKt+ixjY6ZedmW65IS8daq9DXTKRfyHb6OPd2qxd0A24JRuTXHW4PoPgLjqYE8S1koQ8LOF
E2uHIzdjjx4MTJStJ1sdySl7a9Ehcwf0okeeCPt1Ct0jT39YrXtog+xRMZ6UlCyVYt8NGyEjdhZk
y2f3CSf1pnqYaNKMMKbix5GPUGNrLFpOE/W+aNi01uVeKc8057KqlxPhqqKnZU4Mk9OiL7oIlIpH
i3+TKpdB9gZ4Je/RXqn7rsw3srefgW1OZ3nw1iUH+H2EDJnehGbMROir2vbCrGgFIrZ1VHYuAmXn
tJs5ABD7aB0JLEjjTaY8WgmeyGTk0+vuzckhmtDfDNOFld0UdX+IGuiOofz/XHqOCkJRO7ZD8jtj
RT+YHP04VrQnugmnFp6j6k8oSuGkKqvbJK9T+xp4LdzJ7xfQr59nH1ado5ZljlgfggRjVC/YlS79
NZuaW3ch7eVcdiQi7kQhbV7F/vIws2hZA3XXaJsdPT8ba8RGazLeaGIRyDHaFis/J5mlO/Wk/uKx
qTk2PWxEjTzOjoupRpj0faV3xiJ4/jPo0FnCSRkWsN1JccRFdeJKflVHo1pMAoxmYFE97tOz8uSj
Ngsi+kVHhbBe0LPY2mvDy9en+iLaPLmOriISpf8Z6+i5x1Jr4b9krOZFrFUPVwL/ZTvnyVx2HnkI
u3I7nCvLU9HsX7Tt+dw+jHv8KOwqMZk+rbSSoG8K8M1W0rVHgbFOruqt5jXraFVvvr+wp97r0XOx
92Ukoon3ajuXE6IzK4bewFZPWea0C78fa75uR9dVhx086x6o9prH/SA3VvAwzBVxV39Qgxe/uv0P
fr+GJpB6NZLn48pkDQZiKOH9gnJHdZQTQnuKWPrXdqDQDY10StswkFQdh2FWboizMBFcrci97wVe
LVh7kwaVJPFygvba9mKyH75/V19NC8DL5G/SQbNMBGyfty5THak6STwGcjFrVa8VVt4zuY/uzUuE
3Itk2ZMPE5xlp/Q48/p3/GnNRE7KxvRUsTN/Hta0c1PXaLcuWvUa3peghgFMrYDSMaP/bn6/yf96
Gf5X8FZc/fl763/+N/9+KeRYRUHYHP3zn+fRS1XUxXvz3/OP/d9v+/xD/7yUb/ltU729NefP8vg7
P/0gv/9f4y+fm+dP/2CvHDXjdftWjTdvdZs2vwfhlc7f+f/6xb+9/f4td6N8+8cfL0WbN/NvC6Ii
/+NfX9q+/uMPfV6E/+vj7//XFy+eM37uPo+at9e/7VGQvxbZX37w7blu/vGH9neiVx3LdWkkaAg0
5ynSv81fUZy/0zRBNjXnzbqCKhcLZ85mNvzHH0L9uyO0WeqIApA10+Ter4t2/pLp8qVZfUTTZZZc
WX/8nxf46aP6n4/ub3mbXRVR3tT88KeJgnTK4VfoLqPTK7LF8dKMq6FRzYZGDWEHxTxTqlMpFF+O
QAPeMGn7m4Z7tCDXdVJCH2YEnCnVZG/oFZ1YBk+NcLT0urLtjUwyAhY/kGQbuzm10H45AjoWm3b4
zAQ42tFoU1CLWMEt1tpLxTIJJqxOvAf9+IzD6qA6Dr1N2i0IJH5//cMZJ5BqWBqx31PqLMwBa61U
b6c6czCwmoq2V6tSApFuiISDgJ2f52bke7q003PNCqjzOUYdi1UJ5//HUGrsAetAHafHSutUchSR
Y+K8siJ1OKiKGmc4XhMUZh/m/r+m1sepdLx/oTVLHo1tWy78BATeR90yMimGUpQ2zLBJQ636Cnwa
V5zqFb15YqTj3d88Ekpnti4myzl/+by6KWBsQ5VkVZo18s53iAvp7Ok6D0HlfP+Wvh7ImJub1Dr5
4D8PNKWQFiMy585M0FFZVEFLLB4it3/8fpi/Xjlbn9n8Nr05CxHT0UNiEGnhjNoI5ggAujHLyNLc
eRpysVH6U03N4z0DAr85DVqd/3BZXI7GiuykMdWIbk/rIBMnhZYkjkHOSN99eLI+c7zxYzDelGq4
uJv439968g+TOhF5bToDbsaBPncqHlQ8WfbepURcOs92d1MFOyc7YNk4sVlh5/XF0A5v0BazKEdF
nPP5o+tNWQUyr4yzUrfaO1BYnPNHkBv2onDa4DLvXR7KxZjar3qqpDtIxtONwQbBA91bmmTMhlGx
SU1albCHcWMlQubwGQoMMnQBWwWaPELizpJqRpuLumWstfJ+dHVmi9UCivXHSHvyp9r96TsixhLq
ZKU80yEiRPj6UqzuStbORBpD9OPSDGSlECqnGgh0pwZFdc53l6LvfsHtywWKQL2/F9IBhliVmvBS
ziY3Vpv19U1AeCS4ydLkNJqpvmrsA9mTWY8T8TzAkmyeKYaPU78XnBFVadekMEdudGO0HC7biVZ2
Wfu1jQXCJeUnGBticmbd0W2ZjtBerR4s5Lp1pC527hCUt+XUExA6SKtajVKpXyPaVVdWHhbbTA/z
TYbRwjObDDNzGI9hsazl3JbpWmGcG2Y/s54yEHCL0HZwiTpdoWDMF7ZNF63Q5K84UkCpTe0ErbwZ
k2y4lBOof+nrZXYOGr979h0C5cqgxGBUljARjdq5oplWLAsKdwdngqOhdIIyT5C1cbw0LLW41N0C
GGnXNSpn7yG1AQSWZY2bKqmLgZznOuj3gag7hb6cX3N+jmvAJrjoQrCHWWLbYM3igjC13IbiWEdO
8oSSaBez6lEIH/xV6FQGqSkEufc5K/laAx+YZvAiVah7TD5yaBWh+dDL3LJZZH4bHCSi6X7HR6qv
auo4mOZ85PpFgNZdrYIBNY2M4fdx73hKmeCQy3UWkUPrJh1tSz20rUMT9FgeHUG+oT51kki6FvU5
FEoi30dRhVfJqELArOPSWQlqMzHW56I6b5tu8mpFQR3UGFW0pf4RFjdtM6pyNfgjEZkZl/LSDZ1y
2/suj5A8H/vxLmEGGWuI+SUM6lDLkharamk57l0DNsdr9WDaVxC+lkMt+3FD+4UZjXC+cFbBWLjR
mQ0xcFU3MN52JSGY8doquz6lf6nEc8qdrwqQcq0o4yf4d0KD3+E30LUtN+1vhWrFz3WhuMXeGKim
pfmUA5N08eIuxsy17kSSV9GhMXIKSG40ZsS2CsKPyqmJJbCutnYpi/GEX5v2WA70w5p0tslUtrLN
Ide0kNc0+lCJW5mrSCff2/ANKOTm6N6GJjGa1miCsBOq3jyTZheuTKXtN8rYV1eD6oqn0DTlu45K
aROrmb6KYsXZxFXVUqIHb20FUU0Y9JACitDMlFpwFJUtuW2t323q0VHua3+msuf0XW2cpm34WhAY
fGP7UX8A8EC3XIa6vgEA5KxBe/cpvYJ0enbDmAQny8eFa/eQZWtdwrcdWIuhV/rNozBC55nbWCOI
aWiNtSKa5qprafVZikWovV6V2S4SlaY8QzIwwG/WkeK1geImOKL9IV1KgLeKJ0wkG6QOWsC0E8Il
DuY0/ihyGT5nVYaWLqdBGkfChzyVZTDH2NoifTCzUO3Xg6LTVq+kH92PUYWgOauVam1lvgLzgLNm
hIlFzd77hnYFhbXexRiMdnitujK19ipMXf0ytKNa8zRDRuMysbDCHyyTsxUuvgBCVGYNbrlRInio
tAfz4doHBFaeV1qctg9Zy1EvX5ZqakJnpvtqLtU8ApLdsnCv/DhUB/BO+nDH64bE7VfYWQlasYzH
xs5curoma0ku+pBSbxcDSDNizlebUGGPBvsr7tZ5qfVr3e+1ksSruHgVxQxht2O92sGBUHokLcAb
7NTlkN6ptXITqjawdoTi0f3kZ9Z93g4WzdRcQuPRYNAXbRDQNGrGB0caYjponCPPlXEa2ruyUqHe
RFGeX+HJD9ctSsdffas5s6SCKbISySSB2BQ0de9TByh1PgRyn1ZBZW+KhgP4tvS1vvKSAhWMwLc4
AivLqziedimIevChzaSbV3Zj1tkj0eY9OOJIb6NroYrMU7MWvEicFdpP4O2QZZ3IKk0orSqkeC0F
2Bb3k7nRyh6MiN7TXgs6HQ6hmYubXLY6JTsh0dg4Gk7DmBqywjOwHAcRPIuKD/bCNtsR52ffY+aP
o8kHCNUJlQq6HZFhXol+2NtVF2zg47gBuEON0LnB7yq6ekpxm8nOpR3XN1G6D6zWoo+tQl1Mg540
tEEfM4nJMEuh5Nsz90Nr0LosWr+qCTyntdiALfBdXqpiTSmGb0mIcedyj2y6ROhiwxOi2lhDXWQX
lUvCe6QG1o8s0KnJxmIc+pWvdc1m6rXsR6D00+PEAkB6uhnl8IKcEZWkEnd0cIXGvSGsmmaBDiMm
UKv2qpnwDx4yCa0byegYYJmqB9RXxegaN2Yz5VzOoV/LmnsOdxPWWH/0yeJNapXjgW94JAL73tQ6
wKZHdhhrO4tH2IbxwNYEF4IAgxRarGBIKckzQ+YxILKxjW2ldpp2SFzRU7TWCj8nzs+0pZe0nYr3
31Lyde3yYZ/VauXaF5YxBjcKBxZMvnIy76cwvGGZxtElsgEbsBXYufihpmOmn2dKivO7zktoBIrp
HKKgVvNlUaVVu2/MAVct3EpmQ4NhcTyb1GrkkUpYI7qbWFmMHSmdWk1pvJjYZg2kZmU/lYHkvbUO
MQoWe00eINKliJQ1LRlMzyg56f/CdKwhrZjAOwSGVDemlbbJIfP72AKEi8YDpGCsgdcucRDjsHfL
sboKNavuz3z/OdfZ9LBr6uOHviFAcDlUqetcCG2Ks301OC5JrhigJH3ePNjyzOJXVN1kPU6u2oPD
JP173WmUfVhhq0TbBJDQrW2Aryff1UkCCKekLU9cYZ0EN5qPs3VZ5wUaEQebPxDQPFi5lpjYR8nx
zqlpLd+q9NS1KIp3TgBWJq/HAPqasSlVK7wIyURe+70brgIyNha+JoJVwC2PJqxVIUxPw7AZVNPw
UseqSDoPhHNItFSt38uZqaJ3dblEj2Xh7ab9zrM2iRtyjeqsu+6yvkw8v4MCtGktu7kABKU+ZeVA
siLxGhitpm7cl/oUbgq709sVVYthBKdQm+ljL2OUSmWRId+pi1GDw5iCBU1AQF3VRhw0j1FvWU8x
T1X2BYobbPNEYLcrkl7sh64XV7E/ZVdaGyTqq0qXTL91VYKy9ZqoOZ5gwn7yA2J9QwMiPqxsFGil
oj7RgHacBbWW+hr9dU4Lit7qXs80h8qDE0Nyc/tMWZRxiOXB8YmuCcdwGugGCaeaYZcY58xJ8X9l
esJeMNNz5YmzVAs3PZKjcpuGxkDuYVg5BB+44fjcxH4yvuogGcpfUN3QQLZ2RgIgcoIqu7WSkLWj
KWWBVtEN2WoNGfF35GORPhJJ10NJPSLN6wZ4rXpt3EEz57CQSRWFx6j4JDRGRUZXx1ecA8+HDjo3
dNwz2yzL99xEDePkaBeGOEGWgSoP5V6OvtP0chcZ23KcKmWbjGWysosw2MRu7F8OkZreSfhQ7OQp
u7pnkdsx89XBaDIA7A1SBi1xR3DDcTvRO50C6G1VMgEo0ePSOOun2rlwyjj3OGpYFy1wu0VhZu17
GlnpPfcaGZkycfa1C2JDcWrlXQu4pWhUFeO2V12/J7pF2v12Ugbg8YGMAeOx5gcvwpTtupwmqdyj
BiGYKy4cH3sVzyAgrlpsQVGid8IpzAXjmQxN6lUWLGPyPmpUXhZSRxXbQgx92slx5ZSFviYUIjG3
vlPm8KdZQYDdpyFPE5YVFcRzXmJqSLs+3iqiJ7OziqGEHpxUoAey6ko+RqYaRIjthkZ4Dfzp/JC0
U78vQt0YtyyI4ZajFTyatDbUyDOFTfB5bgT6j2TKSB0dQlXfBeV8+opqYPx13oQrkXb2hjugXxSq
BGEk4yDsb/43aee1G7mSZdEfGgIMMuhe06eU8rbqhZDK0Lug59fPYjUGV8rKUWLuAI0LdF+0IkmG
OXHOPmtTRwc9oUBl3Y5xWr1XDnpKkwzh1sdvZeUXXouAqoL7cWi1qH/VIcpgxZIPPVDfvLUbbemD
JnXWMDLi6pCFZeBfaG0cRI8NOLsYwztiiVXb8Z0XJndjGBF+1t0PXWreaezc38H36cM6HOwJf0C9
ueysVL4NmRHQsCUzPb+a+h51nhE1Kry3AQZiel0CksRsQBsvtS4YsXGR+nCdOE2+q2Wn+vlykgwI
WWwL/GWnfpSYfd+0xsQd12pbyjKBrNAs+avGygFPTKPwkyurCqdvADrhuxuNMrEgRUC1mEaw1XEj
4IeZnLhYkce++p4mWF/Qb9/yZ/za8FaardTKLuzZhN0YsRfpUXRVugDfoI9BXm9jj2C+qS2iBa9N
V2Oa8F89r9uAq2s2tKGk96UYgnXsl/IqzfPsrc91d+t1YfA9Jtv2GEjFdp36br0H8o4xuODemk96
cmORllqng10DRokK/5uhSodcnaguXSNS1+FUMOBQBlW5lpQjXjxKyr/TArYgmjRv2HoyHK+pSHNF
b2w1gBThSFzldtTcjIWc+fi2qJ/AEcKqqkOUTcJFUsfCA0GaSmkvs97+YddIrRKoszGSNj2/Iwwt
vrWdoAcAniTX2akm6JGmjzNMPgYQiDv6RoJFqdkGTB1pbe1uqPEnTNID01qs+kLiaVe01Z1pQNPt
Zfrg5znmOxKPJ5HbBHl+DJ6bKrM1vrLdiIvY6yFq+FTU9yNBO04YEA9fatWW4Za/hutJaCYlVncO
gJWuMH9AgIUrpqpi30+O6Jd5Wfe4uSouID6sim9ulYFcG0rSVdpQYxtk1hhjAInwp2HtyLBkSTdF
jQgD1bWmJd7G6JPg1erLNF3llo0KkGyAhaICeWsYteYjqMZuG0YZbdJdYOMCFLnDN00F2IdXKBks
LcDqXANe2isf+hKlJXFduDbQ5NFM7pUP+0ivXGuZO2mB4VPk7exk9tt1ucsvoGq1GVJRu//etgAD
G8eobfRufDkcRiswJhA6I7XhiCIU4ICB/jXwA6Aa5P5TZQ/udhIU8mzli98cMETflRFfhhH9XkE4
xHs1eICyC88ERzS13q5pe/vZo4Z8R2unC8MfbRRWGFFW0olvaRO4G2k+tGlvb6euxrcdKH2WLwHy
JbvC8ElgFLJiq21RIhWt6Dei1ziInLEARcP/jG8DGL0W2YE+QrkYvZhbO3wB4H+pGO40A+4LWSZ1
kG3XAMdRMPxCYAJWzzZnibGENGTM/6fay7LndIyNZJuwm0ChsjBCMsvRQ2ducnZjyNkdcuEp3JMb
Zf0K6qRAn1zm31sMiRucDO79Wpizdre1VnMU/eSOifOQtQUid1E4gG4m/NFfRqXJbqNNrp7e8jpY
SEPZjQ4g0AIbptZN+SeGsTcCjHSMSouEIXHB4OpbaRS4ZEK01tH5BsJ6KyKJ+l+RLF0pk2vFJoo0
yAgEssZaHxPdA+tWoXYLlc9eE3acUU3V/eh8u1170r6VIg4qrEO4R0EZgffbdiwiR6MPrWN13da5
5f6yRxJVRM09xWsDKAO4Mvnq12OP54HGTdKLLeSRqagFOcy6dRd5lXCDDlsDw5qJKg52pExu35vi
jTIjHGNE7kebkjITUBMkh9NajXVrUlsNK4suMeEcrA5ztiW8jODOVmMqUTHaJmEwMw+vT4AqD/6E
zc2zdiCsj7OtLkqaOwrKWgAd8gV4bT0tURtn2s9mbP0JuNao//LBh4u15gN5yUUfbixfkRhylBzh
D3vwUvpc1W+OzORWdwq5qtoiGncAuBm6r02QZZreqTuQ9OJmSPlwXoKfdOJlGLJnEe4emYB1JIsI
zU9VSUPHAqeekJVG9WNRtm+Oq7qryZ13/85DKj3iBiBDAWbwwtqGdwnTbzf6TdqAhSMw3zrKal+n
KHecC73JgBhBJCquSNSPhIsFt6fBCMJ91oVIYql0Gde9C0XYSPqB/kEqlD9L4kv6u72ZcFgyKyDK
6wAZyFCtJl/gMBzaSffcEAy/pwX4L455ro/rpDHDdBW6hUfIrXMvu8rdIvd2SsXAdsNyaDs8NfLq
KuxdtuDS1rGAM+CfGHpTzri1MX/yMhHivEh5+GYIO0SHqjXZPSoJcRaAW9U516aZFhu3o2dqSQ0X
oFleWv07nSoRLjO10+6NMK29rU/k/5a0sY0ZXJe8aaZ0kWP3BhbpUzzQDTANY7+NKu+GtQm/iuRB
CFUAP7XB8veeaqW18eqIJpqc4NnbYKdgXpVJA8Yo8EtUYGWgXssIF1hV15C2Ui/zXxQXIA9hn9vT
ZMN3e7ZJzDrUkOLavDcLx1k5puh3tlMROOm9lvkrFbuEUmZnQOmLQr+ntS2VpAnN3lZXfjC6P0ly
/iqM7M4PE1xJ6sE1bkYrKkBRhrjRQz7z0wezke02Ukb02ySEQBhc+ya9AVoGb9/BUQ/Dw9HLDmOM
9xrrIQzmNLnFaR/YxfgWlG6mzx6DwzPKvhwOn5vEl8LM0ZkBsRZzx0yJHredNBBRbl+rbC0zGxvW
VrZNsk6DTMWbWKNPc60QD9IhoGud/ziktWowLwswaQgtA8UvpUL/yg282TUjKpN6m+SpSbNIQ2+U
lwUjSF7MLobrlGQtxyyerAG1hjH6IUiYY4auZdEhljkiVR+cqLMzxzHWtlSq7beeDkQAhwRT9soL
YKeURT4ldwGs3MfSzgBct8zxQ+u0/A6nDPRk7/WJBkzRIs+CbCEs7fiWHltYC+TxsYFjF88WXFmr
/i3D0Z3Y3ayqt45U3fSz4faFvR+x8D5nIxx2OYbpDahMw7jDChhzezhn4hGSsBHTdGmKeucVJmTL
Js+xK9BwtwEC+9CKxCKXTkD3a4LpthlyMWgLz8oz8vKDWUJDtUOYA7z3zWAqfL1giGwsq42uJMis
CbPdQN3VgdGCCbdi7lbKm24aX49uCfD6a6SsXbh0BAqasUatt+vtwf+Zj62ullpsJaDnscpC7prH
1kAbUdbLS9PKNZwDa/85N/H7UwkouCuHH0YfWUNm/h5MhDdHIG73nE0YRC0CpHzEByLInlU7JuM6
qdo0XE+d1jOBAnKoi1YL4mfI1jV+SmT480WaYkdny/oQND67s5NU6EhTl9pQMbx1ZoGJsq651YM2
aeopzUqLmhvH1i8J2P02zWL06ewVzbaD34JliA2+JHPrMLssyBg+NOMEXSYtEtM4RMgff6cN11ng
c63AFdGv635r6tMYbTwnkFwmptKFmtV4KYZP2PUti8FBRZslEuOIHFppEiTVt2yWr/uthqOc1/QP
uqnHHLEpLtX+L68stbtMq9Um9n5G2Px4lhIrSqAyXQ7Eo+nSzvVCo0Qj9F+16D18HobYhfSV+7F5
mYRZ+BL7oHHWUQsHjZoJ85lqs/dEYvCmC9NHX1hJsTKx8aiwCapLvmIxrXGEa/eZKOPLDLzeri5s
50o69dhi701a5KD70sNI0xuxVCIf0JT7Ns5zCgh86msgs7Tt4KuIHY/nJ52xUMakBbjWSGqHqPaa
g/R90n18cRxDqbMn6Y2euzqaJopFeLTF4EmLPmSVDiOVLBzzVLnTqSbeV/PJGzQuMw/IRKKgzIxw
zvtOxMj7DYVBKgDwdaTEQJRJ8/9jncX5TefkhIOYf87VLC50m4H0aLKNnZRzIa9cbmx9pMb4AiCY
g12DEV1qfVaPNwo8glhYg1nRDR+KiwBgHYbhAJaMRUJ14j0RVR5tlJrS/qUsqWDQ+deHEQ0PJieu
ihyyKapzKPxksnirKi7DoRcPyV1OyY4nc5sghVpnuXdRBDYHO6Sx0FYZSP6nqS71Gz0IporWN5JI
VlJl+jrXJ+wbJwNL9gzNynCVlZPzYupzNjzQGttYm3mKEzQ9hRuCKX0DprnNL4ZGyHfCTt6QZYmS
vpJWPhV1i+JZpCYOUnVWO9PWyFwXK4mAZuXHingMuaMpAMSBUG0Zr9WGJWUkWGIVwioiFVdju07t
Tnsu4MjvYocjdZFF6fjOhxNXkVPHyfeELuSFkUWG9tDXdkqBBZXcRBrPMR/6xsUlLjB92FuiJklg
xarHpratuz2U/yDBH6wsFRbp1vQYWxGAzrQfhqdmRLBejoF5GMlY31FfBxfcVGqHfClTeydrymQX
qtx8FwPdHUnKXF1k/ujQb5PWdGCKsUIzDk1wwoukp3wVDwYRrh3oYlXiOdU9NIUPYyZz06mhZS2t
cTtwKue2xsYkXaeq9sgw5kGqE6I49m8NZUy6b/oS4Ts+I9yYTC/Fv6ElnHgvqemMT5qdi/C+xkO9
Z/YGJO/HUZLgt1zVP3VdnEXYmc04sH7wiJlrl/Q6JXiNzuKIfDpock8L7xq/KZHAOLH2vY7Mclfq
5BZlWJhYIcbp9BzVpvw91EPyEJVua+wN0nU4pdotnoCtoVeLuIoGEMxlX+oHkfpDcIOqajDuwhBr
Nfi8VeZcYp7n7rOM5viLmBq0uKjMZrYGK2XwTSQ9/GGz9uw7OOVUbvqqyW7dwKkfTLIAYO60rowu
/MYu7yBzDe2hN0CQp0kRfLOJhnB3HHyykLEewS706vGtStyS1sCgjnAEUZwwS4PDe7jUpgBAEF6x
Q70qhhZPkyA1pz3Qhqp4qaYYikhk69zQ6U99yfXZalkXdfPY4DP1ONoOnisSnjT5/whbw4nFh4md
hgGbZ2LOvhgnbhO4KScGWaayzQ6k+tI7frsmVqg7G/kjGaGcQeBVt8ImOjFkNT2X1RjSRmog2aYW
P5NWuwubfIrOh6SYgGhSaWOwHWktzBejmbpw16s0dob7GKzljnZWZdyBzzd+Sr2kuTiMTMym0to1
vkUEgmRFR2QTC2qQzq5m0eyVFQPZHQznuyhb99J0pUWmXWGr4OWVD11P6REOknaEZaKM9buuMLqt
EdkVrbnRKJ/8OmWb7WBzbp2masNdy+2Y8mVWi53RSq5bUe411XrqA29NMmD6zbklVs1UKnflY6L6
VrdKXaUZtfJiSCxYur4GGZvWVixQcy2GAJ1bTdneV0Zl3NZRG22irBuudU83XoVqBDbOwlpXJX+q
oqzv051SW9k6qqglpkaPoW9djMwSiZ1Q1+s2KuROi90LqkHDi6IcsiF8xgctG8vmUpkASh2rdJ71
FsD/oIz2uuy53tOMQeEzpSzNzUUE5PSVg16Wkl8uX1lFPsCz2ruNVTsTAX1+UIDbcZAJ/caMyAGC
l2joA2JPeWl1InydqblWvuWSOvNDI/vtBwSAh6h36VEMXIOGD7xBkmpHpE67c9jH+j7t/ewhFnX/
3cwjQI9kTGtC+8BT5m0Y+TTdIvPLMUmW9m7wCHbh3Q/ABy0dWviI8IGyZlzFvzAYmL4ZtUWxRPeA
3u3IY45P1aQ3+lVIJZB3IbPS3/dmK/1170UYt7EMtz5YXLUymxgYcq4l6X0AkBeldVmK+77hdTFx
IJbWidFhY6ZR/vQgPGOuFZnuUzb5s1Ne1zrVuo4jNHBdlrWrLDYxeFVT09OpDgmn3RBWQNtLqRXu
8jSY0scxmsD5aVl/MAju6DBK2N82BefaJbLAVkDxzfJbyyXSGX2IbqRkRR1wx9F9gpf5w238msj6
hvynG3w3DZNsTdxQfZt06gvQiLvgqo1qLV+1+iDNZ2PotI0XjMB7/UqzMFc3Jkk62q2YvZ5WcafU
JrFygoBCRl3bBo7mzo5G4G5tj+WW/SK59bGeiS4SvGHuwzanPs+nuLQsZ3rihqlVgHtHCJJjYQY7
6qDBY6lFrKu+ja8DYcfkhRwRIDUhWI/pD9K40XK9Z11MvDA6Sgih8ZHTACM0qV39LCLTT5Y2RNvv
VmyxaflVmHGYNB5yY0pe6bKP8wJ8YaLn9y2j3ssxzy59trFr7jH2TdsM6k5EmFkCHsipZXRZvfF8
jUuL2yR0Obcl/nxzbLih91w669Cwsl0WSg/jNssq7qmlkRCu+FsFnCzp70eOme6ise32pq865I9p
pcxgoyw3SwDlm4hsIt9OsEaRbXFrxtK4GnItNC+R3hXD3rQjkl2u0otbrcmTByfvWCpU/CMuHJW6
CZS0WBt9vo0Jci4FNPM3XyU9DafoLAGQ0S+mvBZDoBJbYMCRDlHWpvTQgC5EmcIujzS4l4TfGDFG
I6l7y6QeISuIjoWPuwjLzi9uh3JI1tJKOpc4bZQXfQKQ5CUddHXILcoZNBiPrblRcDCzpWq0slo4
bUw9TE+Tm7hrXX9DrECDYdfneMIVZOPzuxlyMD6gKEjVK7GPogM1q0I6ssPkd63rLnQiz+zCW1Xm
OriszA3e9Q7HrIWShZut55ouVrC2S4dyhybnng0gQcykF5wcY4m/ydQYT47ASdcnubXmXevf0PyV
7H/wMwdjRZsInepFCxjE70s3fm6sOCx3+DzTl6y6lK0562Kf6lFNqdcrdHdtDg3c+arh+E9I+x3i
yAC5oLOdLDO0c08mJuXPkm6eVeIY4U/X4EftlBxKcOVt4cZcGwV5Kn77EF6OLq18HrYm9ibybKWv
2XU9VFociMGL5yr3ZzBOdIjlmAZbLBVCrTWR/JAsrbIQV6OnCGyE24+vTS7jd3QJ5hsGMDUeLbpI
f02ynkCBVmWmKPIH7s+Q0obHNk9xhoRqj3O4huya7UtT1JDCOLuJ6cUv1gKNRr/wnBEqQRK73h0J
TSQhRuBGD12m9BLoO8IIlmJscTuVPYYtmQxp/BLd8EPnbP1lFlU4LrvEYO/BM32e6zRovhqlkA9j
hQ0Exfcoos+c4Myhlki2aUN2G7fO3sgFdFDbzI2Fn7lCX0WG17wqrpWX8RAmCpB55zvUjxROJnFH
jXnVZ8a8WwcdaYSsCagAlLIKYLBLE9bhNPlkwpNAq5/NdpDvYU6kvzTTkL0i5HhtLiK/Kew9JfUB
uLjWFtv/aoYpb3PVsY1HiUmbVSe7325bm80iJB99n7RY5Ah40YdxCPo3I6YHUZm6/u1rRe7fwl/H
ddGuesImkvqLflb0oqvDdjQXMEXGCB0Di9dzpv3Xo5zQ4lKu1F3KpBCgpJw14R/ksXqJb/nYxBTp
jRDv2ftodtworqn0lvL266GOHwgG2YxKBdBELQGc0ZGCvanqIDc12LsTM8zw73P7FYD612McP86f
MWhx0e25yQsS1OfHUUrZPvjNBs/YBr6uBwSkpsi16FC7YiadX3P09YevxxTHnS7Hg87//sM7xC9o
0tE3YXziFE8x+hgnbFclzq+zkslAN9FJKGjVt1KPLmPrt5lMV1I8pbq2MB08wudyjDkdlJ9vz/yw
YwHy8Q87asHR7aAdOp23YUIWr7UX8k1gZ9Lxh+R8IHsclFdOdtG1Z+bUyQ8taLRGr+6ZaHw/vw+S
DEMYi/l9DPkOzcbOcINdnZfnHu+4X+E/j4eIHLidKWhT+TyONwG9kC5wDbaDpQ+cfbKwEqMv1Wow
D5PGI7e2Veckd+N0jsL7uRvDpQVjBvD+M/T87z98cnxioDB2DN3aHa6JFTVL88xUPv0W/xli/vcf
hsCMIWnLhI/nNQP5FLmt4VyUUpzVqfN3PvZpHT/KcQcfGS4DD78Gk65Fs0p29bb9He20ZXZQu3yX
u8tb48FdYC6fLtvd+J++rU9tWx8bNs495NFUKfNZPezzkFEyrGovJidYr/sxO4OSnCf6V894tEKR
EuFGRnfS0o32FnYRxb1HWiE5xC199bs2uft64Z17quN113imKuZXiqlb3V/ZNhe0n18PcWYC2kf7
dkybDjJNqkda8TiYN7hv/Iu/b1gQGviHy176efaZBLg1YjAeIb9p1EPl7b7++yf3TAm/fu4fc/9C
y9tZVzhpzR7R6MmhT2xq2/ED4hn0Nztlp7S61+9fjzhPpb/mwIcRj+ZAldl65RmMaI97u1iO2m2l
oZv/6TdnJtvJr/9hoKOv33t6gK6VgUL3BrLNEpYD6aUzy/bk09CkxXVv7uo8PuiSftJiaSLjb3uO
tywd9vqYFotQf9XROTWTfuZ7HfcH/dklaKCzBYYchAtH84ELiu8XWADxUKhqXshf2NCbujMnx8lZ
4dp0bjnQrMVxV7hW+Fng2ry6gC4k1eBmNVPmbBz+IJCHCiOizb+YFP8MeAzZDJuijDJyijS6b13j
Wql1U/zS3Udhn3myk9/rw0BHvUABRZFgqOYnA8dgNyuIDUnybmDUMp1prf/TPnU80U0mBXEjixdH
5M9LN3Nwgh9pn11SryGmu7Av7OWwIbyOdhh8LsArX/Wb6/ji262/Qlr++lBftqv00tpWG8yXFpDF
luf2X8M4sfg+/KbjMLPUe6VM4ELL6eZVWwcXoJAv8Tl7oTh7OV3HL9F+Wt+hJLRuq8tgNVKYsM4c
p+LUjmnCzYaHC93ANI++QMJV0iTDXi9H7AkuALeuQFpjbLps1pgv3hJnb8MziIg/HZN/fYoPY86v
5cMZPqaIwm2uDsv3YFqKw/Ci3463+mu1+oZT92pcigXaiQt5yVvfWWdm3F9OKfOS/fjAR+FR79Gx
4eUdD3xR7OS2WPv4yW+1Zb/pb62tWESH9NrduOfe8zy9vnrmo9AooNfYL2fTVW03raq1tQA4Rp59
Wf84VI/yxsWIwb5yVvrKOEteMM5946NdqhmrHiko79u8odC+eHZuhs37vb1oN/ZKXOi3WCLj3S1X
4yJ5ecB0Dcf4c49/agv7+NaPwqmOLu/eRsK0hAqGa8aqWd9PC6xKl3+WHjYKr+XWucA3efX1TiZO
vnfH4AoHK1box9Hw0MmxDjreu7OImVr1miLuons1N9TyN/DuLuMRPBnG0dnGpzX3zHl08s1/GP34
q9epVznkH5Y+FrQSQK03/osRuKkypXXHM4kaPq+lkpY8pvNQL1P0/FNJZ4Zx5jA4+Qol9BPH4PUJ
ZFufhxA5Ok0alOtljRHTqtqxSTfvzJzLH/lzufgV7IPHcRHu22X6jPT66+936oD9OPbRvJHIySbh
MzatdUsqNAFtQJYOFe/MOP/LQzJDXMSx3l8AMTC4KEcnBjLbxfQDU8OldZO9BQsyS3cpxZUlWsRl
8Y10K9bj27O70qnoSKJT/J/hjyYKMv8os4f5HaMr+TG8JlexQgq8DLoFQvJl8oayfZnd/Pz67YpT
d0Wa5nliCQgAWv3nTxvTNYWE2+T1imcnXbjJL9s5dMljYjzH1ipMLjp55kWfPPM+DnkUcDqR2Ydd
zJDUhJO7bgcj7AbC0mW5T3a9tbDNhbi2AI0uaUF6GJ7jNfWM8Ek2Z37HiX2B1A4EDjEjG9zjc4++
oiwcqqxEbfk0I6qym1JuDW3tImNoqxv3XGR64gPjr2CTuHIsaNwzUOLjmWcYo4uvNia0Otqf7eCh
YqIIS4NJn8ZnFuyJTcd1bBODBXJKMH2OPmoazUouvVZLOvU3bjm+TZjefz1xTj7NhyGOPmIedYTa
qPCRzVeLhmJ209904/brQU6sfZfDWoeHxKL8w+D4+MoAPMf0DzHIhM68CJI1vqNussn8b1+Pc2oV
MBCJMcDyUpB6+vxtgL0jWW4btezFxUB4SLKvk1v8PgNq4GLvpldl+PD1mKe+kWu6LDs0nmBojqYD
baNzc0ULZ8zNNlhP7lNHnZkGYv4bRyEHj/XPGMbnx5qs0M7ThDESymZoOLh+L+kLpbF4g5INWnSA
fKjZhMHF1892anJAb8OFTuigDP46kjxEZJ7bw2QYr33/VzQ8FO3vr4c4OTXw94HGxaKCpPP50fSh
GHN60NSyKR8rGnAD84eDy7zsnr8e5/Sj/DPO0bYc0h+WZRRBKdTPhHPZXovmXGg0f4a/PhNwCTLA
BjYs3tHs05woRZgwzz48jidaG3Z+UjyriWoeLLJgNwbTtKXEkNOnFe6VZ37z+hHl/IQe/uun/YNy
+vunQLeBOwNM6vi10gpq+nTrqWUHbG+udDn1c0970q2TDuUPzEMHLFv60kHKYFvJqqtz9xozBptD
U6Pvgg0t3/HHi22eOAMOvsQlh8GtewpUnh0UdLROt4GHRC/SymELNbg6lGHQPFk0sKI6BcepL+jb
jG5z5Pg/AzfxXprRaPb0rjkz3QPhQyij9i7yE8EExk7WGJB2N0Z8U7Rzygr+vUsnThdtimQsfvch
mogFLYH6OsBk61bkFTdnjAKNC4MWl+jMmfLHduDo/UERgrHicqDS/zMfOh8uNr3WTKOrRkVPsrZ0
iyde8boYss3kTbvaFZBtzQtiqffA+q1XzYMLWCQ04hcOjFVmpZhqI6FT3xNkubLud1S0sH/uzuTl
T0xpj4IDGyqWPnQgH023FN6RXqG5XxpNdNnTqlkUw8XgvHw9lU4cr59GmRfwhzcRTeBYLZ1RPHgD
1zKE2oHqLDHxbweMtkcUntwjzt8i+MWncujPFFVO7A+zfynnO/kSHFeOtj4pRKznGtteE+u06XZL
2T+Y7nqsz4wzH6XHH/zjOEf7EK6jJk3LnOquCtbOtCnozaczr+ofOgrDX7/SEx/OZUoxGeCH/R2h
GrosAt1lL9LJnKZCbXUshRGH/Iujnenr2uSbsCY5jh6Qd2bQKCa1DFvnptS71eil4cKSZx27TsSe
+BfB13GoXDukHj5PkYnO/M7J5j3cG+01/V7tthvpDaucrnpQAYHwFBSYbaeUMCnH52ujzYPHr9/p
uXlytL/nHQX/JoHXSfMCip0BZf8yzdZVfSb5eXIcAWvCZmPEZe/ouG8DrzGNmnligv1GfqToiJDo
UcTu6+c5NR8xlMFiiEbk+T7x+Z2G/lCm8bzsVEH603yIS1rlvU3XPw3BuPl6rFPP9HGs4zXmh9yt
R8bSvAsstK2wudKDQwqz41+MQ72MCwrpT+P4meLOpec6YJ5EoeHejQZXAVpLxW/PpvF9sq386evx
ToRmnuDOieDD4OD5Aw78sHXlQxJN2XwIouFf9mYPJv1c4u/EUv40xPxqPwzRNbLyRo9zoq+KZYzr
iQfKuOnqf7HVCwqN/Mcj0jy+cwSRK4pxXspSvYMCAcbwEGu/vn5bf8FYOUd4ln8GOZoGWRBaNUx2
hTDpTx0JUfOQvOb6XognM93OOjZ6o/sGh42td25unEgrMTh3OLi6UMCO1xVS/RQDEZ5wsqEnyF1P
+0kfXCckd8MV3QJntuBTp5rgnmAZ5EI44Y/O96yrtGZU85Qv+70fy60Yhu9CodMPuoME9aRPcm+Z
/fPX7/jUjMRxVNqY89mCrfLzdCn9QEvsmqeMh3rbGMU14KT/+67Pef3PEEcbYYoM2LTnqWLp0R1k
unucjujo+79i2+bJwteCCkYyTgJl/fwk5OLoVkdFshRoDqdi2sDE2QNDX339wv44Wx2fy9zoiG6A
99nm8RurHDLMhiywIQoFvRgpMAmMm7A5okstUdamCy2bvqtqeHDbsrumEzVBEloB+aMzEex3pAO6
pPErrI1FPDS0PSGDK1b6LLKFs1rnIAaiSjukk1HC/egDupR0GH4+uLsLGfuw/iYDbWfl+dVL43vZ
2g1F1tA63EQHWo6mOw+N0GMde9NF15kwvEF7uQtyQJAZCrBIAcmfEnsYrj6ZtQhI1Pww6cbs1oVR
FDuNJsxVMIT+rdsjfl0ahtNvUqgdyKBktzWrwUOuV7uUqkPUYp0ZbXRRgSzI/X1SaMbe0ay1KCdz
k5fOuJl6esCAKY03MDGnrbQ0ebAqbo4L+kqLDIx5BYqsMwP1M3UzbztO9fQ8KlvQzOrE5a05UeuH
jR5iKAQqh14tK+xomBrEtq2y5JsWRGI5tpEt9gEhk39mVZ66vwP9J5hgk6OT7/gybXganTgO0R69
Hs4h8qvyuu1Vs5dkZp9pp0ITpuD4rEptcK+FS9MI2qvxHLz51HmIHfh84+ZObxx7klUdlOimnO9x
5JO69jf6rIW01oP/++vJfW6cow1X0WlQmg4xi8CmwrOrg275z3HqXvQeFtP/v7GOdp4gq8Y6dUjB
WJ7/bnOHogsGzYxKaWIonPuvBzu1zX38jEcPRkeUVfYWn5EHOQyJc5/k7ZmU0qkNHEAeKT8qXRhQ
zAfzh4O35744ww+4oLmzMXdIXqmEl+aWGy0t3gt0+X7s7unm/BdxmeuRjRPcRXTjWPsD2UTrzDn+
y8XBiJaFFuBuRdkhpY/iXCr71Pz4ONZRbo5eekAmHa+xdGj1oeURUxxbfwRBo+5rTzPPnBynhvs4
7Y9OjtEUXlVTxyQMpBE9WCg7WZfGo49T3tfT49S3+zjQ0bcrjDFJW8lACdYLDhrWDiiH7j1PJmWd
KLnNsLkY6+pMMuv05vLh0x2d+RFnAPpHXqep0dbvJ9pNP2oHN4p+JWF6NToYwXu6ntMH3wMGc3p1
ZrmfihX5A7hrggICC3r82ONg0CHA+KKisZPzda5Y9u8+zn7rr1/wqWDqw2X2D8D9w+KQQ1XQIcAk
9aT/kqcd5ntVXK5R9lJ3Zi/TQV4pC97i18OeurN8HPZovsYFKC9zzoxXyplrZJGzkhi/hTn5127z
9VintpiPYx19zFyp2ornvEBUO4s0xzWsPLPST3+ufzIP8633w0ssFdzNmHGWEWCqsFn0PSZZ718/
xckl9yG7cRRFua3uTT5dZ1TDfkdKW3AxWhR6cAPY4JzDy7znfg6kZsHEn3yWKS3Cqc+PI2odOEGf
NDgo43100y68h+JNLu+jQ3doduF9u8m0hb9LDvm1vbgIn+pzleO/Z8fnHzC/iw/vM/c1SIM4mXJ5
2fjDpqRzyfvWedclAM+v3+qJytTnoeaf8mEoVekRvBaGMlnI8U4n7lrIn+HmV3L4QUf4S0Ez/z64
pe3ogHbpsdy+ndvizj3s0VJw6W9wwKQgX8pWPajbuZmZhiVaU+Lnrx/23EhHCyF1irHJbZ5Vokn3
L6v0Ykzv6/HBj6oz2/bfS+7TWz2W5EkKVDJWjKSMg5Lfm+TMFD1R5qDQJUHoIMhzPffYPaCWpeFL
ieZvHG7+m7QzXY7bWLb1EyEC8/AXQE9szqQoSn8QGjHPM57+fuCOs81G922Ez/GWZXtLdqKqsrKq
MnOtpXkPVg2jxrZUtlN2HAeXwSnwwk6qtjau83Cpydw4aSWiiKOfdaIHfl0XyQCDBLkdt0oPQL8c
ERUjumzlHk43WCBix7f0fVoc/e4OyXtAOaN21JX7XnvX+6cwC20Zpb/eR+wOJZ5ug7BqLx7jadvn
rjE5laSAJThEpneccf6Q0Gw6OueaDHDR8NYFxGYIT5EWS3XHgKWviI9j9WA08PUGjpUgoyjbQBD/
tedwt9XoQuO9rdNqd7pLSNPkuQAZGXIQtyn8U7l1F8cOjaOlVq2cDJdm+LOp2bU+bUjoySdQYrOp
8Ba2vxpqIZBpoeCavqsXK+O6aIzL2Vz9mOsfi0jnTz03JQVjSWfBij1tRQHJIuld6G/z9h6e2pWj
6DyIa7Oh/9pbBLa2HjPyM9iLhTcRQUtFfgW0tp3af32qn9pZRDXJ9JSi1udxIcuU1unWlH/l2k6h
+bswzIMJoum6g1yYSO58ABrI1rE/luU/QQ6ghqO9izf+RvSLQzh9H5s7ISsfEANfU3e5MIsKbecm
aToSnsCTTl0ExHo5WT4INBlJ9RGab2+C0WXbZyvecX6sQ2z/yc7CFQtJCdSZc8LJrIchvkuk13Ct
1nghUJ6YWDigMingKUvmDT0pBzyGo6uH6ytzcRAKqRfyQ6qkL6Em8qTofhYwWWrQfoVWHUac4DmL
VmoiF8fxycrsH592bScBrQ9FrMTEt5nRjoTF/20ci8MrEgKLvBEWOhRp8tYFxuZKNC3+n6woi5uc
qgHBZIegl8zlt9EOEP0QeldStCuTtUxdmGnZGSr8gZCRaw9BJ7sK8K7r4zgTXuKZS8vjf5ddkU8X
ZG5sajQDG2M23YUIt40xOYoMsJriFmF2CxTXzhBY6+HCaCZjAyO1M8BQEXQZFPMiFKYvTayvHNvz
Gi0ulicftdi4WRdljSUwu2n7xcxfyvHe949JfQRxK8Wbrn26PgkX48SnOZjX4ZNTwgXbZZE8O2XY
7zrUCIXwayJDrLTyGl5bz8UmbjvLhP143sRx9NhW5THNXq+PZM3C4tzIYcY1BxELPRRk2U5uVqEv
54W5U39ZnBjga6FvByLLiSG+mlEEc+7Um5THxkfwzxsLFdsBasmmfoYoY2XTXXhunxpfRA/InCiw
9x4bQnxNPTKQrVO2D+n0WOs3Q2Q5vXDMBHnF6kVnpAmHs99SKd8vVq2uTHJbQtAh7hbaHsoP0Oj0
pQMtu5380J/F5s/1NbzkjTDmGdQRJEumKezUG+ETrYvBwl5rdX/TCqxKmO5aKLtFpHavm5Lm3b3c
aJ9tLSYUphMZrgkoLqTbGjl2Ohpvix/GnffyRX6ufuUrhc4L7dXkKD4NbRGbTU9NIon+MKf7Jd6H
b8ZLfD/+KS2ktQwQphtXO7xpT767MshLLvvJqraI1QWKvT58E2QsXhCe/AuNk3anHgKyCDZiFdeN
rSzeh77Jp1BiSkUuZjC1OOhxuaD6nCmD7/TZVHfX7Vw6rT+PaV7YT3YCKDBiNJJxSsU6gK8/Bn0I
veMauGTNzCIQt1JQKWkzm6Gv1uwhXins8Nf1oVwoEp54hTYHtU9jGc3RGNvZiLBH+XNXvUevMB/Q
9Zm/qy/ov4QrYfjimfd58hY72qRduovnRaqzN/+HYevfGxc0/SbcgWzQbOFPcZRfIem1npK362Nd
m89FfCZuJlVYYVlRfvXmm6zUdil+uW5jdXiLANKNsQStP0b0O6VxvO+S3RzDGw2eClDqT/n7dDM8
xi5QdHlnrhzcawFFWwQUTm2dzllsJ5ZdwuP0oDoivFgFLZqbb6KNFPfKHekCRkWnf1/WzFkh0IDm
9tR7vDENraKRakct4G1OHtLkJgYTqbhyWrthBHz+DvHUFobq0RXK+yhe2YkXUgzzB0AHivYnCNnl
k2YaJt9KMpU26R6AEmRQULg5o2iztggWR9FhDPTN5G3SYrO20PNsnobvU9OLnZObUAzIBu3SsX70
EZCt4Nwx93F/COM7wXpI89uqfM+VXWXAMWt3cggabKOIfyTph84jRbNFWL+ggbAtHzaFZhP2d2bp
7Sd03Q16JyHvEd7THP1rFGjqorOb6jvM2FD7PfhThs7NHg5CmI4OCOhsK/IX9W09keA3v5uTsBEa
1YFWXpL3MFsU6UErb3IB0Yj+kAk7L0K5eLKb9DCZO33cVd1LPNx5yoNG5cOPfOjGfvvh0afzRudW
keauNT0m0UMmu7q8pTmiKCCwe4jSQzRuRUiWmuwtNR3Rg+9rb1pvefFEN42jZMdkfJpFPaTYpeJp
lC9ms01jhbaDW02/ieBPzW+F7ktgfLWUTTXdxtUxhwWrjA9G/pzG6Kr88PrXnGBuvRjdPtehgtjF
ykPG/hHJuevhrxr17Oahn7adIW9Cz1bTd7H+lhuhMw0eFDSbWL8LTAf8eha9CPkPZaxd6NTpvXEa
3We6EJUo1ZtacK3wl5yDfvS/ieN9Gj0IRehAboFsQrRPzS3u50T5F6/cp952av42pRNZEN89kMfq
oNONf/bQBATlLVrETMhRm+CTH5y4Q8piU4v1QWhLtIdAKMgPiQJ3fG7uzPhdEbVtCsmGtdbYdAE3
odNHryNASqF9Roic7s1Ug+lfC9qGGOBIB+NQAaxpN9A/30L+STfno3JnfKk2eNiL6Ntr6JdL5nWS
USptfqBmzeXOLBONxk8Z8/BKujIytrGTPcwCHPbXF/3Wd7ObX41Tf6035cpFR57PxcXGPLG82JhQ
jepGxaE2h8Eaxb+b0p6++rC9cXV1no2NcVds6ttxHxwMt3CjnTDYouu7ayfBhfhw8hmL+Q86uHz8
ns+QndbJMe25+o5g3G/z9y+ZzQnnGrex/W79vh6Zzm9B+ondxTHXoSMwikZDXt53g/R7IW/qorBb
ZW188/dfm+bFSSfGKF0YWocwl53eq45yDLYwWjpQyO+ajXes962zllM6k4alPnwytsUJlwYQODQm
c5q+oZR2yLalalcbEpDuj+bunp4mp1/xprVRLm7NiVIlWT27sWHdKMgKDPeKsL++YJdO0U+joqR4
ulODEQLpuMJGpEMbpO0nMTsUERIg/Y9Bp4iZDD+aXraNOIjhzK2ckb7LPuye4njthSlfdx5r2QZk
WYlcWB2fwmXwCbQFfSiHyI3vPfdnDAJ1euZUA2eV2fXWBAnUbxund2+ggHu5Pidn3zHzcMio1ijA
TFAwW2yeHpLfBM4zrlFjtZVNWNYJrrVxBz31dUNn64shTcQKDaCE8GVy2UqmpNDVsCfzJsPOltmF
sFFWgXpzyDnZKwsriz0pd8qUDDVWgFaZlT1xP7PzaJftvZf8gH4zPM5Ur/51M+PC6mKHZhCkGn4Z
9XAuPDXRa6Fte8m5Pn3zf+LawBYbkpSlUIstA4O9EbY7uCK/ygL9ahtwIPkdvFrJX4G2h8frVi95
hzZr77JqtBUtH3oxjZlSB8Mq9cCdiHKdKL/11VFW3q+bOX8yf0zgP3YWD71JlTsEbJhAi3udKwFK
3/k38jfBcvxb8yV7Lo7aHfB0h5L1iuWzM2y2DKudShlnRostls43JsQgwhhy4QO77mCI9tfKhgZx
Vx8+cHftyjqevwMXBhcL2fplG6I5TG77rrkNSQ3vIGB7Mr7322EX3Jj3q+mIs8TAwuAisAramPVG
gMFS2w4ufVm2DLqcm9o2W0f7nlMenVr7SG59eua2WZJ3o4i1wZUezF33KwdEM25kEO3NcdrpDzUX
o8BpEEu0x/3auXUxyPAWAHgCx6W4rNWPUp5n8pT2sFlLO7Hb93MWS9PXnObitpiBk0hUy+C8Fk6j
N6ZRWEwrl632b7sTHX0j3JY3xU/v0dhUpEPu00d/i7bE/8ZZZ61qcWYRoeJzen615tSikIVdKku/
1CfJTbaem/yUXydHc8qH9ueKvXnbnQWdT/bmX/+0mJogJ00Q5L1jyPa0b9DTtBUn3NVg9IEptbz+
Vmb2vAFhdp9PFuft+skiZO6JjspY75jf/dEuyVNvs63Q2dGM0x/t+mF0jZ1wiGAI+Ds4xvfiRriN
VsgZLp4hOgrnIk26omouVrdKitrMlTkYJbeqBMHbn+vTenmQnwwsQoCBDmeKSB7dxWi5piZSb2rk
RKL5TIcmshWF5QjwqYwAraNRJQUd2N5AlbsP9uhROZKi2TR0okJQPgAXO8QmeOG+ejE1mr2hylx7
YJxf8+c1+fS5iwDSxWZcwgTF0aMf9O/9j8nO9W3wUuyfC7vem78Ad/VudKPcDI6EIJ0zui//ugXm
9BOWbCyKoKJzpzFj6XQoxe9C+2SGjmXSorWWB7+4+CRYzDnLwWNusfhRp5VhVBO/Jmpd2VTcD4O4
u77+l087gx5ZU5LgADEXTj5kSKWPc0SeYKFFGf6+vd9qR+Rex2+N7b9qN82uCh3IzbfXDV8MW5/s
zmP/tLkQpELWp8GuBbmxWky3lKkdPx83QfDruqXLs/jPCBe3SoRItanxsWRaX8PwDRHV6//9eYcs
AxNtLvS80D3ApXURCA1kJv3eL3FJH21Akh7eozU8Q3gKU8N9utbvcWk0n60twiBgsCmoE6yN1tcW
dl3oh64PZ83AwiF0I9QGaTagmy+q9Lvp9tf/+7PTnk2XwouO1w+dOkvQhiSPigK9Q+90xs9ac/Nm
V4cIeG4s37lu6PyFxUYls/w/lszFCysfFA7nGEuhgkIHrfdknOPoLvV/+4gP+bLilFnSuFlnfe0R
ekcap3kTO62DQDi/95J6xePPM7V8D5xRdMZzWnOLXczsiICb0mV8T/xXskEMNHQV1XZ+e0+XEgmR
Rlx5xV7aYjTig0kQZWuGEJ9uMTVkegKagR3fa93RuC0U0DjSBu2v6xO99BhoMrmyGnT60z0GkHWx
AVR0cZM6RRJpIlMpit5rnHsr9eLlXWo2YYg6u4yOW5POstOhaApYgTbGhFI8FcZrNm1Qwbo+iuVs
IVspqiK0NCp0cjNe/tREHOSoygakFgA2u6Wg2GG8ExGfn4K1i8UyYMyWZmIDkAkGLUVniLYSNiwv
zFFlnaWJkMTpQ9Eezb0+/ErNm9DKVnb0WRF3NggbpIXaKqgsfQk8y4sprkR/VO06mZyOk1mUbrJq
F1p3UXjn+5sO+UR9xdvPV8wSNcg1Ae3h7HTHnk6n7BfSYAkq0l/ds5xD6Zk1W2WtmeqMRUzSrZno
DSQWPU6E4MV1YDCEHK4WqOcLt4dMSN917uAKtmBDHLXJHbjZIQ9Ds2dOUEGhNZC3kBwm3UZmxBFc
9Ls2hqu5aw+r8x3BZ9ECxbHNO/KsgF2YCe8qnc+SaE9q3xpzpQTz0SPyOYh+jJuZpfWPg01brqiQ
+Cg8mdBdlpt53J3bkW2VHXRUbG5E/x23AU1OPd+Ctr37n1GjVe74rgevl0kP8fUddJb9nQlzyODA
dgJ5LlCvRcCh5wepx1QabHM8hEh7+W5l2VHt6C/1Vrr39kJ6hOWKFfgS2C+/1yb9LI21NL+4ynZi
1OVehHnUcz0UQJ9Mw8kO3x9yh5sMakSZHR68bbH/Ra2MZFZh34/235lKbu2GePauBnYkEahmeiaI
CM/YZWokq4yh0nV4A+iXkESny79Gmu5UI9qashoAWIRWt/sh1281WiTIOR3CyFh5OpyFGYMoBpEF
SEzdpItyuRp5asmBNaEXpGgPObiIVmyex0ivadqQHuUycsUmXatGnkXR2SiPQR4s1Adx09NtrycW
kveBhC5ZZN1X5deih3u9VvunWshvx0zeoL54jxAindRahby82jwOpuLUCi3rJawMvn9X+MPzimPO
sftku3x8FWA0GHhk1OgWsb2qR9QCK6bCa37mhXoUYbzXIhXWxvzO1FvHHyB8y9ovlpw8CNosy6b8
BNb9fv0zLi4IsBHqIjBZy8u3nCGjkugPokGZllezRvHJgr6q9N3OlPYxqjeoMP+6bnJ52cIRqY/+
Y3KxJeRqREI1w2SF42soy4jBjBG026rf58FKyD+Legtji7UfNN9CoBVjHfyoUKMjIGloay/As3MF
I+wsenW428ks5qmDIUM/Rm2mGLY4aht02nZFLKOsoqzEsnM/hmphrm4Tvy3T0hd3Gt8QmkZoZs4h
zXwcM/Gvbmoo0aT1l2ky8rfrq3Q+JksVuRRyIdBheVnmvYtUAcisGR5dcMi4Q0vvK90bXrySQD33
P8xYcNrAMwLe15jH/OnJRWFK7prJ8ijNvjXRlsqYCk6qFOn5ezeooF8f1LnrQdkuAUaHHJpr2/LK
BsIuaKxypmzCqg1NzKHzuk08pE+xNW26bFqxd2HFuFOpuAS5EpxjEe7C0ERSSZIpBuc/O126T4bm
ORsTW838f3mvRipYwicYFPg3GCQWm0qYhQGzSDfsoDae+J35HjoERA8jxYTAaa1fdN41J7GLQx7y
pvleqpAaXrLNiuDbWxTR2cKtU6svkva3BwWdiQguGpu0e8+6fnN95c7ccbaoGrgI7CZkWxZbDIxw
GkOQaVCsUB0trDat9scb1zrhLlihiUPD39nKMxPHqTci6jPKVga/XDXcD8U3rfJQQFk5As98wpyZ
Jk3WSuXyC2Dv1AbagYWp+gZ3+RkiCCFVdWMkX8d2Zf+evezwCAaCKB83UKqVy363rlFGU0rglIS4
TLqFB74BelgOh2RQouPYan89pW/s0gdlX3TZPh4pO1UI5m3kyBtWvPNs35EFlmhS4WIIspVuxtMx
93WZWAPManYkq5D8V0icmqmqvCpqlxwm6ApsX23X+qbZX+duOiN5ZaB2HLIgv0/Nlmhld0pJ75jr
ukfXvXOPd/zddv6x3drbw8G2+cvddrvl7+yDvWvsw25nP+/46X/+oE6e/bSf7R2/fOCvz/w+fu9m
/nV+cuYfDn+480+OY7vO05O758dxjy13/ok/HX7Mv2X+rfM/uL+Pb09vx9/HgsI/H3fkx+/j/K/w
ncd/e27wCBYNHqgzNQr8QItpUFtEhFDZQ/AV3FFc/QLAv/XiW09/vb5Hz1cZmJPO3uFlPBcYFnvU
H7Vyqhp05XO8rpsbhULtmCL4S/9KYf29bux8G3EmzTuJ1lgVu4tBpUrXh5IVGnacFI91IB4GiK8b
hHs6ea0sfu5GkF5YOo0r4Bwlc0l3FPtK1E1+ZkAWHru591aXpRvU6LPJ9SZrfiFIeX1o51GILnRW
S4e2Dl7Dj/TopzMxkGKlUKLAsKdOrY6ilyYuipU5vIPpGp73PJBjCiATlHJcW7iVne6QsKapWatj
iG87Mz5IyE7ZYTem7jDqeWCjg6ff+MbYHVFlfTMQZV3JAsz7/vQcUTQ8ZQ6H8CycecxAkyICua3B
u8Oiwyu1xX+NzWa9TkzMfvRpMgu4HAyp6li8UMr2eSeMrjbm7aFCddwpR3Q/FSn7HQtd6fRZ8qC0
YulcX84LnjrvPF4gkMjx5ll8QZp4XqB2fIEEeZuTdtJtDou+mo3vCZiuf28LXidaVyES4Hm1uCJO
qTKiIMV1l7qUKwk3onWXwiKaraXXLo3psx35dFYrodPyAckaDheU36U7D0XVsDadMlk5LS95CFwZ
mgJXG+eHuLjXlF4S+62ECmiZS09l4f+KDGFlzi5sN+jeOe8lnsUS8fF0LH0QI7Se8DysUEO3a6Vz
NCgg7EBbg7me9YjiiyeWFp4waFlgBjmz1qq0n4WPE44X/GkE1Za0lJoWeb72R127pS6sbLSzsvN/
TGscAMC66JNdDDJq/bGpe5mHNx2f/gOQT1Xcl/VjL+9ENB3V8DbvbsRhV+jbpnoOKigojq21BdY0
5T+u++hZ79TyWxbToCKf54Wz8/AtY77zm/tc/O7RCqlot512o2s7+EAT7wj3LdqcGz3ejuNKsuqC
W3E10mWS3zM+dXkkSp2u5HrFdBSVCOdiW3BgKWtViwubRJdUTgwwI6RdlsmOtmlNpfWRDaM/7S8d
nVsYK//k47Qp9TXWqQumoEXRFcKMzOVfXezH0u9LtYgV3RaM6msXjk9FrR3RGv/lxUW74kvn+4Ur
MkzQaF6Bwzkj1BKgEypzcfZiRdiVpflLieWbNre+XXeT8yFhhhchpIXEMUhRTrfl2CFSPWqYMZru
NhhShE/1TUgxjmf4SobogwPs9ByaQwvscdB2Qbyszu7y6ZCwVKEuiy4wOfFG8UcfNv2bEcmCC1FR
eqNWFkLksKgPB+ozQv8Vqo0y2ioRcn4bRNrMr6rSDBHakxMnmECvzOiQ2Q4PldDrbwnU0kBpqqL/
k4gerDVlMA2+beg5UJs81XgBNLRkBVsPdMrfEUk9pDCnUHuTy758FKvEusGNhoZLet+9FkFVtLtB
0TPyeEWW7FQFKhdOlrD6YkCB91qHTfQNTb3mEGVD+8czouZQy9awhnA530Bc5hWkmlTDgElQXKyO
rFXAzKPYsrP8m6IeI30lKF/67/OYJTvGcnI3WVzvCitBXDePTKRw858NQqFTb7z9awcDg/yPicWi
C5HQVT7C6rbYeS4Cj3bUG47Ruk26tmM+bogL/6J5EBfj7Yr8lbU4xTotyMQhSdGBtHMbJMacD1ce
kBewR/qgAZxsYRhyU+dPvy0dU9l4L9NNsutRt2jtt8IV7b+/TcffInxxs3b6XZho6hSk/tABm0Gg
i4NhCgXywnUOdk9B+ECGw0ZZG/6FnXxiYv71T7urmbq+T/vMtE1fABcRDz7962K/n+AT29S5OLxe
X9gLBwxikbAC6HgPj7/lpQEZ7CluzcyykSG3daW4KdDRIA3oCB3iwIJ0rMTytUbEUUVGzwwGG+Vs
+PkC19BpH5GjlULh+buICjwdEyQ+EWAwlsV4q5qiJDQEz5Yy9VlV6Tivgb3nNYiI4N2cpJXnw/lz
5aOOR3GVlxiX6sV0a0UyKmWIhnha/gyRWI3M32WIfgyol+hgyCsXtPPBzRkuk2qabHD0LPvZeG8q
KGs35KrNaa8o3hMKr7bUdncqF09lWmtgu+BLNCGytlTwyOWZi00LB1IFyscyyXNJAD83mtJvocGQ
vGzl1n6+L/AehCwoF5I+OJNt8uNCF+QWpcFSD73bqDb+9lMzrRw850fpXJ3iqUwaaC5QzJP7aWdQ
f/SghUS9VO1+hLn4FAfGVlDylf1wvkRYmdtTyaGZHKWLWBoj3xMOYeA7RS39aopsBwX26yAYlk3L
Q+ZItbm7vgEvDUvh6CbHRdTj+nM6rKmFeF2QYt8x8tesaO6D0KDzaW2FztqE5jKjAehrLu6A+lrm
BBN5qNJcoFny+J7ase2Tm9n9+upsnKeV9NVZ1waWqFnR82TAc6Rg63RAAbc7DxnYwJF3lUu+aLe7
rd3EJpVzfeI+Zub0oDg1tHDvXpGHeAy9gK739KN+XFFDjmifBKrkKgxy/hOYg318f3fvrM3dw9Y+
DPPAd4+/VPtWtUtX2xQbbfPLflRtcty0JH7dbV6c/dPv38e1fOn5bjz93MXhIZtB7Fc+8yIYXeSE
bRbuMrCvG9mPnw2tl1Zu7Wd+BQxARtCV9wtKVNAoni7D0KttE+l56FSRXG50LY/3hNFw4/dcRK6v
xJkAlYStuR+f/kadALDkVAsimr27Wgqd0d9OEsdzJm6y6c1Lun0dv7XJ4Eb+bWcIxyDpgKk5KVrj
w05Po20Ri0Cs7ivvj2EctH4lustngWn+MFOlq0sXIXxb7uapGvu4VHVgZRkpYDJDEbHPymqFJKqk
p3eQ2oe6o+tVDMGYoLfNPs9l7TFIUC4R6az29mlo+sFNhcePNhFbcZGKl596yIk6t+rGQtxKwiAc
TTHMVEeKk0Zw8r7n0lqmpfLeGiEK6hQqkYC8PucXllezcCidxMW8unOy6lM0lL3AIgGNUHNf32ow
9clT7Ajhyha7MH08yrizSjyDzwmPy7gsRCXrgTa27V4ThJn6f/+vx8EQ6HCaAzt9oQs3bSe/VZKK
cUxe9xYE4ram9CMmxkpUOp8uaEx5I/ESUwwuGItLJVS0yMR7HfBN0iOq97vkRMzadGW+zusIM1vq
JzOLVRHNHOyEh+xOj67EczZJoh2PvXYcNKiAC8tq7DafEif2ZOY0S4NN23qtHbVRj3h4aK6hts9C
zvw5OjyuSAIS9Zf9HB28dkUmDZqdlE+pvA2qg6KC4QcoYFhua70b+TdRqW2rmP/8oQ35RrS+9dVt
nLxeX+WP5/tJrF58yWL+SeLBclDzJXU3oQ62b7n4ZHF5NOUby5NJ57gSEFJBfhDrZ1Hc+tP9MH5R
Bc/1o31bxmCCR1tubyojQuFlk2qgrkLFhi2MPPO7oYf2mK8K/84n7/k3z/VcfW50XD6qhTjpDaRB
NK5P7568M4xvghLYVa3uBva6101OQwzgaS+tiSld9FaWbO6Yo8FsmQzxzU7Pu3DS7Dbpc7tt6txN
he632gjJisde9pB/LC3WxTc9T1UqLCl0KJsCibVg22jDQW/XcA5rlhZbQ05ZNC/Gkq+Iriew4SGk
VJJHtd2u+Nr8zefr9t8xnRENZaVpjAF0g2HpuSZdjTJ/m9wU7eSm4VMrRBt5qoj/ziTcS+JOVm6A
TasWAg1vifWuFG+GCelV+70f72IRyGf7kFkpytpwRb81xdfRWnnynD/B5s1BDJ+z+xRSlzUMXUk8
w4AZkueWdw/rs2tUxpMvGYnTDMo2ltXtIE6OPxpualnfY+9XVQlcUL1wN1kdDbhrhY7z3OvigxZX
7SlQy4F7pGZnOhocI0hkEVV667YOZAfqb2cKj7X42Dcgu8N/fa7x7geRQnvNfCv+aFH7dK6lcir0
YUqgyJpgY0XCHYrbmyYpVm5Hl4aIHaSiaHKi32B5MxDqmOeMwYEwaEJE5zf0utFIj1U6NlwcvVrY
8u96O4+CksO1LbPTeOzsrDOTlQGf35eBwvH2NCk7asTpZXEuUbwxClLCTFTVPwZfcXNLelMa3ZUH
dNRy7cXz+4OJfrFFE3SqBk96Lz2EqrrVun/N/chJgRPy+CbBz0NuWX7JoZpJioRNGsVy/SBHMFuV
efNLsUiM8gsx6JI0fPP9KDsG4xSiGyg+mEG7Rnn3MfuLLWzMZXharbga0C10ersx2lzy1EDSoIkv
0k1gWqUrK5V4K3lU2jr6lCCb7UF/WtFLkKSpo/dQdcehJrN0LSk+w3u+HlQu+8unVZqvSp/8so0t
2Js0/LJtZCfTdl11EPW7nJY0y39QgIiK6Y2h3bbpSnC4cBSceMf865/seiVFowwEhE2uElGzfhtO
2SZv0hUvnD9/MeEauUMGyLEjnanUJIhOSeAGNDuObnTJh4Pz+/9mAj9ZWJw0EuImoZgxkNS6942v
g3KoU/CZX5XhCYwFd3FVvoWmc8XqEq+IQ5+Ma3HqeDFkparJuDTjizR99QRvl4g3QvZYhX+TZidA
5K+u3ZovLhkAaNAktBCQGTldMq1Ro0wfGamqEzE8dZ8KjZ1n1gqF4oVjjgbVf8wsJrQSqwAWIMyg
MOQU/S6IN1BtKcNzTmljbFcu0Je25Im5xUyOoyc3QkFoiPNHCQr06K7KtqH/JwmARSubNOPOgBze
b6RgqOH82yTJvIz/HSsCR6dTmkRpIjUJB5JSBxvZFB6LLD10ifm/2WyfzMw3wk+bbUpi6rhz+Cu0
57p5iPT3aS2QXNxon0wsagE5/OdiO7Bq8STYIqRonbASqq67H708p4OI8wZZDQ8LbRDslAHw7ODf
WHm9ub61Zi9eRgwSmZTrqAOR9lt4uV/SYWGCmkW9QNmEZQTHwZ1UNtR0jtDjr1xTL70fTg6mRRj0
VbPQ6oiVKaWbbvyrBfI+a/ZlPjg6fHqB9SBONGoDeKyQXRWMnWjUO3N4sdp9q/221HtR+Z0bvwXF
VeVHq8ncOs9dtT8Kxg9ThwG/WUP+XZidk+9dzE6elEYn5nxvUI6ZLeuNyKun7Q4xneX0/nUFwg/R
WqPBvAUXS3JidBER/FQ2wwYuYTuFxQbWiT4b7SrMNvB9O22k2qLyxTRWwSnzpjizOmO05j49+QwP
pgLTyvQBR9B6pCxuUM7Apx0rcM37BCnasfqr6ulzpa9pFV16bBNe/2t4CQ/zOyVJmOX5dfva9t8k
+a9viW5hvubVoYErWpiAGh3LdrBbbSX2XthjJ/eTxUwHclsPXYtpnV6EtPvWk33pspWNfCZ/+HEb
+3QLWoRc0lpl541YiYjoXVzvwvGNkjjB3VXMH5VJKTOzPbiq8wafcqY4cKcMCY7xpYgaN0a0sXmX
rX1Jl/o0vV/f/pcuREwB5I5c1GeioEWsrLOsSIuRK1refhnGY6IclGTbKZU7THt//F17x1SFsvZw
3ewZ3Pk/c/KP2UX8jKdJEayMF11vdY4cb2IuhNDMbxqyU1XtIpbk5N6PLqINu6KMdccb3hHgdhr9
XSI8p7IrGw6d+pEU2I15rNe+b174s80AfxMnP7gmWnD59U8nSB4pRhkIzIquAmMekWRuOttqHz3j
UMffxmnFRc5bVeYL+yd7C0cUcj/Jw5rpiMJhTzJFCmGzkrYFArjCTVh86cwXTbtr+n0wtLagoq+B
gJ3/JxrcUHrSi9WunXn6r41/4bL6pKdSF83Lo71n7XSokmkrEfLa8IssOHH7NqoyWY3XEiKnYeVE
OofJnU6Gsbgl0FoO8pWqrS1w4Sq028Qrtrp354mRnfJcKn5bAS1RK+mG/49VCwlJgEKIJi02gsAh
VBkNOPop+WYloq1l7z56G0b5RTcPJRLkhvEiqMLKYJeOJiMgz7mrkjGgTU5cNuV0Ym/2pWAati8e
tGh0evnW124V6a3qnvM1zPLZG5UyPDV5ixIw9QSezIvjlx5zmFuEPHDetz+3hz+Pvzb3L/4q6u7M
m2czaGOAOjIos58Vf32hUNpgSkPnTbOpHNn2LbUa29nsVy6z1jIZNRuy5hmkYWKGAMy3tE/bVPbk
JAfhGDr0Od9t3+/+88eW9uY7upznH//pWJ67lufW5d3cyHzg/5///Phjs7E3mX1769C//LT/+7R3
j090Kf9+218PeGeYPD5VmaudID5mxUZxsaPSstFUL2+hKnVqh+7r8KN12tmvdUWdFXE+DIFQoG+X
0IVfnc6J2OdpnEIN6cxt1TR9M+iNvXKPu7TCCshKlRquRZFw+TaqFCtNqbeH1OyOx7eje/d9u/tK
Me7rZmWJz86nj+F8srSIjGLmS54VYOl4d8eyUen8XywMqpYzDBjJClqQT+crzK08qkOSIHOj/Pvd
9o+9wx2c/coT9gM89DmkzgP5bGcxEKlL8yDOsXP3/fvP19dXn46YV8qYc1/MxN/zT5je3G6c/cvf
wnn5+wLPGP/7O0IPGMx/ebo+8g8FkPMvAsQFOB1w4rINpgJ2ktFSgKfM2+XwADaAZn069vd7OvZX
jC2vWv8Z/j/G5q38aav2Bt1AWjkbA4cAAuEZuAFD3c9IgeumzgrKH6ZoLqAj/6N0vYjk4lDT+GnV
s6m7D9jDYd728/6fsQgfuIQ1m5fn8pPNxX3Gt+KhrcsGm3SA2PwUU7xO7TdGGwP+/bP7unu8fby9
3aws4lnSeTnYxTOxLSH7F2MMEwFze7t93X1z7teCysX9Ln0a3iLQGr4kF1U4D+//kfZly3Ejy5Jf
BDPsy2tiq407RVJ8gYmUiH0HEkB+/XXw2IyqEpjC6Fy1TN2mNmMgt8jIiHB35wapMnjPex879cfW
Nlk8BvjhcDcUSNYbCSKTMPTmeHuf3G5ZWEDVvy0Al4NwF0CDBThaScpCSKf/rNTRIG/U613HQytB
5X5+u0p7N5+BjZfG+vE/M8sd/1QJ8pxJMDvvDxBP9vbbSwvQOAhEbHAwAzqOzjjvkeCmnHsYZlol
4r9mZPyGy2dEB1K6wOl0Ni6mb7jDwgucfRh3X5iQOGAQD/7PacEmcm6+/8DBmQ/PfKPiqpwP6/wH
/sSvE/79fZi+UUCYLRzjjTPMB6DcKvFILqEO6h4tVmdfNX8ZPug/t/f8FfO3zGgk9/sm3foCZd7S
/LxAzRa8EGjFRRzDzUtZIlOsNlAlnA1/A6ZmzNQMh3rF6G/tw+wmnQdvK6hZxDRIBc496xaK3EA0
8E0YStNGCjVhl/ZTQ3odBVML+mKp5ipZuPHu+MZGXAySM8Z55S4phCQyFVx+JbkLSUjwDLYp+YP/
YmTEn+EcubkYL8Gw/dO9/bh/9Peui+F/fT38RnS39+DngOw6AgD28PJyfNj15Ct0BvJ7q/OGT8bM
8fE8KQikwD2yQJZq6ZAXKDWlwGeLARSWprSsXSYpRYuUERA1PjMYlMiaIttwsitLooNBC93fJnSt
0D57eXeZgVBPTEX/xIjmPIJXY++g/v+mTVpySItmiwd0dgXcouho9cETBz0OaAnhFsVKFSVtKMYJ
DnMLyuudCg0S20CKAhwFhrXRjzfv42vWuPintIpU0xoRg2P3w0BU61bXT2Phx5WTdgeUV6+f7CVH
+6ztdDY6zhHWgq4lvQB76FVlb8FXS5Qd+8g+wn25T8Ae1vjp8+QMH9qGS1kEILCriGijhFAGcKgi
d551pc6aoLRSu6oe4uFXmKAsuZUu3LDBN4b2cirlA4WNOg3QopKi12E3oNBzfQrXtuPZSPiXqozC
/qDXsJJnyrM8KG7fOSIdUiIpG9H3miW84nA7aKYKEhUukmr60mgoQ1cPFd7VOpo51FWxtiVzY0Tf
pfHFJjTQPTQXCSGFPU/sWXQYgnlHCWZDUqMRSbd7ebTjAjr24SlQvEh4C4MfbeGNxats+CDIK5Gd
Hl1T96/P7PKBPG/Os+/gjl6XjpbYB/gOPQmIKQdeZnlGfo8kkFrdoL04KE4gN88lty4oMeOTJWyc
xtWzf/YB3GlsGXQdJzREgjMdzauDGRKohZNCg7BMIaZuHgZuI2sb07/iWC9GzR1JKKH1WgKCEPQp
RG5SHRrAK7IIFIs7Yfx5fYZXTSHfCBQrGgwXmKw2sHq5tuDbLKFEud4HQTZ0IRyZOkGwEXLNe2ax
p4DSmNUJDPB8cZvXTEtDDRt0aI3WHev2OX1lW9XQdRPKfEKAdEDf7+W2TUSVFvXcshdNNXQWnUn6
ysK36zO2DIm/HeZfI9zTImqigDU6Svhia4gtut7E1hWUsH/LqZW5upmouzBl4lMxZomXVdVwkqwp
L11jaItDCunODaewfkisvx/EPTnqSGZVrMKDR7JjiHYTqSgaOVpwNOhTED1Y8b62vLi3HN24iTXI
NW59wGxgubJ/L0hu2uUuVZmR4wMMkBp1kp2DNVrd6+KN1tqlFpMSlC6NbaBkVn+q2n5jPfha9Lc4
4dkFxq2HMKmTNtXYwqXoR90tA1+IHH+YuLOGV9H0ssZrm40Rr++zvwPmZtxC9ysI6zBgJXjP0sep
usnVr+vDWj2YZ6PiXnhlLTIJwED0c8XvYvNpxofcvKPMp2A/vm5pazDz/z/z9WpeimZWzuFNMt2W
/btgiZ4cFRvX/YojNRFIo/cOWU10DHOOdKzqCczuQ2Yb6pdsuLRxKm1PS0hjG5802EIUrcyeOWc6
oa2DhiqLJ9GQ27FsmSFmUAuCAFIseAAmPKv6uIObO+ahvhUiLh4nYGdHxhPxKOAGJsgALueQSc3Y
K0qX2UzU3UE33SD891UCdAIUP7oFsMYiw1e0bTY1Cs3sSHivwtt8GiHL/u/b+sIGd++oWSwaUPrD
KFByLMz31BBOkjl61/fbShBzYYUL/IY41aBYiJ3QJCUaD+ys3sfK04yv/t/YQRs0tyYhRezJMBrc
CtCdvovifZ9U9mYE/Y1b5twfKJeARwXRKcCCPCRAlkQQWDYTpq0BaS04pKYqJRHQA04gAfPigAkn
Kt28ry03AApnHw3jsB9bqUGDpFLsQAFk2SlkOjI7AxDcYWY9+CyKEg/W+j8IM8SYNFFd3JudFeRu
2iRidowh9gNU75QGg9vh1Bk7sD9lkMYqW8UFH4VMoIg9vgYDE38mYRueLJC3v49hZgQPaS8rP9Ue
jY9lJKCeB26q0DczSf8dxCm7NzIZBT1w32quIRg9I/oYDgkkZNC47zdBZ9ATlHqE2lPaVIp8KQyj
10ajw6vQ1Ar4+8sy+lmB+AUaP2EAWILZyXQXVHLhDUmTWP+FYwF1GXCDYNuGZgF3+bAKJMG5pGZ2
UHQg3/CbAagVdTfWp0p1c/Px+qZacZZooPtrTb7cVGHSxxMIZODGagAjK4TgXURAOGhfN7N2Rs7N
cP6kTRm2zwQzkvJbAjNU8Ej7z3qzjWueG37nolgD8KyOn4deoMvRNIEWWUqkZ3Zbf1azTpWvqHdp
lNhKdRQS3yjvrPpe1x+uD25ZQ5i1LM7MzqM/u3GGLgozUIxlNlV+U/SKlvlj1qZEp64GlllRvWsF
F6kmYYvUZJmcnRNIkLaA+5xZYvh6m1mzTrDULrcBIPlUy3dGR0+Dzh/90aftQQ8n1+xbEqbafkQg
kWoP4EfZs6g8TIrhX5+ElRvq4lO4OegaMxM6CZ+iDpJOlFJzBK1ygOIO7b5M93K51Yo4u1VurTFw
3FDgs0YTN88vHOhBEav5kNtZqT+VWemaZpXaWh7c9kL5FQKJ0k7tU6Wav68PdJmrRk1VAfkR8Jkw
i0f/5WoboWa0owVQiD790ADsiaT8xRoKQpPsyWojEpqinQkQfmwbdF6M9zENSafFT538pPbJTSA9
jwZISZWtwHG5AsDg4IULBDl2ArgHL79L0/oYogtiYQtS5bfjLyEH6sfUvTgCgj4bN070qrWZAwuw
sbm3hnNTmmkkUdpAsrYbS2cCkY+mCySeSkcOXwph62Qv+eDROwZBXehNAwGJZBl3ybI8KFUzRguv
lzzlN6D0tHfHh6PzZTm7LYqJ77rUlZ3FNwxpuZSCOZMiUVmyfSDOBKdmDg04Qe1uitGIoWzVtdAD
YK1RHtJICI6ikcVIqFZt9BVMiihAhlaXgIbK6b0oT8kuyU2pJCqgIjK6coLuZ5RqUJIPJwj/JGpU
H6IBJB2TKGb3YoKIqwjL+41du+IaLbTVIsZHggolc841JiFru4iOuS0JlNqB2d+IJkTtjVr9iRps
6kKu+Nmswnst81kNFTdp7L+uf8IippxrxmBPB18LiGxRDb3cn0hGAxcAzDZpqucMFNVN9X7dwOIu
4wxwB0BPu4nl5WxgfMJ6SdLDZu/I1hi4bdhpEygqOpgwo9DT+oAwdev5smGCp48qpQRObZ6mNgIf
RfgiWvv/ZpogFC+DoWDGY1+uQzDKOkUHB8aQtASd4k3zKOv/HlYAdAhSQQOYCbS8cD5SjQwmKLGY
I7rPXxUl8q3WeNGlLQDA/KmLk2ohnzf3CKDPjXNCbEhGXatxUqcBUZ3sUTzQ+8jP+38vUM5lgW/C
SR29FQZPAtVKgwQGzCm3a/nnKCEEf6Ol00hOzg5U/AFwEvB5UbRT6pFkISTnlLss3kfhTlRsGX/3
jyuIEPy7bISWf4RuPDGlmCVMgK/I7LmtsIx2/VTYmw5+xQ1i5RAQAFyDdrgFwaCQWXiURYAhonx/
h4aC5+e5po7CzNNE0Fay+/fCFNoXNGCERTSHgp+E81B9RA1lrBFFzQqYUuyM2rssv4xbObXF+cL1
fW6G2/548ih1W8JMjla3Qb2drH+vI80W8FYHNThSzryj07IplnINFkoQoU/ij4I5oA3yM4bG+42z
vDaYmegVnTIzPdl328BZ5KnrLMBWQCySWkl33xVxexo6kERc328rAS7KU9AXAKHcTDbJXx5mESgq
+D1yOywsQJYVYFtig92BgJYAaeNWDG3L08dIcy9rP4Nae9qwv0yJXdrn1iwJBY3qswZrh8wfrSmp
JwE4aym6ZcFXA12JSVBRUcQbfNziRFyJcxRwfs7AWAk0xssybSAprGgR7aFlNqY3cu7MDwrQebKU
bczz0p1hmH9tydwLPx5Qr4ti2FJYZ/dzi+p4VOKjuVUjWx0TGLqgQQayIfBoXd4AAPEkYaUjVs8h
rySJJTEyr59us+4d+rEbS7eMOzCmM1vzDj7boSMEbPvUgC0kfPCO/SNKeMfu9ABsfcYHCzGnqlcq
Ht0irFkZI9IXljlzIKP1iK+pQiQhbg21LOwh/woLgcgFgh30ticHw0rc64NctfUtew3Phc5O7hoS
hiYvkr4CZYAMZn7Vl0EAB57lqO1JtyUqsbJHIIKAfgGEcTJogjkvWXVTLYdTDVutr0s3DCwN7Qj2
o/75+phWsvAoyJ0Z4s5cpUyNno0w1OfHNLphFSiyfsumO2Z2YfSEFsehtUX5pSz3Zuv26cN1+3Mk
dXm1w/zMbotbFwApPr9aaBak5ae2sANtcIQceXgwMEC+BaC9p6KtbFn5nWobm3V1bs9scgGkAm8q
5ypsMjXzrMST8mBnKAcNTDz/u8FxYWSFZs2kGpvCVpSEABqGQU2kTz8lLXA6ldqx6MXmz+s254+/
MqEq51zA/jOBlgGDKwzkqQ9d6zD1nbWqI5j2mDQbF9OatfPH6Hxkzo79NIq0oYCJIn8XuwqqV2lz
EpAdT+vRq6GWPlZbjFjoLFmMcH4j4oWDnKUGqC63fCztIib10qy6UEiDT7MqeGNh20PZsWwM0xum
rAXSrhIswZ/SzDoCHg3IfNpE0ouEdlPPFCp1D0Y5I75lQ2h+FaUkf/SNEByEWA/3UzYZ3pgb8bMZ
DpU7tmXWPDHGRt8o6upeFEz9qE+y+lYMdeOXVqWmROuqIEDRaBLf47GL33UpQYF3qAT9Fen1Ygae
F7JI5HGsqVNnaQMButikiq8Pgvo0pElv3aVWUUKmFaEYO4QKSID3VpjrEsS2E/NN7k2hALhbpuDv
zibWo5U9t/5UZaAPuy7UwtINAkFVXGsSpdFvUjEx7KlFRhuFs3Yo3ILWVe2FNcDUe8FQqfkoW1Eb
g0tTGse9Cnp/qIvQNk8PoiFkmDioSTpDrox+EqlWdweez7Db61kd7jpLB19LY435zwj8FXdDjcw/
mQYTld7CzMCXJZtTAOiNAL10oELoTa6ZQWIPLMxSO8uz0fBzRQ3cQG6iyC6G0DglZW2UYDqaYe5j
QBHka7hSUN/N1Ol3x0QtINB4nTS/omgmuI+GQOr2UyJ2KKkXhtWAEnzKnsrB0u9kuRpjdyzKFEqz
ApRDtCgbJQ/1Yoj96bFa/KSKFqM8bVUDdOYZk7y2nZQPZLV08yEDxwNUtqMEH6y1bedmFgbpxWNe
QBI8jao7g6lF/8zKsezt3KqK2rUMSH/vu6oTP0Spn3yLTgU4KJArQ1oZHHHDsUka82cE7nJwVwDA
7YusnUJwfgGDhSskrexSj9JHOlRAzPSlHj9bnYGGIEMWis+h0obfNNIhRD8N4o2KJMSu1kLj2Atp
LpA+pIbhAP9i5iQSdba3skp4Tq02f7RGWvfOMMWGo+RRfVR7CMMDH2PIT1WWN15Qy6DU7KYS2r/t
EKYvpdTU9w3k23USWAME+BJqiqQNkwEwNUaDX1oej59lLYCv1jJb5vdlKYK3wWhy6iSjpddunwDy
Yte5FNhWrxgoBkhKSABgn57qUIcfUnp1+AMulNiyLTWgYIstc4by72D8CiNNZjYIo8qHuNEqHy2W
EGzPsdu/JpD1jOBuyHSnQeYmITS2kGvpxdAIXbSc9qGN7GH6yxQkufebHhsUexwePdX7YvCYGUMm
IxmC6RS0mjUQPECGjjAxRDlPxzPhRgB7lOgVOLIf+gQCLpKCbrjayKYt3CVSFxC8gmjJ/IrFyC/d
ZTDIA+17SQAoyxZaewZsRboMfcYbM3lAGvP6VbB4NczWdMSySJ6ioMjHf1GsFW0WwJpg/WpztIGo
G5mY70j14rLhLHBRH8iZu7oE2yfRffYZ77K9x3Z/FF84VC+x/UEJGmAgy47koRdtcOct4obvJNDc
LAGqILyM5kvi7OKhZWvEdYb0SQHdexQwaXfbli/JlJB0HEne7iqoiF6fzi2T3OJl+YD0nYyESji9
Z8kuBBlIiWOReZX0i5qabQUbl+t6ouvvGLnZlXvW0QLFTDKOt6bsKeD6l+J/jYW4eeTizICFLDci
2IgQcwWhZw0Aho1OrW6MZQEYhw4yEvgz4TzUcpYaWoMe6YIO0i+i/5D9N+qkL9l+GHzJT/eF3+7q
3fXFWraCcfa4uLYutF6UK9ijnvQkvdE32X5M7aB15PvTcJJPhiP6hrNhdBGacEa5cEjtALo09Tnn
FqZOWKNppXGYdaS9nagG0Y27SGhI3QMHCJ3bemMp1477zF8C2JmGggkPNpTCVE9BFSMQI7ip8zuz
3SizL8Lm78H9/flc3BVSSpM+x88XJt1WFepO4H9lN9lWh+XWOOZzeHa0a10JNTDMw0lCpTaXdoHY
bbjh/8fm+L9D4aGBjQraH0QdAkFyzQid9/iBnejus0WbwldxRJe8l3vVj3pjAjfNcg/IOLBiNg4w
a8n29PiQf4k2AiQ8A47Dz9fJyfc/LCfXNtzWEjI2rxt+Q1cO4Fw0D1zOZy+iTRZFd+Fbsf6gfcr+
5Js39VfnPN8nGZnuIpwFaLuR5Id41DfezAs85Pe5P7POOeraalmtBjgSoCBgkVu+AJTQkDFwBV9+
jTaOwLIr+Hus2nfiD0ynvExhCaUCRKQYa3Kqv+oXGW3o2VHfSz54MN7GQ0Myuz6mQGVunfxF6gqG
DTTcQ2EKvxaQSDNhIxtGDHMEK46uORXqsclto9jKtK80Jwlu661GkdXBAnAFpwpgG9J2nO9uwWDX
VwIGm+du74JjsYeqdXHUHiFDdpo807Mehh3id3dLEG/NE5wb5nyrDoRSTfFMIKl1CyoDcNGrYLuv
tQ0fvuYIzs1w3hRriVBXhhlR/mmgL1mnf67769X45dwC59IEIwjkQIUFpL9rIh8qT73vCAlPbejo
xCQ/2l3hPyh77X7rXKxMIfCbaLEBCTiyVwY3NnmsIpAATuDIbX9IKGrXzqTuR+vl+gDnHcDFZ7CC
y2DuKdMRCl4efSXJQWDSMPg51S1QhIyaFH0+0YY7XVknJJAgzwBZAEmGr7m0AhCFoUAmB4fO+mEZ
D2K00cy84JiXkfYGGZYGvQHQSqgWF3lRqdZavBLAVjtC5zLcWXcKMf3ECbyadF58TN3umD+odghF
0M5mL/eDr93qiD7B03Xf3sHXHANXvb1lfmGXe5mEzo8t5rzFTHOfOM/R2aUVzVQbEEGJbFW4TYdj
CtrZ4F+PA0xgDWfYgYh/eEQuDcHsCNLhyK6Sk5g9qsrGz5+33MVmmX8+Uv9QXfiWyeNmWaBiGOcD
UN2d8iU1T0N3GCI8iJwo3jC02PucIW6uQivAuQgrUAKXjAzBITbe1cwVm41tKc+nlx/QdywEGPPM
Rc2dsYwhF62UPQbk6C8jMdzqlLrK7XsFiBxqHH53ig/gUNtDredWe8gerX3uIALwhefS3eraWJwR
8LkBNaKgVARJcZS+LveHkhdi3hRDBI70ry52errVyrkyqRcG5sk424B5l0j6FMOAZtyxAIoK+6pC
emtjTlf2CEq92HsAyoM7WuOOehrgXa91s5X6JgtaiAHuOlraoMEbt67UlRN1bkrnE5mjVSrSCFMA
FKml37cHam4EZGujwQsZ9P0KBPJQYr2cs6yM1KHvFCyK+qlWxCyOQVuTuacn3djya8t/bmlevbPV
KWQdKSwdlkoNDUQFukHUrTBv8fbADjs3we0wqwD9EsRQMV+eIUNRiMgucnBuG/qTTAT4Tfb7+uWy
fNJxFrktF1poBs1GWGwEL34RLKLatV0cw1ONUEv91P4/JIm35pHbf6AzwhWhwmR/KISbCnV6+49l
j7b4Fue2NhEpdwRn8q8PdGUnojyB/Y72b3Th8RXrbhhoqrYaBKiQtUl/QEslae6vm1gCvyHkhX0o
Q88TLB7wWpcbRBF0RotRj2ykh2+hcULMg3GXP44EWWQv+dKdEPj+jkBW9/ZLcQdyi/5gYt7m5NdA
wo/rH7N8MXAfw+1Ws8lbrSuNCJhiJEEJyJvUiXQOO6l29NG5gVeQsbZL6E7LRC9JsHHfr7iyi7ng
djJQP4HZBZiLTPkDoCRSdBDjfCzbrd70ZesDN05uAydpKdctg6EJJPE5aW8bDziiZ8jTPXY7acf8
H9RWvYworup0t5YPPZkdKnIb5KOrw4VW7NzjiUieZ8g3zcEqjWpmgodqjmInCD3NO9Zu+IeVk4MW
BTA6omQig6WBu937WJFjnYE4BGTJkvAc5z82Ns2KM70wMH/AmYtrQnR+xR0MdJ8tnBw4OffxMXTN
ffTBbsU7zQ9tMFy71n5LtOO7LYG75y8sL85OXMs1heXWLTNC39Sv3md3SCxLtnYjvNenNsa9vhXB
b00od0io3BdRLsFqlXptft9VX9cndLkt0MOHPk/sUSQ4F+FeHA2W0jYh2vMTudtZQXdrqgxVhhKI
g3qMtvpsl04Omem5yRgbcOZi4Z4KNE8ay6yruR/9nqGTpX7otxKoK34FNkD4MqszarMSyeUWMbpa
qKiILIv+Pt4BRVFDvQchPN2FvmFB2Z657uBMUHDPna2y4bptvIXQVAoKe5l/pIDXb5RiE5nidJf0
ZHwqPFA82yBat6POFuzasf4w3WY3oTcy0h631OxXNinG/tc+n3ISk7hS1BH2ezt4MPZ6g9vSdJhd
+oO7Z/YAzUH76foOWiYIkPc/t8mtaTwiYRepc1arJMkeWceD8SaU5APA4s8Rg3cid3SD1+pmK0Gw
BBvO7SZwaICdqyCD5HORlVz2lTmFALfFr0Zgi8Dy0d0Y+hqQqKVwT/vUATlkoYMQv924rZePeowa
tzWIsBDx4MLmdpk4UT0RWARWt5PiJPvcHVzLxQWGxD1R/OQrfDZuqGlPxHDGz97ut+jaV+7yyw/g
PENs6bkSGPgAcHR4wo7FRDqZX93p7bfpTYfRCY/jEWgyF5gbwHGP6TNI0BJbPNx2zK4Dgp6gDd+/
6krOZoS7UPHmG5mVxMhxTK4O9VWj8WJE7KHwz68DtMwbs2I3tM9nObjL891mDPoFfQCmmvFOilrA
M7yhuu/l1quGX9f39hzoXfp8mAI7uo72U+Ba+O78tNbQUK3CFDQWrIcUrEAPQ9Ye2ZQ2UCoFaY88
DR9KO43HFBXL67aXnh8+RAQrGUT2wHXIi+cMoTIKjYnp1EDAHxiF20obo5sDD350kNWDkZmVHDCE
y4kMk1rPCj1Ba6HWA8yEEMzojmkVv3bGZFN0jRmoL/8Xg0KZEAcXASiGdmkyUfo4qjrkw+P6PjEr
0m0hR1bP5VyI/D8WuGORZaxKewoLkQK/q8xoBbzMh1+MmBCOcxsyeQl5SZ+Rkw7t3yJ6RzaGuLZn
0CyGIGi+AYAcvxwiiJ+FFPAdFAtjRLNzOK3ehfdgSNzwQMueKgzz3BA30lpNskyOYUh7yk5oaICY
PJrijvE+t1/lT9kzLbIl7rV6v5zb5M5emhdMa3XYBIzsWTyItvqzx3z+Me+g+QP+r/xjS0RqbTqR
yhCBSprpAPkdQw05TwwwxCMXAHLrBByzzmjdA4wkJmhUGdBB4Fzfoks3dnmpcOF61Y0gPlJwqcjG
uB8lFwgkd6SPrNuws/KwvTTEvzJjGaJoDIaqk/K78dgblCz3yk2Dx5CreiiU9rvrI1s5GxcW+egg
6VrsGREWxclW38sdJJLuppvwke5QArsZbUSydvGAdrEfEu6tw6a4ybw7Lh3OpX0uUigSKYBgNexH
e+HOegpRnK1f0Ix0Mp+n0GU78IQWdv0s3yKXfH3o86G7Zlm+PJRS1g0QWI8AGDdRd0tfo6Lyuq32
1OVWvRwe50+bIB6SucHFZpIMoZ+WtHL12FojATv2SyhBNqYZ0AFjbdyHy4LfZRhkzDfJ2ZtoxLjS
YN6xok9PYrIDN7od/5ksgtY4+W5wxoN8RJnGUZ7/i0md03RQkAOwm3/sVUObikzFpAZZSOTEb8qX
4J+7KOexAVhi4TeQPnxALdchFehso7Z0uhs060/KpLtOmKodXLD3XwzorzH+fFBLSZE/g7FI+aOJ
LsP1F6pbbntRw7scEQ/+MCINxT0FRlThFKgO1U+JQd0iV7xGPrSSy6pPWXi7PrBVn3Y2MG77Rwmz
JimATSuWC6fJkhuNTioKa6Xglgr4TK6bWz1tZ+a4g5CLAZBtJdiwReUhCu5rCtTmv/KlcLPI7fnI
SiJmhDGWyvxA9gZd9cQIN/zl+sGayVIA0ZmB6txVrjEw4Q4Q0bU160aAdE99U4LuDu86ZRdkey1+
NiCJE4pECb1au1MzJ9GJ3G3kqb4r5wvfdfYV3D1vFUo1GQO+YoT8h0JkyKHKoNZKf0XjXd6D9Thw
dMjW0K2H9OqmObPL3fVRA9LcqoXdKXmSdfBe78Ck4qBr8PpmWdbusZQwYwFBMKM/eZx1y/pEKwLY
EVT0rKgYh6Q3uyAA+jMAkUM046REyRFa5RBtZUTXbiSkPlAahbgunpHcHVzHgTZBTza109o8oETr
ZGgDGUblXS+Nfbh1Aa8u5V9zKs+6MBpmXU4ymPEzvFuMP9UoOWFA1PaxMhPSFI0TlV5eDHu8069P
8uJqmsc2yz1BkRN9zTK3h0Q9jrRAbRu7Tg5DBsJ6/VQnKWrq9ogQWam8qMu96yYXU8uZ5LaPGAE+
nFGYVKnsVKVEYql/SovaETVAWsvMv25usVs5c1zYFvcNhVQAzGVI0CvBXqcPdTvZyhZB/qodGZOo
gjQaeGVuWMNUFtI09Y2tW+UxCgxbo7krgNNCL+qNi311Bs9McUPK9dSiGu0agL/twvwFgpY4HW11
LOxGj/6b1UJ5Co9qHaBvHvvVy+ZQ5UXd2JrSQ9O7/IXMwqGWZYhex9WuUcct3zrHehdebV6vvwZ5
wTTNEPqCilVjw/HuxUo96HF7bEEsXvRvXVTfIbsHwDu2aS4So8/213fL4oaarSM7KIHJfhYS5Vax
HrMyyGqsYiZUTlIDecY+AuAlrltZ3StnVrgFLHMkqLoEVsQodgQocYjgLenRupNpW/fh0ot+jwiU
j8iEQROZz3qabTVALB22hM6Vaeak6IpPMgDonapR0SmIRIxC1NK9PsLVeUTAArlCoPnw+zL0lHu9
zrNhgF+ZAm/Uh4pISuLoQrdRvVj1X3/t8AyrUyQMAdQIwaOZWijYvLeFO6ARiaI/I6C21nwCmrYx
tHlxFhv0zCT3WBlNgLwEBSZnBTIUp9B7BGxwW78DiEJEfSOe2bLGRWjMrGaaekykipg9eAqFR926
idSnqHBD9V+7muetcjYyLjwb9EJXCxG2dApKUlQyC69jRBVfCmrXuJJS9OFf3yZby8dFa2klSGiT
hEVpSrxOQxe/FboDw+2Hkx2M+Y8MuTy9r35fNzv/2GtLOO/es4eRVEgxNUuYDRtkLOrMidTNvsfV
hYN29xzE6OoiiSYXaC8w4mmW8j1F9KWp37r2qISOJO9Qe2iKHVQgGMtIkDyYYkSgUjRqR6PfK5Xd
hP+qAobOS4Dt/34MN89NnLd0yjBgqj/m/eRWKdgkjI1raXVWz4xws5opQ6INNUacpgelGd162kqN
rPpNoK+QQoOEPNKTl+sGmq0s6yjUawVMoUR/tyoISgti1lv6oPMPWmyQM0Pzh5xtkFRVgiqpYWio
oJYGhexQeZH0Dd+1NIJAD3hqwAfAyYuC1KWRJpPkzLBmR6IOtkBjv+yBUrW2cLjLZbk0w3kQwYhD
JVWw9kBj4T1pioE7xd2WcuRyaS6tcL5DAHFRRzsMxmSykycvTRaTOvgYtA3Qx7odcFkDNooogeeM
M8dKSzKgtG21030QGe8ay6iIMnT+oMt0Y0cv3RMGNdPHYbPhAcKzZMlmyqpRHRu7xzaIpiclsU3D
iQTQJydui0YaVJD+1TNdWuQWK48UPQ0zNKOVOrs12oZ0Vvhw3cTqtkPdAN0keLkidXK57agxAsI2
YVCCkn0UxaC+pqoBcVGA+zembxmn4vmmzjVP9PShEscFUwCCsVGa1MZGq8NBjna0U27VVib1T3mr
mWL5JIdkKSBNc4PBNxabO0x9W8qpmesIGydbevPEJzyGH0q7OuoOqBeAJXwDRdSHtJXU/6YEuvQU
l3a5BZPaODUnXQNRJ3k2D9mJ3bcuu6Peg2SjuZ/0pPB7/LURQm/gWUOHKH1tfcEF06jbuN0ueZG+
QUqWXZ5Kp3MhQfn7+nJ/Y5GufSF3Ms2ybPpKmb/wLvKj5+rVcCPUfi0XX3CsUPIGEO1gEvmxIAdo
9BGqbWyD5U14OUXc5cPEuu37ER8QS4emeZX0ZynZq/n9pOCm2NjcK+HupTHuiohFOSyhOod9kDmS
eqNobijEBIymFIDD6qkJkEfbcEmr2/xs63EHahrQUhfH2HpaRgkKWYQZro7YkALXvXUDrs0l2pyh
Fazh/C5aqkPRDGgpGDhSJRkFiI5bAZlobbOQOn1zzF+vb55lYgLH6twet72L2FCrxIC9Iv3RqSQT
b/MKhCkRtIBvQI4xjp7Z2+1WqWXN7wKoZUIQSYWSFS/MM1ajEKUZ2PER/QXJXojRzgOcJcQ902on
iz/MLXzYmk+EmBQK92hNMtDJfOkTrbhl6VTDYJd6Q/NulC9jsHEOl2UdTOWZje8izFlMUWtyJXeN
gJurAaAbdC19/4um8buah6SZpHupUo+VljmiOfi1Hrope4We5sZZXLZGcF/B+ckkQ51V7jDSYajs
Svuog+IhH0sPJSc7ll+ASMdT5iQIsd/QnrAxu7u+o9YOy/kscBsqLSUt/x/Srqw5UpzZ/iIi2CVe
gVpd3re2X4huuy12JHb49ffg737TVSpuET03ZiZinpyVIpWSMk+e4+RYBdBDrQTn4LZ6HbWDFd+R
fgHVOBdFx6akxFfkLRekgqtqSdySQ2Udg8jNp1GtcdlOqi1p/03yObYoZbrCMmJSjbCYDE+x2IAH
jRVoNBPu1+1zhVHhEJPGaru+vKTTX5UT/LFVKeX1JS4k42S1J8+FCRzs0p1raSGlBEczDaPoHAaq
fATzoFm5Ste6VR4dWqNYGUYALr7cHXPr4bJjc8nu2DHp/qBUAecU0/VeZLSu1T+aSe2Smng8/B0D
UPT3VZlpg6JGAi4qUM7KV8uxFnGVqghNln11dYtijJtjIk57vuzVfK75Y0YKEl0ErUamHVCP8Tao
hmuzNleqLhZeF9NHOY+KP2akqLCimqmVATNq9ZB306FkrHMOsnF7e9mf/yOl/LEkhYchoBnPFFgq
IfPRp/XKil7t0YfGAaTIRwvkBSjaeWPogyfIXbA9patzLyek10Q6CLXw08RNgQEvRpNVXpda3e8s
MfuNnYzxLueENm6TBe0D6Daq17E1hd9CCmJvWrxblXGmLOzC2cSmAX3kaCa0ENUpmI/SO0gLmoiU
KN9nremH8RNPRg+vBNNcgejjstfnyOEpiR/Zko6roLfaKKngNSkbP+pG2ISxMX4Wie2VzltmDD7c
vKqtZCN0+42AchfEiF7bdwe1/VJotkb4g4TkwwGRCVSDNsAUbeIoeBBlfFUDo5U6+u7yj54Le+Au
HcTJ9CSQ65AwwlTHqivPQT0pKleRCgJX1i4E49JXkHK+EvIkoQlWRlF/9/muK9dcuSpQKsac/mV/
lixJ2xjiLEYcZrBEHeYVZJXzp0L9wQSGTMEQe9nWbAI++t7SXmYok5mgTUa1P13X5aMCdWlz8HKb
u5k1Mf6+atHLZYuz9+jjEJM2Ne5IChltbGqLbGJwtmDC03SV2PaC0m+be2dAFWsJKDh/RTryU0r4
jgiipiZYU4PfE9ArqtZVWr2mowaMG1vnZe02U2HyHqPfpbNPhoUt/B2DZ9lEA3MoUOpAFcgTOcIY
AlLVUeVZ2gHHqtfZjWuG2zG+QTLh5Ttlldv2DxqEvrunztnb6isBiPLy0uvzkfXnV0hLbyZDwzsd
v4Lc3tpvA0bCSgBJK7dUAdqtcUd0O1/dFd4HnxQVSwyorhNfWacrxx/fLv+W2RP4aEGkD6KJsS2R
1yqvV2zoAHXvKJVErpEPfqOKnWVWft9YS5PFsy9W88iqlEpTxsANpMFqiVG5fB2G7u935wZkQZ8h
HqsgLcEC1K7tlmiyrxGb20Ws3lyyOv4FUoKN9CwpUpDkgVDKNUAog75rwZcINg197vD64+cZCSvK
7HFqwYq6qTBDvdU3kWvvfpV+9styjc8BE6X8NQCdgx/t8n27qqGj170ZDx+aBzntXQoIdbIMVf/u
sF3YBXLVq6lqg7bTz6pYnWGdo0wHqZ09boMEMw0FK/tnpaXagxZ2eQeBkrDeV4BvVm6cRc1vU5um
y5JgcH4BuxdftZXmXKt1RmsXvI7mcD/2oCYu2kQcmKFGMUThbHZIQXhdr/UucbDQWUJdBikP4oWh
CBj46FOxZ7FVbzPSGlcFAUxZFYp236sNWLnLBrpCGiHmNgg5fc0qDHUmJRuA9e6CxsduQknd6MYb
MDWlmzxLhm3fjdQTiqK7HW3yQxZX4DCKrdIfsrJ+LhUwvLuD2fG9w6v8rjBL8hOTWfQ6a0ZQilWE
6rE/hhm6TTUn4rWhYVF5UZ00dwUCN/OdnkHxrBhzf6yz8EmJWxtaRBm9q9N2IG6CcRxUXYbA2NSc
Wrmn14P9oWJlrkLB8hpVRlALeZ3DgesQTgg1bQetawB+SYckLOp94zjlCx3b4cmiVNzRvg9veWOw
K4ahDS/OTQVi4636hdmU9h4VIPWtrXVn1+Yh/mKAEas1sCNi8MYBRFYlGlp7lpjqvRoAXuyjw0Wf
W7Wtr0Mx2NwXQs0/g5Eo6yC0m8BjGPfeajTjGY7VtDT3TTxoQLiEtZOvUQ4zG7cMAitDwyqB4D1a
SvoAHmBdexiganpvBnqIAidPg5vKsfU7PPZDw7UFzd5JyTDWWYA4MsIqlwoIlARxtqqZm3dqACW3
MDOUa8eu09rjKo1XpR0MXwY3HYzGDZ2xuZz+vkvwl7bCtIOPLnXmiGojhCQqT7+OHnCffI/9u2Qf
+B+5G23022IX+a/dFdkNa2gaLNUWz2GZ39e8fw4CefA8C6vCaac8SDe/GhTmtuFjB9rA+9zV38YV
XcX3be6RA7kNbsiUFZcoZmevHRgLM8GxjEaujAMfUuxXkyXwvp7wTYO4ts0RKi1N9zOL6UdSNgeS
46NZxbC7vPDnGGa4fnxblM7AvnaSzgaS3qPKB4BVghxAA+fSQIB3Hm9Bwy3Jo136arzSw3cG7mOr
IAud18mE/O2Pf4J09vVGmKZxiJ9AROarobVOzIfB7O/KZqlsMPuIgZAE2hUg9jwbBI6EQTLeg30y
1ap1AH0Qr6DOzyQU5hriNTjkbAW3dAV1bDUV0AfRUHkrinyhMjPnL6pt//wKaclJXRZURaPQQxPv
JlDAYKbsxmwj4s6//HFn7zdHhqSFbTGGqKAbCRJt0TSuMaQ/eZ98Wary1kTUbcelfTR7lwUpi+FA
6BsMRfIjUUkTx+rNSWWruzJwdg7UR/hoZFXXDE9Bv+2vY7L6eyetCUAGjRD8J6M5zXrQQZQIm2r5
Kye4sVivdmm5tHm1lpBH8/6hcgkCUwpuK7lwwUKi1lWJBbXVJ9Z7Rn8FRrleaXyapC4BZFz4kaYt
ODh3RQK5G0YNDAOoErm50zoR420N1VKccq7VxFdhHa04yhmX13HWzDQkj+kCGJKxxKwZoK0U4ElQ
jNsSNLS2cq3XX5dtzBXQJuLp/9qQnnKoFRiOocMGIyCp1Mq63YkEGoWXrcztr2Mrk6dHZ0kwDEYj
NFhpoRPFE+FirtvrdL/s2cJzcT4gwDoBHBMQqugVnJqK7JzHCmhHsZXL1djhwYDzEjouHjjJd5ao
IcOMuiSAnBCENJa229wXs7FgDsIC5C8yMhtUk0luTe2eQjlUPVR4rnO2cDzMfbAjEzIemzW5KJoG
JkQOVXmUV7tULLzCFryQ9y+IJjrImcCEFatumRQ+G67C8PflkJg7YJGW/vlOUsodNSdpRId3faIc
kDF8Y0h+WCDljJX0XQuQqVLT5fVSW3Y+PEABqQNDODVMp591FIlWgscbt5GbOOC00PHWNq2zNnUQ
p3r22LsCzJ+L7O5z6wloEVSPVdwk7O9H75FN6GYp+UT56jnGg4WgzwbXNhbCYtYGUIr2RAaEmSCp
+NNnYnQKDr9Sm10JfaO3fMv5wjebbYlBjO8fK1K2iGtaYmoEVqICSlNDiKM4eRBBf1uZ1NOCEpwu
4N0z287vSuvJKfO/lunD3ej4B0zLcLSUAQfZGqjGcJwlww+7R811jD4UA4MPjXDLeqkeMZu3jvyV
ghR0p23XBvA3Dzd1+xL1r3X00i5CoOdKDcALooQ76RobZ0pLGcbZCwhKeWOTfI4q/cz0YWVh8seA
DFtrfrQCLLsNEGiNEe1NPXNplkRuLqrOdewwdnn/yal2HUWAitdLd6OFHyeL9eTEriMWYMmhACKi
q5GCetZzoAMSY9oMDNuX08J8HBN0IjEKT4k8Xao7dRWwaSlyOrhgmfZLpdiZeb7QIZjNPvYfM1Ig
96bWWdSEmbh9rfltM8ZgAVvTFMPJxTYeJ13S1f/PMSlyh1oLRNjCopqNXk1Z6lIgzYu6/zfZGyxS
/6ygFLMstLmpVdMKkufEuoESn8vjJZL82fUDolYFgh6Ab/mgMwlGYrUKF+YAWKcqee3iGzbEfhX8
HKMNTlm3wtv58gLO7kVIc0IqxQaLhnyTTXnT2IE+1RqsNRV001Ub07kemr8eeJpSDCDQmG0G8BsH
1GmKgcaRPhYJ7FiAyo8QX0QJFnzPC+Ew9xA4tiJ9pYyirhKPWEBh8UNeDema1cobqeno6npzX7B4
iTVj9uiD4uTEdDMVbOSrssq0NFIojvU0Cd/w/xutpNuS8FUcjNe5ZQBFdp+DZA7VmmKha7PkrfTs
KYxAb3uOCzNKKOuiecMMuVeBmiBv2B6TJgtn4WzGOvqCUg0V0tWx3QhYa8VO0Z7jcm914f1Ydn4B
2mCDLjH5Lnk3bZajQynPxjaOSthLq36dEeOO21B5pukqquObvtD/WpTpNELljAx1zJSQCBHaajV0
Up7K6kuQz155uLzhZgPmKEap1GCsaRDFPIed2tHfqyQO3Yy1xZUGPVEP1PVQUaN94akcJJi1jtZa
zZN/tef/2YtUqkFVEXKkNnkKniud+pzoXpMC/UOWUDezn3DirYCyAfjIvrszR58QUluZ7gz4hCGU
mcW6T+61aXylfA2XuARng/PIknTydApx8rGHJUd/qTHW1a+B2R/zEuoUqPx2w8JdfjZrAn+og5GV
QmlKymamgudPBM5ur4YuRB5BTysHa/eoX9tpt8DptmRKSmlxmXCVGzDFifZI9e4tttCo6+xdudj7
nn61XJ+aUJX/9UrKJ1Ws5Lk+PcBN5tybIL93++aXuci7PH/fPbIjZZLYZHnQhRxnKVsZo5+jBKmH
3M8RGyJ9qin0fe5QTbeWoG5LSylllISEfVOUWEphoPioO5iOKRs36Qq/y62ldDLb+rMmjTcQEIHw
U6YWFFnBQSgDa1bc/045xNd0dkt7tquz6EeQA6OlV81XbGkYjs0PIXQJwrjChFDgZ3b6agL9dznx
yJcLjWK/oY+At5KtA94gfd00UHAOiiDEHCsUDoIfzQgN46rbjk2/NaY6iJVqrh3+Le0h2p4YMkYN
EHrZoFKRKVtFX+dNbBCMz9aOrzX7sQYbHFThLzsnf1rZipTSBmeExHQMK+1QuuXEpwfmVLDRan8t
0/5tCXNcNjYAxvJkRU+uZtpAOchSiJ3sFKf3zTFeB/XS6ScntP+YAQktmLIAWZRfnkYJHt+6BudO
YJaGW0GaGhCR/eA0DrRZHB9SPED7fV1eRDldyxEi7cseyk1ah+FtL276PS3zdV/Xe8Mp7rkxrNAw
WXgtyOkG5ixUwSA6B3ppXD4lc7zR8zxqQhCs9c2+QkfIRcPliuvKAmpvxg7wrdOkIWqK0zF0epEw
A6sS2hQTMYWwzSRIoh6S9MfltTv7XpO865ERKQAzXg5DKkC910dd4mmM7xrwVJkdXp+GskmDr7Av
Hy+bPMujWEBo3Ovgo5rkhMFEdupYG/EOnf0eFHh6dB92+tokMUa31Q9NY/d90uJUUl81qIoISN9E
5hKG5CxcsAtQFQE6iVg44+Wd0DROmrahCUJHtQVvcUc+nJxYP4XRaGDks3I/RTHt+bLPZ8s8ZRMQ
FRkTAbyBWepTlwEzDQY2UVE50bCK2kPW7bh2XxbIaNkdeNAvW5vJKri0oKlsg7Ro0mg6tZZO92tF
xb2Mj5lxEIKOPu8C7qljq261iC0B32btYWobcQRCWjCwn9pLyrHVKlvEnoORWL1+Y5G+ZvlaXRrL
O9sRyCf4ajaZ5remMe1TO1GatDqLKvg1iBsEykcdiA1T6NPfLx9Gq3DoTCSjplyAKeFPaHVa7KXx
u2ZBYnxtG588XNh5c4sG5l4wpE0jKBhLlZyJVC1sIh0TVequHj/HJnPZpF79edmZuTXDjBhUVKeC
I3LJqZk4rXGAQvDA0wRTNg6HxnImTNSGnCheetiddYmR/QFsIwSJEYUAQ2bCjwdLFCRKYtyLOvUF
2l0OBMDCWLvvBzUv3EERue6qiq7+qqCdvc7rocFgIxuxH2KV3JV9CirZdoxCtjEpUYVL1Cr4BHK5
fxoh+v5BSGVtCc0r5oUY/H6tWZD/i/VCRf27bopmjkx3LBoTfT41iLzGHPwgZK7pFGB9XHpizH39
YzPSlskBCDAsAjN4Xq+Hfstq1bOSxB+Dl8vff9YQjmIL9zlMb8lz3I4pdD6aCvzJCKYr8940XzWa
iAdjDIwPkK7aSyOW5/kdiDH0b8EKgoLQdLqchlxpBWoy5OBwiMttbGg+kJWjvYNSejuuCdhVRMNd
p1yF+cJlaibUYXcCVSLtgVtMWtNRhHmgcEibMZwnRmL5RaX4jCz1++aiHHRw0ywXRhVBeyJtKbvq
HQsk4ri04fUJ/nRXie4d+myWmFRYlZiCRv9PBHuDbdriBeRqPX0sVQTsT86vMF9OzVXf3PZLxKEm
VvX4FYS9B056FbTmpuYYtkxfayetsKIOiMuk2ASACGg4wy+H0lkJQDYx/YSjd3HTCyTlCib4R2x6
JuYkMNuzH350v/q3dKHdOXNKo7SvIn6+u7nyY98ZRS/SCUBKkRiH5tBVt7VuukXlV8mCqbm4wTUf
9XYVkAPIs5y6xTBexCJHgJWK8W0djD5LrB0t1IXlmzdjY9IQ9w/Dkk+vEeMCBu1hhhUjSl8AbyTQ
tjAWwAsz6zZxxNg6OiM4WeTNVzkxJo7TPvbyMcGQq9oq10idv1BjqN04UcEKwLq/Rdhj4TDTiHKJ
hlIzOVO2UQKqCPTXwBfbGYdYdF6mQmeGZtugyxYuxTPp7MSUdF+loxFjCTGgmRQvnIYuJBU9u/gR
mn+fS07sSDksUtXaMnLYgZakz6pqRepo24zm38cE7sD4RwfVBy6j0o1GjdTSLDVIHGYd9RutvAkK
7gEUvr68c2dyg+kgF0O9w8TDTIYogKOhiONmgtPErx0oby3j8bKBudgGaJ3ilQLOUZToTrcQDzhU
jtG08uyw+4rAlFNAaTUO9IWdOhPcaC9Aag4QLBByyhdN1apoqEz0eCQtDmNkgV5f3Tf5p1UlbhQN
Cx9nxpqNcQrcaqcXH0RPTp3CBJNlF0aSegCbXKmJusta4tsN/ANXMlkaXppZQljDsQWFlYnNTTq9
REC7TLeySY+d7iedTYwSr/RqofY+s39AfgysClhdpkel5FNjdQn0WEEWqRb2Znovxxl3OwDs3Lxb
+FizDh2Zmn7K0WkRmUqM9A5TRuk8pSU3wL1pjYNf2kO5MHg6E9/wCj6hUYhzWabAREkzgtPfFJjK
jg7kdtCWelxLJiRvBitsGQ9gouS98zCyEgqHA2MPl/fR/Of544iUD8IBWkWjAyu0gxgSUre5JuOD
oSwd5bOhjayD+S6Uts46dl1J1DEfwDIeCfOxbQl44oPtqIegqkiuDYUuvbnn3r9TlvtfezJOZaDA
ELIAMAHAiHu3KsPCK1pGXKaLtyCgaxaxTVgk68urOWsVc0hT6RCvYflK1KXMqhjkKb2xSPcOdXn6
W9d6l5t3GdBvDV0wN3c/Qm3tj70pho4iXu9yUikC9lgLYTloCytg4NdM1WPDY2fdZihgWsNqUQ/9
bO4M5++JXWlTmxpnqhrCrhaMGyNcm+J+MJ46c1PD26HYFFPvMsrXTbWzl27Ds5F05LO0L+xAyRoG
OhJM/ziIHNty1V65G1J2rVmdO1rZwv1mNqsc2ZN2iNk7yFbF5Kt+YFoG3a5wbS/S8czuwyMrU2Qd
fcmRx6wpp8gZHGfVW/V7VzWgP2FAV0SjfzlKzxgbvj8fqmEQB8MNHmIup8bSOmVtNdHD1xag02ED
UJwgH3mWPg1R8BRvMV5kDoe8xLwJiMCsTRj/DGzba9mPtljIP7OrSx1II+FfEP5JkdTqWk1A8YE3
S1T9zmi0x62BuSllC2fD7Poe2ZGixqCCoA4HlxVd8zvArZRax431PcJD9fLqzuZtcKOiZIsyPijN
TheXCdxMed8gPhXwvRqFI9zMKRaMzC3bVJsCFwEg4mcVTdTi+gx0fhAVgPoaZfxgpcGhqenLZV/m
Vg31w6ljD0ThGZ0s4a0SaqDu9pLYzp9sdUh3JfAxhxBN/hcrS14vm5t7yEOIAsgHhALosOSHUdhG
qA9HQwoOuMRv6x2KVUX7ZqO4P+wbJQUYHbMVgHmsL9s96/ggneE5Nt298M3Aknr6yYout9uGqTic
lOhAa25ukmrA4GJhVXcUkw/py9QPc0nx87Jd7fy8oCpgHriKo/CDe59kWDjjAGJrEIayykGJYqzJ
QQn7H+DV1FdJmOpu1tBXQKu7Xe2QBqDBBvPs8WB6VRI9MMN47zT2YtAyuVHsYdwkrRq7DIqfC63V
85DGj8TymOhATHRJ0s9MFbVSdDzJXGE81fy1y39cXoeZZTj5+1Lyy7MqNLNQw2MbqsDKC9Gf+vQ+
zSAa4XO2JMhxvnVOnZEe3yYmdEaOyqUbgPCBhW4KqlhQ6S2MMMwckYhipDQ0viYGHlkIQ6/qFi0B
FBDAR++a5MVK3g3jWckB8rQOif4suquqXavBtZ4sgdjORjgg/D2V40GIiQfyVLk+jeectEUqjNpy
de1NS/w0wM5pV8T8IpYXNquy6jzLgjhG9xwkGHtwrheLAt8sg6fFoekngNADPSuAGuSQUezCpn2L
yCYDX2ncTwIB+N4e8/ahDuUc5bYJQd43QbZsrxealxfrXl+NzUoZ/c6807lXhVuBe+8QuIneeXW8
aclT3j92pW+ooacq4J+2wnVHTW8IAgwuPZrldgA9dE9LN69+mjnzE+W65u+Z+bsqHx16azqbeFA3
jGFyjqzT7LEh+zxfepnOXMpOXZeiOYpIMOYpXBfQgg7t1O3xbmRAS5u3fQMaDO4P8YOFYa6/3kQn
Ky599LjvFSXtYLYd1k2H9hbW8RGNWQQbO6DvutDyOc+ZJ17KZKFj1yW0YjBXDDkGlAYMyOwnBfa6
BX0oSPWGT5UuYfBmtu6xi3KDMuJ1ayt5a4GRwvYYB1ZNydxoXJovP5uC/c/+gVwELrmg4KHSEY55
gcCGYoXlDmOPefwMM3WPefrbsfZac0/IJH/rj4nPh9euTHxbW+vGJ2otmDTBKF6GOUFUQ7lx3fWb
Sk1cReGry5/6e/TifHf9+YHSvT/ImGkVGhbfYlh8uo9HxLyZwRz2PAFS4Xc6aG6Z6ivC7sboveBX
SZ65tZr7ee94A5QMVOe+MSoMc97SFiw45Eav7KXjbfZ7TXBGND0JypDSuYGShToMFdaRgZlOIZ6T
PEfhDkO9Onj9wDfpm+SBoi6PpoeDUU7uNv2nWdCF1fruOByvFjIsQAh4JU2oCjzapc/Zhy106RMo
/VrcfChzoHWGwk+i0LUI9Q3y2QDSGeYPjd2uEuetjyDI1rwWav4E0CAE6CChZHbPl7+gfLGSf5L0
ARXMmFqc4Se1cQeUxyPn6zJ9KJfkD+SDezIz6f8auCpqANdIOSHjddYWNe5Pte5HA+Dx47iQdc7O
OcmETAObWxGjRQitE3aTrHrwSrgBxCrGTbNOPjEjidbc5ZVbNCiVreyCqUzNYTA+NF/5Lti3V0DK
9KU7fqku2O2W2EXmPtXRGlpSAdhhiV1mEcUatq+96vfkXiM/8NK87NaSFSlGgxjhYAh4NaS/e1DC
MTR1+vfa+bpsRt6R318LrIogvpzkhGXgtN0VFcrZcCYTHjg9XQtMqH+Pzp6i7o8RufZCda6Gegkj
IoPKPXt0oLEGqtXSreKrqoh9jsnOy27JF0jJLbkRB8CY06U6LNpibYJtUMce190hP3SfoDdfMLaw
hkQKCOo0LTSmYEwpnpLG79tn4+2yO2cP9G9/8PBC6nSA3ZDxoHWtmOXQ4FVsldUTsUW17Qd9TcT4
wym0BEg8EJX1VTn4EQo/e2qnP7pCCDDJr5xo4l0+WFm3NvqxXngITAlbzqS2jiER/DRkVHmdHb0x
Q7XAe5C2Cg6cCPOxAdScfkJkoV4a45xb5mNb0jKXrFAVcOemHhcd4GmYkSo/zG4BWjW37Y6NSNuu
6lRGh+mBm2OaqGOaX6TtTaYk7mjo68sfdS4Xf49fGVBVsNA7Pb2Ug1GVhhXrURvUfKtP3DBfOG5n
P8403/W/BiZfj0pIakyZQzIYYEAydbrhTYSIQftSmCsNh//fezNBqsAUiBFUqFufGmuoOahRb0Ko
rH/n3YfoFlZr7usf/33JGRE2JmGBgfrtGIICuPJD8lSD1e2yF3NLdmxFuqDk4I4OsnjyIt611iZQ
V6bWeim9s8zHy5Zm/bGgjAjlOgClVOkkTrusoLTASTyYMWZB1wYmEXSykDfmQgwEEP818v0yOYqA
3ApavVJhJBCgZiabENesy25Myy4nAGLhTjGhYymRkUp5qXZFH+OYMsR2BIg8B77jIf43W+XIijxh
AHAc0zodfuhsnWlffRAuRO/ZC3lKsKjQTchUMHqedeCnCVZWDLBgVykS2U4T6LPdRv0mUX0a7Hj5
ih2a1BvOIrfDfs3GhV8wv5D//AAZ9YMZYUzrmhbiG2CVkrqB/VxUP/p2d/l7zYfdHzPSZYmpkVYA
KYfiNd5kFGdD+ugsXV1mNxE4t3DJB/6WymIxwWBUuM9ryKH6i1U+WhGQN7uiWsVLF/m5U54cGZJz
gl4MLA51oEUHT++uu+55ULZm/aPMtma+vbxwZ2/A7wg5MialBrNwmtIRMFZjPmJNHh03cocYuG/3
7uC+vo6euzqsVra7XZzint3FR5al+kFXxHk6EFiOndQdMzApRwvHuL5kQspGMdBvDuthwrhtMr96
UDzlBlK4G3ZNVsIXO+6t3H7FHjs/fzYPDBryl1d39kl29Cnl8M8p5FJGBTFD37VHdlO8aD4HXOTx
t/Je3Wn3+8YHOv16aQZtIYBsaTcUem9WA4VVPQOQAwR9kLlrDkCIm8l7ai8AR+aM4eFrU5R48fiV
cTEjc8y0mZJxnxTrSMfoELF2zVhuwcoEPmZUSkq+0KqaTWsUSHGMUQDGBPWk01PZqIMoClJcTYvI
CwwVXAeuYUDzUrkNwBlG3Sj4jbuyG4ubRD+QxK/7zcKHVWcOiONfMEXe0RGk0BK0OS1+AStu9N4f
mW91a55eh+y6RHzFDwEevP/GJhCHaIeg0HjWdbWcsK4jgKy9LFiVnell+V3E75TyKrQxIWqjZVck
E2PZgtlpMeWz0Jl0yCxM8tuYFz51NaU0z3IbZiEHpnyCdLLaxmgWXqElk+3yKhbgkhrTjSC8x0Bv
bOBBond4pNJRxS+r6aZtumRhZ8/le4jogLBDx/CyIw+RNDFmR0udZeAKfKiM1xQjEVHw12PpODyP
jeinjus5uhZZEGaQy1vRcA/RelyX4m5hfedy1LEVKZbTYSStosIVvDNcIgyXLM3CzZ3BxxakWA1U
LVNzDRas5L7LNj2HDVTuwti/HClzBySq8Oi2QnwW0hlStk2oWggO3lNPYeVLTJy7UlNuDLu/onaz
qaDxftnc7ML9MSfn1iSLYmsMIuCarWbTa/39iMRz2cRsmKGghz7dJAL5DVg92uW2Flgty2Ci4h8G
NBmSECi/t39hA11hJE9cwwEnP40y0UwkWCPQrLYKsez6h6BfXCyp4Myu1R8j8o25R6/R7JwA51DV
eCWAE7idX3bjrMc3XSTAkguKczTaJxHiUz8K1gUY44MfIWQ5Mjf7Um4j6IDzdX6FN1p0IKsOJ964
sm/C/dJ3OmuofhsHEhJ9YmQp6GqdGtdQ76GiQogXodc6Ls7ZQ3Itusdkl/jxplmqnM9G+p/0I9cb
rQTENKxGXAwpyDnYR6MI1Mo/c34nyv9nppsOoqMQ1MyBdlEEz3qW+lE8HqI+9PW+W+jjnTPBTSgv
lAg0G8cqsqqU5TFiWLaqEJkHQuW1czA9tme/y234yu75LxQejQfKXf0TneqAYZDWK/LdUlt8Zred
/ATpQtjYFbOEgkEFtRoC0x0CVb0D1C4mPpgp0mi1ELBT+pbONap94zZRMUexRwpY1UgDA5zNSO8Z
IJUKDi/rEOSh25BVAuL6MQGVVrjV0jujrNcxhogv25+5N52Yl04XtcVEvp2UyC3mWgnWZo9ik++k
wjPUW3Wps/29wS85K50yVZUVSRLBmmE81Cg3jDXaoxi8DF8aAwc7CnDonf2Lo+3ERengsQbMFNQ6
VjjktxwEGePi83Lu+XJiYoqpo+3BDFpkSgq/FOU+sNYVXRkh+i3qtRX8SJRVlCtu+WmAijsOV2H0
GsYNJkJXqOoA6epa0VUHUkz2Nogn2i6xcc2vuW1h4smZ5jXktpARJZmIevy2hr9kyVfV/rTGdcfp
JiufzNFH8Pm06BcO4fMxYxOwZ4wlga4ckHgqUyoakQVeWYpFH/bqb/NNAFK7Fb7lJU+W11xpO7Hq
VHfR15mMiGc8iJcIwcgVMPKn3yGMlTpXdOzdfj2s9J/BO5rcH46bFWv2O7+x19mtg8jexfdL585M
0oBhzBWhB49iv3zsqIMZCM2ucBPs3dh4sYvruF5f3qmzvuFpM+nEYrpARjoBFmL0BmmwU3VjQ/oP
PV0PYD7r800fby6bmrmqgRjhjylpxwhgYSjg3tgxmp8qvtpsnXwzkAWHZm4DJ1akj8V7UTtQzMk8
mmx6/bai+UJum/0oR25Mbh7tSvDcFjqPYCAG3xd7jtp1uMRQP3fkO8CsowED1NY0HHdqIwwhdBK1
KeauI3XVDsjW2ipLfiUBmAgPkAUA6DWNwL4LNtrL32huX59Yls4piFpB7MiA5VDcN7FbgLsz/oXi
ICDYEfdLNOmWyluzJm2MW9v4/Egm8htMc+IgNVo0SlClSaunAiDQBu35GoiEBqTIjauAA+JvRzVw
qcKU0B+jsp9gvx2SCbOYj3eFfadqX3b/cXktZw7BExPSvQ0gu9EAIwCe0dRTB7TnwU7NDlCBpQsf
7RuIIx2Ax5bkZl3V1lanqbBk8O7JasQ+DgY3Br614gMW0vBr46tMf9jaI67hwj5kfbjS6HuUUVdN
Ypda4S5q7TXYm31mP+uB6mX6R6QT1wR7X2vldz2AyDGEoC4v0ExCOPnZ8iUlakNIo+BnY0DX1Yt1
p704EHTNV5fNzH4HHcgFzH6oEx3w6WZiZhiAWBOw0cEezZfIcbJ3hjAs3cw0QtzfLWT2OrfLAosB
AfQFJ8/zEbhTJyJckChQ9YwtENSKWV4zUCgk6WOhXuXpgnfn6Qh/n0ysgJM4BNw89S5reVQGMf5+
hUatI8BerSZrR/1xeQ2/HxmnIQYz9LtSgj4dbJ2aScxmtAoLYy1p9FBCyztZq8amZ77NmFsFt9bo
i9YlzqH2xJMFwhHP012Lr8el1DjnLhiogLKGyzoYR05/Rx1y7X9Iu64euXVm+YsEUFSg9KowYWdn
kzfYfhGcjnKm4q+/pb34jrUcYQj7AAb8MMCWSDabzWZ3VTJRDLcuf5WpeQvei/3UUUlryEZu00Dv
vWmypWsIDWoiTFaodcZRyl1OjvFM9r1HXvOb4JadQX4FGZ1z/rNw81N2wyQhzkbQB2SImy6VrKg8
FovuZkI6pSJwwHhYsKkb5bx5mEraL+zFnN81vJ57tFBq7WM5ZiDimXO10Tw1jssHFVmpe1CKtzHo
we3W9LQhoP7QNv3o5GaXF45Cs7B0eJ1GzwHr2udhLrFsGkmtAw2SPz+K0W611DfrSysF4ouPa5UH
JYXW2eJjmbmz9cCrG0lF+GX08hFBOIunGk/4VQqEsXzsg9M8fCLJyU5bx5ZVBC72Ldo/HstwRDGk
ZcEm8HEsdZdnpp40KBjQQ6SYKtb5mZ2pLlMsy6lpfjs1GW4aWRIcEC7K5HAvuofRio3yZrzSLiws
liEmUtQgs1FOAB+WHOnX4JvmVLcKUu22qx8Dr/zcI9N+GAaIO9zk9/pd9OvPC2g+4L+f4augR1FH
uyFL6X2Z/ROapyDe98GbkUsixM3N/XuU72HRCsVIqz4xeqBY7RPa2tUmc3SZftSmyYCCDuVkOrqe
RaH5rgUvY6X1SDQjo0E74xzZ2t4MZkQapWMpMlWsLfcPr0zAGIcaREusAmlrTQnVhR2lKSzXbiho
/r9dd82Xx9vS1LgwfyJDtNTcf7TMLoDGCKprYRrzXT0eSA0dB78YHMNyIxnl4PvnittgBSZqbtQI
appCBVhTezk9D9M+r30r9dXwYOq7UUP3/H0ee2VwsDQZn/47R841cMEpo2kI/N06wOu79pGMjvKC
Mkh/2P/MzoZ35pETeWz/ph6c8AjBdMgtVu7kFK7lDj7ommWfs2Ws66mgH+cd4rAo9lrmndS3DR4z
7UMYSe4yW05nDSEkNqrIDgJ1BkSXed14pKh2RGU1x6PiTrHctjxct6SNp6fFlHC8I1UFYxKzRiPo
F/QiXqpPql3LH8j8mSYHq72fIpfxXxYkr/SvlTKgKAtNweRba0gSdVubBQ4OcQwICXAXEA6MALqN
SadhvLkN3QC86vdU4mE2EdhSRAp6MHAcCwhkrqqUmqjZjLTWUfMziXVJvLdR24jdjllEvz7ITTVx
Pza1QuogRSMKiMMD85RPT6p9UNJzyP3S9MJFThckljX+SV4OtxzBCljcmynrQ973AJ5ArqvsVe17
wu/U6aWtblQZu9yW8a+xhK2YTHBF1TLIKix37fStmumNEsWSYEg2InGL1UVmTglQIg0KJ/N9Vpxw
CQnM74QfgkTWUicbk7DbOlTstSlZxoSyK/a15TfJ8OX6Dts6fNBNhn4KjS09tIKvriqjaWq+9JUF
ENQzm/hX3FPFGcp58qMxBBGI2VL3OubWJC4ZOrytonL6ojsP8jBabC81eHn6iXM3tyDu9lKqzmTf
DOnzdayNKVSXlhUdfTPmQkX90SfqXa+WigksbiPnS3XzueLmvMtYLCOl3HCN6NjW8fSHOx2K6AWk
kAS481pwVTHaRdQpvgvLBz0r7xS1uqm0O+j07KAMJHsb2XgIMtawYqW0OnY45Q34j3i0D2WROfbI
vDB+1SZ6UBTzpq2emzA69VHrIeB1A5Rzu1OrOwlUHjh70ZPooHdgQVEluQZtY5XxYTArtPgh1BZr
+Zow6UtWwHitUmk9pQvTm8goCUXrQ5y84ko/f7HszD6iU204JPqUek3HETFWlINbhM+BU89p9FY0
FXkoApoEHhm4kUFhM+3Q0zWM/KYYtTFGq4ipeQwUlj+7pA8HD+0b48+sSPRfUdDEu1Yfp9EZYpN+
Z31jHIthSk9TaIGiEKHD/NTZjQqjIOmXoK3jYwjJxx1KjNv8Vik6+5ySvpTUcFxmGZYOLt1Akz9Y
uZBQ/2iTYUf0Pl/Kp/IUknfa0Bv/aBryWpOFzuqp1HvJIbYVI6FxC70KyyEAki7BN6L9EXsRWlku
fexekSb2UTUQQXJuvil3Ze+Q5/ZwfddtHGofAAU3iXs5XoDeixjaRw3Pq0xWc7M1hesRCZ6R6yG3
FJiPq2o+MkIlGo6DmLjJnyflIAiFuyJYZqF6j5vjx6VS6r7u4uUx3zJrv+vSu0KDalTfSA7KC9+x
kB//JisVH9d7hRXV0L1TshaOShrX0iFXG5m+Ue4U08tsv2plqj0XUwhMeMSF54yYcMXLybC62ihl
Zmhj0YAGlpSDg94HXy8nb64aDzcHya34MqMqgC3OYgWW9Upp9SPCjLw+af2JmK4e3w65V7KXGNzc
9luEXO51G7xMEAmYwtpBPIIzRD7g01Vvivg+55jIpdH1U4qju/P08hySQ5r4beME/DxZB3W4ifgT
i3HmnSCGIwnDLk6ij5+jC0/LijJpkZbhc1oj/Dqk7U+TpvtqDCSb/WLrvcOgMAyVtGCYEVMc4FAo
tbgETMJQp2EWX5CDebw+sxcxgwCxWNZqMe1QMwM0Q2Bik9Zp9VMLVvBZeVDT14B8+29QgpGaNrcY
V7ExmlZ1ovwRvBS7ip3mNHYnWdX+9gL9njnBRnkbBXmGugYXXdkuGb0QaoLTn7KugqIeu86C80Pa
BBlYYUDpaFtxq2DXpTiDwT7u5mFwqrRCskQXh68AI4ylibMyqOcW9KfFeWyeTaX93BZ3ZcZ3Jq6p
kF6TXjKWM+TDVVhAFHbbrOkFSTgQu2J0I3AN/sLgtLupcm5ixZ0nt+uL3V8YBwU/2MLWiVhDPARA
UM+7EXNJQn6boOxEYYOf8TtbfeaahHDosnlmGd8KbNl3K6Mfq1TLoWQLMnVoeBAKxckYBony1qpx
g2rXh6qj9ij0fy3tx7qBdMtrpzqZutO4zJduzvTqS8TwoZgz5L4wbNN07ODrqD9FKTi7fV0ByXXl
B1CjsvT7ln25PtuXT4DCDAjbvmIsYkjdYi+iWAPpYAIhygaZxl1Vox01y53KrBy8sqsgD78Ovbkz
VyMWNk2R90pSTECukOMk/c1sjvteRvm86TjBN2AhhkchohgkKcNMSiXsII44E6/lBkQVePf5+kAu
I7H3OfwNIgRGg91wZo8QzVbt+6ACC/qbbe8b5TbX7/q4cOs3m+5bfmeVP7gtmcRNl7Aan7BblDrV
lR5KNK4G7bDOIM4cP+MmVjkgdTTtQ6UwWY54K6oBSzBoq1EggUoFwSUYVZGQcAaiUj1P/ZnbDot3
QTWAHKF2On6wSl8yvRd1wsv0/kYUz9jeolk7FUDs2Z5T3ywfpnRGt1LpFRGHzDGaBSu8WvxxC8EC
uxIhEXzD3OT5jOdKiJCor9UYOXbW48LRHbvgizZ8bev5cH2cmxO7whM8QI1HygS3BmiZ2SBKmsc9
HYhflSD2sPv7sDb3i3BUnKneddhNC1rBCg4gH/tRIwsstZVXJfjeZ3XkcG0CS95Xtc/9gVaScrxt
r4tntfd+Y5SFCkbbgcHD5jNmNqbTjtLxRZ2rc6xWe8ua7xL1JVanQ2UxVx1MSMvy4RhAAtKxlTcC
Sn2rDfalKesh2/QTYOECc+rCE32RUUB1Z5cYVuOC2nOf0e5pjGS6Z5sB1r8QIAr8eNb0FfQQ5ggQ
uGwMxh3C4yTdWzp6LyXB4rJiF4f2Cmg5alaHmgKt7xz5ApxgZuDGqOnpkLNGzfmhkCbqN334Ckrw
fGijLWOyrGTPD735aA1vXJU5nO1rxgpEMJfC5DOZOMbD8hBCMpozoOouzW7iAClqaDszn4LaQG1l
tetSYMEDoBK3qyIVwD3hfrDUbGp+pR96lOs34C4zD1p9VzNJkCebUsENWH2ZWokC0IJ6DPXSQbhn
bf831xa0YmqLgAyUJwUQrcjy0VrWrcCT7BhXe30yfaZqktNp0+RXMIJvqak5WYkJGCTXnK763qC5
IixRpgJ1h2CUgG2a/QpMiCdUm7OymQBWg2Vkyu6qHnQv4be2lCVwZUCLR13tLzNUG0ThAIqLh2TY
qxgUgxpbLEkfbBrCajwXBy3OgDSBIRCGG3aYf4rItMvr9tN1/78Ng8pKNOWhD0QkSqmrEgrpM9yS
iu6fQZuQU/00UvWvDO43iuAoirRqQosBZeTGQbWj56mO90lhS3q0Nw8z9Jz+bzCCq+hiloWdZcPH
4mY5R3s9KHwjPnBcWOrQm2X3I9ncCQ7CaoJB70rAoYMpom5FeyeJZQ+AsjEJexXpgMg2wVSE1yoL
IoOQ50xAZJN/izNr9pHhxHW9Brexr2Vz93zdNrZvBziqCGRuEO+JmTK9UyJkb4PGbbhvNCdwLvHI
AFHdXVXe2NxLmNPVDaQBZGPePI5/475X2q+2WBHO9dSnGPOsUidDhVkwyoKQzahyBSGcklOv8CxT
AWEVKAbDKCp2MOFoUZ2fjqk7dTtz2mXhH9dpLVHlClbYCKwoUHXTw2QMhR3Hqnudm2x/fdU2rXIF
IWwCw4y7FtIE8LrluckXIvRnBuu8DrIZra5ABNNneHxSpgnjQJLTgQZ5u/TNUajqYMHM8YmnN7Ny
uA4pMwphI2QDyYuOArIIUIzCspugLL5eh9h07atRCQeWqQWQq7Pgc2vUhBTNuQjKfWeeY7Aj/A0Q
GJWR5Fi68IU1SkBFHeia0rg6Q0tPnoQuLSy/HwuntPS361ibp7D5G0tYqqZuM27asIfcOOH+NKqg
ReOeBmI09U/1sN4TYSsoYYnaDL0iRQUoVetutXBC7v5pzPF0Rrrwe99kRw2Pj0MVUMl0bpv87yEK
66aTdOyTFNNJ4eM7kAuhYjocZaTRm554NTohwoCg1xBoy+gs3ePZUwVSExWP4NzYVY3tS8syto3x
96CWz1k5wbnrO1vNMags9Hs8GPTVXmu/6mYnmTwZjhBoqNnQWzXBsGjNnXG5/tUxHinST12ZyLzu
Zprr3ykEk+PHMRWWkgexBSw7eomHY1Q6GjgNo86dh8DJ0k+z/c9Inktd1uh4WWn57nf/N5nQ//gI
PCpmZs45gOPWQq35P21ghztrJA5HQFKnyj6vwDU9OXZveUNcOVUP0o0+dqgWObRnT6NeP0w5sSVz
f92k8Kj98bMKznS8mWONefLC+5NhPfIyukmyV9P8mjamBG3baaPNHBpTeKYU+8w1daqqJsOZ12TE
iSu3L0cn1kCvrh7H4tsEgVw7kpwTm8b13kmjQkfgQuR+TANK4wZOGykctEr5Lf/Sar9qU3Ln3c7B
rXAED6B0U5K0AYbGQElQHPPYbZUfWXPI+8dJ3asUZ+3Ppnups0d0u3jXHezmIq6wBb+gWzXl5nKm
g+kkM1E5kr62EEAEh3cXov9E1hImm1LBL5hVqyYqB1yY/6rjO71ya+u+MCSD2jxtV4MSvAK0Okz0
aAClT+ejYXQ/1Y5KovXrA8HD1kfjz0hiV0UMiLhuwH6JDgzNaZSHrN5dX5/N08FaEv0qQT+GqJVg
2T3lSY52IzqWZ0XXzmZOXs2GPV2H2Y6WVziCDaJoPO0CDT5GG97wWLK8Ysc7TXW4EfqkQbXEARRY
USfrgty2/RWuYH90Utq2m4GLsh6n6eubYNYcXB69ABSyRQrWRPtbW0Q/qoQv7N1O0bW3jIHF6vr4
N5dz9RmCXWqgMtUGvviyrLup9OrUQk84B88nVWSUOJshzQpKMM7cNqoBt68GwlE/DRhOk+Byh2LC
4Q08jYf/NCyRvTRt06BA+R22W7MLoawILHtyiS4JPTedyHJIgWQIrBii2oquj2bCBhhpPe319heE
YitUj8TEM/hLQ1rJ7t48CVZowlrZHUs5G7FWZPhKmxezP1H7dYBMZcFORbWbeCfZgzJAYcXSNlD0
slyGV4B32nQL5ayiTLkp73LNN0xfk6WDNv3X7xGKZYpGFEHGhEbY9Bb6oJFpmBP+fN0ytosRVhhC
UBG0tMXDKAZFMvJox4PttBlKb8qc9p6ajXf1kNwT3v5otGF2mT6/tMF8VKwA+cP4Pm4WOqcmS/wy
0wK36MEnMUxl7iR2oEhO4ctqUXwlmkygCLZUb19U50GolpOcxRD+1vBw3IZ7dHmgjaCsDjRBG1aN
Mq6e7/VFPgu+WEmG48jtv0kCrT9C8I9QezPxooqPUMvHQUFpKh4180KWntt0w2sYwR3qPFe0PMXK
4+BqrF3b3s7Dq6mYbpx9bpMXUh6M+ljPEu+/fcj8u39t+vEwC9BIZEQ1bCEh842Ct6Ks0u/COq0l
XlaGI9wcmUWSKmHYuUjbHrSg9GuGEmNdlnXfdkfgMGEET32m2AmCLpQSMsoYDjNfenN22tzrOFqv
Jh8sIcSUdbtuLtrSlqmBixzPL+KFOBzYGKQ6Fg0SeRmbnLK7zfGgOEbPY3QeioNdJo7Cwe5hSLbG
pp9YAS+/r25ZEFdTstKAUU6s3ivjsB8U77qb2DwXVwjLiq4Qsig3EDthKkcLSYV5V5mBl7JDqTOJ
aWyeimADQ1G9DVp3sXQCxEH2WA4wjSJ6Mmo/xus9QRiqQ9RVdtZvWuEKSpi1YKQ9KYoFqn7U1cEx
WwL61kRyaMhQhJnLwwhygsu1HloLNl6ZIemXSekpN08m8M6/i/CgxlcAiQaUH2ktlkcFXWoY304Q
kiAg62jv7cxPUvDha5KjfvMB9L1wf9E7g86vcBhWWZ/mKepO0A/qpGfjaXown9s7+hDsiEc+Nw66
ePtj+A+iuOuWuLWpV7hiKEObtEjU96zTfLSYb0CoPXmg4alTwTP/eB3rspfs/chBd8L/D1J8WIgL
qD4i8sXhuLedEOziDvRK3dkxH/KbfF+d7Nl5I072Uu/Avs8dlDErkvvF1n5YD1d0yZxrsanDfOZx
1yWnhXi+e7YasLB/uz7WzZfCNZLglI3cLugQAokmJ7jkbgJ5PzkZBsoUtENjovTYdGtZ285llbgw
w8ImtMDGTnsFM9w65XlGXI+2RGcMHbx2RG/8JXg6cc1BDbn3LfBD2XP2ZSm4gC7sG4pyPdIn8Nig
wdoFz+ZD8tZ6zI99PLvtQyzoY+JZnu42R+Op9pSvHH3p+/ZzBeuGYsMBcZINssDkeNC+NDvyqJxi
2cVoGb/4EL60LDMIxUBVTuzBQ1PHnCZ5gjNsvAviEY3ZsmNry0GtQw1h3Zsi5xmZcHgUi3oWCqby
fTDIehA273drFGGdm8yI9Xk5onI4dGt0WHZGL7ke/dQ61E9kys5W/Zq8zGQ/2DtjIv516946v9bw
wl1BqUZU2aJ23tVr5Sad2WnI/gEf41s7KT+vI8mmU/CLTU/KogD1scumB0N9mfpPPPjnP0GI14Kk
y7qCQafbpens0piC+3DezZlM7ncznllNmqiYOFt2ZHTDMmmgJsKNHGdxZx0bet8b/qD+TNRTqXrE
zI//bXiCywujsVdJBNjQ+Nzg3axXHw36dh1j+xT59y4hhmqGhc7WvMIqxQOK93pw0gzKZ8saTo1B
vyfWp9aKD9cRtzfyb0RhA0x22mR6AMSmPgcEUWAOnn3J2biJsXRwWAs9yEVRUtFarTosm4x20V1p
D0iP2HrZ/bg+ks25QxvRoqsKgXVx7ggqgMA+v6DUpjdBiJacg2xCd4vm1eZ9iNe6/4YnzFwezlMK
hg7cheqnRr8P0l063SbWlzx4HEFNcR1sc/uuBrf8vgp0GYkh4msCbOpnlCMfm7RFP6ykZnfTG61A
lt9XIGnYD3jyBkgw1D5YXlwS27h/W/co9JCYnWyxhIukGRYJTQmgwIin2ShZ8fn8fRo/afSkyAqA
N+eOQjbVBHuIcZGaZ7yF4mWAs5yBBnUablTLi2tZ5+12TLZCEcyh0GmlZMvV2DpH981hPuD16pif
qwLP3g4ebksn9rRj4SrnfEdyJztbPpWs34UgzfJGCB3mf0cqWAnvdFAMpNgC/Y97SICE6F2yfn5+
poZrebXXu8aeubM7vVl+52o3s+HynS75hveY/iIyWH2DYETIjY55G2IeOnRuezk0rp7GU7vvD8n3
+kf0qIG9zsczmEyPcjtiW+EKFpUVdDLbGrhQirEUp3TGEz/Qn8HPToPKjkN21Km/45X0vkKhMvNz
2fPb5uZZ4S8Wv9o8ga6nqR0D3/h0hlZR9BbcDomPtSe7ybGeulPwRO9AUhB+v+4ZZLjCwZ6YbWWY
BdYcjL4xUgj6eVb8VvYIJEF5j9JXo2Mp6r9HDaOLm+9JcAJjepr0zlxLrm/Lx14xnvejfwVDjTbQ
EnuZRLSQZRH7pSHMBje7Q7R/5ogg8ifI28qqZjed0e+le8/wrVD1Ym6ifgJqV/1UAt3LUhAwZGB5
ejaRN4zb3fUVuySI+bhN34PSFV5Y5bbSLfnTyYX+CziaXPYZ/0WVx+6M1uH+F/Kdu+RJuS32HB2n
bvao3E77618h8YrvTAKrj+AaaDYrBXZTQ6diHNRdqbumJsubyFAEj1SCHbuPFrupmwJt37VraG88
lYWEsgVcrHc1lqwpljIFoJDkR6v6befV0Q8j9SekCBMZj/B2/LkyF8HTGApIE9niZZW+dSbmGuBZ
YF7cd14HgQxkhcCaxPgrOuL8/7ZkgouhXU0UA5rdoFnb4zY8QqMo+qs8xmpwgjtBdXqp5osbtUFO
N38e8mM+7y3U+jUMFHKmJI0g2e9iMZoxNXHXLwuXW77S+XHnkQJbMDnOtIcG72mUSXHJjun331em
Ulmw+bjB4mVHlG/Tmxzq5Lf8ZPuZE5/bHQjXNPdp2r1k+/4GDCyOjB1qMxb+Pb/vvmGFjwaEAG+Z
GLGScj9kDHkqiXtZzO/Sh6JhGNzjC22TcHHuOwVqtRShlVW+dtGR2Sdev0aZzzTvujnKgISIxxiV
uswDAFXTLoJk3HiHTjYIw3Z/VUYDCp5/hyR4EbOH9vOI5kmo1/9A7y0i0wxvrWUpqXTYXpuFIgos
oeCIFjb2lGhEzcwURylKXHOIoVv68fqUbTuq3wjCDp6gyDVbJqxvVhNnimucLqUbMP22LxUHsuVe
OzDJkfpONn9pD78xhR0NasDIrgkw46J+SynDFS8rap/YWX5gbaXjgA1zaji4YUxf4k5H7zZqNk95
jt5bp4gV7Tvt5vZHN5bKbaNb4y0ZxuqrzqPsCW1m+hlKm7rqoBIgPuRzi8rVymy8GirI/6CsMHjt
JjJ911Hrg+evUfdCLYoDrxlreoxolf2wKjs9g/ekP7NpCo8xMcfXhPNzy2MD7aSlPnq1rcU/emuq
jlZqG4eZtWAqIHUC9RFQ2LqmYviJNn4iFcv3aW180kbFPuglNfxGiR9KO1Ykq7hp+AunqwmmG2S1
heNGKShrOlogE6B+0WtnAqMJ0xw9vR1l6lvb2c8VlGCSZjPYlgIBLtdO6NFUEieyDpX9RUFQoLJT
GqE7S/czU3K13XLLuEFT0PjoOiHvNE4rJ1V3Q6IUOjbCNEJ1swWhLOiChrI7Nkaxj8LkMOUtWv7I
2/XdsTWvIPlG4wRTGWIkwXMVfc+6ycpw/2yxw9ljbyTgTa1aRJz2meAJ4TrcVmyyhhP8VxAxQyEj
4FLyOGSt31ovCf9TPdjlSrYGEVwXayx7hlQbbKX8VeAOCEHtDP2uaHUtTzQwJS558zEavQZ4+gD9
Ai6CAlyczUM12uj/NlNoKgffBstBAaWnQb53eO5QBNRyxy5QizdxJ1AlV5HNCQWl84KOtlAxA5Mp
epVYJboJGf0JQQE3nt+47Iaw5UHBvfMvhrBodW5oTbr0MKcRRa3+fgjRy5MgbPhCu596K7nVbY/I
RNXIovCOGruPgSUY0MrQGLDToVHmkAiUD99Ho5QEQVvHDjJj/wMRdbbSQSe6kpaIkcv2NSqMXYGS
178w9RWEUE1hVjO4WRSMo61iP8L1uJ64a/Y/r6Ns7t9Fh8IGfxakDgTjszVux3GCtenVV3DSUDOB
CeClokIY1WcSU980hBWY4IRxMZwpVFbgGftPgQnmzMobjO/omvMMdoz4X3QMweHbqK8FIRg0lz8a
QtAVFQvAAuji0rQPWeMko+EXqWQDXYyJLt24YBqE2AYF7b/gACFjrDd2BE1tKAWjJCpX7+PpcxeD
QcU4DcH++mpd2LYAJuwkNTNMZLQBNgSDb4aPoBTyml4yomUVPgQfAohgEsGkI2E5AoRNNfSGz7m5
y6DETgLJkXyZdlqANGh0LhIbl+00Fkdjy9RSFNkYplP+GHtw3Bm5Z6h+U1Po43zKNOKp5bs4RNd4
k3Yfjd+aTvIZm8P9/RXifQZS6H2sVPiKIrnNh2+jcaNln4I/rnrAWJlmgsx3ocBDW+1HY7TtdCZm
WoKja77TU8+27pTRs4gkCNiyD3AtmYQhzNEv+nbNChRYQw7eS8hlOr39pVUyB0VX143wvUBUNBAL
gjwMPNJomNQEA5kGNSH2gqISJQFLYp3pjpaV1iGl9QA+ZyvDA3Y5Z40fplZ3Rhtz5ZMExVzn0WQt
6kEtUJD8GhRw+UHIvgxBuDsnUedZYUZ/EXRNJJANh8iaXxoFqUF0N5WVr1s557d9r41kn+XGSFAs
ple6p2tFSCR+assk4AzhNhbCOGgefFws5CVVpYtBcFur1CsCP1edUbecbvrTUwRGgcSvpYFQTTXI
e5X+KmarKlWrFTAuItMSdjvUMf2TVaBxvr5ci0+4WC0oqdkgh8OZKJ7wAYRnFbCkpq5ZticOLjEG
kYrrEJvzZYOnGsyLDLzDgqc1+6ir5xn00DGnqTeOXxu1QduTMXljPUnWZms44JYAWSb60sGHshxo
qzkLIKNZTxO8UzrljgUC4uzh+mA2AcDoikcV1J3i7esjAC5FhpJlGIzBIQnfHRP+428AoGRLFhI9
iBR/BLDDZITCXQTFlIH9tDPiWk0kfSRf/oi46tBOgkrnwkwHaoGPIGVD87pJEnA0gyBAjX0bzZhW
7qFvRjNew2TwamQqLQIagb8wtzXwMr2r9emrsAcpMyjLWV18w+3A1cM/LpTHtllDCNtTbTMrJxHG
FtIvaCjztNFXLGM3GZLT9uJKteDo4J1GzYRKwSP2cSiBHjErmXPQ7jI1gDTDjxFSeMPw1vTJgz2i
alcvsluSyloNtnaTvegkgG8DNvKeHFjNYI5v4kEP2Kk3I1etNQ99z9+zUnst/rjCYHFAED5G1x34
mizRAdWRTstp0QJQavtuwPO/Omi3PJQRGG+NaA0jpFCyFm3BHHqx7gR9JEcbRjdHSiO2w3sUIByu
7y4ZlhD+63j1oEjyQt6g+GJlpyI9Z9VdV3y+jnJ5yX+fORBc2boFYibxlgEJt6nVcFa5ppH86loo
E5MOlSjQejJ1J4+ah7TIvLL+HjeyN+zLXPZiljjblzfDheFd8IAkyCGeWIIlv6801wQ7fnk/QQIt
PlLtV1kfDONRoc+sl8zr8lcvHArCNYQVuNtAv/rjZtDjckIgB6s0m+iBguu2+AlukBZ6L/ofs48s
A4QKANy7irIAcd+BHDJiIHfHscg17rZqcwjCJPsbP7UCoR/HkxBWwPYBEg8pSv3JM0Na+bqRbE4Z
zipkypb48oJtaQIN0qzgJJmU7lcdxsdqmMBkbx+s4Wvd9LvraMsmuligFZowIA1SiTgb4RU7kFej
kqLzg3l0wuGbFSlvQW/fqcbbdcRL5uplocCtiFWCnDk6NT7OIXgHlDxWAFlG1eMw565axS8MOewC
yitDkHlGoXq8qEBcqX3WbBR2dDr6wCqfQfbj+rdsz/XvT1lmZ+U0gz6ZsqzGsWMbg1srcC53HGyW
BvezUQK1MdEoblykD3EyQBtAOBbahs51Dho9Nxwtr2r3UJOLjIPJci+0viqy9jYZmrCscWfxfs4L
7Ls0ABvzSx1+HkPq2CmuTPaNWRyuz+OG+wSPlYmBQXcLgYPgPtuqMWY6gCuZGWwfWF6n/DT4kzXX
kjBu42xFPZiGCwR4OdEeL8Qn+og8b5ODszg1PhfowRgOhnJT6BDHQ88Wxe25kjwUbM0j+t3oQsrK
2IWWg5V3BO848JrZ/DDWblSMJ+ofu8TveSthr9uwRbbYB+hkrIUpQhgbUcwmJIvKUdtZpxFxhTN2
KWwkD9ELyR5MNEpfX7SNax8AF/1ezUT3vEh+PoclugUUHEbJQPedYjlcH7wB++w6zJZtrGDEYsGm
pZUBtu7MDXAtStozUpZBRXejTMR+64RDit6mBPJvaMx9/321mWvb6Hi1MPCDqZW6dogiHYcXtD5B
c/RRGdv40Yon7QeY6znS3JDlihKzixw9MotaMrVbBz0y25BHxg0KnR9MWEwlsmjOF+XrObmtrNYx
oAQwB0vsDoHonULg0JBwt+tv1+d601xXsEIYHXWgJOoj6IyPo/JYl9iIkflaRtZeseeHmiXOUJR/
sSXXIxX8GlFylU0DIOPxa0y+DnSXgT+76W4M4oZ268SqZG5lYxRc29wGdVyaACxR+tdlb/X8koNW
ipaJO+Rf1Uji2i4LhxcN2dWcCvcGIxgDrS00UM3TX2Plj/2e6sfQvmX2ken3Nn/p8l1tQMQxOQ6B
5Iq86RMsE6XXuO1bSIV/PJ+6gc9lWMKMOJoplPbAmbbrQf3Uh+DvktVzLTYphAIgp9HAGsosuDrx
hErDMeiVGBOrmRVxuR63/jBMsc9zHXW3avBDD5PKT6OB3lCiflICVfMGxk1XqzMbh3gkq8PdGj10
H/C0zZDpuBDTtQfoDxuFjpkPLJ8Z1UlP9km7sxQoyaNW4frWuazVwTqv0MSMXploIa9i1DupxX2n
Qn+pbhYuxkc4L7C26t6QJ17R0DNaECrVoy47mvFzldzCSSv5E2FO8jB6iqfKpBiXPSsuCz4NXDAm
5O0N8U6uaK2ClBpmYayon9bVPY6G4/Wxb7loSpkN5SKK5xpTMHE7DSBiyBdvlcZQqQdrUIT+GTYc
aTPX8Q78+fzTnyOCmFYDXdXCZyBWdve1MulWAR3oOW6S+y5skScjM6SSoWbvBSFvJdHX1ghtqBXp
2EsQVhDfOae8tzuoTcKUisJ21FD5OmfzTazS+ywKJFibzn89ncvHrA4iveMpRViNmNpGG1T9re9e
TDC2qDuE1CM95xHi+S/X53PTSOAfYAjYK6D9/QiZEyVMkwYrmKF/Nsjb2yGQCb5sTSHVwQGL13DL
upR+DNR0xnMutFLaW5Kd2Pik0L09PF4fyOaexxoZkH9WbZUJA7FKranNctnzYfGQaspNHdWfJiv2
w667i8JGcnptzhtDcKcjI70Uk3+cN8LDgaMRHj6vq9tTa5b2rTlbr9fHtPyRix28AhHsAU+lKIr4
P9K+bDluHNjyixgBkASXV5K1qiRrtWy/MCypzX0Fwe3r59Azt10FcQrRvhHufnGEszKZSCRyOaeH
EMbGwMWkmpZmQaMr7v51twM+CAEhna3DES51yZFTlqByxgvfLB7agYJ6qD4kQ7wvmR60GtmK2r0Z
2D82GHCvK/j/EY03HZIvFECd5Wo583iLlaA/SkA6YAsQWCbfqWZ5catv+zj0R1HsCvZjqMZdRP+i
tbUMEWDbFeS7aNlJglE2YdrQaCi2cS0IxWHGTRT/o9BuSWHk73cuZHGiM+3MceZkiCGk11zXG+sU
HOjaBiQBgMwfvKofdzMqpGXqPoy2mwA9+ON/+QMkL63QSQSKNH5ApBVbs9zZ8/covDOnXcejjWgf
dPLsGL9csr0ud+1wnOst+S1vO8MpDARploJswdg5lookei2XM+ylkIhaAMEr69KybUQjg/MJx28o
fYNuaP+SajtT24sMs7CJauRx+cHyh0QhynJBh+QCFl3KVdkMjhcnRgij9ETdwU870+fpj0pTcbqv
We5ckJSjYlC7jLiNG8Csyycxl89GqULvWAsq6H7iAgUHBw695PmJCSJep0e2FnffHPQbmvvyb4oI
5yIkv2dgqQUo4pLaDy+4vewEALEmyLsjv2vuG9X+5+rHOVNIcnI3c0mThPg4U3akbe9rdu0NDnYx
VQmVSpDk1qOW6qLPoFYaYkPkpc9vW/5ox4qcau37oI2AHpluA7BNrnKN6Qxs2NDBmc2dyuu173Xd
7IdIRWew5mkAFsAxxYUJJhbJpcOYsNm0ERqcLDVvCCYXvKij6cv1SLBWs8OcFiYVDPwfk6bSxyFd
apdiQD0pEdoP0Rg7LFt5GnhlJpZ5wxifBv5mDNg9mdqtK6JNhCPl1JGfCxWB8uozHywRQJh2qMWI
PDph1NaA+nqBkD93JsYWQZiajej9mpVXAUhu0Fy/wrylWyceT2e/mlUAYJ9Hr/Cqx+zLgsDmLEaX
jBGjAUhTZ6G+g6YtoFgGt/asJveE+cvOtYNpZLpXYiQgEv0h1KkPTGxFjrkERjmSnRtBOpqW2+QF
YDBR30MqUYptBsSZfotBDy8qyEZUFd6Hikt+7dici5S0ZuGQRqBQQa20HbdJ98aTXTUYwdy9KXxt
CY7XdJPOJyvdKbEpdJsY+s4l4BzrwQ4suz1GHaBEAbcR2N2bMWe7YSg3qZ4ANV+1k6z0MimZMrNe
d4bFwLwApp6OdkXhmc4/M3tvrLcpvu1G4Wfmjou/KDg6WG00wIG1DBJIVnaMKc4wnICwTtN9ZLue
W4UnPX3qnCC13tI+uG7stXT7XJxk66ZCpqahIelH8fxaTs2mN61jLVBNXeqO1P11XdyqDzED3WtM
LiK5ly+tLkldh9eo3wonmJqgqu+wcJ1OKoajVbUWJGbMR+gMuf1lXhEncyXMBHKa4mk5FH2zG2kU
OM2toyqbrIpy0XIFDSaCgpxT1G0RW23aIBwRkIxEe0MLimo7hT8TQzFisJYsLe07tvBhoiAguWQy
OWMn0CX3abfpGAAYHvrsC7EG36Yn3ilO++Jn8iE8F7b8mLOclyZZHcU2hJU9L3d9SomnOWZ30AVg
T687hUqUlARm2dyYIMZeksA7e3rPNZCZZgoZa44HzDpkmQvlBnrWkjocvf8qhUPU4H/IROWjuw0+
Pc0DAPNfaHMmSUr9UhRLZreCpKjrgMVXeDS86/vv14Wshf9zdST/TpvexJY/hDAzAbTKI+j5PMp2
lD4XU+Px8UvTbK5LXDXgWQFFcj5cNpEoJxRQxvjOrLY1OST5M2Cer0v55OILTBJ1AeaLiaOFwP7y
M5UgAOtBil77QJy4Bz+lFzH6RataP+uxvTNjda5nmuJYfdJskQl2elB1L905WaaTNk49EMgU+GMR
Xwtf4P3BpFrfXNXtTI7kGCFreJ8akOOEQ3BbBlUZ+W5zr2VbR1d8rFVRBsIsEpSljyyZ0dZEJgxW
1pguhR8mBeZYvaYLupbumXnj5IqBtFVxILJZSLMx+ibDXIWsBjjTWMF8JEr2zWxRTIag9T4V1XTn
Fi4N8iS8rfNBRfH5KXIsn27BqUf/iiHpkpwSlM6gsZya2q+LLwDF8mi+J83uL1zyTMai/FkgTLPS
wPQYZIwYp+n6DHzqiS+c8Im61sFGndTQVJtja/b83XCg2MzEuJp0uvtiaJxZxLU/0GdNQyfruz0f
+PCMtxgiiiJefQolsOG5MPNSv0roWI9IgWNr48kd9x9mmnrF7z3cn7kWe+FwkzDFKOjaZ8N4Ga4w
ugy2yu5Zx0lP0kWkRuftSLvj3CVbMVjb61/uc54O1RyQY2EcD4Z0ZIrsWTQTb6y0xvqQ8CzjKUr8
3tnG09ZkgR69g/S8Lv7RnIAVKtzENaMCfxIjtYB+w26N5JgpSW3Gapx1Mo6+huplkbwQ+6uwjpH9
WIIjokqfryu7FsWWOU0QdGEoGoNgl5/RElGUcg02pbEOzGl6FIW+idkILnvVrN7nat9i1z+yZGJd
Z4x7s8xgVzP7iKfSL8KwRG3TemmjZJOU1UHvxsYjtfvFIdHX63oulrvIS37LBmiavszyYXX5Us9S
xD0XJKt9MEkhkj66SP9BpYuJxMgva0VgUwmTzsY892xMKYT1xrsb7fQuD/L0FXfraKgQCZd/6ppe
y5k5CzPtzLOstRdR9Kue/4xU9/fqv48C91K6B5fzp8kzVLqXBTyARrnFE437N71QDauvi3BtrEGZ
BP13yQVr0houBswQtrIgB0oUqVU42L97cJ+sBDjF/ydC7tGB9qEgeVYgWH2pEr8+jYdsN90338yt
9WR5P+tfdBNuqg3foOM9eCq0rtW4hek5irklG8UH6Vqdw64fUgwm+TYB7if4cbgblKqJubXgv4zo
/Y8QKU1oe5T12gFCDPelsQ9FHmCRFMsohl+MX4r366dp9ZOdCZNOEwZApoaBTQOgzppH8bY3VWgd
qzbDWwUTLRgLQtX10q+1skxsva1rsAhRy2vSMEFB7IWmfHNdk3U5KCUjKPyeELqUUwwch1UgB3Gc
eNgRVvJN1sdlQClXQf2vfiFgHZoItEga5WEnjQDPkDOEP5e0m846pgnghf9hdQaq4GcjfLyu2Non
QqgzLWJgEh9160vF3DmOjdKGy9fTa8dzTxOKuaM1y/0R8AlAfGpmB+SuEGANP20o0djHWHVlqGRI
XhADCJWXKWRM1tZNHwx2h0T7up3WLsBzNaRzUxNBULeAiKE/xalv8kMNJmNVH1mliHRgWIkNUGFA
Smtw8EhlAHkGa3jXbq4rs3bx4H2HFB59PMbkKpCt6S4og5Zz2Ww7x4vdl2yovcx6L1UVmVWFziQt
Zj27d1IXW9tMh6Q6BLZgE/qFtcu5IuH7XD7GrX2uj5QPNfqUTfUAs/XJ/MCwlTjgwVrGNLDM7KWn
XRC7HT7c5CeJFZgzMHLLKtnmeXrXNqPqx6iMK2X0Ocl5aRrLc+WofXGfpgfgTHuZ6VHbc3fkEO6n
AGXFF+fVUbjoauJ0bgbpLE8m4/qUwtijA6DwtviCOtU2b0rfBl/FiG05BK/dPOhBXKiaHmtB60y0
vHoa440rMLZf4zl4O45vqFcZw2aMsS0QzPTpuveuyMIAEB4vuCIJ3oWSmr0TxkbVdpBVxTgc7wPY
6gZgUg07sz+mqtiyZlWIw2TH0mdB8F9c/MyFcwCEu1aK1ztGlu9MirSUdbdJl/idBmTYfviYQBc/
Ee6RSbU2sHJ6LkRLpyc32463OTQt6C1mo/LmaxnurxtzxVshAmPSBsPQMLiOLrUrrRqomxpHSaR5
SEWgmZsUKGo9UEkVledVXVDANFB+oSiHSKGtnzLKEhtm7K29Ph3j6ms6PP+FLmcilrvu/EtpVpSF
CUSUySYVtw0gFbRxM497tz9cl7RyG+hLNfZ/lJGsNgNNYcxqfJgu2xbJcap/jNFDn75dl7I4spSO
YuAB6fSyw8uw1SjpU2BlBBCYuHNyUFx7rl/+NDbipHsqbIG1p6wO2HlMV2DEwv3UKM8Sy8qrePHt
2+kYPU53yW561w7RoYA0oZg6XAvX59JkiGO7cmsSa6T281O8wwDrKd4mt86JbKPdvGO7dtd9v27I
lSQH263YnVtWp+xPG6h2VrbxbEM9F1ucfRZ53aA4Rmve/UcC2MkuP1WmJ+5IBSQQ7b4fTw4/FCoG
m/WP9K8Wnza/HG22h7CHjOlhDqa7vPSsj3YzbcPX+Ie2/Yvnlq4vK+QQZDIqp6EYitH72WhqAG21
IRod6eQjCy68619m7SCdSbElu9m1MEg9IH8X5jdMSxT6TZm+dqrhy7Ub41yKdJDMsABJYgJdUhfg
5KZXjTd5utXSV9e4K+eH6yqtuQL2kDEO5WK/H1hDl67gCLstsqat/XjCnHjcWxz4V3W8sWdHRQCw
5te6gZyaQZKNwaxLUZrAg6dtEIbGaAj43N1MxN1d12bNdMBdx7MejU/MNkraMCfuCz3EqztuDCRx
I8aiq52OilZauQ9m/OYY/3ksl+GVRdBZYwtwzKcFpQ4J8BAtT60Grdmub0BN88jyCNjNWKBhitfJ
2vV3LkxK6xujESKnSyZcbiohgFNz5HO6nehG2NvrllyL5ueipAuw0mrHAU0NLsDxjgD+m+uVF6ab
ogg4SJKxnKchFb8ucs0Vz0VKF2I7ZP3Ud8iLy7I6ZqX7rbP0W8OMVUwDa04CH0FxHuObGBKRnASr
QF0baTjFY0c9Pfva2F9d0xvsA00AgKhIsNft+K8wuUhTdcVU2TqEoYO4H/LyFE9i73bhITExVW3P
/+jWKIDcSQaFNddi1ZmWMuJbDLQAjEMgilQM48TNy7LxNCfgn1T1HT5DkP4+An9UlLxShF2a94uK
IHb/GVOz9QhnfgVYYLseNwUxgpTEX0bnOwFNReW84C7F5LruddbwRa+fo9FEq2khdFT181cdallD
x8A86hPyaEppaLlR2zibIG/cc46AnXS/mrlVBJ3VU7nsiWOY7vec7mVco5zEHSgQUDMgzzx86owv
bbmbP6Lp9S/Oh45chJqoNwPp6FLO4Da91syInxhu8ic8C107BQne23Upq9osq7FYSURZT07jmpwX
cWNCCrA2HvBb/CxPH0NQfxV5dezUXOzLr5bTRoAm/StP8p65mjGeIJAG43EL9ibyMcc/qrHwiTC3
6AbdznR6DsnLAnph5apZ3dVDciZcinLZqPU58J8RUDHE7bCngoRPWTxvbVj2ullXffFMkhTcaoPO
WG+FWatsn1u7Kf0hVDzvq8osq6Qo+y0gbVJcq8ehN3kJZZL4ozUCp9wmfAe6ZUVg+TwNtJz3P3Lk
LCjCcdeHHF9swd3dRhsO9ugXcs/CTb7RTrVqWXvVcmfiJLevs6RgbQa1CM+8ua78cQBxdfAXn+dM
iOSFbgdGv6RdHmPDUzPsc/6YRof/nQjJ17Qqj5wkhR4U67XLVIwe+5at+Dhrxlp4oYBEgLE87E5e
xoioWPgCKwipmlNhAwToBPSu63qslhjQWUPAw9KKC3CoSxkJ6KYzeyRIspx3MT1jMsYbGdql5p1A
XML0ISa0nOIvekJ4V/6RusSts+cyHriTa8eQii5+1RHfUsJurJyf/7uFA/ocQALIY50NpgcQCxDH
zVF/yQw8vhIjehMj89IZDAHXrbgSZrHQjrEvbETi3SLP4AyTNVsdRzzQ6Ac2GAJryg5aOQUO456R
vl8XtuIVF8Ik77bHCLx1A4QV+VGMLXIdbxgU7cFV650pJLl3Xs+zQXuUZmat8mf9Rc8fMz54sQpv
YyWhutBFCqTgViK8xh8/0ccX0TBgDk/7wm0CQA7eTsJ4iTAHaaUq91OZcPn7M/ezZt0FHOvyvdBj
tTDPUQAyQtVTW367dBde6CadLMcREa1b6BZp1aFwgJPaCcVio0oP6RiJxKzGPIIe6Wjc9N3ojdyF
IrniulvJsS80Wf7+zFwxxlYre4SY2d5Z3cnptmML4EKg87Ou8KuP6/69bjcMfGMxEs8w+ebrClow
lyN611MVGPwGo/MKfX630j9/mn9FyJdeXmu8HDWIYFtjP/gTOInAhHqjvdyRL8P36GT4+jPGX27r
XbjJWi97K35lqh+xdvPCqn9+hHQVMt46ZbMUd12ApAxAiD+N4DiofBtTwWOGtVQfnVFLJXY9VP2R
KkWP2O2xDllBat4w4EQ/FMX3ejz1MZAxRkUQUXxIeVPcGJOMN0vZ1bKw7zDtHE2VvayHjz/KLL/g
zDErra9q7i4S8KB1BpBbbYZ0V2SYrquDlO5ADHjdN1XWkwJHgi7iOBcQCPyHOQzm+R5oKb5IgkFF
Ard+tP+oJkWPoXSLtiCQxMluEqjqUdBwq6qhS4nr2jmQ4kdjlrwTyZKNYW9zDqzktS1/dNT0evKj
TIMJcHTj7roFVU4hxZIFZxZwOtDLoF9F+ENZqlTZTcqZaNMDCXDEv9+58U9tGvakKF+7mm2vq7GW
N52fXrnr1Fl13M+Lc9eRifnhrZPuOZZCDILm361VBqV+ZCpU9LXq9YVQKWQkrTUWwkIghqM7h2RD
ao/uy5vkgPhh6n7zRXtGDClVg7+r2YC+bJUBhGKtho3MJ9Qh1hmiICnIwUA9zNbeAe+kiMyr3vGv
pE+17JYmpBDAuvCnNvMsgOLUXAUlvubyZxIkE1a2LQRZ7rLWyYDo+s6iLVh1rjvH6n15JkOOsU7D
09ZYfKP43rhPc3SHyYAx7wLbeM2EQthqSNIxDmsvyJOu3COk2mA3VjPgDOsPBkW3xglGfhLJl1rF
O7B6tM4kSSGJuKkQmblEC/5IWMDIxlWxmKx7+JkMKSIZkZ5U8wBtQADsDf1GM7pNqW9o3XkN9at2
AKa9FxmYdvyaFd+r3h9UTNTrLvjHnlKAmuoGuXUHLXn1YRnvpQiuO8fqnXWmoRSgsMY7h8W4aFh+
jYZHcPNx7T4UOLhBwVMwC6n2HRQOIqPUsLkMzTKGQsA8R0vbD2d/iN4jM/Z7VStKJUo6XCBs1mdB
F19EfVJbvtc3gP/22ZGp2moqSdIRA6Z1N9h8kTRomFO+STQgA3LPGt9H1WzDavQDrCvGlR2MrskT
K808dU24VEiI86p1OtjJ3zp2z1XT2Kun60yMfLr0JOfRUhCc7Z+Wi29zskJF+XrVtc9ESIerc3oq
7OXlODhPcfdrUjFDqFSQjg5LG8uIQlhKx+YgyaKAiJ3xnxkasXqKdue/n0M6P5PZOEO/2EnvsZlu
FH6X7Izo2/VDqtBEvt2Ltk071AnwLsU9lOqbWQP8d/KfwfsvVZHLBm1vpCZfqqXUfonNH0m0y0fF
6MNn7BdJhnRQwFHQ5NmiiU09d49VP/blh36ffnHu6V0TpK/kwIMcbKwBP72AlbVsvOZG21635uph
/fPJZAyFxsEAsLPkfCC18Fn/NQEpZFudsgSr6qN3XdZaq/rcP5zlEJy9CQDzE2d2A2FR/TPUpyDs
hmCuf4XjM6BftiQ1AjGQTee6QdMUW2YV36//AKXFF986+wFxWJUUNyUy0C128bch6pxbfTP8KoBG
FliHeVedwpt2U34l24fojR+/Xpe/mnycGVuKI11HrXxens/R8MOsXzRj3vegGM4pgH86y/HKLEsU
Nl/+yU/PiDORUlyp4j4cnCXf6WqvwWaFG256HBatV6Q6qlMpxRfbKls6Lqrp08EZwcv3qpmK21kl
QoouXTubBNc/XNXdAgemzN+USwa/kUGvmEu+kCfDrit3hhrpCdyRO/qYeBhYu0c+2s5BdMt2JfXr
V30bPqavFjiwh71+J3w3eDF2RVCoCgIKjeUx5qZ0tElEvz/ecy7uXf5oJop7Z10EdjeWxjqeEZJ/
dLkxAA0WIqZZeHG6z8IXXTXNsR5j/siQfENYejhSBzKSfHpJis5LRnObjaFX19X30lSNqKyeMsym
EN0FIPqn3dimZa1eGMg/bCwUAdbHc8W2b5OgqY9xeiCqjsZ6sQijFiYGpbF+JS/8FFbJi7GYUPR9
5F8xKw0XSU5YsWNecW/ecVUbePVEn4mTbo02nDMXKFmwJvluTkenOcQV+M0O10PVZ6L75XI6E2Nc
hkpAzpfOUEErbe88TBtymxyNKshf6x+tRw+ARDtm98wPN9fFrrrjmVTphmBZjp5bCamdccJoIxlf
YxW70hImPh1x7O9R9AIWZInlJ5zdAUMLyKICmJd+zo+C7Gm24aLw9DHg0c60R2/OXv9CpzOBUtQH
lZMGSCnolDuTfrKQHfuhYGhNkqlXRPuVLNJCM9nEa/P3yrEUImlYaK1BeeGD9a73CMg7d11dcUXi
svqRzhSSYsbs1Fk6zhhAFG72MJexn0T2TT4qCuirfn4mRYoaOgIEjwSkWPnOMY6DeV+QO6ZafPlM
7LH4+ZkYyWSdFVYZlqeReM9RAAabnIAOIL5rgLlYfe0r30lusEaXhDc9f5xS32Bb968e7wua1AJm
i86YZM/BTGNzsJaOG1phxnhi0w9LFYNXvf5MhmRNAyM4JkPTYykQxEZQFG9297ObNzT8aMyNkq54
9eOdiZOsyrWoI20IlUzzG5veqQ6q0xtlpW/F3RcImoWmBMCr2C+7PMrOlLOqXL4dn0a/b97iUOGD
q55+JkCy2mDGwHOwIaDtdllxLIx/IhXmx9pthXqU4QA6Dfj5MpYY1tIB2xohnIMZs3ys4+7oMsyZ
zSJlxw5rc3cRMTOAf/Jifz0srX0ijL8u5ChY+QCnx6Xx9BFYMW45IixZj7b9gLHHUb/JVCWbNQsC
KAyYItaCZyzPgA16p9VNbCzHSw/ChBwiNgdaaeyuK7PiCRisxDI23AF1NrmfwREOtcQB2B3BtrtP
4pB4ed2oMtDFn6Sr40KKdDv1bmOPwoIUjU33dV1g+jHf2k7yxNEbstAcuq7Uiu0w5wSAQLQawBkp
KxV3eQ4+RHvBt4s3VcvfjW4EHSFR9IJWxYBAxgSWCHOAb3TpCCBKoaQYgRnVp/W3sseaDG3v3VjV
0Fj7RIDPxhIjnA0+J/mbnVgFA70LEJmdkm2cJksfxzz7NnQDiFkNcSrC+i5LrdcK08VeP1u3YVSA
FK2bG28MG/eQccYUj5a172kA8B6/CZRy2BW+1LxgNU3mJi6waRt7Q5x62XzHOp9mx8J9vv4tV04b
CAkwMoRYRUF5KGlfYvE85lla+NiIwdaGiEI/LJEJ0CkLkQ9wDbgd1yWuPXYRF1Goxw4HllR0yVuR
G5dxGvUFCiVes7E9QEACyeL7t2pXeBGGxKsd6GGxkgN3Ps3+kX1MexXE69o3t4GRgL1zbCzAxJcG
FmlYIeLhJ7Qz+AIF2MpTkb5e13PNfc9lSB8xKrSxNxlkhA4mDkE2SQ86j9/sgnNFkPn0DRFesOqz
ABcsGALu4k5nmSOYoEyOaSBsnRfkhpJ30jR7PmINPGXa5rpSn0sliywXg47GwkVIHEkWgM5qULpk
S2Z/Fw4vI5s9EgNxPsNEE7BJXixxI9ix6F9iS3HnfbqQJMnSndeXepvEbV6h8XhrN7e0PIBhCuP+
d3b8QmfFJfT58QRpCwsoch+ss3yatUzNOComUlV+7ZonkKo+Tv2z29ebKALcS9p5nTHcEpKdHM05
chp+v27mNV2Bk4BJBhv0Ru7vr3D2RRPRMYF5cjT2dffrxGLgeRtYFXUwd02+tYl+00WqO2RdY4zK
WrrlEAsQ25depI2TEYcRNB4z9jzq5KhNNAAeBViirOhkUfBhZO6RgC+FhR+Faak869OZhMWX1SEA
X+IF9Gm11whjavedVfoVPzm11/GDA9S2xpm8dNg77sZxd264zZEjAnGUbbNK9ck/dbaXH4DFObAV
LYsQMvRN6yYhF9iV9of0QAvhdSzxTO1XnOiepe3z6WCGtxg9/O9f+jeeOSY2l4U26TwB8DlqYgf5
PBA70lPWtQVm6br6FkAxT7NI7uw0/Nlnbqd4Kq2FDBe7WgA3RwjEbtjlx6ZGW+aJ3lW+2YDBV5Se
bU1fknHwCI0U1/iiwUVygg4IYhMeEHj8gQpMirVhbbbErkjl9+wdMzo7ZJxBV3FgTbUHNYfJ5yb7
Ig4Uki5E4VL/XT84OzoiD9FxdAs8kNr26fcWqY55I5JtqNPsBn7fu8TvRbiNwER9/VOu2PRCsvQp
tQpDZ4MGyTy8H8IUDOetp+XRFnAAwXVJa1EYohgw8DE3DXeVbKpNM6NugfjQzcbRTAADWFenWIsC
o243WQH2pDreVs7jbMU382DtOFH1IVaVBfEaVtQM7L3IqDzlnDR6XELZWfvRsVuuca/uHnmqGv5d
iYSAe7fAjuOigwPw0EtHFU4RcpzJyi+pOLZOv0Go9q2Gvmtlt9eK8ZCHqnGT30BJnzzWwYVqOuDz
JTJenlnbNiqckJklB1btE3ak0a7N9ybZlM4+noPCfmWgfnO3evqCmc1lP4/ZX8R/LhgurozEF4O2
ABHBQpOku+GOsQZuDj+NgwIcUcazzW4drLdl8Y2bq8ZTVr/oH2kyjk0/Tk2SNoj/JVrk4LhueAwa
QhNwk4qQtxYQdIB8w7AoCCHpvlQrzPVpEGIG/RWAQ2otwZqbeCxpfRMb2ePotg9/cVgQfHQdpVfg
A8txnZORJKZJK5+6k4dSAwZEtpkgnlnflmiw1JsweQzLr4mT+CR5vi585VJDGeePbP1SV+xbU9IW
oPqiwDebw/RE4253XcRyAmRvNYEQhwrvsvctb9Vh4raOnRAPvVxzNk4qfEYmZIHJ4bqYz2MW8EZg
OuLNDIhlgEhJ3sgEklmzA6Ysb91ql0Sx6c1mET0UTuQGgAbKd7GoblPbgnAjCvhkgrU9mpAYRuwF
Lbbu0FeFislyxZdgXIL/QFaBaC8lLXnNzWKyzQpbFVxYfmRm4cmJs7kMXD1vIs9ujeyGaWGqwtRc
tJWsvhBj40JDhwJcsdImqJVkFnClAFbQRhu9vRusBsg0lm9jdjd3foImvlMtca8F/QuR0rlJROkO
/bjgI6CR1dQvbkuAqFVsQKJ9bxutV8Vd7CGzGYHQCn5X1wXDsa54Lf9ODCS9cY7wB2NdxMQq56VD
FxOStFTgMLXA7epz6g3YT27YR290NybBYyfDhWf+dBPLq1m7M0Xro4u4T4r71rH2GQP9elJ5qZXc
hI61i4E5Odaq+sS6q4I6CrhYKO8A8u/yRwITK40mF6euBD3MkB5F9i0NPdsIULl9Sc36YCbfKDc8
3RqewZG3TdMWi0e6Is6tHUwcR/RfgK6Ox4RkKhwAICfOSHwSQ+v8xKTjHjiyQHbnreJptC4JXR4H
JSa8ASXPoDZvckFxClJT3zsg/eF9vrFyWxFp1m4ILNcyQNWCWvMTksVIDC1lLfYznRhwoXyfZB9J
VW3Bh6MINUtUlJ0Mc9wgtMb+OxbDJMuVU8IwS7GsLjZhCOA2TPhtGWk7JG5a/9I7k/1KBaX7Irbr
E7c5PTlWS2/Msu5BN+xGihtk7ayjbQHsyIXU7dMFUnU1teasL30rfrXyeyf8pY8H8AHN+X1cPFn9
P9fVXzEzcA3+iJPujLRLdJIs4uLw1gEaRLWZ26+mqoe7miiDzxiZBTB0kV1IRsaCL4gIlskb3np9
cgqrD6H90ruNjcq4vmvKXa4K1p8By3CFnItcND/LzZNUVL2dLU1dnwbtK0icHt9Q/cErGqgNsVd6
98f4H+1e+HZQKALXilEvRC8XyZnoKa5b7i7LV2n5vSF+rudeO30ZDFV1a+VCupCz5LNncsIiJBUX
kKPp+VZrND9zgXk48gNWxDF0FiteAmvp8blFpUt5MOJkTAZYNO++zS2ahPXTkDwSLahCAMC72+ue
SdnaycS7EZ0p3UQHW75vZyDR2qWBJBG7Ybbwi3Yc213BdYxd8lx3922nN8YmAsvRdsKW9VcC8jl0
nN3JOHZ20WNqoabj1soMzEiJyZ6irTlP04M+VcT2jdkw8nuE82ZXD6Vp75MwG39mAFO1fDZFxiae
I9wrkRNlN7wBJlSgtzG2jRurr+LNyLT2mJNKA+gi4oBR6qEGTHpCP9yO8L3Oh2wKSOFqSdDHaWn7
fAydOwZsVuZhh7i+NyKTPDc6zb8xUjgEi1nOjGcqJxHxzYSGuhdXXXoQxWDg4TW5WUCBeIrf4Ii7
3g4N5uUgHvpJ26QOgLfQPhkNuv3BJJphI9KO/EC/A8HTJIlVBV0RxdaWxY1+jEAGU3hdPQBPuOAD
i3e80IpDjUA2eybNzSDjM9m7jT4Qr8uFPgPOf3RR3hvLBrEe7drjkMWu8JsodT4qDPP4k7DdX1lU
00NhuMkOZa4pcPMwto7EpRUQ46cedqtgZC/i6ZQGWLoQPsnQdvQFMYt/mnoStxawmznKzmkotkko
YuFhyI39Ktyw+0mTbnL8LOLtu+C0fKowhBt6rJmcoG8N1K3nDHfSo13Z0R1GcEjqRxP4l73BnE8m
iuebvs0w9UCRuJaD6+z6MtRHP667Q9GJ9IiB3vIgpkY/kG50fjZjPSSeXsbYm2w5XExrR6M8MjYZ
xW3JKmcDwuIkCtpclDfYfwxviV5r7X4qqR0FmU6020LAeb2p0qtvejuFpRcu6KF+O81NA+Y25lYP
9ZjGN1Y7Gabf1HMzA26/aZaR74qzzZjF0TaNwTSnMYBEme2YzF7TAE3A041Kp/c168t6IwYqolut
a43TOOh8YwjDfevdqdmBrrdkXg3XKBSZxlpqiKESwE/gvQgvkqF/27aD+xRYjU2J5Yf6Lm5u9eF7
ltwB1bVM90b1C2NCk3GyHBXxyppovMtRpVy45NEnlAJr1Xduw8HwhZlKduJ9f8eijwyjOiyrdzrE
TUO/rfThpinAQJFXoNWsFFFpJQZiIoSi3WoveyBMioGlRmagzgPFXGiAc/B37CQGE8eS+HGiWqdY
Ce8G2EHRl2fAOvpE7US1nHHaYcERmA2WdVcXlp/w/RQ+h4aKkHRNLZTnCBZbMQyCaHt5k9TTgLjZ
RDWaMCYKso1ZHSkZRe6hNcRAv0ASEcwRzUpvFtbwn9EjUIwEhjXaQi6qhJ/qkqg/9206g3g7xzR2
kicbV2tvO40cHK5iEPk/pF3XsuO6sf0iVpEE4yuTwpa0c5oX1IQzTGAmwfD1d3FcPiNBtFgz98F2
lY+9WwAbjUb36rUWruYLU8KVySSuEsi95mBQqbZWpXsSvmU7pG74x5oB86LQvkDfQsEVJD5eyDDa
tTVCXCnhuU/RZvNUqXiWht5PzMy3mOQPQ7GSmy9UAC5szqs/SwjMMDEinsAmw8BNXhM8Q55v38qz
IwjZ8nm+KA4/0tKOtWZscsA0qAP1CgjA1A61VoZgFtzx3Ir44EXLruNT3+Xu1Nm4wKW3OLVPcW5A
mQi95lDb8PCP8SdzN0K2wEIPF0QjWDgBLRmbeOpxAjRMlzdyh6SG7li8NtK24H9QGYbInob6BoAH
ohn0VawyKpEaQkqi1rdAvSB7ezHX6l5Lb2cIBs1SW9qcB4uBajSGkpRhDI4BnNePakhNdBbGKdfd
ljMJ845GiF8RJek4OUavUcMZkfB8obwDrRALw/SQh4p5FzXc3kahEfk2MqM7te6Jr2iMowLbQODa
S9u+eBiYgfFhteZRunLZLDr02fOEXDp0rKPGTWZHqE3U0/oEZZ40Iivp+kKcvfC2+UecnRqoyI1K
b8OIhv6zOmyV7ketPerxd0P3b5+eha8P4lqQ48lzVQsiKZeWuqRrTaXAawuUf7g+W4/EWwO4d/p2
287i+TmzI6wowcwpWiRYEZnPS5d+tyAr2ytJkDL7U6favkzTh9sml5548GtUqCDYPQc8wabN41yX
OxAalAaK1NHkRCz32fQFHLqOEn3pM1dlXqYp3m27CwHpwqxwoNImz9Q6gdlO7/0yeyHjuGFrM1Hz
bxejHlRmACuUZ4lH8fkKgHAzchk1Ao72aEii+zTsVvZvzYQQupWiRhoQwkSWQSl+pNGj2sYr18PC
XiGwzbJo1qxrLIJc6ko2OZtpICy5fMob6WtIWQDIyV+UMM7NCDWFLma10VowA/KMkt2DlQrJ0XHm
l7N9wt9Bc3vbBZbOL2jewHGNDpwNsPPlqcoqNK0yHcXQdoy8omjvk8n020Hbqy31zGwM/sKchb8J
TBwUyMQQnkxGZXQKXt0UTT5lYr5eGZ5a1mjTR8dyDam7dJQxdPyvNcEvKg498WSEtVq6n/rGUdUf
TXpsdUioYxpm7dpYqj6B6xribjjBoNgWintaGqtTBEo+tzb+0UzfNjdD/5MlL3ZPvar7MYA29M83
U0djbyYrAvpPxI1rZEC7Nkwr0A8Pvl7Q0pmYNjizCOUYmSO4urpvty0uHQIDlXQFaq3zI0b0lmgo
7MIEcVBRQGZrMO7DUN+oeNP+xcrwppslgVHJM0RdYGsczRhnLXfBh86nu4bWjj34UY0XnfJXpv7t
D4hJGaEooE8MSa1ZfxSy7BTx62hETgk+5b9oE17cYMLumXmvJ9OEmyVrUdSiXhQ9NWPoAlOQ6t8j
vkZcM3u3GHgBlcPhNoASuUIFj1CnZqo5J9Gh5DB+KnuQlMaPerpWP1+KIXhmAQ82U/DaYt9uonxU
5QyGGvauZ0eJBTVYuXLbr1AKuO2ASyf63JR6Ga5ylFPMYVZdHaWDDLlCNet8xvYhnrVpetDXmtpL
F8u5OSHnIDGJZBuyBsg3qiCN6F3Yr43VXpPyzW+ds92bf8NZBpXFdhZrEKkEBvlLbjyNmKwFYYc1
7ttkX09B2oMnBFjUbZtsgRp1jfi1t5+M9mE0UqeRXm7v71KV4OLXCD4KjdGikDX8GkiZdvUdWomO
aXcOxxRKadzZOIiqHEBzOsr9Llq5HH61P6481iSAFENBUAZe4nIrJKNKQ6uBNAu11M+UoEhQ9Sep
Q7NMgWCGXThTXntD/SW3WYwTugZoXraPh7yOfhTAVbbwuTkasn0sTbnbKcaOEO7UEqZxulfZ4I6W
ka2kRQ7P6FfNqD80eSWJWWqGYfQCAGSACMCCKzaHCtJxAxMeSHD79z43PKrW3mih8Y3Kp9OgFo4S
nT+zx1jj4Ic6kK/gT6Lg7KmzYq0ztxQ7zn+LcM50qhNwGmAnIDsPPkxftv/BBS1X4XbF3+ZPKn7y
c0PClrcQuCvjHoYqE7Xx9I1YGxXMF03xYnDQhuebCs+lBDXfdXa8ufN7bRogsplbFH35OaydHTyA
GlJe2djvkBQOKQFY+UHkx0zxk0H30+Q+Gk8QI7q93qVQifP+r805vp3ZnDQcLeg74bkk6YXiIiFj
kL+z5NQzkqwHdiUePrld9k+3zV59TryYIT6D5BWdRwvwg0uzRiw3oxqmqZsnjVcRYxfGdWCq9ImH
a1f3dQSZbc31qLn3gMtb2FbWNUOXx7BlNdDi5GRyrA4FWp15I46RDqLR+b+vG3JKIXyG3+pN1gr7
7vVBFn6DsM1V17c56/EbJMDyXmpT6u8wZSd5yQTITC6XitdL4bQJB4TZMlbr+wzdkday1qjW/sdm
zBIyqJDM7fjLjVciloHtHT9ENhKXth7vton5XWqDVA/ALVNAmhzycqiwg95o5Whd3V3zHhBQuuBZ
CeC4+M0rksTQnClSF9iOE5EqP2VrrclFtwIqEfN2EKdEw/lydeD5szMAKrDN8Rcr3aTkhz0LzLu3
nXf+KxfndF4IthAaCYAGYU2XVhJpIFJR1qlLmb7vjGIbddAuXmNTvQ6/MAMUANplJq6fK9Jrk5Wx
YiVhCu4B3L9oOb3lpoTyeIvnP+2Y+koJCZIWM7rU6r8NZfHRNOZjpVHbVTLySlttrQp6XRaYf5KN
IzBjxpFvC0cJtSbMA4D1202bzKfQ6InNaYuWjCv1rQdJgkety3wdyJKQfdze82to3S/TsxIjXBf2
xU+bZj0HKy9Mlw9gJtrEtfaNjSl0MZ4mCJ8oYfSPBSquxH7lUKnj5WeL8qkPjpBdo6fbXkfBzP68
/ZvmQyv6Ab4L4hcQVGj5CEFsBHiiAqwpdeMBs6P8MSOoVujEoXQ4FZCRpngJ3ba45N/nFoVbsOQ2
G8cJFssEQySEgkhBZp8xJjx0qfBu21ry8nNbgpcrUjsNag9bKTjJbSTOZvlWriWbV9cPvuq5ESHX
rDEq1ig2jIwIwQmoF0FLIdl7iqYs92+v5+o1LJgSHKhgbRcVUZm6Tau6Te6jDWqiRAriENVMnTHs
nHJNEmrZJHI3cJ0iGpH5n59drklfAo1hYHUyrWApcetU3Y227HSGfaLgy9ez+1SaVgbgf8lKXPkl
YPgA2WIC6KqEAhyzAQwB4pO2id/Bq+qglXcojsRh7p3kjy7d2YfB09zWy46lNzn05aNytd2wj1/o
R/VD+4u4D5DILLesanOT8XIXpKzWx0hBUCaoBQCKd4rDNbDkr6rQ1ZJnjUgVCpW4Y4TAVOTZpOus
QUh+1J6UoNiHPre9wVUDfRMGqVf2DqaCbjvUku/OHxXz8agkghDrcl1FObfjG0w55IY5lg/ZCJZP
NIxtonsxA/Y1CVv9qWkKc020fulkYvhJh1VgYYFyujRclxnSCZkDHznepyRoc4x6/c1NCpA47lHo
YKJBKrguWud9joI96Aa7r9J0CqPX2H41rOD2Fi6uBL1QfDKglvBvlyuZzGFkuE5xQDBy2HX8Lanx
tuqnlaO/mPVAtxSteKg2glVJsNPalIbygDI9s4965BvpXZ8HY72puwdZ9wvFJ4ajGgeFr7xeF9d3
ZleI19GgdFEfTXMMzQMbqAVSPRXZGuPN0j10vjrBEZMwnsKsxy5GpoZiHzH/mY1u0dzLXbXMzSAu
O8Wr8vxPG3uIqDjPGOhFRQd3suAjep9XpGmxuinGSF5m3XHT8MZJuqcQjMoVKTCMn7f9ZSmFPLOo
zS+os4BK2yzmJJcRSorQtZKT3RHntoXFFOfchOAqdERZ1AhhwrKoW3Y4WX4UPoT9e2m4ubpVMVAP
hbfbRpfuCRQwZ9581Dqu7gkIP+sQ49DhJrzwLf2zB3J/SHuP8PYU18O+1bKD3I+7/5dVcTMBpRlS
zmHVGu6n8j7pHtTorZYeGm1bV26lrXjL0lk4W6RYHMYwSJdKBOb65LlggOxrzmrBZukknNsQzlsx
1IURqrChpY0jaQ7Gcx0MuWAwYT+2/qT8Rfg6NyccvDGz0rGSYc6MvjKwkOWDX3crX+nXNSJcbRjR
xj2OgwYMqdhmJGnYVg0SCbcbGYsDReXhJ5AfxvcYtCmBXQBBNRRWegJncj2ByjKU7rNcNiLIx4b9
AfPc7K7VrX5cuf0WPieuc6hooY2G0pg49Gfldly2eMKDnHZHw30DnhGL05WDsXQaDTy20JpBRRIZ
thBiajbVBZk70X1f6QfJqtSHMNPv0gqQ6FTu9iNXew853HHgyQi2n2L6i2XqUHxB/qYgyInghdoE
Lj9jeC9T69nSHgprq6y1aa4LrgBundsQQg7h5ZTbEWy0cNU0nXwNnPETfy5Ltqd8eFFb04G8khMr
lZsS200zMKHk0FpMBsDUmDcQKKLIX0xwIN6OEAvPjYsfJhwny0wr2hRJOo8q2OQNY+2Tsg/XhpAX
gjp8G/0iUIXMkyKzp50FdQNdTBQq8KhU659p/RLVr3+xijnFkDF6DI8V0qVGlxs6NkiHMzQAKqet
mTNW0LiQVnZr6URAKA9ZLgQGgQogl+vo1QSnNMUDg9C9Kv1T8Y3FVupIayaE55Ksj1XSDzDRWc/o
0Ttd7cnjytTlmo35n599jiKtOSQi8Gixip9V6qfF/VA+3f4iS18cwDvgw9AGwkiA4PBGgaKKYeKL
T/DcGVWFDOy2hcXAgd4PUEBwKP0qRw6nirZ6iJ0CzsVutwOkrDHnZH5qEfQfdDRCUWZbQZ4sFWxQ
Y/xtc76dznaujjBhyO0cDvBsK864ATrY0T6LjX2aMIr81hxsT/tTEABCB1oDpm2AigS7KXwsZpAM
sMj5/SwdoA0j4RW9Ssi8kJ1c2JijxPmyFJnKbTsvq/IUGXVBb8qOFLotIGCAaOLam2AxHGKaG7Ni
GMPF/ItwjhIamUoz4L3YudyTXwdMC4ExEir1jhzEB+te9kZHumsDtlmDLi65PuYKgQnB8cWTXYwU
aH4aHQDmbqzstWhfDl+sNXa6xev83IbgJEWeYmg6xEtV3phOvMUM2Cc9dIG9iRzjKfSUlSbO8pIM
XKEoJJpXk6BZpcVRNGFJloJr+nufHcd2xcR/QMJiijIXOGaUAd7fItCgTYZ6TGMpwSBhXL1iMFb/
psspf9Mgh73tSqp+gVSwvaNxIp3MPGn3WaUUfjb15ZYWcrQLk7r91AYqf62Sgm4xST4FiQQAjYMX
NtkUPKQBRMi6vWxMHMODZj59piNkFI1wQOONDxo6NFJl1V42Qg+1jRl8pDFAKNd06rEZTem+rujQ
OrI1TptKqcKvaqKwowFy/UdaNsNBS+L2gUlgNgNVFmCRTprZQxB3TeiFsvrNmtIu8XOtAZRfRd7z
0nVxjGuax6cC2MbMG/JwHknFhHoNSnazsZypGJu31ki1DTauf8IdH+4UvVJ8m+Jx5nSdpW2jcphn
O6aqPsSEzL+MJjsOuLSnVl2eO6MWJV5uF31QGTroRAF3z/A/yoYAWFQZlL1ZHLryFEG5hE3Wvjea
WaGlVM3ERz6VlegRytpBLWW6DSHkmgDmJzeN02ETgz4DIYJeT9LnoBiZtOUdi93O1LkdJAaPN9lk
Gx9ZG2V7zPJJLwmSji8Tteh9U/aaLykR6cDXpxGgiltz1DzCQo1DHjhV3gkUT7whHIw7lnXK147V
6j9aEcsPvckS0P4oMR75FONzaKcV7B0Qqb5yQ7tgP3KqD/uESNlbonC+A7fp5Nb9mB3xf++OkQWm
kpaZ5EjBMPEPbuAIzJxqclRjHSIuxRSDEZTS4h0DD8Zjn4d2AqbEmmBuV7NYH9AsDNmmKyN1V6hN
+5gmpAoA14FmdkLIuJf6vP9i8kj2YQ2oWD2m+aZHt67GI0LH+BYLmxOjVVJiQGbOO+0hfA7TLH8q
8gmTGQmwoJjWqarPUDMiGxzidf9V44lUO0zB4P1ejTBsk6SmFCQTK/e0k8lL3pWE7rQ+jbddqk6P
Sk/yIEtH3ZWoZD7qZkV3rYIkZsM1SkK/6iqqOEaOhpmrAfDJITPeDI+shAKiMzCbHnpdyrYGlbot
jUsA282hKr7lSRe9EOwLCCSjWnoOFb2BbgAgZC9Fog3PatgqX+zSxrAFQyMSHc4kf8kJr77qDKVg
DFAABeZEaVS9Fz2zH6kdAs6dl4RsOknL7qweKgETSPoCVjSYjaxGtXZCqS5+DrwffEiYqS+qEWeg
o7PsQnIw2TyUPrAG0TNJMd2cxXrUOyEKCi/qqEpBQTtMgsiFDPXXiA79G6nDfkdZVtsAShnGHdyc
nkLS4gAXMiZXyQSG6Sgr+V3fp/LnWMzd+hRydA7SNZp5Iy/MU1ajEuko8LJdRWMJocOo03ETl1O9
12pMw47J1IFeU4uqXWUZaZBDc8an+hTVKBvrw0FCNvwDKnv9awkUAoR2mA36J3Rv7nPUlfJwrCKv
rIv6awjx7hOiIVrGdTaCuwcK9JNGJLzp8yFyGrNMkOOPY3gX8xjPbXs06KbSkux5QLgGc3CjcgeG
wh1EhKvAIlZ61MoieZLoGG2NiOg4DmmJg2RErR+SHEqv44SBiclIPzO7gWQCnzofqHVz2wMpODhG
qHOvrkcT3RpFbSpASQmGqEbTuucaBo3iJNf8gqeQFy8No7ZdK9PA0WMTpbGdvoir1lOjhkUoJNWK
ir6pCRAy1whwF2bcEtcMzdQ3lJS9WAlBbTtvBglDHJpej+7UaICh2ZBh+xkZuR06Q1G1b1UB7t6R
1OWnqdF2yyOWBqPGmk8SSu22As0NcHIdkNVmXXrQC+5fo1ya3mnG9O9FoYaBCTqhR53I5iFs7ebO
tKxpp8ARX7tMiv4YvTS/0s7S+6s0yOoQ+pBRlnDMSn+3ii80c/t6rbq7lByf2xGSkBh6W6Ghw07e
7XXymvA/r8NcrENIQKQKVwHVkDJWmV9FzG30N8V6u51+L2Ud52sQnu1JqhLOSqyhbfZJ917bzyl9
vG1iZZt+PQDOslKb5uD+qGFC1T4iVuEptL9tYHENIKwyUd7AlxdbCqPcpaOcIQ3NlD3gjBKmkGS6
9mSYc1kxcwKm8F8jwsfghPWm3MKI8Zh9rU7hadpKruF1Qc+dzi2/ytvbi1p8o5wbFL5MynQrVOdV
gagNkfRh2j7wO81JH8jm1fbkw1pKPXvr1QJxBGWQQaJJKvbKZUtSMW+J/HPECF3dP1jSY6cfQ+se
lAe3l7ZmSXgbV4iBUR7NluSNFm3D2nI043FKN8Uqic4VUGcOBfrMD6AhyUAL5vJFlLBMN3gGU/Qx
uTcVXwdiYo9BfdUnP+jKW3nRDX/bEv1cVUpa5QlsccWztNOkBbz/m6Nkgr4L07nzIJ6wnHowVKZQ
tNbBHoVhRqfNVtagLhWSzh8IQiGJaGyo+xQPBEwxHkhQf7S7+94PLdfYJA+GZ7oRc/qPdm849qb8
iXkk137VFGfbo+bl33aTJSgOOJJ/P1aE52UUS2NKLLAscfI0xYEMLJBifqr2u8y3PbwS4zTpGGg8
uG13KV4RG0cdiOx57kAwW3d5hPlaVDKlZlNhapfV9coBmD+TeNTOLQgHIOxKNbQJLNjd+KVUfrAp
d2yZOgZBLzL+bjNMSEO17/ayFgstmEMA1y+wKjrAgpdnoUka0ijJr0+rugx4KlQgthY40NzwPv72
/zQmhMuqMZNukGAstVD2BMcSDzrEZUsP4mg7xO9U+5FUP1eMzs4p7uv5CoXjUdQJ2jIZjEaxQ7b1
j2yPgr+rfZe9xB82+euKuXkN1+bw6pg5LtGBFTZUAwdjSKUZ9vNYH4jHdt9iNzy2jpk5sas+0KDZ
oT1kncL7tT7ikgMBlPevZWF37XqKQjq7aM2Ccsd+hgf5e/2WbMyVCuP1OBvi57khYUdzO41pHcGQ
pjv2c/EWTJvYmSk8NZB4Zkf9KfqGd98JzMTGqX5dk9hZghKBuhfDgaAJARxB1KluTKlWtRIf9Fg8
tdAm0UrH2lQo27q2G7rJl+JhvOt3hu1l73/zbc8sC3FQt6PCjmZXaj8s3blHfqxsDI+YTvHdipwx
qJ3Ya+7ibwmG2t016tKlLvjFuoUQFEtEwhUJ69Vbj8fZ9l4xHfbWe+Ve2sTBH0uFzR8ZNDqYMEDP
HeW0y8AQNxFo6Sk+ckFPMegbjKAtQaN3pGso7aUb8tyQEPf4WI82D9Egk+qXrv4g4a6TV0LrUvA+
NzH/hLNkM6ngroDeo2Bt7oYMkBKF/EW2CQAEOn2E2BZG4i8tFGDy1NQZpGr3d1CvNG3f1ldqxUuX
8FmbSRwsAYl+Iysc3Rxpsg69xfZtDCKKInZJonq3HX3R1O+MQmSEY3lbGFY0t3T4a94H4BIs6MYg
K8ns0ocHkyFwmMBI4l/CVzHlOK+abi5Mm5s+BGcK1JPWmnNLK4EeugUmVwTGK/BSUU5WFPZAjkRR
7mSAEmEekhW+kvi3d2zxcJ4bErxYlpJay9rZEOaMDig/pvsc5S/fbJvmwaxNigGIrkLBwvgyyErj
GZMeMCMmbqfFa5f6UiqNZtyvJBeArF/x+8zdWUumYlLxSDDTQAa3hhI9hfJd2zB3UFbAaksn69yU
EBHzUq1wI8EUBcowJo99tIZkWrYA0ingmmeCVuE+JYxlZjIX9dtmUxYnwley50UPQX/6v39fvDVz
DDLWA/5+lf8AF7QX5qir2aZPQOZy20euWZAQUpE9KvMwCjAqV/TpIUA+vIYpC2pkka4j5ZECPcyc
EtXNdjKB5jYdNYz9MC0OrTSeRqvfQZ4JNVTuJCRDkUx24t7edsqpozZKpCt7sZRBnP9AwYlbXnQT
VMLRupHeLeMBpDFZ5EeFW7X7qtySNXzl4taf7YcQAFCdxo0ao5eSAu7RxK1jlKOrFtsQpcTbW78U
as4XNv+SsxOR2yDEZpAJdZPaQ7m9lU6yvBIBFv0UJHsmcj4080Q/7aUcCi8YAXET9RClCnruq9im
5f36bUJw1dEooE+fYL86F9BksMR3pzwIfdOvPOO+20le/jN+6Z6tlYtnsegAWqd/lyZcbpCujaRy
/k557MSn9mHm7tsnzg/5oHqSB/0pd41kdjGC/bYoql7FObMLgDMB+ItB2dW8NGaQsw/WHKSMr5zK
xX7l2epEECPtaQsOJfgG200Hckc8VHNPtlv68a75Ln9XHfMwbnXkmE/TSudtxWVsIXiChqjuKxUu
E8Xltkjig6Gxv7hjzxcnZHENUcchodhI2+g2BelR584dZrIV51/7XkLgqHhaawrFHo6DBGyLY+bc
qVJP4899wlY+2PJZ/tcbxVnesZTVkRvYNbXVPKN4zTC3aFgr+7aESEas/m1FiBhJ02uNjO6Cm77Z
B+1x8OyA7six/2zvwEW+50+js+YOy9H3t0nhpqOyEpt2g28F7VUZEzx1cxz7Y2Wg8AbxSmVjk+B2
VFw2CPw+EqNfgh6XUVHpjHjQWYe0+KM/AZt0SB+mPXHj99tmlnMjkIZqIFoBW62IECqTMe01DXbM
+BBnezrcMytBd+Td6LcdQAEayM5cAOUc4Iv+JvDP6H20+Yh1RRaRD1OKVhhMR80+7yJXRk8xSjYr
C1x0/zMrgrPwxEx10ORgNsEHxupZh4hjvC/fQQoWGm59N+6qZ/BFQ3b7ae1RuHgYziwLPsO1fJSM
+dYBkVpibuoMpARrAIHFMHVmQ7h2qjye9EmHjSELAZZH8P9jSo85MTqzIFwwEBsqY0mCBXxGh4Jk
i6/NfP1ifhXLMqDtBfiBmKhk/zrvZxlARm11ymduKXCvbOIn5ulB5U5b4y0AHbXLj8ZHHES41KwA
2qaj02xXnqDX8nW/1vj7Bwg+MuixBXArfsDgHalnf4/v6t0/6cHYJSfiSJ6RO/tiJSovnu+zNQvO
UQD9bRQZhgByK3lJkAM5WdY3hykCraJJRmDp2PiEpvhXDCPsVo7EvJxb+y04DVHjoYXSODojxwgj
36Fn3yeBsYkf83f9aEauBGpCR/HjwFy5HhajjQkZCQJg1S8ui8uoVqV9k1jzl471maOauJX90jcV
GqTlgTemmw/yYz18m9q30krAocxWQs7Syk3QnM8CYCoQp8KVC5KkXq0VrDxLQKAYyOYobzUu6T9s
VoLw1CqU15W9vg4CvwjOkXNi0nDW2btccanRxNYKqECBAxy8O0G+LQ4kccs74EZUlOSRvOQb5Tl8
v233eqGXZoX0hSVQcItKmFWa/cRdifwYiyMDa8htMwv1PtSlITiAkVcsDmTHl8sz0f5uq0hjrs3r
HNx+UcSP1ZT2P+NOaray1lkQD0rL4ZuVa8iIIZcOlSaegt5d0aa9PGrtI0sLEA600pS91rGWPlRM
6r6VtrR2hV+HypmDUUNTHTFGBuD78qfmGQfAMwW9Umf1XiylXj2sxJH5L1yeq5mAA3Bb9K1+TeNe
Wugj9NF5HYLAaXRrxVdznwP01CDfqhWyYmvhA89VVjDrzCwcV8UTLmsl4xQCWWjG8/xLPdy3hZ+s
klUtLunMzLypZ6GZAxs+JCMFd+nGfg4ZmByLJ8g33tOH2G1/5qEDDWI1SBAkq5X+7bUiFebaMCKF
ncS9APYgwbU0krY0TbFC5Vl/1vYARvnJN+3xm37i6Am66c7KnW47Zo4b74g7bhMUqlbce8FlLn6C
cIpS3Y5Va5w3Of80rGOyytM5r+HKY87WKMSjRI65HtswoH8Hc3tLnf8AMiFuI0d+921NrWnhPXW5
p8LnjGIG2kOIKLnRrjsWABl59DCBD96Z9iAfe5Q243vnJO4beWk/VyLF2l7OgfLMkySJEaapWGr9
kezyXQxG2ncNbLeOMjuS2z6lwco7Yc3ifITOLEYjnziLsVhryB1Z8sPhjyljBBcVQkoCzdQ2m9eU
q+nO4Mm2KFfWsHzMfx8C4aquSuAvphFrqPIwsAl4wYd3A0JXa+M2i3bA7o42o4o5AXHkROdKGfEM
djLlcQLkK7S+tuRkJ9FK2Fq4DkEg8NuO4ICGnTajraA8EkoPIz82UP7u1jxt8VCd2RA8LTWo2gwc
NqbwKYFqO2BmuZk4YY9x+qNaP8Y5dJ2/jmtaWWtbKLibgTo3VCXnYKGBY69xy4m5FT2StU+1toWi
00XF2NodloexGb28r0MA9FLv9mldsyG43QjW6EwFQBWVsqfJ2hY9SuHRSnBdKF0hGNng2AOtGf5T
BNh3lhqHWoMNq+wQO+bZ8ZaOTs1AzyW/jiOAoW81e25mUmilcDr2sioSv9Bhn38Cnr3QpTIwzyDE
36KpsoYXcPuugiLUI8+CXAmDoXJpZjuyDeWt4cDWqJEX6hcYm8AcGXg00NrHlP5lYGr1CHTWMdCN
IDjy6K78BrZqMO7bLnPCe90tj/ITSjVrJe4FePylWeGjJhJJsAuQ7jQ2ZsC3QxA6Tn03uN1H9Vzd
rXWil47D+SLnB9BZ9DWNdBprBXqkcbYttSOtwRHj1WvMA/NvFi/QMyvGDCc6s1LbmRW1sxW9/sjB
8D4dLQ6QSYM4CUzyx+1TsZiSnFsTUhJFqoapUmGtccLN4IG7wQVI6YQUKHGyDbJr9SP0Si96eib7
2mWJ19fQSV07N2trFrKSYujKlkZwn+n+C9D0x2nbuNGz7f8DPo6AOvWmBGTv7m5YiatLMQGnFYRG
APiA2Fzw2qlU0sKSkQqyGlhXsDiarik93d7h/+Gjv40IPtpPipWi58zcNuCevu1OmSt9zQ4AhDt8
g4rUWoa3AFmaD8Vvg4KbdjWEghsFBtWNwgK6GV7Cx+JjmFzFcGRnrWG2uIcgTUarbKY7FHl6+rHQ
7GrO9+IcyfMBNG99vdL1WzaBFwHG8X5BsS5PRNHXSR8PCGkaUIHAoA6o3TV85RpfSq1AUfNfI5Zw
7AYrMsFuCCNt+UJzCd3FtS7DyjLEuZceb7gxyXADSRD4jZWD0e3p2teYPfYqeIDEGgUu/DmMzlxu
FTSqcC/1kNltlYM8eB3/5GZA0t3Yv6249eJqMCMEkiygGlF5uLTUkcQMR4qz07nD9xYhInPMACHf
UZ/j3eSWj4PbrLyfFq9XKPX8a1M4SlauttwI4WtDoP0EK4NvedOmOLBTtQOALNB3a59sPirX2/nb
oHCUmN7WhslhUN6ET9lrfEh3gw8N+ZUYsRj+fq/rVyf3LOTrZRwZPcj6XB6YAdihmkDHcvhKtFuz
IoT6JI9GhVTz7n2fvPCRHtQCj1yyu+0YK1v268I5WwvwwrRlPawkB7op3Oi98fhcd1tBhS3mOWe+
IOY5naK1YTLAjvao4Opv72qfOuMHxvweby9oxdFFGelJNcFcDS4p15C3E/XCekfV19smlkI2kiYM
3YFExQSUT/Czrmg5hL7Bi6Gwz1La07D2CoxHGU/UDKBHm6o/TTkozJX54IV8BlYJ4MLz+bVFdjc9
6qgxAx5canNXRUM8ppijAF5w7dwuPF/mnBBA1lniGGxgl7FCYR1rMLKduY3R+dA3h2rAeyF/QI/G
ManigwkAMy5St2kwGxdO6bfbu7sQ2S+sC8kFT1NZsmJYLwB9ya2TslbXWdxHA1UdxEIbuYSwPGby
pgVCCstDep1KP4fhSYqO0Zpy8oIjwsBvM8I62oi0cW3DDAkPYXLg0VanwV9s1ZkJ4fEwqeBMwIha
5g7q5PWNDPLMl9sW1hYxf6yz8CDVYQ28NRZh5iArtn9GvMVw0MrQylLOZYC4xwAHK4YodbH9MjVW
CtkxWElCCIti0I8CMp4TJ89PKOnC3qB7U+OXxevQvVLZub3GhRB4YX32l7M1grcEU3wyHC7jyaax
zWeZV3ejmYM+3vDrhnkJEN25tcaMsHD3X5gVbuSYJSHqqlj0RJ4aemD6cVA+Sf2F/DnLBUrCpgYM
nQb+AsgOXq4P2lGV0cjgSI4xjuukXXXK0KZjcrQSn673EYq0NsbWZsiefiWCo7dd1ebgCXazvHG0
7lgOz301uj3Zye2Gmw95/8ewSqD2ZltoUeMUiLDKATI7mEMygc1gmHp7TaMnqfm87RvX/n9hQoSa
6B0G2mgBE6XebWrtg3QGJEy920YWEqXZChjO/4+0L+2RFGe6/UVINqv5ypZr7UtX1xdUVd3FanYw
8OvfQ11dTSaJEs08GqlHmpE60oEdDkecOEcGCzDIeKdfcbIDfWo2KH4xtNqpxb8ZlAW+QYR7gBRl
U1nGu3SjPyXOmrD5ZZw9Nzrb9oNUGEL0MFoawtXB1CrWcvSF1ypMTNImqKBDtGXeeiqbJgij0ocJ
N3vuPOiYefEmA0FdusN8KRS+tkr2amwK+0FY5jHemEdtd921l7H+/BfMgjBXJT0j0Iuzjc4C4b8m
u53S4TXy+q/NoHdLgTZnyOURys4/II4X70yoKUBY7kUzD0rvGeS5XWNs+SHEOc9vGfDWEAaHyhTU
g36K6yf7hNSyWfKUo9Zg8cfklXZW4MbUBoOCFe2jje+klgKM+03nBh5/Apjh+ip/4vA1+7NIUqaj
XJtIQex2P3rUST31N70dPNlKX9jNH2Pz8WfF4HSBXTE4z7RbMlY8ZjDov4OKXxDgbboDVFhc7abt
PfoNZta1NV6GZTRKTbCXEIy7TAME558yJoNUaT12TOVIT/F9eds9xYajH/UCTBXjxnynduKUvq1o
q++Khc2KUqQKpVawpqCHNwsDmjRgwtYPsItSP7VAcvKYkvZWjFK9A02HtL3u3KWFnlqbnf/EgDwA
hgYm3B6w1Wrx0Wfpsxz8ZqO8HZrv68YW4iiQxpBKxQUxkerOvYrpeb8EW5VtgtutJx/9AKG04um6
kYWIBi4nRBqd6FDumevD9rRvcgxu48UEsinNQo5uPCAFZCu7csmMriBbMUAej07r/DNFDGqXkkDx
FC1cwJMKcMldX8jCTQrwBfTdFAjoXb4vhtDktOyg+2j4XjK+hZWw4mhX4JVBPQz6od26qq37AzyY
HTVEavSNgWsDk+e8jx6OEjfDIEttpWD1aBHVH2yolvr3vWJgfxghegtWqBUqdKbBlW4KwHBTOdYD
GwOgGRg60IaqbVVI6IFGYy12QkjqK/drZPER6YptXCjJCBWKJNl2eKi3YAzNVOg9Iik51pVoj2jv
V7clBVnroTAi9V4fdUTscRg9GXIxB13m5B2KoOzQRwzCqdjAkU0pR06jjirYs3T0aqFeGZj6Nyd5
j4l8NnxiIFB7yGufP4VSnfwqEtYeVDPpPYy4Rw8FC/RDkWVy6PDe7PZqqutvXRmWGzmZyAS4FmWj
U3eldJNHrHNGktYBaNhI94F8Na49OaD5rtVHZDyVMPi9yKpmPIBYTfj3pkSUu7g3WWcLEOQ1Vo8p
wZ2hhcNr0VahZ0QdhuVz2sgOYAFQvY6UMcJbKy8GJ2iHWFijHEp3qZyRt6Qc/Ye8qSPwQRtaueOd
FDsqr6i+r+OsBcMtD7NDViT5Hp8RTBKKmQx/5VLOuTWKhD9HrVygoQB6bS+r6+i7bspU9iSjylAW
NyA8hQZE0L4FoOn9lI2x+O5CFn/SoFLcKmjB7ZpnqXJUwxptRqiBSithdyk+GHhu4k0N5nL028+j
bmRG2D8JQUU5q0HZ+2oCqhZqzvVjtWgEqBSkirAF9YNzI6qRRoVggKRI7KGrPWhPacqKiYUQjsLq
PyZm+YbJMzgnhtJq3b8nmu7EbeFU0P6RQFjxvy1mFlFJDuVgSEHC0rCl1b5Gsv2vlVYmhliMdsNd
gGViuPXcXxGEVjrk3riPErCWaLnHN/pTOEJa3qeb66u5LHahJzuRZGI6Ci2geSE0gplQKnMUwflo
qz36GFKzGWOyiSBO5Xf8byytFd5/KkHziAc1eGBX8C7CrpvF8Y6XZRg0uC6kJ3RssuNbbhujBTqa
5+fgtjtEtv6k3SaAz7f3/DN0GbJXGSjUle+4dJugA4jJbGJOykqzX6H5gaFmkOgBxNXTMRXQgsnn
um8XwIVw7omJ2U2vCB8ckg1MmL6ntZZ8M9ifaKximuTezBzlodxFR0ge7dbqpGtLmx3qIkuNvJnk
iyfJC0xYWNDuvb60NQvTtjpJiJuBturwc1EivNbRbS8/XDewUJpgyMSQjk38wriLZylvg2dbnjUD
Uu5clsAfZBi/M8yMVXbJQJpjmWM96bKZELZQud6NkNPzI9lpIHX7BzMeMfZvVB+gOdKVK5Fmaemn
Wcjs/KcBeHMCFVmIaF8kvAT0cKWNsxTKTg1MP+DEt6xqklwuezTHhfyayNBGMWtbG4p9Jq9YWshE
z+LMLGj2OQElEvRCbb+ItiLYZSmaA43TkJsw/PdJ75mpmdd6yD53iY8OdN77TqNHDsit0vwVc9lO
Jq2RViwFNYNpCmouGHPDhNq5B8sg79raRPwUE1kZNIRC5Dxbs1IsUBSJeO1GWPpgp+ZmH6ymiTpk
EswNHDCuzhnIt99ZXfq6ciSWlsXQRgJwAHUXbS650plaFYqiwysQeHZjaz79BTjoC6GzAogAU/Qb
shUHc1u8CdNZ6/AsXeHI8VG1xcQscv3ZcdTbvtVSDbZD0FZB3ZgBAEjHNWj0ipX5s3MA35seDbgZ
YsyFsvBeVx/11rvuxqWvdbKSeW2Ej9VYguALgaXQ9I1QkgrID3ozUmQKkP2In/43c7MzFg1qmdYp
zCnKV2p8ZUj0C7/HtMOv63aWagTsdF2zTR+XnFFpeoRFH+YzQanRGo+omeESOBoukAqdxW6Z9x/I
IyA1hOsT1zlEaMCucH7WKoSQym8penK4Cbhmm9pjKz/RAVXcyAlzr4HS6RoOavEgAFetTYUCTPXN
lmqGNBRBrsKneQYJzVE55G371IqCu7S67YAeksyVobClUGmCPhNLhO4jsLfny0RCLxRDyMhZhNq6
knKvJa1vsSgju4KVbzoz1kBSixbRxp8wUqqJu/Dcot42al0myDPzIQUNtEKjcZuIiL7LiS+FYBIv
/XTD+5avNAUW7reJ0xcC8ijsKhcXLz5xBupANKyzUNvl7Y3hl5vrW3XhlEMFFy086GMBgDFnL5LQ
9mRqiy4eSRII24wkdPSq7i0/Mv5et7TQ/QTUAs0mbE0oPIOe4tyJEe8wiNNBiKtpNqDGsaQPs3My
C6Ti9tojZ+EAntuaAs/JvS1hpkkOK9jCPCa/5TfsT+hNpFOyJ9/ZoQVdtU+y8q0WCtjnNmfbkuZg
BBQ4bHbuhs9kk1t4vTmYsbCVm/C2sfbA4K949PLjnVuczubpKgkFKXgLJTcD0OEv8pqgDmENO8zm
OKbrP1E73be7temRy7NwbnR2+4haztV8mJZpPo3SAXoMQreVBt2hIbZXFjidq/PXyZmtHx2YkwXm
vNP0poctyC3ULsHCJl6ap+wQO/fGQ/0UONcNLjrUwIFDlx49UXX22GNql6G9QyDF2ILSDxEmVp/L
fu27XVpBkEYREFQY4A3BgTj/bGNh6mjvIkeJczQc5IcW1X+5dK8v5ec4nfsOrx2M96B3TSDdNAcb
IEsIQq4A/YqSzeCqN6Ej7xQnOwxe6gCDYjMnhHwMShq2yJ1s43zsbeauNKeWivVnP2KWjkVGoVUq
wcth2GDyBtXqT/PgO/VNtMt35g2zyj/J36NsJXeFwx6vO2Apdp6uf/oKJ3uHgtaiSiqsXwOhRU8U
S1mTdvpx4TUXz6KMUlasYxSrw/MuSS31/R0DXL+/tD3I37a1pT80x+idP+TPze34qUdWoNrU9T+u
r/PyPJ5/51nYMcYgxOrwIypkoPF9TDyqbDk/5sPqG3rNpbN4E6QkA54ApsCq8xv1UL23ik/+cuxe
pW+2VR+bxDVW7vpFk9A2BLMlBFtBOn/+FZOszwY2oCYW0sAyWgydh1/X/ffDjn/xFU9MzL9iFBGQ
bsJEnjr0DozMfNM4YBe9e44N64tY4bf+/KuyJNOuXJATOwKD7qHVIn3Tb9tDvFYFXMiJ8agAqk+W
wWcNcfrZikVsFEqhACRE97LYg7J0YN+5tlbs/tE3Ol/2hLbG62Hq8eCfWRTSwFw8RFNhK4V7vQKX
9jbrwJCFyXRNDxzDDNlNRHh4G5hhm4N8mJe3QqTpUzQq0T7lMs83fkWl2CrLVnXBhJQ+TViMoxz3
/WDJal9uQZFslMe8KMwNrscCFBZC1L4V57EUuXoUDTIq7ZH2lJoghwGLgYxZz7ou4WxQ8mbO9Q89
LehiweCeMBnmnPF2miVx/pAEfgUwCopMGnFByu/bal1LO9FMBqFz58qyUDfa0EIVtCvXSLkuzimD
dheqbKi8GijuzbWEor7sJcFwWePta5MiPxD1M4r+Bl3thGm9Ev0vjs2PMTxBQOEIDrCfis5p8JNq
UtYdKLaUKLuXuHI0ypWwMx28M2/OLEy/4MRCSaDDwk1YMGLoewZoC9LmUU1S7/pHW1wIhNWQomJk
8IK5sYmygXdkkmpmwQMx+idlVdTgIsmYVmLiCYOKK/49b8uBtlvDXoaQtd/7j34O4dT82eCjM5Gm
PWWZK3cPhnpj/CVhYaNIubm+wIvjDutoOKHbOlXXMBJ77kcwrpe+NqVTMbuL9crOxFfUuj5ZA8Bc
vNMmOxrDcCjqMOhCzgJppXFB5YjCjmLcjKxwegye4UxYqM1scIsh7PVreMelLa/omK7AB8SQ9ZxF
NB1FloHWANK7mvJLDfod6LHbdyNVDkWj3WRtrdujGj7rlfEYiR79PRPsPa2k186YGuDC5uVOUyvF
K5oS3HlUebnu+ouAAJcwbYICI9WbGrLnrq8KjYpoAMVxJail1DYonYPSK/hfX4uswXxeFW9a+tbT
WKqhAQ4MnMvsqg7SVov0KsCrBDV0v/00wNlSjDaI3f7Dwk7szO5pVoKNhuUSQJLdS9Pfd5i00nqH
a9vCvKGFV/xrDNLkSBxQc2paABM621tAt2gSOP+hKM1idD+BFgeTQ12tQT+WQs6pmcm9JyFHbZq4
pgzu000Q7YPFdQwcZj5f993SOWEmSpXKtGlxD58bYVHNOVAsICfsb/3whleqBYJxk0CE0A2Hlfx4
cUUnxmYfKiRVXvM0RuhRCa7Rgxxt6rRY2Q1Lp/B0RbOLPqkD3HIIpGjZotfZ2hkF4TzYs6IXeY0C
dnGD/7OeueBaN6pEpAFMBfR3wbZZ8pwVf8pid/0TrVmZhUzdFElfoykNRo+dWfwairtOsjqxuW5l
MTpgvgb7AHLL5rzmowZpF0do+qFxA2qG9i+RIxvWjDoHiAoqZQqx2VD+hw2Bxxo+F5phl8wIUZzL
vDKwIfoihH5racUQpmLGw/WlXfIFTJcBKBiJAnHDCeVzvsmTNGeiVHDllSUkWkMF3JUgJgXxmiX6
eCfnaJEJdUqKWksDnSLNvriW3SS96XVDYXelAD38t1auFaOWXI56OsaagP1RLnSycPv7AtVmxMfG
cJoiR8z/Top6Az6IbLSl/KbgznVPLB3AiYMW+EkTFD9zJorCkJpybDDrSEseb0uSqnaihP1NrqT6
fzEFv6O5j5QbieC5z1VEFj8zsbi8Gm/MwYerybNuiKfrK7osQ8GGASsyQb6Ehu4sGHOz0AYVNBCo
6GWekYQvXRPd1N3fwf+jCLHDoF5oaeAP1VTxREH7rsnQHpBkYk1OWqlQ/UBD51ni6X6e0ruTkN3Q
Mm4lE/tZwuvupU00YGCAhmliNwmj9m8PFEHgQTc1g5KUbLTcKajZfWBnCgcDykEx4WxSyU5CSvNH
hn74a9/SCEQHPjDKTilViGlDKPKDWeXGJx9G87HTqxSd7JKypxisHw/g/lbsDhic3yX+ltiKIcj0
lpas3zRhHiReIKnAc0NChmPmPh+02ErVosGlmXXDJjPTBgdx8OveBiokZzb0ahNPhD1UIYQfi3Rb
V0ZxDwpzTI9GcQrpNcwFYiav1wqvbICnDhoJkwIqoCNWH7bAnwylKG/NqqEAGDWG/iySQvo9lGkL
6rioBPoFcjioj+pZPNhZDUAKVFAKWYf+tqEAFhIQIIq7Pr5B11e/xxC32btNVwiw3PVyepfIUevI
hRLoVqjq6UZNMWxqlRLxXyH70xs3Icd0iB2jhH5HK17twqAyvD7ukB74LMDRL2vGiWMOsfEi4jJo
oOTTpRtaNcA+qKzIvNhs6hzDF6o4dEHdf/gEzE626KXCDTW5WGMzWwr3p3totqGrUYwVSF0zG4oq
Vu2D1/HRCGWLJSs3/2WBGicHj0OKXMaQUeabGapjooZUwwkd+rsMmveGi2LKUL4wllhFfPCNnbKG
P1yKP6cmZylNz0C3k0kcBUfM2KEIGFpdWDwExfj7elRY9KEJZBOgdCqe/LPgY9bl2GUp7DR9tRWh
usnL+AUiJo9FK1bi3LIb/7H18/9PzjzKteiMDLA16lvKPsnw0KiRPbAPtXDH0a2Th7hqVwLNJbyD
AW8EOBNERKeLYw5rglJmUEV1mU36x0F5n4ubqv8Kwo8ht2PNG2oAzTC43lk0ceWisXLZiZK3Jv28
7ubLC+z8V8jn4U7QivlNiF/RJRCw9J8gGuZkpLf9EFWjX2GEDvjKnNLlBoJFZWq+4Z0P2OLsJs80
SGRGYZPZiYaR9VLy1IjthL9m5nLaa/LvNG+MmhGw3XO1bF90epGOKBabQn9Sze4h6sJq24TmXlei
HGJHibBDgBmh8FntorwsXWgEsJWtdZnJUoxtkknykMloNs5y85ElZgFe9QxurG+QuoQbn7PWaQb0
wU2oI1mqFsorUWHJwRBIoei/wSK8fP5Jiw6SURFJczvQ+xTd/bS2gxKSyW1B/17fPAsHZ/Kxjs8I
HBTFUs9N+bRPOU2wPF6+RubfJBwspcKekX5L/KMD1618HMY1Zeal9Z0aVc+NEg5a4krFlu21cRtT
/a0JWy+v1JVsenlxQNUC2gYoJSpTMztQ5vJzFZpjsZmCZO22Mp85Mmh+xwCYRWG1vuGgmLju0cuo
B4cyHWPlcCmu+dnhgAhMC3U0HI6a/63AGhnntz64LTJp5cst+vDEzuzY+6Y59YWxtqre5+knmE6o
WEnZp89wnkidL2Xmvio2W41yLKWpHkaSW/2wRiK25qzZRmByDVRuhkUkBVqyEt8lEXsw0gOT2zUA
y2KYPPHX5M+TG4KDVU5vciwmY3eS8UeqgY/odwpyYp8eBfWtupH/w1bAiZq66ArkGefzX6ZStr1g
LeTiQYka8rshus26yFP6f/2AQ/r4jx1jNpIvwloZSAg7Ic0OOs3cRk9RzfrXjUqE41Mz853dp53a
EphppQ4hmbkhr5yC1yurueyjT3Yo4gMIuIBBmD8URSmKiDBUeYHeGzED2JXPkOGTIH0mEeGUXZAq
O61ltHfqKo7cRG5RrWOldBuBU8tV0IF/Z4J3B7nOwKwlqmGNyH1pKxkUbU6K0i1EcGdbScowCGFK
HAyVsdK9kWEUleULatQWqVX2ketDfadFgWhsCQO3yOkQft3rUWbp9J/6aHb6DaVS8XKBj5jfPeU+
/VMbqmPkK++6pYWeWpkFAJrVYzH4+OKG+IVJOYvm1PbLh1G5DcmIZBhkGf9lXaBLkvEUn9K5mcUA
Ws8QkkTpPYqY78WQgd/nSpdYoZ6uvROXotvPsA+KxKDLmBdGwbvfBPlkqm2VY+Xn91G2hkNcvIBk
oKuxnyF2oMyrvaGfxM1I0H8p+9YKKlsZtjLZNp2nNC417yfdyKZdAXUuxVS4D0z2P8X3eRtGkkwy
FD2K7hpABAZt7HQcdlxVXT1rVr7WZd0SAhFoH0CJbJL2nedGRmKW1RjJ6OZ3mHaQnLEDKFD/Xck3
GDnNqpfre35xYSfWZoVLg4tm5BzWQlSyWbZRSIOaYm3lq2rC0+mZX3y4uZHboyuKODSdi5O7Qhor
KOtO6xo04jCt8RSTOxAvtZpasmODOmL4ZQIBPJT9jZ8ano9X879fK34AKtuK/rN7zn8B53kR9AIX
Y6iC2Id/tQyDMqTcETNa+YZLZ5yB+w1aTPiG2DjnlqJRZxmPJGzR4a5jwiOpZTb3GgNV6U5AJdow
1qQYl3YNekKMoUeIvHreFWKg26V1GuV2zz5GilTznteqVdPQMkCsVK/xzi0k8HDkNF01bVYyH1aW
y7zgQ1OieNCy8lAOKttDOxZDVD3kiTGuUzWbpmHoEF//ggvhBWOpCgqLE28Eks9zv+p9l/f59DjR
Ym0DbRivgLTsfzCBdSmo/wBGp2vnJjod6G0D8/K2gApyKaNOhL7udRMLZw66GKBNZdM5uMyg26E0
x1bDXcz5Vi4BoOuPFTgqzdBf2YdLllAlwPwbsIEQapj7K4/TREYByo6gNhOLwMnNvZY/BPKKncVX
5QS3AkKJQEZpnl5oEahx+gReyzPfUhTQTtOn0sSM2Ls23EVABal3ur4Zy8a77srpa8yDyiRogh2P
kWxQIJ9/LSBoWzUQWGAjfUiqfMhQxMqClaf5QiUWyEo0W3GsIACDucJzK3oF9j6N43AZcmhVwybP
7/v4Qedup21CfUvqoyx7Y6TaAoko/Y2i2/VVXs5tMGQMKDVjvvMHDzyLnXkstynnOG7Z4PXqncA4
qNlaKAWhPmGR9sbU7JZ9M5T90bF0qFaunLsFN8MD2Kt4N7MpQTt3gC9liiQgmYLK3V5EX2r5EAZ/
Vta4cD+c2ADW7dzGYGi+plewUZvqgyy3Fm9VDNd+xVpyNGN5W+ndXzqSN9ShLbmluyJpVo7+Qgw9
+wWzXBzVNuT4DL8gx+iW2eP1Ut8WYXMActHRRGwN0aqU0rRzZvsXtX3wkcK1uCfmUJYyVZJ2pGoO
Kcdg1DeSJqq3dgx8ZL2DaB5DlNkfSiJpGNbSCtyVvmYEwZEGarI1irxTvDZVyT42mWhW9twlJg7z
urhLVAApMIBszmFFg6Bjzzt006E2bkWujD/rDT0ot/Le9BqMem7A6ECQTlrh3thFjlrbh2iVtvjy
osGvYPoUVoCtIHOsMZKJmGMsClrcULMZHWiE88IL8/uier++/y63+LmhKZSepCeCBSHKkVhur3wF
EP3uHKP+vG7iEsk5ufRkMbOyl94R1kgJFkMAKMSI7455ygYEDhuQP29bL9iEkGJJNpmFAWQoNmo7
smEAfMqP13/HwmNQQRKETUfAnzLF6/O1qsPoC9KjXhO8Vl+6SwE6vtM3uIf+Gm62jcFaT/fDGobk
cqufG51lmpFm9pE8GW2+BrtwDGvcVsfIUkGyKL1Xt8P2+iKXvufpGmchC7yHJJQ6mIuHY02/9e4L
qMDrJtb8ONeOawtZLusRNl6LHbsxLP4gWRQsh8df5j56am7ozUrxaGVR2ixC9WabNPJkUB52sbZT
yEZi7vVFXaauZ59Jm8L0yTkYeG6AWA8mjCflF2SqHNAFPmfrwppTOD+PfOd2ZndqT8Ymbofp++wq
kFYfO3SnPXBwPOMsuPlu8NrtC3Mx8LJJMcPgrYH45Mtgf25fPV9noAe+Wk/bUbi+HR7V28aLf3M3
2jeH/hGUbjiDBs4i2UW72+/+Xr6TndGNPn1s1DX5yZ8JrGu+mD77ic9zksWKj3QZ57F1FSc8xh7G
HTLPdJNj/Fm/Fa/SJr59Cm+QxG3WmHMWMATnnphFPlMbNC2ZvsSw111/w/BWOQwu3VJrQnSzr+S3
9MC25srhmfw7XzPK8dPtok0MabMYVEjlQBrKKgjlkE3a8EMV5CsUTkun5dTELOJgYJX04wATQuq2
ha8dSOrbZZut1NaWrihcTtD8AZ8NgM2znWwoaYMaKAh5c6F9JIDqWzU3gDwIIQ6LEibAqOZaiXfp
kGLEB1hqPCLArTELburgM7n01QrFydBKIcVu6puuc8NxFwIDApolnqxEnsuXBK7ffyzOBzj8UiND
22mVneSvQV66fRm9dxnY7vVu7W25dDJB54pZBxBwYZ59tjPwooTmrg4EJdX0QxI0j3iSRYCw6M+9
8B9b0jkoBr5cj3qLh+DU6GyvAGVbVpwY2I7BeI8mvKNz9sXi0TaN98Ew7CSIvKHC2cgH6QFybbdQ
IdgQ4wVbyjHVbg9FPK9IgpWbenEHn7hi9p0hR1T7Psevos3o+W11C8EPOw/LldUvehw5lg6wHOqm
83FDIFralvU4KLx/1xt034bAJjE4J+/HfgsNYuu6sxcPDGq9ePyCuR5a3OfhriHVSGKGVaX8d6Nk
HqPlAx+/sw5wUm0t0C+u7cTY7D4rTT0wyg7G/Jq7LEu2SY2Cjw2d17rZUVSArq9t8YudmJsFAzAM
RlpVwZWjD2BQJ9xYIza0L1eepGurmt1egNYSqfNxRvrGtCTlI4wciXzQ+FfHDob05/qaFs/+yZqm
NZ9cT11vVmZUw4V5KltI4pyy+QPxh10KMO//Zml2FdVSVkVkxLL07DtP3FbCRFH9nLG1ZsPyVwJ8
HwykeM3OS8gY6VKNmJrgPVBUC63y2wYtYbDBbK8vZ/GOQwD7/2ZmX6nEadOMAjdD0STE8fOIbgcR
KO51K8t74R8rs8+TRSqpWYvF6PURVOOeYrx1Ylc0G10Cjvf3dWPLewEwaxCcoEo2P7tan42mL2F/
N0yypRavJICtldKwwkxeub4X14UqKkqa6POBU/p825V6TxVfh/dk4MQq/VEpfxng8R/zxySjNl27
U5eiEnBDwEZgPAmVrLkbFRRtoWxX21mlWUl1W7WhlRcPQ/dWqSsqo0tOZJDPniBKAI/PQTyQbhpY
nAGAkAdU20LiCNmlHEebrNDu0yBunq9/s6VtyKDICs4PdH9A9XXuyC7Lc+g1B7WtVLHL5eB2CHrv
uokF56HsjMXIAFigTDX7VrkWVGyMo9o2JQBKbmLFokbh6Iqts7Xa+kKtEUVndEfA/okyKobVz5dT
5bjJ8gIfKox9Ox6/zALCrF0BqtXBi0ziGEpOLSIGMISOj5m2VrP5f2iDWepKp3l1U0VRQtfmZAdx
zvigQcfXhuKG2GtxHP4GHXni0kagg5fKCdDSviRcogT5TooU/tXkTLc7xc+fCg1g0ajg420wZLWb
ZFLjsTiCPrLGpKNQqu62baiAepAGldQNWMbKr57x+i1Je8XWalq8yURjIeStCwmSJXn/SSRJe6xL
ZtxWqekDc8LDLe2C/m/U6nwSnTHUHRt9QKvTkejfOnjlakdJQ3lXjL3kimCEGiwJDe40ZqL5BzUJ
46NW6KFqcSjIE0vrGnlwhn7QDYdIagaeYT035Q36PBit8UeuhiBuLBSM9hKjxjsCbGpuSvTOxVOy
++7a3sQEtREDNmXGranYvhizHfjA+0NMJX6sUy6eWTIWr7VUvoAo4x6mIKiRZ5j/H8g4dhBHMFF8
DGUO5I4vK17UifS9NRoGktEifWxzUW+D2qSAp8ldaGU9he4fy6OqcFU9ARfowIm+UbVUATkoiXc0
zWQ3pbXh6kpv7HFoJDfrqnonYWBsr3Ud2w0Y+QW9Q9qHQGVKbfOVgJEhAKkaJlHxqwu2r0C5krul
WhnKHkBS2eYjXG7hJPgIjRkpQX1YJYXVKEPxpFZR/Chn6C4rY90986ICh4Nkml7f+XlilYbeWkyt
yXsPvGYLeZZ80B3VDPrapoC/eqhLx4VdFl3w1I51w57StMdsc6dl8q9MNJMoSF9QWx85UK2UDn+I
ESQOONWKwuVS0r0MJr6ZQzNfz1GIV2FTrrTwlyolJdurAZQDkXlzkCW2texbgaZHLwWwr2AlQdMe
IwC0bY69XBjZvobYnOoM+O9uVhIIpuUm8zVLAbNQhzFkE+QpbVSgxKOIvPPaLFNfIx4kvl2nWbaX
OCHbEu7yGuTaf4DxVfFiSmRQFGOu71nrFOp0PWluWqXpvRDhel+HWbn1pcY8KiKNZFgNktgxSBNs
QfcePwKsN+4UAUlWwE8i6uZ+E23UfgysqjC7AYvR0PsowJW966oEbbk+6qlTjgr9VqIuAOd9FyGH
6mTUfNHH8I8K5LWeiJGLv2jURO5gjsnDIPJmC2Yq+jeUerilj9l4SLLYd3igKQ9lTSVoswB8ZilY
radBKJigfxtU7xivQ3fH4EXwW45BAHoLUmgm7v0s4/vKT6XEYqRJH1RRm08N+kH3XMmG32KoB8Mj
iWJuRiH72XY0pPoY0tTALQ8khMubRH/oCrBqOgI6SfTYkLR41KQmO8iSHmPUFBmiJUYzU2xVrYWL
iZvWhHwg68RTI8CZAiB0s9dHY3A0zoHkBjpxWElOFvCceBNj3g/UZKg1AuJ4Hq2FaXCN1RxRASfC
kUZ0KHsQcOchJJDAOBjFL1r5V00rjLIgbrZWsv8cAsyx5zca6T+v31KXepnoV57+mFlCVhNS1EEy
XbxpYKk4hRl3YuO97xVnbIPvvPwqA+0Y+sg5GzDSr7ZNF++u0x8wu7swDJuyrMcPKEW8B9Wh05aZ
k9UyZr5VYOHpVlUbV0/Rl25TF4Nav1YcMF3186sLH2Mi3gV7qXLRhJfKWDYgGmbr1WcCkviwDj0l
q9/bFJz4GNxD/wVApzxw0iK0zKJfyUQWEh+0OwA+nQbnMJY1Wz64GpQ+NUqYb8o7DYNzOCr7Lttn
urySkCygRKapiX9MTT/l5NGSS+1oNG1Vo7NSOpHpkrh0Udq0KmIP3asebfpw38orCf9CygoI0/SE
BsRgEoA+NwrKR+iT1rgCM9yA2iheMSyxHUfCLDMz7KJKHqXh4/onXcq8MM+hol6C1gK43c5NhoEk
jWkLk+DksoVaWoEMxVlpB66ZZk38eSGRpAoyf3maNzeUObqny8JaLZQBmZfy1QTCMtaaTkv749TA
5N+Tj4YwCGQBg4G2KSMbAx38NhP+WxonA56E6Rrr3LTd5qcBkGvIQiCRBMPu7HOpWozLWxvxubqn
SryCPirQV4qDiy77x8RcUCscpKGQBEz0Su/ofQ143eb6BlhZxDy7z/xRFboMC231ybpta7wUw4qJ
yQ+XftKQ30+xC+Ns559FGSVtSBKKB0QUcou1uOUxbiZR+pbJEBoOm4cxDK2iBFnu9bUtnSfMOgPY
QrDrQJ10bjhRQGlQELm2u5paPv8k3EW2JoUYPkif/4+071iSW1e2/SJG0JspTflqbzVhdMuQBL03
X38X9M4+YqHxCqF9BtKkIjqZQCKRSLPWJAuSKtzrAfcUKIzoSwa19ktxUj7NEtpK4Z6+FT46V7Pb
5lW5Qfy0L3/UAOQRyONZOxqaKYMuutJxoi7FFX3dtxq9GlPlqS6DbPmUrCPioutryJOCnj80r1G8
KyQ2LqX0MV61MmJOjxS3bePNwEmrNYQQol5gkRzm7BqV041JKkObPHbl0tq1S3YqEaJmhQihiXeo
MO1NcUDpyWV7gCepGQ0SwywQbpwyeznNqciT806ViaqEgTb336/my1WbBxACtxFMQeot0OOaBYbU
JuAVF2pNdtc36Pd7kT1ewPXBuQLJGG3XYWQ5ao0KP/Aoy2B6w5MHjSXHblsHurccqw1Fbg03QJt7
RundnUu3ORSCTAtX2dUHMHY/Ok2aZRb9gKx1k+lQFD8Bbn1dS16GHZ0O/2iJBs5LLR3MqU7pAiHS
Dn3pdXDOg+6z9cJttjH35ffwqb0bX5tvfw89hZjPBHABuIYoFSub3DYsvW8KCeWttnG/LTsL033f
YsWL9o+17Kq7PPUkwYn7/6j6RySzoVq0AKU6hKqyN+yVXdT75t2AyZZA8aR3E/g65KDeSHfyTlS8
5UbbdOoYCUwHzaNsLQpNInOsdSEmMbbTSX1Gnoz4oFLYoaVgq7ro1Ugem+14fLm+t9zzuJJKf19d
2zM4lmqHADBdmu5S2XBDEaYq7wJaq0UNeCVgsQe8iiMIaE4FJuuO5FfxkmxQVlN+XNeEewWsJVEv
t5JUFGabJjoWMG/c9KZ7K04JiLKBv25snUO3TV+vy+OfvD/7xTjnKI6SocNQqhcVjQ/QVVfHSHY2
Pl2Xwmlgo2fgjxjGIPE+rixlgJjOz28MVwaFyRu6i+V9+ChvPtpdIlCLG32vBTIeRTenZBgsCNS+
A6M5Py+yp45u/9Y+RYuvidTj9BJgxB7YL/CeHNpZ3SgVYtUwjznzu7d2q76jk+Vs3xoHQ2QfvFsO
qD9YTRrg4xFzaR8tadG7iVFgMH5HD9rj4GeF253Im72PH9AO3h/tTfcB7hfBHcE92Gu5jF2ijV5L
IxRDPeV7GsQvhU+JCFCNebBM3/DUG/0b8KvkLXAuBEEK13ZADYG2R2TegP3LmCjAneq4TE3El0Su
d22RIiNvdPPsSzGR9nE5Qn2we4RupRk5/Kqtk8elltvnckRTd5gr067UluJcNZUsgrbVsdrszbn+
Nsauu8VuCgxUwi8UIJEDLk0pjRvB2eEaF0XuxLMH45JsDFrLJNFG20Jcs+jI/mmPSv0+qvEuzQev
KtBYkP+sKvl+MGJBtoKv3H8Fs2xNMHe7TWYsfEiUzWjFQNTNtgLluOb8RzmHfT2ayPnRiTdvPFQn
DLwg/YJrUn4GLlr08ySdl4/sl+xqogowz58jdf7Pmjrq5SnqljJWKhOk3kshv3SVukPH43ax0P5m
6RG4myPPrs27ttLfr+vLc7druUwyKtMaNP3IWNJcuquzz1o6WNXzdRHcFQU9GQIdNO0CIuhStaKe
J9sKsaI5egmQvzRuTWtvyG/XpXBtYyWFMfw+kfS0nOm+JT/sat9XIsOgK/HlZKGRG48TTBV8GbMr
SD3KSYSoSbuFEoAXca0b+a72ze/1xtn3O5Aa/AuN8MREXI/8CZbuct0WUJPJRokbY1BfpPGUyoJz
zN16IGZplCwDlETM1jcSQv1JhUJ9gxZjaQJ6w/0AlKrrWvClWBYmIvCmQyrtUotxjOEJMbXtze1D
OQb1fNekAofMFYGqF94lyFzIrIFFit0N3YjLrp5/v8VvQiK7ZGz/jR2vxDAWZi9A7ZbpDV4TYHel
bh7udPNFzgVPD+5xWYlhFszJZKTm6X06z7u8OqXWvpf8VPQIoB/7xZr/SGHhjEYHxDdZBCmq5S3k
JDffMst3lL09BcosMAH+hfmb+ANDqprGjuJIQHTXxzruvP7D7oN6CKaDXQBIPjskvh2Avxw4rrQM
JPBtnCEBJBJWculSr0JXpWgw9d1QuYdxa91KD3jPncve685d0Hnde7+7buvcrcMsKR06wnQCi4Oo
y705aYCA8YhyShYDMznpnjQ/QH4pKJdzg3I6tfofSez2GSjv2LiHsX2z11cb2zwa1asyv8bFPi1K
JBv2HbnPK7eNRO08/LhrJZpxS1qjjJbcQ0nnO2AJnNf4UXnIz+AAL3YTJvS8VPLis3wsfdkS2BHX
ZleS1cvtHFCbiLoCQw5pjM7Ch7w7aT1Ac25ycppq4YQJ16tg7BbxHShCbBZsSCZxOzY19GwtoPrK
hxBFssMSzHeANN6h2HjWKje/VR+umxC3HgIeEgUY8GgCBaDSpZKAmgca+wKb7fzhFb7fDR+j/Xt8
dnbLnUAUdz3/iGKNiIy2E4ULNKze+sDc1jfGZ/qzPM+3U+POG31j3KUb+Vv0HrvCfAD3Ml2JZo1o
HrWyp1oOPuj+3HybHa2bYvf+HHpADxUZDt9mV+IYy1EGAGE1vxd147jK7m7wkvPgWp72kLmRZ52y
c/4p6mGmYc0XD7uSyVyvGcXDKEqoWDi3jXRM5btmdCUTTU/B9X3kGyoymSoCORSw6O8rL4f3MclJ
iG1MnMxvdfAoOp9DvL8uhBte0XTpf4QwrjQ1m653CByOZISuMj2gSnldAG+5aGuTAk5lAFaySfu0
GvLcjnC4QYrmgQ/OW6LsXE6OFwElrbAaQRWC56rX4hiLiDqtshs6MNWTEKhY0aZvzlK1yWfReRbp
xZiB2kwkSlQs3LTR9qR0653hTv50BC5nc0QHofGtP0q70S3uJ9H5Fomme7oyjGpyMmTUIRrIv9/R
I1C6i58GTqDfNpXn3OubbBvtlyAMCtFrRiSZMUkZ5EJan2N1Hfsjjw+Z9TRnaHvY9WRz3Wp4tr/e
RsYsnX40xq6DIAM9mHXhlvFWxVzadSG8qRaMi/7mH0Fnh8525gM3s7c7GsPWRRBJJVpgjlH22uj7
LHR7cpRBTKy7E0iA9BNRnwDnFYrImngLuv4C6spXWykDgtQaaRazy2+z+REdBC66WFB0dR2SCNTl
rSk6eXDSaeEH/EaXsixQZS/2hNAwmW9V6Uedb8BzdX1FRSIYy5SadlAlKmIulfuCIAFmhhsgvXnX
xXAv07UqjB2mINKs+gJyOmfrZB+9FDRqEJW/NOOMNms/BgWmczsNgjCQc6/CTIDmBDAphd7llwu4
TGOGtwqkKk3tKsonWKIAC+TqyuME0s3kr5mGAD20Fse4sqFMsgxdY3iYRg2aJWsf84G7YWh8PO4E
C8q5BS5EMaax4LVojyZ9aQ15AAKxQ9SawfU94zjmCxGMaTSDZGlzBxFDfrsor7PyaC+Pxb94MkIK
CCRAH21gq5goqx4ByVDSgGAaH9GEYyT7QjSIzcv4rmWwAyKK1IVFV+Fenu3MdyQgrUa5i7HS9w4A
v2pUB12y+Esy7epkvr++iLwX14VsxgRnVZ0cY4RsWX8jVTCmh6zalcnLUgdt/BwZu057nOv9WPm6
fK+ZAg/C8VYX0hmLBMyortcTVjcHLUQs/2gc8NLHwIUu5ZeyGgQWI5LGGqWTxVlKX129c6doP/WB
eHYBjLr8iF5OwbrSL2eCOuQ8EbrpJppdTfYm0IBWOdghNDNmhMu1dAKLgDt20V1NYpR5w/eyQKtp
pzyg2nVr6wlFr7n+CdRlXfsC5iYoc1tylBTaArGoDGx7VNDg1iiepdQiqiHuwq6UZQ6JqQE3VC6g
bJ8Yx1iKNpVuHDRncFPQx8T5j3+jGJpPcMMCNZ5NR8nREmeFAsVAf6tPPkjfylBw7fAV+iOC8S1Z
MtShNEGEgo7QyXKrdEG+9ZQOW5K+XNeGfwKBsPyPOnQfVze2osajOikIvuYDCmfhWdm0oGpCJeYO
aKnGQd9l96Jb9SvjKb0JaBe2CfJqNBgyp95RplQZEsjsnvqA+IAR36EBVgJhs4cyb6Btc38K8k3l
xgfzBj+cYLtH7a4VNal85cZhPoRxAHUKsxwzfIhxm3kv6TGL3dz01M63T+hK9+bdR+pXtSs9Fc/a
PhaE9tzrd7UKjD+Q0eubNAZ2ec52zejJ2rEDHYYaJMVDZYpwIHix4cWaMzZVTk3qjCVd803lL/68
fQOe7rAjvvOgPHQB0GbmrYg/nG9clOtDxQADhUS+NC6sLkg75QzXl2miVXcMSpN2Qi8umYdzZgD4
GvN4qhmBiCTyMkUFKGjq98Z3jCoI3oXcI7X6Eman41iZ2mWg7ygMyo1n3QFWmI4h6cYfY0Gsz7eq
lSxmYxO7SitQEuE9cyhO57Zxhzty1+3MJzykwNjjal6y6X9I/j3B2O714yxSk9llWR2dzowhWrLQ
tWBi2KZL/QZYr2T4GY+6e10aP3RYaco4j4oUiW1UEDdLr1NsuH29b6xdHgL3Sn9yzLuEoCtFRKvF
jbxsEEYA0wXlBnaKRFpUsy8bCA2BijgjXW+b1T2AJZRSBF7JvcNWkuiXrHyjYdSt3uiQFKHwlAC9
ApMYsiVwA3whwEUCAweAWtgQL7HbDmQ4eeeNHUJhu9qQ1t7E8t9DF8HnAlT5P2LYKC9tJzDyWRAz
ZRsi+UV4l4L5zBGUOPh780cKe+CNSY+nrMCKpTtj/tU5d6TwI2cRGJ5IDHOabcwyzIqCjUGY0+3l
NvkuDUX9WqTkpzJoseBQiaQx5znPOttJQyxdmP4y58BJnsz2AG7g64eJHs0vAROoJlEsAx8A2DwZ
Y7Na24lnOOgsirVAr0AApc+JyEFwdVlJob+vTDqZnBiDB/CDyWyjVd3eAtYtDyXPwPDJdX241xuQ
rjHsRdNxbPdWmeWJplCPa1oVrjW043lh/tHBNJxbCVOv/5s0Jtxc9D5GHQIWMTXdUQuH1gXXFaiO
BwVTWhpoC80R7G85YGL/jSmu1GSCzz7V0bFP84HN/Fjl4PDBoEaxbDMg3l/XkP4h1j6A3AZ4dISd
mK6nrn+1c7o19F2R4GgVNmZdOisoS1DkqFKQohAmL62f2443atnuuljeNgJLSNfQpw7YNpMx/jrR
oxQg9Ygbphsn9+LmMVL2EYjoq9ltiCVQknujrMUxFxg4ztVBHiDOimWMtdxYBXFLeRdqd8b4nCSb
HOQp6b+wnbVM5uQNIIPUswwyow5AYfq+AIPAZNwgLJGte1vU9c1L9qjAc8X0KO4wE77yciOnScdz
3yiRdEyeMWKudVswoKUgkCbaSVFzz0GOzvaBFiWwVG5cshbMnv2xDk2pguAhLGgllQCctXqm3VdS
tvh2jfOhSfu5S93erDAj2Pil0W+HXNu2GBVznH4TVsQHAeHGlHTBxlOlL6ybjp6i1c0CwSDFomMX
JRmVLh6m1MMTXMHknVncLpGowPslOmKEMAsA2VOCYbuUTkEk1iYrd5lRuX3z1PYv108N/UvX1GEO
6zTVczT0c+pVE0JODIXGAKRQc+S+uvfrkkQLxzi+UhvNrMkhqXM+omhnpY+WFVwX8dVif68b2HAA
ekLdD+PjdDMyWgkogV5t+csJ0Kl+fpJ+GofxqT/G2+vCvri537JsAyx9QCXEoNTl6QAuU90C6Dj1
ivDDSjYpLg9MJLro+B2dD03a1NHndYH8BfyvQLa6aGd9RZYWAtUSI6aT7E5mt8kTUZfM11L4pWLs
uE8K+AVlrqmcQzN4Ty3x1R+N7Q3b0Y06VyF+s7muGN8G/yjGBElVaSiNWlAbTDdmEWDws8geNV3g
PKlD/mrpf6Qw9wOGWMu8ryFFa95ysh1ELQSiv09/X117VmIuU5TLKagBPQLwupEoAr/ItTjMYcEp
w8JBNXUpYSBtRodDUxTQH5tuRsLqpZHRMaC7kbRP5ld5EFUuuH4ITREGGm1RQWfH0HHNWKFeQqKD
/osQ3I1AjcJQ1tgrbpsIrIC7fitZjBWodiYZRoP1i3+Xde9z7eW6mX195FPDXklgLKCw50JvJkio
TX8mh6p5LKOHRveKetuTExpLG3JQos0IBEDF9MDtIpBPNfhigZgOAPaHpuIFxVwd4ZibSg8aRU+K
FdTUcmuYn/VEahzEJ3bpA+AJZCDaVD9klpnfmlGalh66s+KzYix6g5dqJDp5vDWno0/AyELwq7Kt
xqazFGbtUH85FRQidih/XNeZ57NQ5sOFCZYpA2jTlyabqkhbyxpUtsJla1Q44pK8iSJRGYUnxkLn
LOZ1ZGATsGIsNRrrNtSwssMjUYN2PHRO8PearEVQJ7Y63lruzHWS6SlQi6ybtC/csCA3RSOCp+Ge
8ZUmzH2MS3KwkwVi2iHrjoY1lm4oKQcQt5h+a5CDjeS8q5PoqNflKPAvX7s66AFZCWeu6LFBNgjt
Cqn3kDmucasG4Tuws4udfNTuc78J1AdcAsK2Ga6TWUllLtKxQzZ8qKjKGhqt1E2TPqLqjOntpRac
QJ65r/T7DZK32kNC2sEGgQlcTGe44Bp3O9EknMAQWYcJXBDgbpeQkOmtq1YbFZ0/uqihUaQG4ykd
4HKYsYNtGpQXy4aMx+umzt0QJJxpzI9rhg1xC0KKyajB5ZdghF02ANnlk+wshXdkErzZvjYUwuKQ
GQOKOfwy5bu7PFVpppBMM0v4BXt2Q+04DL/QAlCSG6nBcHEZjBqmqd7n8AzYGkVkDl+HqKh0epuq
uoZpcTaEKwBDsoB/KPXGe2cDnquHZQfMCn3fBafZt9AR4J4ar8erQwBUyltginOs2xSCDsWvS63x
uCmIFMIb4kr/aGJpY07fQLh2OxlPWiqid+Z5FLQJo4NSszVgJDAuuCwB0movDcI5HTBhyzEnn5Nm
I6HtxcVxSP22+3ndfLgCKXgTOtQxpv6lObVCqFWFXeqldnmc2/fWBjnydBPbIxDLoqcln31gawiO
Nu/gIfjBEK+iAwaCHaGwSEWsAlkcL9VtV0736nCcB1EAxhViGqB7w7sPszna5b459tQTjZIDNcCV
aAEIUsfyto1EqS/uMwZ5NXDLySg7GWzZqRnV1EytMfXyJDvPze0y14iK2hvNNAHJoW/iOr4DWNfD
TICGlH1c3z5eNL6+spmLTtYyu7RoHKZaIFhWVbfPNz151EV9ryI5zCEAJ8k49DaeGSFi2GTK3TT/
qEF7YYjYPLj2uIpBmFsNhCRmXy2IQUoVXewOqOVcPXvs9NveAgZIsmvtv02UU7eCqQYMnyChqLGz
w9XYO3JTw61E6WFe3mRQ2/01lDREAG9fQ+sUZkAxCXJpiZJGapNIPQJzQjADEhRIeHWaIB7g3TNr
IYxzNtOF6HEBIblp38lmf+8UD9dtTSSBOVCaVuQlONsRfxqg25tujUywFdzHLBqGDNp5BTBPlkk1
lWcQ+jSIcFv7VS5vnP44q49S/0zie1CtxGfpDDrzRfSG5tn2Sir7UosRo2YGzd+MKIiH9kvXoDZu
+4W0vb5+1HTZF8VaDmMGUSOPEzgDgWtcm8U2Uef7YXptFufOXL7nYGtwrfTzukSeC1xLZG2iSLUS
Y0Hws8gImm3uaf1D+teFM2rdfzaNbZjL1VaNmhBqDQAmSmN3MQFe5WqxoOlftEvUOlfhYGm1I5C5
IKbCizObZpTUP7txVwlBH77M9zH60EVdCdIxvWypIwQZeeRF8wfAu5T6HFYPDaUXSisPfeuIgERV
bc7pQrMJMGoA/u9QfKRLsQ6JSKvSayQb5ENXWDdD/3TdGnjHCyLApoV/1N0xTjw0ynECETNEWPVN
TdMCqJknMeZxgc83jzXSYQcLjYGj8TZFb2oVCQJIzhZSlkkbKDwIp9Dff6miOfRKnqi4RGSgWY/l
luhvsfzNSATnjGP1F2LoZ6w2ECiBoEOwIKbr+l3YTbedXv/q0Od2fTk5x/lCDLOaXb/UQ9JBTNaS
s94T10rc9H6ynHNThq6D9MB1eZybEaNqlLUFrbD4n5GHHke5Ji2uemLWL7paBnH/Kw6jrTQ+wqTc
qfx0EhFVOlfHlUz6+2opJV0ajbpTqcvym+WxSe9dV6sSl3QCPi3uniG+RjwIBA/FYZSr2iaPEipo
nMttb8ebYckP9RIJYnmRGEYfbWoia5QhZgKehnlH2k0W765vE/1Sxstj2g9EtSpSf1CEOcddWFdF
aptwhyNKdkngNMhauQNCJiH8Elcbh4I9UboblDgudwck8DhSVNQUj35v7rSp9zJRnoEvxPhNKY8g
ki0QtsCeswbDRrYGLG6Z+jxrqmtEgpufZ2doFaP8bYjUFZaXKIomVYp6KQUhtrINY1Q2iJ76tT77
zuB4XTYhcZqIgO55mmEm1wLUDkI/5NUul4+MJh6UVYRmvs6WPafJa99yhnGTaItAPZ7jW0tiPNKy
WOZiplAvdnSv6vVTMTj7qIh93DT76+bHUwpVcdQAaV3lywMSnOph5qRIAleTGYwy2TbEDObGEdzG
PCvHqApWDzRAeP0wVl5bvZOVCVInTlq4yQwyci+2j6blzqIZB97arSUx934s5Us4T1CokDbLpLqm
9Tk4waA9Xl833vW7FsMYgyKpcgR1IcZYbq3RAaeTqB+frwkA+nEwcWZZB57lGeaENWSC8uLXPCHp
+Wr1wWj8GwPA9Nw/UhgXl6SKVsc0u9pXd2W/n+NgmrbX10rlaQKaBmRE0AmMzWcWq5qGPJXBw+Tl
LjzOj+qUPMyHJ8nLjtPO2DTHZG8d0pN9q7rFTbSRjveyj3jt9fpX8Cx9/RHMoUryHPMv9CO6+WYy
XqQ+8QA29b/JoMdgdf8109jgxoUMW9/o0duoTECldK/L4Pk+sMtRDjsN2BRsymcCPvBk2biTErJ8
Vnl8GrT8mGpkk2UZuoFt11biViCTF0ug3cOmWS30BbGRmFE2BG3b0CsZKl+RbwiujTov3baJPLMK
ehUFMcFS8jzGWiSzXUOlZlElw2PUuXWjKyHwX/LvQ6UEuWNvBisXXMMiDZmdAwYvKFRMrOpcVqXX
6eCBq6R2nw3tWznI77ITlUGYODfAM7YFi8vf0D+Ly5xASe7TKauwuAs6A7ZyhbQTBmIGP7ekj6kM
3+VSOceGaJ6VeyZ1lKpohtBBZfHSVKMlV4EsSD3yeMTjBdha7pJ4TfjrurXy0l2AFgb1NvrUgWfA
9knqU11OZgntctU8y6mJPmPTBzbJtpbIMU/fOzvfgxQ1MKJ5Fxn99+viuVZES1PIf2J+hSUbNwdM
9oAnBE+I8nuX5jCcZKNGAy7Wj1wSTb5xl3QljLl6NENOwra1kBpSQzRPv6RLundaQPkCMfi6Wlxr
XUliHKpR1h0xG6g1xzpoNsDZUFiITq1dP5W3pJN9jPG7AFQProvl1ZDQpP9nOZlDWeAnzFBAbkyq
nZo1HgE6kwFwj8HJztM8e3Gq3EUAJ1AJuqX67jGvzFsrGTtX6rItWNhdZRBBZnC32AQTmQxjRh8u
sxbpPGTN2NPjg7xzFm+cyDd1P0QRaP68rj73oK4kMdqPVuOUSgzt9embrrl5tstQQ0HPRBgVLgjC
rkvj3lcraYxHKmew62lUr0TTweb3FiJbqwBr+n+TwjifeEwNycioJRluMga6gT7xTDTgyjXXlSr0
99W1qHVGHyuAvPeWvnvTnO4U96Y/hC9hEwNePQmS+KMoCsF7m9cRgBHv/xoGC51KhpjUFZU6GdlG
S5K9YqqeMhTBYHU7xPAojhAfyFMPA3gQY6kCvvWHLEV3mWgaXLCT7LB2V0tmCCB8mgxXfT1WPeAy
bStJRD/JC0nRGUmRQMEL8WXMwcraynBSvLwiy9iMxNyRRYT3xNfkjwj1ciOHpkmmSIKHa4foQKz4
ZOrxS7gs2+tGyXWkK020SzGlBr6DboYmIBLaN211VoYHpbDRfCOavePVKC2EUSAzxAwvur2Ya1B3
wB6txQ6iwqh3p8ldjAdgWBrai6WDSH3Th7cGps31we17zAJurusplM6sZ4x4Gb39UFRFhqvU7834
ENveWB3VJsj6TxNf0rhVBkwj9O6NwXXpXHe2Up1Z5dYa676hL3XQHODZ54E/NEp6P8qfC8fVJcGV
9bWnFnB365Vmbscoiqs4x1vTi5cbYwgqk4AYYrskDeKqB016yFR/In+LDvRbJvCg6IFA9ze155Xj
kZxsBNcHZFZhjIbaAeD1bVDY0raHitdXk3sNgd9dUUFegJwpY0jDbORzqOLNbsTAy0CcKvX6NsML
Y9HfcG3tr0vjnRC82mGwlmzK/49iZKXYXEa6IemgmcUboXUBv/qjqx0KYYf28kU1nq9L42aCMTsF
omSgXGOAizGVCAQNLdC1MtQsK33bptWpa+vSNzpA5g1kNre9CUTvBKDOk92XvjbZkVuFy2NuVobA
N/BcEJw6ugqALgboC+ZT1LzTJkRZIB/InIPe155eW+dM+MrimCvqb/RRTHsHQBbD3FkdiQYA4A9I
ZSYPdvFRDfflBIr5wUP3WFwErSTRssX1df66q5CJBB2odjRMJLKdTpKtxkkZQibJPaV9TOzGLYFt
O4po0EVy6O8r67HUnkRygcT+bHld/zgXG2u5bfTX/00bemJWUioyGmZsQxsjG9wYEFa58qjLqGs/
XZfz1SLoqsE80TmN8T7WOOskLju5o9pkj+NwX8i3tS4wOvqpl0naSxGM74qNanEAT41QwvqMrL3S
+FGJZoRfi6gW8fUOB3w9kBDQ5QBsakDZXa5Z13aGNNMG9Km6jxrnQbZ7QeacK4GCoSPbh4PMtsVo
ConDJERZoAcHF3nVtb92udAA+VHwF+JliQTwpQY9JjLa6XcJwHputQ04i1wMdxdJ9y/OyloOE7iq
U4GOwREJODP3owzARNZzlKEkpQv04a0XCmAoQSF7BbpBxq/3HQK3CuCpXuPcquXPbFQFF+Pv7Bdj
XGj0BFoQRgkB9/aFHV6yKnkaEIJX4G0199/UyAVYeBB+a7dzAJBd9+WsHrSNEYR7bXFfc3RsD4fI
xwPPxRMWvaYfYRCh2j1vReEep4cKrz1soq6AJgf3DXN/NrJDirlA5NobQEebnuQ+dEH0BJIbtNiV
Z8f5pZvkHug1m5Tcy0O7QwXoqVc1X1ZAJxeB2cesRS8WzlkEdZzmgGONQjGyx73ps7C1VMSgoZkd
w6U/Nomy1WpjM+NYzotglJC7BApFdsHth3uHDSFA5Z6mowU7a9qlep+tMLVdIL5YKsDOszbDDLGi
g1a3r41dIeUAdtP1AdzUkzUeojoaAqdfMhuEVzPmQjuwZAIdlQztc4j81p1RDvpfwxCg2w2FJMAY
GwC0Udn+vnABHVSiY3lmPHXcELyB0gIAwaQ8TVL3o0hEwF28ixICYbrgUseRY/uZZiu2psimMazU
gI67lf1R6090bsdaZr+pHWSY8o1Uj1s0Z4p2h54+9uwA9Q2MNBqwvADMeeltpiVtQdSCqGsaHL8Z
5Z0kOxtLRmu1YWykXntekhHRGPqr1aehigSYURzfgElZDBfiC9AFzaZFC7hBwFwivDSizzG2XbUV
vU84NzU6xH5XZmz0t7BZugw0bLU2hEgoh4Ee72vlOBVBX7xdv0G5e7gWw7xDHLOXZKnBMsovFSB/
nrVP+X32kbADmq6IDIRzXV+oxARwUxErnRFB1mDtmwloC/WtI8Sxp3+EtQsNxWENNHuokbCOq22W
ZGla1OoKY9qkGK5xo8gB7EenzFuw1KVuYYypn5VphEcHZgrRQ48kljIaB6BX3Q/dIuKx4nktHEzU
PnSauGcrlloSjuBfI5nXqL9Q13Fz+yaUpbveGVE5mnzBfvKOBc4DZiXxsgVrAbPG2tCiyYA+7Sol
1FxMfJ2cULOCuC7r9yExyQYR020XLdaNqslnYkuWT5ZUcDp4tqsjLIO3NrEVbNfmmMV5lUxo9c0w
jDro+6TCrN+baW2uK8tbWTSHYLwXcH7oy2NcwFg2AE/r68zT7TFQp2xvOil4qXQ3096jSTQhyL2t
YVUqHB08HtoALz1OaNgxGPfiDBGaOXaejcFEGZP5uf4kOUT1u7RvIhdTF0V8RJsgjm1CUlTClUJZ
9pZFmqdJS/sF1H2W/mEPkeankrb0iFvy9CDXcxEH6YK/5Lad2T6VTqL4VVjFjdeCHS+IFjN/Vs3O
CPSuVJ7kTpd+hQ24UrLekJ+NMKx3WTeDkyzWl1Oc6DnKXGEILO7czu76qBGiLvMO83rxGcexDOpA
SIPF7xYQ4qngRLTu6umvuzBwagCYj25j2sjCXmlqnE6R5SRY8nz8Pk7mdGdbwzNQREpBlZpTrICk
36ThaOqS0Tt+ubkEHUDNSJ/VZQiSyvyzndGYc1wcN5pQ0gtU6zDkrVspAhP+mh+FWAfcWwgDUQdi
e0oBAWKFZo5VxCxskjxO1SEip05yU+lZbnaK6JHBec6j8x9t+SqODWaV2MpyX/YVaFxxMvXuOR/8
SfPk1A+TADO3FnnTMi+CVPPGFqGC8+7LtVwmZidqXEijDT2BNrFNrGk3zqIubp43oI8bLCYKTl+S
oE03dmpWYAcjsqvafT3u5jqnbceluQheIDzbX4tibD8tIzTNIT70bIDXjZEJcscMOFqZwDhEGjG+
PCIY12xiiAFrpltNd1P65uSlF84/4l4EI/A1JQjDwMPT0Rw8QnV2ZIym6VuQgeKkYTTDeXCI4zrG
fRM+9jLl1BZcU18RmBCrmoirHfQEmAAxZXypUktD3Wj0lkYbaAdo2+pRXbBzgVTft+GLY28l/dxH
HzO4W+2dlv5qq5vYAmsL2drDUdZ/NFLt5tVjtuwK00+K/OHvr5b19zH2atatlhoRfH2CIS3ZHeZN
Y91r7WeXCK7K38NJbLyCRjYKkwYwbHTjXDoerbFbJTawEo0K9tlkm80oQ7h13Lhdel+bsx8rmuvk
0kGXzpV2LEMvq78b2iGdXii7uTl5snk/Rd51/XnmAKcEzi+akvhCMJZOFPdyANGnrUb3uWrdFcZ3
4E76gGJwe1vbTKKJQr4DBgQNfWzRxj7GIshg6mNvwdh7IJzY91rkF/1rYT3Fw0fv3IM6XkdMKkTg
4p1kPJbQ2gXmbpCf0t9XmaoxU2fDypBnH+NuNykhXjHprdnognuMk+6Hva92mfEYvQqKk4naU50f
ZzmHHQdIjzXE15wnkm9M4g/prpT8LMr94u+n1yAcYEuokhqm+qWHowbmXohsXOYtsQzicN0NdW8U
FWN5N9laCI0JVyuZtpVTYLQVKwngxs41uq0FQNT4aTSAx3SrippE6J/7cmxWOjHmUtezESUzxJkG
YAxNV9duJswZOqJnGM8HI6cgG6aJ7Deq3Jdq9bOEfS1xcWnpgBnRfbM8xHUa6MpHlgmcIufMIfL4
3dGNPkPkNS9FYSSb5IkOUQl5NKMGg8SNG5W3keKmmodZuusnnLNfF9KY/RqJGmXSBGkp2S91CXSD
GB3eumuqbq5/0zAvjWH3/+Psu3Yj15lun0iAsqhbhc52O6cbwTPeVs5ZT38WB+f/pptNNOEBZl9t
wNWkisVi1aq1rpvkHLYzk8w3SzACXxgDTKqN5ssdxIfLG1nkGJwPdmaEidzLmCRBQ/PScMydOtuh
6YptdUjjDbXgVKvcL4bzRLU0ZAuNpvMvlheJnukz3cPsMZ62Y3zbQTG5Q3sk9PXiKU7A6jl8tcVX
bB4CMAtqYHvTwb8mr0jvoi3dhSuoOHtK72M2DMRYvRMNKyRnqQ6C5uNo/zyfQMfo789ltgZXTV+o
Mf5+A5yGDQCX0qyt+tcoEd/6uv6pFdHWME2UhmBaCtILyF3qX6XhtdJrjJKw3YHfdCvPfhOvKu1g
K75a3nXmLp8Lt1YfbOMty6N1JbrNeeH3ZOUXCoKtnAWjLOPX2NhmNJfDG2NwDahst8PWBPNNML71
zbQ2jDvIOo/Q8r6+G5xgBfMY/DPBYoT8m9kMCc/0dqJZflDfTVBLXwCTKXdTJMgluOfrrxl2Dlpa
AsluY5gp2re4Gb2w2hTg+r6+FpERJiAauhRNgHZhK6WP1g6h1+6b8j/EJopNoxMuFuYXmHOl9GCG
TmlrPjJ/ZcF2ybwRaAAr86Z0X5av08vPl4SRaDz/UDACqJz5PHInA2kdzjh3sy+RjUEel3+4gunU
9f+ZYD9NpY7o+FQw0dQ3Wfhem75UCE4378NYGLACHwPUxgy2zjRDKq3TpBHXx7KZ9Vc5OTSiuT6u
CXSPTBn1SMzKMt8FMvdKA813oBKmR+DR5/SAzvP1b8ErSIKI6a8NJkjNhlKHbQsbdvO2fOgo7mNQ
2/hPjT/64T7DtWj0ucAmf1l/ZObpY5wtGdZV1+slwGSu0WzD8DtGjUX7vL4sXjhEy40q2f8xQSPE
SXYUKDLJUfPP3DbwR2mD94zhJcXtYvtqKyhliFbDfCR7DrNI72HKJuiNKZsx/gBQ/fpy6N9gsi98
pL/LYT5S2s9jq8iwAUpuJ84c3XqZSe7Yyl4TNcl4sfPUFHM4FatuAqWCqbH8rUi7rP2uIJ8Trq8v
iFcYwcNDUSlQHUky+/5dkhHkmD3cbkZ2B9yoA0iuE/TD3qpNN1AbPIqrW/DTrWcjuIms8D6qP67/
BLqQiz09+QWMi1RAAoPHAr9AI9th/s8cnkDhN1s7EE6VZBXLohXTQM3Yw4wflHOoOBLKT9q5Sw72
Ek2jYuDB1cRuHzlZ/GxBSjrYTfriTParhvJxh2e44P64ZIFDcUbGQD/OOAgagCo/t2vl0twEpQlE
idO+9J+5r/3SvOirBPjJibdN6oRfkVO+djdkL+Jf4xwNmMbsBBgMwA7BjlenTVcHFu4RGiIJ6Ce7
9TD5P/6KGK+iesyUYBrcF+erq3KrmupYwrsEMvQdWZlQ1tQctBgdI/aQ5CWiyiXnfJwa/BNPTyKL
qRaNUk0B3EZPnCypgOXeLv0h0QQNN97enSyM7YYPMuh99NxGRUCCxqKFGvPktP+QXJwtRj3fPavq
jaJASuxGGImzA1ezX0eRog0ndoF8AdVkCu+BJ9D/f7JhqSktuZbC/9D7PbRQOdPqZA8Bcr+kU7xD
Itg3TuQ/M8eESvBAaaEkw+cy9SsFxSFY2JxM8muyI9hL0WywyBrjfo3RIwspYE01vSb5BBLW0ZvN
lHqGep/239d9nfP+AXc6aifAntJDzXZELCOz664LU3cPAMN6WGVP5XreNdvWJ1vblZ5jVz+GB4zo
3UofADT51To5eAg4TuuHgsfzpXue/xRmm2U5MIveksCa0NYoiu06fXCKcnV9wZdnDUYAPJDRjKDl
Ijb3XXK0nCesV0X7X++9WgJlpfVgSdvrdi6vAtjRAClEdx1pI/uuTJawlKsYdhTlOwUffQiw8qsK
JtLBvM+t0Y0MwctBowfr/DI4t8hsH2q/iRIEsKgdP2JXe2v9x2Qbr3v/6bftLG/xw++89WMXaiPg
tO0c3YtBUJ/tysdwtfiaj/rgWtTJvTyn5z+JceVMHktlzulmB35TbAZ713bvtuEVncB1OCnnqSWN
1ZcHnqkaC+rGC5hR8aIJgnhldUF4o2hJsort3MCTtCm/9MgMHyKFRGuzt9On69+cM2Fx/isY55Jn
JRxHsMO5o9ugHONHru13vzLZuZs98E96MY4NFLAsweq526xjeIOA99S4ZK9r7EbL5Rgw6PqmBRQ/
U++J9T4ZXt0IIiHXq08s0dN1EnhzI5GhuQxLKeRUIHEv1aYjA3hd6ptofB30e70TpMLc83pikQn1
RA/A0aDBomatoam6qBaA3seg+oeuO74ditdoC1OeYhZap09RMc0ZDMmWG5uuobTOMIArUnaa/jvQ
H+T4abJvMS9y3Wf43+5/ZnX5fEeDUE5Cs6DrU0DlBb5B6c60/cL25VFQ6uKG178LZNE2StiAFKSE
JUn3jexmXO6U+e36YvjH8MQGc/krklRZfRRhxICyxpR+joZrt7S+HcTAiz9D/lSat4OIxUO0MiYN
lmNLHmYFKxvUxZMAuJ2mD4g9CrJekRWd+VJ2kUOnAFZibR8lj/0IBohZ8IzlejuuDFCPEdSqdcbb
qyYvg8WGjdoAAzjEYgHFBnVHhAro9S/FdbsTQ8xlkdpFFyj0IE9oWenS77C+sTV/aZx6WF23xAkZ
pgIiJA0CYQB8s4g/Kegze7FCJOyjbxTHIfY663Eob4FjSUvPyn/u5aaCEAgsP+idLuauk0gLB5LG
KKAlB0u5y4y3/OfZJ7qdJyaYvYvBOZyMMxpBaXHXqXfN8FyX7gIBuV5wpXNarOeWmPtzqlHCAYoE
Jae39FOHzr2TOcNL6I6r8KDdOvXo6k70uUP+e2x3WuJ8f8sfmcBT/uDWmbwCzV2EReRMQIuwpZUZ
FKWUXQ3JtuJovaOvyU7+rDMnfSkhZVqADHI3fU/tShWcN46Lntll7pq6R1PVGmCXBHeZ/JjULiGu
jss9mTfXXZQXts5MMccOmE9iVSb2mWTfnfRmQufELUFO3/Y3Sv2iJDdh0AtWxznpZyYZJ8okXS9I
gtWhZzMqb4u8buxDIcKm0L9y7dsxDjTMabvMBAuzla95+NQkL7Af6ughizeBKjh53BWBzpAWL2mj
ko3C/dhG44h2no5q/IA2b9y6YQbdYsHX4sRhgK3/2mHicDoOqpZ2sBMuR9XwguppEOWt9E+w2waH
RwShHV+DTd6LjkSlGmBMJVCBgpa/NVEtmW8AZIXgYkTFmi0xaASVImvByH+ogDA8VR8XoxTQkHBN
oIRMkTRAE7PI3jRSjBGLplHqq6weTEzIXT81vO9Na9T/Z0A9vw+jTlGnpchRcs3vZdxTanq0sodI
lNrzPvepGcatmgT6i1T20Y3a7VK8WLWTBAKP4kWaUxOMR0UhpMOnFCsh5YsUv9vQmpPQ5ZpTJxMR
m3K/igntKaKB5kFhpTBIqo9KKwMiYcQHvavcNhepdIksMItJkbiWJUXBdbgSUBOsDEFGzv0gJ0ug
///kDdB0FRplNnAlUvQc60/aDFL1UfBFuDYAGKSDneissaVcSHVDGnwCpqOcjpLkkfKg5d/X3ZeX
lwBM8T8T1L1PlpE1YZvqFUxU821HnN72dICIq5ta2vRV7RWWaMaQF4vBLw4uA8VGp4i9RwGXUdC5
QNctmle12Xpqief37EnmAfEZwtaC48l16hNzzPo6w4aMLu2XkuYwKpvYerE0b242lQjGz/9Wf9fF
XJ7jQECNtsAQlUVL1jV6FbrA5bhrAVKEjmdSZBtzjZHazjFAhq63Vj2N1XMcbfUQ+O/HJBFkXAJD
FvMaq/uxz/MagV+eN0P+hBdMVrkDoLumYDCJu2l/V2QxlYJQJUCzA+jtmtGrlJUOZrN9W8QSyo3Q
NrpV4IfCRBrrcTKmVBJwvsDFNUdHn7chntxjbl+QIXIjzokZxtOULkmUKIQZVb6XpLda8q6fVG56
hjEAfGKqEYHE/vyolomZFAEFNtZL7tdStCdJ6mmxulGicS+Pt1NRAPuqFrVT2K2gTcbBHaBiBGlL
9BxoaYBtmCaFFlukWxCKbpV9vkb535MlB+iotTY5gY9H2iQwycETnpukkeQkNCFSQMq8hUl1XWzj
h6diG7aO8mq7tVd9o5K0jm6Ve+VDcyWvkRzp6/p287xGQ9pDeZTpP2a3O/Dpawv0i9yJHMsUAp7J
ZpQAItxeN8M7AcCN0vwBVXrC0r9G3aAtLcEJKJW1Gvw3zMfZEvUiOIhE7ORfIyzbK0RtejAQwUhf
uYD8eiq5Cax33VrbhqsANFU8JPa6zQSHm3cgTq2yh3vWgIyiVttiH3elU/18OBfLsnAQcLZB78nW
qhp1WKqlwoHoJsnsXd1K2rWGAfYa6jqpCaLmXrZzwSnk3ZcQ4YS+CSZEqZz0uVNO2gJdKBM2g04v
ZgfzGskATlGpdq24I2tjVFWvaqv4BlrQqPPOubK+7jD8Y2FjXB5DW2DfZof0m4LUeraMwEAe5cgN
H4rBpc/QW9tfbmM33oZP9hrsUqM3epEf3JZbUcbL/a4nP4DJeKE3LqkhxF7B6RY59PoeRNVATmcV
X/bEBLPLliTn0pSgVT6tlJXxGD1FkTd4+q5eV3sMYy6Ra+3c8F1+axyMzK2u7zDv9oNLWQZGnJCl
sBXCPK8SzYxgXE++tUVyltHRDMcung0RCzP38P91YLbqCcRdmxLqwHX5mVvbmrz3Iql4/q1xYoM5
hfU4gJ1zgQ3F3Eat4oyNAbTuXdbdLWj9tIFXSr6s+v+whbilKFceHsIa3eKT0J1lEtH6DEZ1pMWZ
5tcIoIGdOVL2ohaCJJkbqGnnH507dO9kuskntuRc6wcoqqGy1sTekhR+NUIjoU5bt4LUjSCd5H6x
E2PMJb+URRZMNXxDru5m3evG55T8k/v973yzI2dSGFlZkeF4KXUBuinJscgniiSuYWIKHcqw178U
N56dnDQ21TPrDqBhLGiO9ceIvC/NG0RG7/NC3ssFQd6HMUP95wMu9Hj/PWFMBEEbeYpauou9jFnF
1jFtV4vvhwE4g/fry+OfZcDvaMpCqwznztFhHkHrzAmVH0Akre62qd2BPGEgaQgawU7yXOPPOBIw
PgrlBz03ZaZkjrWcxmUww6TV6Nc9qgHqy/UFceA9OqhgMPX0/80wHhhHUlKqDcxIm+Cm/JRAV/Kg
N356GD3jDmMUuQiGTP8gWwUC8RzG1VFAoQXs83WVslGAXnrGW936TLTvCYMsdXBsTUGhhvelMIWM
CTmMloIUl4lTfduPYQPFWzeUDn24ldXbbNyr5X1vCtBJ3Gzo1BLjfTLga33UUZ9QqvXS2PukA5pX
KzRQ+lW9pwwYuyzrtYoRzKltvyrj7fon5G4oVghsIypfOF3nG9o3ZFk6m24oWN1tSffC2u9wvsPv
63a4Dnlih8mfiSRlQNLI2FGyT4y9nqwkkRQyh1kA3nhigzlfuTIvwM8hR5fvzXtlGw2Oet/+h2oO
RLofO8uTnoPQWdzYQ/XCv748XuQ6MX0hwzyZlRbF2MZpeJ1ttGymTQKK/FD7ntH1VudbWfuHmwZT
eYA9QxQHgAbGRS0yq6MSYENzdND12TWV7whSMWrsXl8Z9yigbQNdU4prMxg7+Rz3amLAQdNlA+hL
FT9Jo99WR0NUF+d6Ii3CYD1IodlMJ+vDtgwTFSchk7Zm803s4bedgVO2qQWnW2SJOXNNFsRz0MDS
qN6D+1TPX7XWcjFmI3AKbuaonyyJyRxR6cGMQ6BgSTW5WYbS0czGHYrkuWr1hybtD7FcgTv8Sa1e
iji6M3C3SfHij+RdR/1hrhp/MWPXqpOtPog49ESbQBPrk0ylz4za1Gv8NjDLt7Zf6TdyhKfrw3Xv
ocf6Il6bGMNFmgIJFrbiHdb2qCoD0JBk+sj672Fwl2Qr17u5csev66a4TTH05v5ni/msEXRXQFwG
W2Ake8Mz/Yipj9YlXth5eIZ4GIkJErf8JeLr4L1AQMcK6RckfQZhm6n6nCgjAeGsm07HUjmCcMi5
vjDulzoxwHypVJOqOa1hoDYzD2LCc+dltbYa/qWqf7oQJmew1HLIzR52jPgjzhfHQEEj/XV9Ldxo
crIWutYTrwObDQYCqI25z50kfZuq0E2VCHQvD0QEjOHuG+YPdShQER34snNbYzigzjDDVlOBNPpt
ah0Zkl4ioAPXw0+sMBcbhKZGNJMQ+SMcWTPxu8AB3reX70iw0snT9e3jXjMnxpgbTg6zUVMonDqW
bwKMF7WYcFrZylMUum2zqeP36+YEO8iWago8fVVj/pMcvPXlekKVS3sKRToe/HsbaTHFh4OFji0l
69WsLZFG7+18b62GN9mHkB70wRNnviuc9s5Ym4+99zk7PxfCRMLw1zBbWlaqEtKUJQy3ElkvCgQP
zO4m6Kzt9W3kRogTM8wVasToLAbgDnWjvsYwYOGor9cNcN/VpwthQl+taXmqgxfJXdRvvZedutmM
9ouuP6j1awRkLDQxSSm43Wg4OA/tIPdExoi0Bw/dCzQlAJNjnFZh7saqWq86Kw3fyKxVEHhufj6D
A1OULRGYQYvSkpyf5MlOlKRIohzEJ8PsWEoRb6PKJE4zTD9X28BwFF4WlF5FU0E7eW4qqTSpHDMo
NUVz1e5LYlb3atKRX6TSgMy+/tlU+lmYLTTBSQf5bQBxMDPARKgp7tCgr+oC2MTiyT6Wm8kzFK/P
nNhpEyc9dH6wSg/hmniGn/nSN3kt1qKGBOcznv0GJn4pad+N4YjfMCQHw3iJrPe0+IdNPbPBbOqc
ymFfEthYimPQH5tolcSP1/fy8oxheuTvVrIJeDMtbSctMKEv80pRss0cid4XPBN4EeqgXEfHA1PL
565hjXpR6wFMSIm1ik3rbixSwSo4nQ2MMp3YYO7HoWuyopNgo/azyE/u8mdykLdq6Cs7ex05CuYQ
RB9HtCzGCdvYiiBqCpMZoGY2ZnoH0RuX/gXWzU8XxbhYCEbpUqIWmoP1GGFM2dFd40H3TCdfjV7r
DS45WrvClQUtSs607PluMn4nZVZsT1FTuOQ+uxs8JLvk3dird7FLtpafwbz9orwMN4ErIo27zApg
GZKXJu4XkI+y0zimMXRgb4VlswSFW/GUvJVW6hiTB9IUeRIkVXQZF/sLTS+CSUjESXbCHeHFzvqm
K9C2Oc4DlQYMPTl0J9MjwXoOzDW4Rq6fNl7QwAJRVEVTFCkvE5D7JCrtqsS4cwF6XHna5cknhF+v
27hMPmDhxAb125NUsdEayUYxEMcNAjffQ/sqh6BhEh04WlJk9g5sjHidoEqGKTG2j9kaHVGhPVi4
wbO8qx5N6hbqCqIfSFF/DNS2z0wxC4pGNZgaKuKUG3sJZM159Gg2YPi3HcXcoxBeLz9Gf+EuAygS
BDRoEF2QL2XGYJvtgLnOqjrWGviXMMo0QCqoElFRcz4VJopBcwMoqampbGEzVM3aKtIhd/WgcuYY
vDNLDF4Z1An0+uG6V3Ci1ampP5nQiVcElV7KSwdTs1k7U1sc5756v26C49zwCJQ0DZOAPortgoI4
bGyDCibGIfTyQLtLAXCMUhFtHy/WQ2lQk9EpQF0Fqzp38D62pTHM5txdxlW/PMTZXkpeQnVr6B6J
gcqu9wtGMpPbKrurs6fra/wzk8f4Pd6r+FZUfIJy8Z4bB+OZlUaBnrvq/Tg7pTMdyNZP1+m6daLZ
mVf2vbQtt6MDJrVnaS2ap+J9RbSz6CwfHRZjeZllSbKGODVAyozhsLzHkYhX1xfI+4jQcAZ7uA1t
tgtZZaM3ygAqKchOqxfg+Bb1XpgqcvQQbAq/Raccj38qwXm+h3o8zGaumDmQ4ft09KA2txqc6T6+
We67zKml1ae6qTfX18WRfoJRJDoEQQtAALaislRG2Rk1FoY5T6ffYaSow4Bi7PT0U+XOcfDUtX1b
bbTbYNPMmBjL3dSFOjeG8FaiH8O7YM9+DE1wT05juuRNlbX4MVAtUWwH3efADb3U6e6S1br25Dfr
IXbDwEli9/ZLsBGc5PnMNnsHkSJW0gK2h7f0e955SujXjn7Xv/8mX8t62rRutxkPUERL7jGmUjqK
W3nXfwKn4nT+Laibnyy/r8FA2dBvUfr2o/Y2OLWr3RhrOJ07+dLNvXpfCWAMnJceHpLgLUWNFCA8
mT23PS57tCYAJVS69Ry5s9/eFPv52LZ+ejcJjHHOEAID/Azj2+BjvaA+CNOyWZoKgTDdoAfuLMsm
RtX0+iZyQgFYdUGJRZVFgCJgPiOB9E5cEQUuNCtun/qosQks8D4TujiUAJ4gZUHJ/PwzBUERtUVp
5W57266jV310goPaO/LjXfoW+eC1Q2tYJPDFOxpnRplMXpWivCA5jI5uuw43ikOQ/27a9+rVulE3
6tFInGYV3eR7BdFPkGlwCs82xpdk3Mh0PAD53/mKLXuZqiAnudt5wbq+SbZkB36q6Zd6h7TwvniJ
PWMbv6ev8WOyFnU5OcmAic6cAn4zMH/g37ntvFYaLQoi5IbFTRDdxvWNZX+PqiAOctyGMjKj3wNg
O0YhmNiLcZKiS4sUT2cMA+hvpggvxPF91Bkwlkqgz3ZZcijavptTvSigFlk7YLZViyNImK+7Pi9v
BxIcng+OfQ134flOqVmgm+NAH3vKWsmfRrIurVfd3MrGQwDmQ8n8cVeYco/jfUlAWUYZlpmMA9O8
8oLUDOVDEFMqQK0pBURz19dXdbFzjBHmtVdXit0FE4wYQed0YKvXin+Ac8EIeP0AioFmx6XKjKxQ
1tIJAweJioRFA5HNj8Ui/1iADdmkoHC2HdX1VRUPKjDuU217Re0R+0HJbFcWvN04u4W4h8kyDH5R
9nU2NpVNhewZQM227gBtn5xxfg1/nAyBMRijE8hS8NWRdjGHRWrLyGgorqKItHsgVDyjAMAvFLzz
eUs5tcIkA3M2Bn0SUCtaujVlea3E/RFqKj/3L6p8ZwB1gE+P5+75qRkmlCLNBWX9ITMO3aTdWBYa
vXn/D2bATgdGAwCcMazBmJkXSTUbg3aTGs1BGLdqzZFSQQZxUSagVM44i5ZpYRoEceZ8LWpZF6hj
mpRuDwpTNsgSlnkN5lOvzZKHSQJoDiwX14/nRdBhTDIxICFVbU2dRZVndLeU/bj6DIPOSyfUKbKV
3qyNWHAb0b949tRArQxlW1y+mkKFcRkXt5YSojUd8FeEtEglkJCNlQ8NiLW5kIchEAlPXkIqqD3c
83jOA4KFN/35pkJ7tQ96in0Zg3rdZxBG2uWQk0Xvz3pO0xdFuY+iN1ukoMxbJUZIMKaM0rFxwZqN
u2SM8wYlJq3ZhRGGJDqnjfftZDvlIKhrXdywWCDmFShngoqxK5v1miLNQC0IU7j6t7kWHPoMQoBS
/d3b3f11b+GZUnENQnkXtwZ4S8/3Ui/KdjQGeIthDqB1U6r+hkRzd6jaGoDrcP6HSAUmDXA2A4xC
iWIZe6MK2tZAxYFoVNMH14xDrMSpRc9P3rcCEhB3O56ggGIxOadtpzO8x6Y459TyUiuEvkRW3MdK
BoZA0FvMhUgQgG8R87aQJQGIk+1g1FYDUcWa4AwMxn/ZPK2jeXZSw0ATlKSr1hShrEX2mJdJO7Vd
aUWwV7fl+2KYfltMO0pn04IJ2IQ22XU34YR+SsL/v+UxR3xGdl1nKTaUFOOqkp4w+rAqY/8fjCDn
gzIRZDEuZF2KcrZJSdcwpeq21u67wfBN6Ihct8L1+BMrzM6Fed+kCXTOgMtQV3ITvPVgcNCW32Hc
3F23xNs0tJgQFHG/QK2e8XVtmZNkSWZE4uEhG21gzSQnEgVfzg2Dmhxl/8H1gk4TEwz1RActlIRX
WyIrXiS/yvFrgN5SEbT3dQycryBecM1BJAI0VCZkblh83jxFEDGq6K25VDsrPWTaVzPWvvlfBarB
n2uGIxBqloUkAIkNdpFZXCOPvdwOyDhS2/4tZcTXiljwBua5A9Iz8BdiKg1hl/FsHCLMw7WItXi8
buW+8Ppx/kAl1wGPn+Ce5PkD8icLBXXa6GTL+LFSK3NhAdGVWBvQ6TmZvGnVTHD9XxatsGenVpjL
w9TjvLAp7qfL9PxLQmzYBZPW3JXqMD8r0mJtUFOu1umYZChJWu0+qdAhdCyjH2/raUqezdxXx2F7
/SxcPOfor8IkHl6s4AEC2eL5PdNn1VKAXw9lDTu40+Lqbqqfr1vgfkgoHgA3imvMZEdo1NAo7Lmh
FuI6jXeDnIP0fNKUOnKSygg+uwg83D83+UefBFcnRFN0JiEOOk0LWgNBOM7yt1F+XVLtvkIX0UVx
eXXdFM930IxBcQS3GSijmBvNqociCBOYSmsjxXyp/m13+Q5F7h8Py+JDoT2O/QN5M95FTNCKOw2A
iQlEbHk/v5c1JuW1WSRAclnkYnyUMWLHYAOMTJwEqd4E2QheIN8Ejb0RAWDjlbXm6tG6FSUFvNCF
0VbkHSaK/uqftPKkmKdIYWMthobJvKbbglBiu8T9IcimzYy4HDT9LtUbgYOITDIOMpTmHBQhTIJZ
2el0E2KPv7sAbOWB31vrIv6H4IzHsgGRe+ApUBk/P2TDPA96CHFitwMhfm/Jb4Vc7coKbTVLvelm
4GJzy7/ul9xTR+soBHk/FKWZCB3Vy2QkNvJHCz0UfZFXc17s9RKlcmIIqincvB/Bg14GMIj/zpen
WkkKMDXOQIDqu5aOjo5cwQpXSfp7shxJu62DR0td6T8ew6DeCo+Bz/zRKWW2FfrV8pLq+Ip6azlK
kd81XboKehHXDS+lOzHDct22ZA7Vnvqn3IR+2L1IqDvX5SqaF8w8Ca4i3mczIGRC1ccxo8q+sUND
UoDEpQnyFGCiLCBfdj1artRNkTPb6fq6k3DP+2mgZLwktAcCzA2+ltlrt3HzUBIL4yXluM6McKUu
2fu0GG9NfkzM6B+udwOSGXhE4crFbzj3maSHAg4AF6hZWLMD2QKAzhJc9SBrF40UcBeJtz5KPDh5
l1SopJQAT18AYjK7jii72czG/sbqalWGwt1om+toSFrimKOa3uqdET2okdrvSd9EgjrN5cfFcw6H
Eb8EJRTCpjSGNoKFAlmAi/qtP5rOHJTAyILcSMRrfOmxMERQcwfbBW4N1pA2jEav2ahvBu2hMD+m
PHSyYoOnKnA0grTm8v47N0XXfBK8wQ1eaZMOU8rcOIAz2yXSKFEKITLCXEuDYbS1QgFAOfQh21+2
NOAJJ0iEeDbo3DauIPgkQtn5QmIyNPIUAiSQVo1nZsMmt6C1LomKJBwzioLWL+Iy2kgXkMtZwQ1b
KTKK9K31CRTB2gpw5MIqFAQSgR0WYQnocgnIKojZzXx2okpatdLkB4ZoDpVrBvByGn9x07DDEJI9
zFJbm9i1OYCeBCkJJCv+6EMGgtkBzjHG4D4SVSpcoePByzhBWDc4w5ldgJCuguicTyxIPdyQMvZI
82FW0YootYtBzesh8jJToE0OvORQxAUXOSswZcZtlAQxrJIse6qa5kWtcLHJ6MzLBTTNIf6Xh7Z/
3SYnTmCsBNkQVmmiCsnca4MWJlm/xFBGsuTVoP3K5nG9ID2ZjXF13RL9S+cVQjjiX0uslwRxGbbT
BEsdeQZ/PW4dXwoMf5k+DBW3uV+Lujsig8yFk3VlEAYNDGLyz7FG5AS3ybgy1VfwCkCJ+s0yf1xV
wArB04UZCIpKYC/U3tJ7Y2rTEoOvQFdE95M6e3LgDJYgCeL5yV87KLKfh4+mrOQqMLGwRIEQ3vSq
2wudepBAuWa/Ekkkb3V57gDhAMgCrQtQMVygZY246omNTqcLDuhnlGYqJ1ATr9CqUZApc44dLGCW
Bs0YihthwZeJoUQZqZFIoqKy00gSOikm1YI2+giG8Wux1Zco1yD/UNwp4Iy57p6Xj1MFH45KFQOO
hpkrxlusJRqjsEGwrM29OleOFoYCC5f7qGByBMy3CMe00c4EFeg+oNDQI35VmPZ3ZnlM/LTLbQii
V4XgVPMWg9oxtAb+RBP2pY2OWiZlqgW4Z1g5UOYQvt4uOQFw04MsEYgz4KfwmqKLPbmL+0ZO0yZA
rJoMMFlXgbG3cqNbSXNyjGTpmLe6sQvU8QBmyh0hzVZSy+e6Xm4qNQw9qUCsaaM79JB0pH/DrlS7
TSAhIwtlTcSDeDm/Sn8qNIGA4aH89CxwbWwGQIfSqHQbyVxVSr6RI+D+TNmrBtuNp8itk8CVp9/h
Al0BJXTt4cdIStoq0FRUl0AegYc741ttFaADOUsUu7kLoXMcNg9gX1pfd2COe1HyENBzgwIO8gJM
JM+zvM6rGQrrEQ5P0MprE5LYumj2/Q/Gmgnj0CUFaxd4nNGRZ2sDbaYviWoj+EwraAXf/pq8/LN1
Go+gCu2s59/N6wOF+hb7Q3psnOzlUXqKdtWH5QmhdReoTrqreG7iTQYJ+4u0vk/qQtFSLLicUr/o
n625WTBxPW2WuvGapvcw//egVA1xjFYUqribjYcatY4cjqUAQNpda7EB23pif85TB11TZZ9FInAn
5xxjiX/NsBlv0dhQGYaZuESnKTNvu0g0/sO5JWlzEuPxKt4KkCs/P8gEVA1pLuF7ms2DHtwOxZsG
aNf0QNo3Xd/0gSBX5DzglTN79HI7CRzd3JFgjhMQd9Ze2dymVAPDnRRvXKDS9wEqJjAcSMPm+tng
FERhldYMDAojsVliwXSo7LpqstK1N1K3JveyX7rqO95Dpqd7+XZYp7+/rpvkecipRWadGnKqvAK4
yq1y+ThrkCwKjWMsvf3cChp3gCUC4Ym6FhNZzNoGwDSDsKWRQRiqm7d103oYnRFkHLwYCgeBVjc6
MlRihgn3nT2mE5lKfLVjdJhWw7YF4FD5KA/678QRQvpV+AAbY06tMW4PidkAVXJY61adJ23MdbxW
9s1+uc0g5QkQ5PU95B0yDapxwFsCZXTRYBgTEtXI53HI5sLR2v/wdr1u4BKbhkh1aoGu98TnLasC
MVAOCxr0C7bdm+piQIByWZmKlx6G3eJ+on78834dEC24cSA3iRc6amXnVtVEWchgtohR8pNi7DTV
HzORX1AvZr8UQA0YbAIdEkpkTPQIjEYNmmks3WKbHMnNk/mlbu3bZSc/pp5LnNbDNJArxd71DeWd
LUCqIH6K1hANXecrC9I5KgEAQMzKG69oTIzgo8IhrFBz3kYUufU/M9RxTj7bXIRW1FQDgsaxnJ3B
Q0ZYuuQJqMJ0bd2Uh+bF3NR7e7sIQsefGu3lrv41zJw2o8IAQZVjfer6Y4Lh5VgcRkStlfaIktl/
1aF2wE4UgvJAPaJz/irt/L53s8/Zmx1jKwQA866I031gjqMpJWYom/g5XesbG+sRSgZ706t89bEq
vXY1+aBw3NSH+Ji+umknODxc4wCBobEJL8ML8vwjhCYpbVQJcTrNfZ+t8xaaf+N9GnlF8B902nIR
fSvHo4E2w5gIHjwQ9mGLhdnQNLqdgiFUi2XX6idHHe+78i4mMRRiYgC+BRcix5ctDCIA4iFjfApF
h/P1SfNg1KgGlaCLHSBwTn4PIVJVTf3xBBhuPvSNgEGjzwKbJfEq/h9pV7YbOa4sv0iAdomvWmpz
ebfLbb8I416076K2r79B33N6VCyhiO6DQaMfGpgsUslkMjMyQlOqIIpl9vxupMM8qB1a0sYoeAJf
glJhhjG3gAUAQQ+A3/PlJJB3MvNhwtF8tT+sY+dZTusGDyR2NqY3utSbD2xU9dbehCI4xFqYPbPN
ndc6aaaa1rCtuu2v/NQcswftBswgNpyUVO7sarVTvcpv14MR+79yh/XMKndY7bSGw2Sw2uY3Y38q
RYzxKwcA4lqoRIHmDXBfHqOoUistAccpXanxKxk9lRRwkhelPUapr4ZbSLxdX89arnRmkLutqjQl
XVUxgzfmtjsqR+tmviG+9LP1Jg9zP/JNu7tucnWJDFiCyglEdnmQBDCFxtDJ8E2rHA+UjFs0zEDR
9EuzPvHOdECYvwW1jYDtcfW7gWbIQkeaEWdz323oi3pI8SxFCt/trHC4y0GMc31dqx6JZYHPGkBG
vFW44KVTLSoN/OeGKItL+imL9xjq71CroRASfVUx7T4/QFkjjP/J6LZHciXKfNdWufwF3MdMjbEf
60LHmQhm6aBZVL3Xa+P79XVexkxoJgBnpepgowX6j/2IxUWZS0YQgrioArT/WS7Qvz10402n30vy
Qdd/XrfFMorz43Zui/tsgCxIZc7i80T/sfRtgbmT8ajEt0RECShaFHfrsQowpA1hqMOAmH2XBK8Q
1RqSp7I4juqfF5zRk0avHdVmghqBzn7MYgeJjCmtFDhRN4rtfRm9yZoB6V0Q/lgRUOnGdhq/gxfi
OSAiF2Xbdb6dwKIsPJSL142WKjgD8NAklX0Jf7d9twexpOAWX0mlvhAvGIEDRhTJ4vn6JiJP8UjY
7YO3clfZrgJdLSW+r0uRztTaghi25j+WvmqMi500mjmOo1wpQQI473Ids/Uk8efBfLruhmsLIghV
0EADmQU+2vmCslSpE4qmmhuiZWmR8HNs4lsZBSaMcwkyhEt1I5b8oKUPOAb03UE8em7LxOBMpoWw
pSbVDaXhwzyZW6vJHRRpNmna7WTtQcHkcVarDhnvVOXZNJtj2BpOrX02aSpY+toTfvl7+C2GEGBc
thS/ZzaCt7JXfL1RDkZVHJI0emjRLskwdmChKAOQQuSMxR9HG2wHhkJQq1Dx9uBvC8gQTCkEtkFC
0RInV/ajAmYZSMTFbi6hdPF+/UOv+BMUBlFwBnwbtGN83jRDTXzKqxjW5tHpcBKzf+ZecBWJbHBB
2ghA90uCqHKbuHDmYFtMoVdPImLyFZc9WwnnsmFdjbLSYiV6urW7dwnTu5kXJf71/RJZ4e6CqCK0
0ynWYk5g2wI2cI8qqyriyFnfMaajCrIndAu4I2Erc2LBDSs3U0CYoO/AIQbMwuZvlvLbCM+ME410
kOeGfXrpttDvc2uXTO5IBeiEy3sG7owyPcaDwbFyQUNYF1aQjBY2TGo15OXdvtLqI9UrKM5kqgv6
t606iDpIa9vH+hyYfMJjAIJ85xElS6y0ITmuG9tO0E4lRzkvtqRTXq9v4EryYeM5gPk0kDOhVMqZ
qdM6Uaaqhi+Y6u00Y0Iz+Lxu4TIbYMU85I0EtSn1QnUoGlqqNhpeT5YdQ328B+9OGg25D1G+j2FK
KOJiKFJEv/RwdlcDw4i2mAWYMlfzMMzWoDMe6FChl/ejRG5qoj0mjXnbR5GoK3W5PhXsS6jrAVwB
dCGPFIBootERHbl4F3s9edc1P6CHQf+gItnwVUMo6bMxNQRX/o6JA0WjbYlsuKLfRvM9gJozPTXq
YRbR/Fz6BFb0ryH+8mjLFNKXA+5npfmG6XRIhm2vuwQ7+ucZjYpCHhBNKOaBgZzvfbV6P5ddZyKj
GW/m7sEstlL01oS7erip1JuwFcxprG3c0hzzlkW+UYZFQhsKc1k1uZO8n6dmG8Qf0rjrEhGud9UW
hukxYACUMsA257b62QZiAfh4d5ZPnZ3sdGN+LLXGlxrqABojyDsug4SKwSWGwYeaBf5mv2axMkPq
krBkt9Iw5I5lbQb7Naj86x9r7SwhpcH1ih6irhtcHC8TqDaXQ4qXQ/nTmJ7q5Ah+y0QU7tZ8DsNX
YK5AEgpUB7dvilLnhWYxK8qjCUW8bni8vozLGI5HCQL4l+AaohC3VVSuq6Kqk8otC8+sXtXge6jf
a8k+h5RNKqrrrnnB0hj3VkAdOaI0w7Vkz7oTp3vDejRAFG7J+1ZUC1hzAQu1KYyuIv28GETvBnso
jAgbV4MDPWu2JAUOJRIlJqtWwPULngzkc7gxzh0takoDHWEIfhDpcSKVo5InyZKd659ozdOQLvw2
wu2aXQ+M5w5GZhzOct/G32flICupwMzqx2GUrdg2IK54Ma6iqloLKnj4OKlxk4MDY4cKRuvo4fhh
UfNWDYNccIRWLRrogCLcyRiR4I5QZEQF+EdxHQX5D3adg+W0lvYSdEK7cvsXe/jbFCAa5x+q14uu
TcoS7jDt2nRfD5UDUdkoEZhZ9YeFGe64moFRUzrATJD5Zv9Oo6cqPl1fyeqmoSdjoXlmWRcoaZJE
egPAfuWq6mOfbDrjIJMAuFDXFOGxVxeD4AO5MaAwIY94vmcR2HIGLcdihjbegATRTTAnMILL9/qC
Vt17YYb9+yJYZ/lgmwkzk4JzM0vcMfYnxXS6UtDxWQulSHt+L4dt7MIOGNEyVUlhpzGivUbtUzGH
f/P5Fya4k4pCdViguQP9n/DJiO9jcj+PgnrL+uf/dxXcmWl1QmuDOXKrpJsovKHptg5BB6iXTi98
vjN35ROSxZbxz4iGZENb6zBGiwj0YEOL+u28lYwPk9rQ5Mz9ftZBSkkTCNz3u3Qm/9t+8lmDaWFe
uw5hH+GVqi+9vg1aUXdB4OUG94JVMzD92BVsZA3xrOhe7ohjifC/Ah/np3tqsxwUGfIfrhJ6pPN7
e2OoB0tUQFr1DSa5CW4AAKV4gIsmT1GkjLAyVN+Dwqknv88esyB0LUhKXD+0K/Vh5A0LW5yrR8oQ
j1YPW+pW2dBDfFfela/oqO2s2QGVB5KHB7qzXq5bXf1WbBALm4ULir+iIt1qUYOsEF7lFw0UhPlP
SxTB2e++cPmFCRZFFlEiCbNOswOsyyxOdvE5Kv+kxO3tZ3tQHeCQr69npR7FdvHfBXEhNoi6TMlq
LKgCAVDsqO/FTeNYt9I29shW+3Hd2rp7/GuMC7RWD9WwQcebtpE0R4upF42ji/x7MD5L43Td1iWB
F55+y5WxH7PYx7QbW6ONYAyyaLkvu/FJd0PfuusPzS7dk1fJIX7vdwdpq22bp9irRKmZ6ENyDtqG
YS/XJbY2aowdAAz9+GYAIaxo72p126t/8eJYLpcLy4Aapk2ow5pa6J+ZNcUOgFabqVH21/dV5DFf
ILfFvmJOqQJ4EfvahX4TvBiFZwH1NCe7kXqluStj3KHRLpBFU0RsAVfOBQ8ynZUxMiowgbhBk556
kuzJ+GIEzCZG+0kCvqfErZu/eZz8ezw0LjZD2LqNwhRG6dBsctBVQb4YXAlq+z7kpZMPgvKsILzw
sBOMSdWpzMJLARHMCaQaTVc9ZZIlWJVoK7kQo0qdMfc5zMjldyNxq+5g0QA1wB0khCfitKL3g2hZ
XJAJsyqSRg32ggkDPXdl+aLWz9fdkv3ka97BhZa+ziqUkmBiHp7H6VObBFnPCr76LJxcIJDtIDST
HgbssTvNk/SkkMSplOgRDIX+ZBo3cXFfZRgVzE3RibsEa56b5gJJY6u1nMQwberlScvpMcnCG8ua
DpkeHxoiu3NVOKVi+sYoC+6H9RiGLB/SFphY/woGi8NegCeEah0uo0TS3Uz+LifRNsrnjTIHXt4k
t6AuEdSEVn0FCQTGovBoBj3JedjWMCk4Zgk7ccbgm/XgF4oOfqm/KQ6CcuW3Ge5g69RuSDJhT7u4
3+QQ6W6GGDrvqpdrPyMiouRZaUPhEy66vNyqTLz8Yj1HQzT4kCIn/sgfzX192+xCMPPscQMdktFR
3pO9CB2w+v0Wdrllmk2n9XIEu0qnOF2euoRuu9Jr5BlacG9pL0jKVi/4hTmuTaIbydyqEprZAUSJ
gR2239rSm9uNJrpb1yLYso7MHQlFKopSLuCXo5puo9AbID0071Bp8YnkhBHyP0wKXo8wa2tbmmQ/
aXEU9Dys6ixGraDNfuX2jUR/jd0rKELdSNK866bWvhp78CoAZ2OUnBdabWgPwSPwa7lzurECcF58
qPYxmMoN5ArtUETFvBraluY4J8lLS6toC3M1shRL32eR6kj2ow2U0UyO4MWv8p/UNAWLXHuRLK3y
vhJlnVVp7BMC0TRue8jApQCsmCIivLWAsrTDXXZaibHnDrUltxw+UtmVo4dURFy8dvmwmjmkmdFQ
AyHeuWugfUJDs0bMKu3yrq+CJ9zhgktAZIK734pSquyya3BlV8ERYAgfvDWb6163ulFsEhWUt4xD
hnNwFHrquLBxeDUwJCjReyuPTiLimlw9uL+NXMxfoTgV2+2IgGRN08fcvcQk2scowo6frfScxMqj
DcrC6+ta3ToAQtHutAhGWbivUwBsYActvk46fTTkQf9zFgv0tBb/f+7TjHIx9RJL2mLT3Nkkvo9S
9NJDKDUGk6gesXpo0OhE9x5YRMgLn3sahC7jATwo+EZgf4B8cPswDXTX6PG2jkRtrXV/+G2L17uk
1pipqQFbcoVMv3r7/5FhQVQVLIi/7mWkM1aMByhA+Jijzxwb1DsUYtmC19EKthIfCWzA+FJAnYAE
4Xzj0A5W7R6IZHd6BEtG8OiN38sDOMaDTb4v3sLteCi2k5fuAyc7iEDAq+F8YZuLr4XUdpOtYY0Q
rLKdMIvcKI8xWzbG7kxGp0qz3YBHzHWvX7muQGiIAWlwmwOZfwGyKYwkwogbQNeZH0ONtQd7l9OU
nkRO1w2tPQgBYgcHEBC4jFmCO18pyMDM3CQAAxrU16d8K2XzJkgxy97Mu07/iY75nYG6VjKZx8QQ
QQDW1gksEeDGjIwBf59/WHOWh2JIAKjRaU09LVMLXxlS4tC07Fyco8KTI7BGXl/zytFQwMEDenB0
KhDzOW8qosDuADWG11rRvghBg1KgmEH/fHpUPTPDOY6pFNNcWkg5gLJs1NzRaegMogG7rxYR93Q6
s8JdxHNK5jBkF7Fxn99l992GOLH/UGxA0DeHDrBR6UP72d+CgcUQcS2uhGbM9mHQAjAHDHbyOFK1
oMUUKOj9ZQFEXcj8OUwgzLn+rVYwuVAtgGgeurBMHYfvIvSz0Zo5RSPOnPSHvAf2C9a6G1uxi4M0
TagejNIDym7WjYJUzlXn5B9wewAlZvapE4eMgu7PuRDZT8JcAIiWwDPB99mrSZXzUcO6e+O7UT+n
YepBKQjeOzmBSQT335qzLo1x9xNFl1uuTBgbwxH4KMmYXNVsDEeKps/rW71yuWNZaBTj4YZ95mNO
UaMWQ1r4azP1qZtFeN1kcSx5yiTt6yk2Nk1GFAfcez+7sXy5bnslyJ55MXO1RXpe9GZtxqxTYEwP
iuqq/WPXPqnpMUf1T/H/N1tcxMv6WpnHFrbCcTgW1HSapHX1vvX7JHpIerKt1F7wEVfuybOt5ZbX
FRMFYyZ6o9Jsupi0tiBc3mm+LhKtWguny0/ILW1KUJptKzT3wqm9s5g0MxSVqsaVwJU9lLvr+7jm
L1B1xhQ06HeB0+GMRd0MkUlof7m0baGLrqmgWJXN8VQWmC6U9eJHnEFVomz65FVuaC6oNKxtKVCU
NoYbMbJO+In5bgRFNh0lwFDnqnGSuekejK6tvdgoWneeRyqwt7a1oKcwGMEaiOl5uggwQ/ShnmK1
Nag+enoi7YEGOyW8jTuBs6y96DDf+9sUzxcxl7luxDpCnj4agaMYvTuV0TejM12tML4BVbYF3Pb7
VKn7CTpy1z/qqnHGwAEmAvC6Ieien8Sm7sqpZg0MQLKCfTZp+QYX1zcrD/cJVBodaPEYbmokzyUh
B7meqs31H7Cyz5Axh64LwHnAnPJRqO/Vuu1rcC4QUMgPpJydojMVxyoaxcWwBOjsTFF9Z9Uke/zB
kUExx5fJotEKMVCd5+44bgg9YLQPfz4mkHNUovbQ2vZiCPhfW1xSoMdmn5g6bE3oq+XRrugTEOm6
8nzXzZ6mPU44tI0kiHhfNxKXJJxZ5ZIEE+R5ZTtmCAJ5yjL10UpuVaVsP4LAnm4r00h0NxhGu9qE
HQWrQWbKwT6UlR7qKVnhzbOqYPBOGuU9UfqmB2l0a2OiSKMKiBYkonyP2tD0lVqyqVuWQYvxd1Wr
dkEah69RoU+ZV0tdtImD3vi47i4XOQiKOkiQ4S/A6IB4in3bxcWhoEMT52GJlcnamzW1jy1INP7c
hAqKJRBkairOBWdCHgc6glIXTfKK4gjWmB+TQpGgwoUPYh06/AK0vXgagtD0fB1NbJUVYLKQjMlk
xx5etKIDI+CTpGvurAlC2Vdk5t0BujQWi50gkb6IZVPSGxpF21/boDAc7BUPCbgz+t8VD1JsG/oY
+toBjGESxKJsJzkke8xa+vkOCcF+vJn8Yksd6j+rx/q5cEVPn5VUgInm/PfH8dFPU8pBkhgmYTYw
dKg9U7LHj4z07WDdFr0AgszuqCs7wdfqwEVuEIntBLStVNUZpEb+qQy1/USlOHu/7kcXNxY+MeYQ
Md5tgFkJ5YzzTxwHeQ8lcmgSDfazGfySFC+fH+h4+nMrGJpjfEpgAgWvy7kVsBcBbsOUgeRwfEy0
T70cb6vCBsxiFl0VLGqcbR4rqKosTKM8rgD6dW6q1jHwWFgw1eDeHemh13Did6TcSfqNYrjj7Jsm
hpSG98S6yf94rgbGUQ3AFQEpEEA/OeOEQtsARKOQ1StA/GFtLXvPCLVjFG+ub+jaC+TMIbmQXeWz
ZebMIc3HJvKVG9W3oekHAkQwaW+Ku8CXvV/XTYq8klvbhEWUdcrOZ/jU6ftK2QYiHugVGhuc/MUx
41JS3QBtfTvAhvX8Lfbnfe+lH6ob3R8V92HePQTQb3P0Y7zR/FBwwws3lHNRYyZwGBWm6S/rZf7W
33+ifbJFw+HwkG9HUMMJvuD6diKjwrgjjh0fW9VKQzWAIqXIjF9j8QDaQeGU16oJ0H4zAicL0wXc
2aakTOKhAdGibEwgF5YdvJb9tBLR066wUeCrAfgPx0e9BHxK50dOzWiq0i/PiKGgPumfYfE9p9lR
bRGRp+xHo1iuoieukae7GYMUYRo/XPfNS1039DS+eHYA9jWY/N75T0gzuVMajTknQLI+xineZCi9
bQwy4BGQJeBsM/RnubEz6FHHN6MRS+8WyJZzhSJDANmse/33XERV9nNQOEKsg8AExnfPf44MSvZU
S5PcTbSfneIPIGKt550pkkEXmeGCAKQ/6kGpYCYt74LEq4JbmuALGIJ5qPUPjFFB8EpBoAfqmufL
oUOWxm2d5m6YWsmmB64nIckxmaYXQt+iIrttMurWoDmnprQpsnlvqN+ub+iltBPb0cVPYBf0MqVS
kijMdfwEK/SiF7tyksjJfk1+7d+rkvM2eOGzMjntnuz7wUkEF/JFHsSMs9sL5ELQQubHPvqwzXvd
QH7c6cD0nuBszlhum/hHPgjwnCJLXAAEzwAmwlgm3nSGR9JvMo5Oa5WHmA77KhgEH/YiT2XrYhJd
qJcBY8avC7rwPaZ1kIFjrnJ08nScvIbqIpLntTCkswsZnCuo4FwchinWMU1eYPdqL0lfR5Tk5dkT
+McKoAEDCzJGc2yQRYAI/9w/6rmz9FqCbhpEWAew+0wnam+a+Wij4wQcsWJ5VvAksLmWFC5tsuO5
8MkwDoCUJ7CpYnCmxAAtwkz1T6/dacGmVr3ZvI9qd0IUkr7VqgvqWaeUvS7fm+WegCjz+q9ZvTtR
/GN1MlZt4Q8pKVo2IMWU48qbkDiG/jMYH4FAkwJnUJHbofLqK5iHaO6N9EYrvcB2ovpAqV8N7xlU
cBLBjboWnHQ8H5Dt4atf1EjJWAZ2kVGIzMk/5/ZbZVpoVtiurohQXPqqJUhr6awnYV6Uzi0ShFFj
wlLrZ16507dIHTaKlx171el3xubb4Cgb6z52yJ3ktFvaO8C2uO+Rr7k5WHHGG8VP98WdjZa/s+u+
TUgw+tO8DZzHygtuI/90/UutnQe8qDD6wHhULp5uNG3b0dAHpG54ucJz5vjB/otGG+595MCM6wAZ
KXcBtbFd0riGMxQTKGIM6MGVyk5SWkFgXKm2Qa0J5w2Etpgj45l/hjQrwwys90DTF+AUmQEIvu/R
Ozk0cp17WtPJjz1V6SGfOtl0pzwq3q7v5VqnwTQwsIT3Nn4E1HnOz6A8t0FTTvgFVbRV5UPf+BG5
LSQ3r7dh5tl1tm3kg4liXKt/D2w/0t+jZh/Qh1gESFtrB579Ei4CpUkYh8kIL0xPIOCbveaz9sBK
6/6k2xTgh310NB4i3/bpzrwToQXWTgDKUwxTZTFVW+5zG/UM/hcbtiXU5BVjByKgODyRWVDXWPNc
JDRocYGZDqkrlweQIasnBWhMED0p22ZUNnYb+VOg+YKPuhbMMeqmgPQbUzQXXCChYfbt8CWCOZGs
9/MhMn5JfUNT8GarSbAhMQ3AQ1p3T1k1UMvtwTyoIK3Mo+5v7hXMYOIMsSFTNObO/QtJnNTkBg6S
tAPOikLPERLfRrORNpDI1gRp7Nr+Yi4OuDiUsAH74PI5JemoFTBN5946RChj5KAlEzUA1y6tpQ0u
WU9lWtXRzMJy6M2Wk0IXM0M7qtyAYxsCDNe/5NqCDCjTMP51qMbwCEeM+cWzSXE6pXof9u9ysM1F
0X9tPUsTXGJYV9oEYANM1HgbSsFxNv149oCTxsCpje60wDdXV7SIN9xJ0+pUa+2GmetVV8/JbTQa
/hTPgtxidVULM5wn0Lo2667GV0LnEHg3q2mcQnoz2xci7SuRYMRqfr8MopxPqGGszvoAayhTdtm3
GdpcUf6K9D6q3jrbL0tU/37K9R5td0HWspbvWlA9YPwgLKZwEQVMC5YUFrgLs5e2vDO7+3G+lZP7
+Pm6H65t59IM5yS5PdRtJWOBQfoctroD5slW9zANOOtbJPaCRa3dimhYAkyjAvOkExatF3mh3o+F
GvYjkvhvoIK0I0d9Tw7B0xQ6wV94IzrQCPxQskTgYL9kYalB+wXDFrAkGzd2ss1U6Iz9xVN2YeKr
d7AwoU5aUw81+0LD2zz8UMFn2bh5s73+gdZeIksr3LFSYzXV6ICFdCClUWnrTL0gkq8dXBQGQe0G
AgRWMz/fKmgfooljQPO40I7GWDj57JmaYBVrHx5tKpaKQFDpYpSHjMC0tCrEydsJnZrtjJ5nHlEH
vPHOWG27IvWSQeABq72bpU0uATKLVDFxYSLEhhhSKo5d2DhdfyPnm2Fy2/AO4I5mEDg426uzGitO
LOOpAMuvjClXPt2QujBpogJ9AVXFhB5QYyT/mUyjMzefWrC77hlrbSIY+1KVBBMTnhLnHw792pDG
TYDmlKu7/fOgO3nuTBAIPsU33V7b5ODrLJ5I5qAPWD+QPdnSwiGe6SS+3rqiUsBanXD5c0yWuyzO
g1kGadFIWHtxtLemW7yEfnob7MChF91oh/hZfrq+fqFB7miEw1RXZYL1x6Zj72PQ54WPYEiDqfEU
uNm+2v4QWGTh/vLz/t5xUz1f4jzkgdansDgAyu5ITuqOh2TzMKP/UmA0TiTIuvZyPdtS7vqJ6DDY
eQ17ndcdtePcu8RJndIp7nVX/qe8C503s/Hu8Ikj0BcinG4EC16JPmc/gDtDBUbeQcz69QPa21bd
wMfMzffw8IZGU2A5KPcA0SOAD674NTouKKcx9SSEJD6zNMKMFlYPCB81GM4z8Ey7d6bU7y0TA9A/
7ASdZjTWUdUi0DbVlQ26fU4KFr5kvs1RaKXtTh+PxHru5L1pP4W0APFE5lntJhfxDlyed/ZTIRAK
6gFc03zslGMyVXOOn5q1fjw8Kfk7qiy9jGLC+PP6p7j4EsD5MAIK5AIgu7gonLYEWJQ2ghYpLUFF
Vs9650B4VURzcXEXMCvEYO083JwX8Qv6w5VZxFCtAmvXfGjL9nUkKmaAC/P1z5eDrpoKADQoCFCY
OT9JvdYFgMLhwSRH4T85is6zGgru54vUBmthQHEgBAg0cHnCcAgpaRlKk2gWVu+T9tzNQCiicwFy
3CI+QYT0+oLWdg59CVR1QIKmQn7ifEFaUU3pbDRoO8fNyVDCox01JxJWgjLoihtAxAh9C4CSoZvG
D+bZGigbCGTL3GmmLniD7sZQf7y+knUTyDsB5wB1mcV9GrWUm0g3IDZfT+EeTafEifvq+3UbF89y
PBkZzwDe5HjREYvLOcIIyHQQDhToGn/aKMZZ7w2IO+Q/HvFjZqAshMYqGrkoApx/lJAmKbSsGuyW
fgN5wNtctzzlzyfuOCtcDo1OyqApMaw0VbGd4wbAW/1HDum1v9gzPAgYthKVXH5koIuhXVf2MBOa
32LMKmeBU7deK8IVfvXXzi45tpzfdnBCzzetMrvSSAbYyYrWk+othG/ACj9jTgXico5B7ko8uWo3
E6lurpzXM7vcda7WJAv7gNnVO9+WOrfoiZNAR7UfdUfXnmQUr/54RwnIviA8hvY7SmScpxdjEIPm
ETMQeKsAXlg6MbRFA+0UjIJTu+LuZ4a4a9SMpUjRJhhqtSx/tmJN3QPsUd5MTfWRgrtbsK6VnSQg
OgcHPkQ8kBdy66JSnlJFQ5Boq/QE0JfXhZQ6oE5zErm41VBpCHQR++/aEjFFhRYjAq59UWhLLUWy
44QWrjaa7tD3Th95pADEthYMh64EWgAYZJRV8ZzAFcItLu6HprahROOiw3Cw8wIynAo6GZolwjKv
rQg3ugVyKSbd8dVZXeSzZJKrfkixogml6Bh8FORRA7y/0QRfa3VBCzucc0CFRjf7uEcsDKxtDF0X
1cq9tJ031539shOMTG65HvY7FusZIWKq2DnWE8yFl6ZgmR42reWD/hCa9OAXGisozEgedKEcOt/E
muAMrC4TuHN4CLILg0cqFqRktVgskySqr0jghJ50X1FLwavgIiNjq/zXjM1Fr0CnCiSFYCaMkBsG
H4NWP+ty6XWqsisrkTNenjT0CBlfMqCykHbhY3I0x1XeQwLCRcRPpBtgIaSgdKIRcMzbJBNBeC63
cGntYp4rUMC1qUKb2LUKND7Ldle1gWORn9cd5XIHz61wcbifG5rpbE3TCHhgUO8UCihX/JxDRMmY
J++6tcsSG/YP0AjMwUGU2EZR6NwtwdJjlhRdUNeI0HebXVl+NHToZ1gvtvmZDG4GSYNY/1YG91Sk
EXR5ws9M84Q37SgZqT3BdFePm0Hd5JRiJDkEV9mLYJHM687vVFhCjQMtctzeGp+IWM0oAX4NS3l5
ioJNg6mA8FaV0X7TDlniWbM7iwi1V+7xc5tcWmLNc1YoGNx1TcSv1Npksu6iDGwnG8m4MXGvB74p
gSf9H8FaWQC+tlbug8a9LdHsS80x792G7JvuzjABMnO74ZjjGpI6L8g2UbmhKgYwRGdk9Zuiz4vR
KNbr5WHuSptMKckha52VzSsdksd4GNwhOmVSJAioq6dxYYn9kkU87cY+A9gUlsog86oo8rQexFmS
SCJtbUG4zeE9uPGAsuC2s1T6UYrVL+QuZEStBGJzdogpi0LXP1JFhJtftQYhVlRM8Qct5/NF2XWT
K5IMBTBJhWRaoDmki0BXXD8isP7xvYeu9MIU559apWahFsJUJEEdJdUwhpDZCfQ6TGMrcMm1T7U0
xe2hZRRR3+cwVRY3rfqhkgezuqP1Maq+p8Bxzx+yclKCndq/lemTMt4REZB8LaYufsBXoWfhK8VY
m21n4wfQ8keeH2T7yGBftvqQx6IS5NqVtDTFh+860FsShqjjz9avNDqlBaCPZu9VEhwHiqC9ngm2
d3V3UdRF1oek8wKwB9UVKW37AB+yMPakpa+0iry6F5X0V11zYYYrvml2lMWKDjPTgPpmqW9mmIhH
Y9fkqqB7v7KHeJiiN2cyyUC0EM5PAcDE//lcumREvjzVpT/IOerFofWQdJKMPie0p62+bQTZC8v1
uNiJdg8b7gQ37CUcuABkPcpz6KoYZSw9aTS33Nyye8EHY+7OWwHuyMRMJebHLsY451oLylyDXlBe
n0zqyfERst1t8GGTycnQ81QaAZzqC2zAWwRQHpgO4OTAbcpcaOH/ddlLZlOjgxEDoKZBESgD1oTO
AL5gPIUMxg5VJj9WdUgYS2DrwwCJFfpGF2+7OXEaaF7ExeAF5uDPpvUil4pj29k2I+kmIalXFcRN
VVHxdcXdQKvGpCMNJHd4JZ7/5GlET3+swP9btC0AhMhGwCya/Mi7x+vBac3XDIDo8AcDUhfoJKsv
pDjtIXwxdlsDYLMg2ofDiwq6EJ3JfZSCqCsyx/598SVKpZlla2bmwtcS858KuUv6+yh4LYbeEcK+
L5swjA3CRM8HUo+AGvDos7yq47GVwTocDl6GrjPpnCRVvFY9xVDdMvZzeVsGzvUdXfty7N0LuS+E
pAv95VClxhhlA0jAGq+DRH2R/Syml0EWPbNXgvrX+/q/driAFOZkMGsFx8iwdz05mCakj3VHmcGw
LGqcrjzeUMBkom/onal4b/DeGI6Qe4phy1IeRv1BGl1VA51N7NKuR01mY2EopNo0dgBg7dbuf17f
0dXPCGYuBt3HmDtoCs69Jgc3IzSzQV8OJ+3k72n9YRkbtd9VBA3W3JnpNhsF52ItFC5Nco4adcFY
tCa+otk2mBAkz7kmCaLt6gdcrIpLCyJTmwajhwmpjo41w66E9aaHPoaRZm99JKS1YtcGHwUXSyLc
21Q1s7ayMY3rWvXwo4nuLQwPYXD3njTDAdNZz1Job0hfOp3+rbVFifHaQwsB5vc35Ln0SUm6qSJY
bdTu09qvwYI0VE8S/RGEJzs6ltWzYvuN9lLpggGmdeddWOYOSiypajHZsIwiryc1pjN3wHyZyX1j
gkWyyjbT8DRp0VYKMdaQPE/aSekz0TtTtPns2bIIfKlmgsC7wuan9Y8seKT14HXEzZP7/quWWcx4
i721IojvaixCLQ8TAKAhhlDbudVpCuWx0GE1Uryie7bah2DYJIXAkdeCOpvA+o8Vnj0kTQJaSgas
GDrudIrbdTMrO9X4UAG4GwSP2ZXsgSHQwMcAhnIMRnFLiq2pgEowQhGxX6Ui3ZrVaSLSMySpHalk
rBOqkxkiThGBUf6pDrlkRRo6GO1Lr+xfjeAGM5BdZDiqfLRC8C8WAn9hAZU7qyj7gboewAjAdPkp
FGjZkFBtkLHkymPVqY7a7Kf+z0uMAAksjHAHw8jNPOg0GJnHhw6v9Iyg6YIcTEQEJFoM5/uxZCul
VTE79mfUDEBhBI795zORWAyoH9gbFf0D3tWLGpBElIGZxKurZydS+vbsTxgLTirRx1k5VTClg/cA
7Smk59x6iBoHaSnDVBX8H2nf1dw4zzT7i1jFAKZbBlGSLcthnfaG5bDLnDN//Wn4VD0rwfiE2n2v
XeXRgANgMNPTfVzHX830YEYPev/3r4AzK/SGOjkx1qyc9FyCFckMmhEYCss3Qr8ZXiOtcadQEHC8
OxbaKqiPgt5Ipfzv5+Zaa4nA5wZzZnFso3cULgFPfzL0O3PdKpM/DaBiFiSDnAsQpUuIUGFcFhTj
LFGxXmFmL6fJYK73wMX2jm36VXTTWtcNEWmh8nYwRYvqqEohKWTJhwCIrdTQgq0KcMQKpLDKY1y9
WPPs6P3HqvktTuDLWQsvShAeQOUiYYLwCrOgS2PkUTrBIjjwHakPXYlE15RMUc2V/80U+74H5g3k
TRk1JU1uNmdbSX3W9NVZK+v2slPf2Q2hZI+GOQRdMJqCuSMmFesiNawh0Vy5S9/mn2UYVe9WrUgv
k9rVD52phkBdVuCsnPQ4v87X1bw2FrXoA3TJ4102mFXlWDMGT27HEkNegITGzeiBGmoU5G+cOwnc
6ODUATc15pPY1a/1ee6GxayQoeYI5I3R3eoVRpLBVaRVMah1Xi8vDC+WadMa04HI+SHwd759ImOo
R2ga4KbtGyerfM1+nZGOG/KtlcSCvcr1DVpAGAym+AUW7i2Rtho06hsU3JXnWY0XXzXrQxvVK/TB
65tk7MZgMqLfl13kHRHQtAaFja0oVAySeQWEtW6ZE9UUrKtXlRxUO/d0465W7zClBH7nfUf8uRVA
2zm+ntmku+zkFCTm2o6EMtWBT9pZ89UrljdasNPz3OnBodPnoyhfpAcrc/eemWRCfF6maDYJNdn6
crWpSFCsQQYgu2Jua6V3knpnRwdie32zKeu7WsSyxXfZxnsVUBvkzOzBMcZ1PoITEr2IA1UO7u+t
vnK01Z9KSIUtgrODVxwxFWDA8bRDAeDbKRznWpOgrAs2ndYIQUMuL/dmRJSHNQFs0tXGvH+dDC3b
qqTQfzf6YL/Zczz63TiA6nM2xmFHyk5/wTmO32b0hXVvpZmeBVJFpskzGsg9+e1oZM86OCG8wtA6
D9h95Xe0aqhiKUqk/MtzFV/wvxVk07UsabI6VBCoqRy7mrqt7Jtl3A2NKxVAMM0FCv9PtbxFK6sw
PudWRMD/f2yUP/bpY+AkaCsgHAorwheM1l2auSR5rlM3kt0leYy17Qz0WJQKPiMnxzpzmTl/pgTZ
PwZ+v5Q64vEXKELIINj/nCv0zAST9tTjmK+zjFWNQbpaYXZGVja6VgFkugVot6XB6l8+cTiHKqBT
Fk5VcCFQhtTzdZQmxZ5WbQU5qr1fLE8eLcdu35MwMIXfjGcKVRuMZRECfjJ209ktNDCXaKIUpT+h
TqSvs2NlvgYmtnn9e7CCYqGagl6chrTgW4WI9KAqVrsZhMQFOn7lNTJ9P00/RhEZIS8OMXeNlxmO
a6Q9LM5JGWUjHHMF3ECDjhGC0iSgXiM5ib2p60GWs3SyCmkxWy6vDcnqIROeYqbYa6K5EJRguct7
8kvomXeyI7q8J/KoyQBUxvNdt35UyUuPnuOSoeuy/jVLJxq66L0BBQLKNSgeM2EDbsioTQe4na9d
BaAoBIvBr/dS2eaLlJu1IIvl7bwvBTVArnUwTjLXBXTIMU+5YL4rbsqbKqqu81JzQssUmOGsIPyB
GiFGr3AzsI8O8M1YvbJSajsomK6hI6sP6J/a2bs2CVIn3j4H9g68VVQDTGVxSWNZxhVJgJEHa09Y
PtVQ2JS7fTujETcHRRXvcPpf3ue8ZjEeARgVtQEqBG8rc+VZUtvWDeh5MJP6W4bsJsDECjgzMAE9
zhmkaV+r6inSntJSgAr5PqYIEOCJYZY/Zq6HTO4pISKRQEgA2fVO8lL7Vg/foNXiNBNYiPZ2E+jr
NrExmnLbmi9J9LpWN50oaL/jyZmfwkTt3C/FCIE8pB1S6+rYl5OiOGrh6fJbanau1m7V4jpaPaCa
IsnVQbxdzv9wiaCkAgU49BwAxGV+gqmFWkQoe2lo2X6qH+PYcOTqVfCxOWgEvMSwZYCJRMZoMR9b
NXu1CA1YGdFomTa5+hYWgUUDud2ky75NR+g5i4iCOK8xhDQdyIFMH4bRmctLTkzk7VXauLNVPFt1
P27VxGp9c8ILt41DEZk+51CAxjdogICRBTKbrViDDjGxGjtrXDldLUcOQ8lbrAqzED2JBQcDzzM0
64BYB4s4tixz/iSALdqx3DauotVB3JZ+OY67OTG3IOcSbBdOZgxIg2GDmoBqxLHtFMwDoOnYwZQF
ltLCnIPY7ARvG97C6RgX/4Kq4KnJhGAYS3JjaAB4phigcsDw8GnG0uCpq/nr78MQDGAADOLax4gy
G4aYOVLqup0wCgy4FpGHKwAqfHsMd7VsBnLf3mRqA2BavVFC61Ngm3rBPDHAEQXaCgyv4tOxLyl0
bYY0NtcGcvOL34erX/X5TinGjdG0h8mI8cDonAJk80WhQ+Y4Fom2cy4T+hFRvML0HQhDmS3YDmWv
NZrcuPVkzE4+LybgeOMN2jyxT1IJ863mIGLS5H3ZE5tsUj5II4JyVBqkj549mD9lXGRlrkaCM4y3
HaAlgRIgiM21bxLxhTlCRCVUG8jO2oE8zR8N5q71td2CKmfzD5+RzhNCtxdPcVxf51lN0to5WXWU
46pJdcvSdshIvKg0INnee5kcO9bQeMX4lCH3H0eRABzv1sTsxx/zTFJlzUCLRQ3Md8Ns+kWBViZJ
ps1UE2BLEmlxkXId50hanCaN3k09vQ6t9l2wBpzTHBRGVPfS/uJlZjZsAuZnEy30xi3j9BbcgJPT
a8OuMasfyqLu01ALhiy7HmIbfMaTKagO8D42VQ8h4JgAxxE7Z1la7QJxD7Nxcacdpm6+r6P1Xork
l2a1BdcWL3xPTH3l2icZ7AKODGBZLJjqaygRLWVxTEcjdo2WiGqxvGPWQpsTAACsK+ZgzsNKXXpL
i8CZ6KJq6uM6fp2I/nH5s30lcewJZAMPAVJUheJhmc9W9HqyLpkKtTtr1xBPbq7W5XPItnmuOWX3
EvfGlRE9LvUunB8a5TO1wWWaH6R6U6xbswwgzKivfh0Fer2ZRNPp378qEPHIDJCaWZhqYmGtYOGI
SDVCuVVpPFVZnaGI3EX9SO37y4vAtQNSKgxpoJv0bZpltkdtRE8QWg4YZtDRlEhBBZNre1Iaf31H
wyO4hEMfo5Lf2W8l6GhNVO50WUunX+9N8rKEx7l4u+zQ98BRsWK0wk2BByqLPrQpfYkV4o3QT7kB
NDVIYMNQyAbHWzbsBBTTFSADvz14ukHSu5YKzYz1nF/h8SgdqlY1PBU4x2iZRFwm3zcereKixYbR
MFpdZSJVCeV+XkOkiy30UeZ+CHQwSxiVGfz92oEYGJkhkEJ4LdOfcbK/Y1AsZxg5QQHA3Bbhp5q/
XP7/36t6cONrckaHlireoOf/Hxre42IUIyaPdU+rnRDDsiS+gly7k5IdGX5dtsaLhFNr9O8n3ihK
mGh5BmvJpPurHF0bueldNkFzhPMTBA5ZyNUUSCthzIPJISDBtURrhSqGPGg3EgZllOrVnu9N9UkF
jYWjDyjUNCI2pctGv2HQtdxqDL1HmWaStt2wifVgkV1pLoLEABgFT8ZaJCnCCT+qI467DYxcqLcz
blpznNojFM3cumtAW7+RVtnLhNqMHCsAe2GixABZEtpFTJCH81QtmBQFFkAvPKOaXdOSUD1MXXVJ
n5fU+DFWT7qUe1l4B07YDwyHXEH2srU1r1GFcpvq9y979mPo30+Cp5tQ0QhpDm7bd9KKY773oyjx
MlyBTm89l0N1NQLCYa+Sn0+HeV4ExxhnMVC2QS0Alx/GTdkBInVOSZxWc+MWkfUD7zbMpAxj52Zd
LsrgvufBKkGvE21c8DCCCo1Z9qpWwFlPotatFpK4o4Sx6nqVbxsz+tCN4QiJPlM0XsxZXGQrBNyu
mKBE/k+dP1lcxW5LazL7FnPq6s8VU+OJ//Gaemgr+Jkbb1pfdUpwET1Oju7ciTr+3+n6QClnQ96H
gL8HORObsRJLinV1Glr04J2udaKb8naFWU/3o8Poak8anqhBfFP82GaOtLl8YHAgQPicqo0Yx6Vh
Id8+dz3CW0PSKuCp1EN9rTnW3tpl7nP1Uu2yjQiuyzeGpgZmtegTj61izVo4kKTHOksPoHjfAmsD
ttBit/qAYW+F7AOcrwrI7h9rzHkb52a0GjZca3xjH+0lJz7mXgJgyPGVXJWi5xunsIuVPDHHBJFp
542ijHBuuWu9GoUqZ3ZMzJgHULkRpC4c+NS5LZoOnASsoaTYqgNsTfvBf5+vsmB4aV5QGEKAzEdR
7vcFJWSulTPXmORXIQN6YtS1/mXwlzfzCrN8+wovdKd2ooc+aB/vCtGe/P6GOXeReUiVgHpMCiS3
XOuu2MYeUEve4sbXtrPRCqfxep9s5gC8dPKmDJ4Em4Le+9/8BTgLZWo8oEzC5AVTbkvd0sK28mF/
Zm+b8KC64DXY4GJd99VO+Dk5Rx4mkv/YYyJVTwY5q+nnJAe884+YcHJTrHXjRgEkYNQjcGlufrDc
UpBfcW7uM7tMyPaQe8EgB+wObr2B9NP7vR7Isjhc+f5RSlLFBHs2e8LlilrHij3ihNurwfCrOGhe
7EkO5vDd1h/fkt1bvB+uQNkg+I503b5/xz92mRiyS01LCQaXQS6UvaG0AVKh6/a99RV39svcebwT
DbBwDQLdANiTDSQA2xDQe00vVRo4k7ReAwN91ZeNf9kpjXusndhggmVcQdtTJrguKMeLfd35R2W3
uMf7l9ALN7MHyaAbdXdIHn8ZzvI6ebETbYL4KvHIjf3j0RKcRDRCvq0wOMssDXwzYK5kMrEp0RMr
VVXslOpHvdznUPES7Q7O0wZlP2R74IcCyQWb0666lTVhprcYAp89kBEpKjhYw0M0iq5CriEgKSih
HPJntpIqValSZSUBY1PsLvtkC43OV+LodwbASZPTec217JjeejuICCi5VwdSTDyvNctCo5PZhzFp
hqZbgEafN6O1rW9Bk+P6xhEq4LLASa6PJ5bo308ujkQuEqWYYanxR+KCcMvBpMTlAOWaAEqOYuA1
jMowh2cy5GM05fhezfgYg+8o1LZNsrNEmQvXjAm9D4x+I5lgc4m2RMF6XBB5kXRtlPdqs10TdxHN
g37n2wHWE2Us7GYFbFjYWucLllkF6UITTGH9x+xNLkgAA9OPHGNnXce5s0LAPHZuJqfahgdzJxo6
4u0uvDtUEL6hJAQSqXPj9hLXc2MiIk1ruF0Mazv09iaZiOCL8Z38Y4fVFC9WBRDhGXaWPZpbo+bW
QMe5SoAz8n4KbH/VoR3iw0sflA+pawPb5EH25HLcfLWA2bNEoYoHKGCAIJV9YgxlEitZhcAxDt0b
SHrw6LpOQNW/fJibdhu/aauj/Wz96Ie8zd36IwEwXrAQ3JjCi4PONOjgImdCN4tIAeAWfkGx7qb5
zgwbx9B9C4CDy66K7DBH+FI0FgSBYCcstE0MBjdE2OOQgo2hWgTtId4Vj5LAfy4xR0uS6VpqDTC1
SO3BUMLNpNte1YA4ThmfWuMjb+tNrQiSN25+emqV2TVSX2rr2MLqCnB2mzm2+mtRnKbBe7FyIHFb
xT56GX2vYuBxp3b+5eXl3MLAd0LkCbM4tJHMvGla5PxlWoYIJDN1AafGINvff0Dw1Jho+aM0AEoq
JlAKtJ/wbkJPuFQgFI/pBfM1zR/ApXnZEd46ovwF6jh6MdDxw/MDoFYj4A6GpHOLHLTM9ZHswo1+
kD97f/QBbgDcT2SRk3afWWS+nKkuVEIOFr/4oV31drq1O2fAGm7bv5YfBCvSqXfMs2JUs6GuqK2k
AXWV6U4oJl5eQM4BemaBSQDVsVv7IoKF2t7p4FKXOoxciJaMhhNzbp0ZYU7pop6NobXjzpUD4y72
Bh8TLbk/eQ9LYH5e9oeXKZiYYqOSKbSJzSq2rEWXy20FuTvlA19FctbCwUU0O21gHNZXgTGV5xhS
O1zleLETtiM6JwAERHregcfOPsr+egU2YRf00BBodNJAODxHBOaY0Gu0Wpv0AuJv+ah5HRAHiiX6
VJyCL/LUPx4xEZeFpFyBH+swbuVNdySIoc6waU0qXuINttP72h19ktROdZ381n8I1lPkIBONczRB
w6eEdZBo0NLSzfu4kd3wFii6h+qzdeNflw1ynl1n3jKBKc2DPDc1FnSyb5PcBwmzqmHWMnRKkSAV
zxLm9gGv0DGKiBra+TmlzTNOe7nqQFt+1fbonqME+lklXi9iuPzCiLOb7dQScyKqktqskgpLxiGV
nGlvBLp/vD3KtVNvZycKcmcPEOQA9liItV5eTk5vl7Lg/fGSCdC1bU21t2G7uhsdxbHd8JgFo/97
MB0RTJAXqKemmECFdpCaT3ENWcuf5XV87LfSQbrrtpcdEn01Jh77oQAzXQV/bNxikwKuUHQ2gW0G
YF2EYuIld1g7kzJI0Ocii4jpATBKlKyhDq2bzu0j1Kow2+3Pu3b7Gm+qF/ug/ojvl6sURYLsPVsE
qR2vhnX2AxhnAQTsWhvUxq4VTk7UvjSgUJacpfrQF4/qbUwfhHys3Q06x5oOCnwVohiCAFL5X/XP
IjAbEgSKEKKT6SIc0t1yZwTKlRXMV8ZO/ix2owM+/s0IFbdwo+xbJ9mYAQgUgvloO0/mTsROyDuM
Tj4Iy83aFO0gLwt+y4oB7NG4I5UAXvpV1fm2VSliEZJNdMaUieGsTZo1kdvOHVGWQAoTFM5wEyOH
iWJURck28YbteisHor3DKzObkMb6zzDzqUsJg9PdDMNr7q47GW9d2V2xXRt6xkP5Ow4u7yO67y85
ynxWSa7KrC1gr1egQIfORRs6qgJKPNu/bIj+owuGWGSkJS3dkFn4ZvKCqW+3C69IsqcNcjTHdbLR
4o/L9jj4R5x4f1aS7fMC6pWmYwXPfkZ7tNp+4QbBrl1dJL2eDKJXS3ROiDykKclJfaKqJGWMDHg4
pNuy9lqCvs+m0F1FcuriN8g6LzvIyw9P/WPyeEvHkJbe00gZnF725vY96m8vm+CmbKc2mLtRn5ti
0BXYSK9ld/gV/sivpJ+pY9xo/9AWPftazN3Y9VpHegWL1w+uPj8Vyg0EIQTeCGLdZO7A3CB99P9X
bAPQsavuS68IgCPqERHZrtu0zrRVn8n9ZbNf1ZzvkU8HxoEagjwH86H0Js96w4Rr9oOxN6+0ZxvV
4865HVGLIY68qd1nnJxujtKuvJU95fUfyk1Y2z8/gPmKU5NCrjjBV1QAAG6uh8iPtWBOBcvLPZTR
ApTBwIIZua9Jv5PwxwCAKa2oBbpzKmMkvnBs4RwMXalvK0lJRShnNZhlmJWM7TmXBwuOGAH6Ym76
GQPXfZPcSl7u58G0i7zLn46fNZ0YZFZuSK00jCEY6OpfZOST8/yqOt3Dsq22IqIjfpic2GJ3QINS
XhvCVuXL4DLzBz9zZHd2yK5Hx94xqCbibXj7Ud9Hfo/mVXatQQRLcKhwPiJVX8Y8PMoumM2jT+yT
j5hlbZg36tK4BprXDtqu3qjPIpppTiqB4RFw5EFhjirnMp+RmNnapzZBi6hpPckI2uwFkNx1LJx6
OMai6WqeS0BkoSFvAZn7DV7U5MRY2xjoNyOX1wejbx4XfFLBcDX9OExkAsL0xwhzbYO2pKyqHMDB
KWkdhaj73iB4rhjbywHJWTk6J6lQNDOFGTO3dZOGSlqOYFgFSVS8aUYTQwaZXTtlWR2b1rbuQ9I0
P5K80QWGOXcbAG3IgwBsALpBZ4KzH+NwsDAn6SbyLoK2kX3bIgNMD032s+vdLLu77Ccnuz8zx5zU
JIL7JqEUVQs2guxnUu2nTYsSnKfgS142xgkQG+pDwINhdBygHMa3iNj1UNAO39rsxiJzc4yCXrbA
uXjOLDDumHmu13E/w50aU59l5nbpPSkOUMX2LhvirdupK0zaGk84NrMUhgz5roPKWRnV/tpcKVWB
wdZ/qASfecXEfG20oNCR0aEcVqk5FnE2+wO0k+/q1b6Ty14V+MbZYthgFIENWSp6yZwfTUsxkBoC
w60L5tqy2EGVUVhD5y0fiq84JQgOJqBhz02MTTYXi7qi11vdJrozDdspw4DwwyhiOOGMvQMzc2KJ
WTuw1yqYU4OlJYBW0u9101+9r+hbmL5+Tx6i2zogEQpjl6ODd3qcGmVWMFRDDOxmMGql2wLHk3xr
jh4ZvCW+j0fBC4q3qf7YQg3ufCmtYUwx9gVb/fyQTHtL1ErmvYmBEadZACXqwxTbuYGoNNdQyTTs
2mNlubJfHKZgRi6n40GBu3FCjm97yPEbQX+AF4andtVzu0sUz6iZwm4StRhreE5BlymLRCN4iQe8
Q2caWBiqHsF8qqmPmxX1MZwYkRfOXt4VXmQ4nfyk9i997lvzNSbFV/v35QDh+/afVfaNVqzZCC1f
+GZVn3WuP6st5Ka78uV/s8J8uanKoaU5wTc8N4MMbCpFXu01SxKcF7xoB/MgxaQDkY7BnPMPFdrl
2GH6DA1I+XeVb6fifq0yZ2yhXoiFfL/sE3dDn1pjjng1JkqfJbCGSRLjp5XO2c6wV6IAnhuuoOzQ
NH/G1rvtlUh39bKrrk1M6O0wK9T5spQn7pyP3S5OC8ObWmhx9Vn9efkn8jqlQOhjchfjJTKIC5l1
TyqtXApjwY7JVH/snwc8vodY9dLU3kzNB6SlnWYc3LnG6Jc8HnptIc7UoOI1vK7WbQ49RUkhe3SN
jrocerXdCm5J7hqe/kBma81tRWcr8QONw7xJb6cg2uZ4oZHeDbfkodiVewyKpwHAwJdXhndWndpl
8tEpNtUmTNETqLLnnhwKUVGHF4mn/5/aP0mqK5KSjBCchSqODA2YwX70zHifprfhiGl3QdeUt4lP
rTFxX9ajlKoYUAL30s+lpXXzJ11EKcFLaE5tMNFuDNY6NTVWTMo3afZDQ/0m89Tl/vJ34ZUfMOGA
mWHMtNmYLGE+TFRPxVzkcGVVn6bIBOHargVhRoWKoh4Y3Z4ATtCIih48306NMl+rs7XGCnVE4TQ+
5tkPPcdr+SAk5OLeX7i3dAOq8BoFvJ8HBQGWJVlWaKy1Hjbe6h27IDF9fC2/PoTgmnLsySH3orYl
LzigMmCiIYZZvW+j7Ik5jIVqYUWnOvOTBh24DhK4pSHgPOFF/KkZZidbhRXKWYP4iPtgrTzsaWdc
V7cxF0eWM8hfCLINfqSc+MVEClj4ukn+Csild+cMk3OYTsNL6brQUsj9yqaba/GxAueL3Yj4Z0Vr
ygSMGmPKWZOxpqF8lwyv2QDJVIFKBC8xPV1PJlgk1axWOUOwJHN+P1qqs1hl0Jntjxaz80ASCT4f
r3Zqn9pj9jcAAr0V5rCnPXhkn2/MF832wodus7rLDv3FTbd4l/c6XSTmAQ3KLujpYfgRA6zsbY3G
mJ50ISwaufRrSaf3MicCE7yi/pkNxqtqVeTMlhCVctDdW+7kj1cKGhilQ7bh9eiCOtiTr4CEEhxj
3PjQ8FwHNzEoDVmY+hSFYzFpyHeSxnpOwmKrVMbBinWRezTGvy/hHzvMplPAf9a0OezERfLYNY/J
YO+MJQc77eJqy/O8SoE6Dg9dMvnR1Dl1n7jWkj9e/o48ZzGLQGc3KRsz2ziBoBPpqUgRNFNvp+wm
B7+xUCmPtxtObdDT5+Q+hTbr3I0lbJiqO19hqPpechPf2EHbab0bduO+2OTB/Kp8hoJ9wXUO+vYy
WICBaGOdG608srICSZ6+dptwzEBF3tVOEYaCahKv2oJKxH8Rw5xmxCyUZJKpnUU7DmHsJqTz05xc
S0a0B/rL1yfiVfiGf//tTs3SPXqyrmOm6jNpYDZrNQcVeadWMAZs7C5bETlHF/nEipZUPRgGYKXN
XQtuzI9astE0DDC+5dlViDGky/a49/nJYjK7Xq6MrIlNao/4MdT3Yre0n0FK9Q9WQNeC/U2pzllw
S5nHMsTPUXmB7Kg8BxBdnoaDprxctsLPGk7MMJ9oWTHlWlAz5LC+gNRCe0exXbpJ9v2zsevv6nsj
cpRfoqcU9zkKWkWMF1GNIsw3nX+zJDJBxUfXMKmeWqI6yb79bRqeqR7B74tBkXl8W6rtZV95u/zU
JrPLo77TzKWGTWXeZOnvWR+caXm205s+7gUhQv8Ve3JSoR1UvWl/nzDuVXFvogWKk1O3Dm15GOJD
S459/aStdxjAv+wWLxxPbTFuDaq0LkMFWySPIUHm16FHKgjtTIJtJvKJbsOTbQZtgaQyYnobDLlf
zZbTVJ+JoYKttwe9rOYih/f/J89YQoZ1ioamjegq1scq+mWOjwno7m1ZsIC8uKBDChh/1qBPzx7C
bZnLk2QCn6mbmWPlN8a0X/XRCfsrtQ4ue8Q7709NMd9qJvlcYXwIB2K6C6s32dzp0a//zQTzmcoK
5AqoBCEhV0CCjlZW/dGgjHXZCDfm/iwZW9exO5IVoUJjLhmID9W0FrqBuuIkgIIeFTsUDQVwYw/4
eZSHwWGJMuB57Bl9bWGAmyYBs/q0ggzQXY3Za6flSs5LsIRpz6Clcv/BR0q8ggzyq/94btMmsRK1
E4CzRQX5FXqR9O4Sezl5+Bc7YK3RgHGiM1bndiJIDhDwArWuXU67PHPTBdTRUuTWiyD46D/6digB
pov5e9BhfBusAFQ+7boVi9iMb12NuXgNTKPBDOHY1tNKX5kF9rj76sQec08WdRlN6gx76rrFzIim
elH/aiqHshaQbPBwcJi2QZ8ChXxAnVk8VasmE052LOF0sG9AQqk8Z9t6mxzaff4IZIjkRLvoNvTD
X/awzd5F3XDuZXZqntnVWhd3sk3Nj5vqBgR2kOos3wFsCBKv28bVX8cl2qgKWJ3BvI1BI1YrRC0k
Je8ToF4rBS82f+oP4eot6u5voxJWQA6s4vGENpbF1PYKkunqsgLu2qTgg7wG1UY7e5Ko7MNZOsp/
hwYMnfZRQTZ0HvxLuJp4aQOTXEa+hB7FvDqg+HN17aVBuV26XqtHc6GkR4JF/H4Qn9tl3ANjkaIO
FDpchiC2nyUnBB9FZgqOSZEV9dw7ycxLlIgzLOLi6/rghuMmDgXnPX8JcXzIUL2lbGX0R5zcy1Fj
k6xcYGRIH6IVjEKPqx5kADGGUVAkG6l7b+PHf5BRwgKeWGU2N6Gw03aG1bB7S5qnREk9Ml5J407L
HjJIXlyORu5CnlijR82Jj7mZ6ETTYE2SXhPtg6Aes5r+ZRvChWS2MXqPaRTaMJLWd+FwVO2bWYbW
Y7XHqd9FvVNWaDB4WS2SWf1+TtKlxHELMl2QXrGt8Dq28xzwFuCw2xBqshgCT+KbYQLPuInx4q7Y
XPbz+92NNr8M/gRw6NEJOyYoUznVK73rcX7YN2GG3M0MMvU2zd8vm/l+25yb0c4/2TDN60JWmInW
cgt2zaAbB6fVrE0NYtbBLJ1yPspKL8jleIFy6hzznLGzMLKngVpVX+3ht9rvVfvHZcdE68fstwTw
k05VYGLo59xZMJfm1Jb6ChmLq065v2yL6w4o89Cjxmlvs0RLpZkX/UhALTHNug/SwD2Ill5bjO1f
NsN1CdUHKqlFKZaZ7VX3VbooA8zocowKiGXfDjX5rUVVUMx/nxVA/QKjg4g+bFlc1udx0aYJaYAQ
pU+j7VFtQZQy3qDII/CIfufzXOfcCvX45MAoF1LFit5hTrbd1mvvtI0g5+CEN9zAowGqJQD0ykx4
L8aSLFkIAzogJEVqOqtCNtXwY211sClKH3FXOJ0lquN8z4PhFgpFdMwK8ubsU8WGRi2oY3ukcNAX
KmXQDRnkzqxjB8Sj/XWtp3d/HRhn9tgjMQJyKJRgTxo32uCkXbXN0W7qMkF9ilMfPneMLvfp94oN
iP/EMKQ0u5rsdFAMGEHW+Zn9BAZOFTQ9ebadU/CcApsKLLpMRGoInK126ir7pJHkWZ9qFb9gWQ45
REZUa5uJBmg5XYUzN1kIcRENlr3S75dJix/OmN1OAcKeu+vOLpB+pP6A0yRWpocKjxLBlvg/jH9x
4WGK1pKZPZGt5rpM6oAaPHIeHa1rydrkyXNJHjqJshDvUKtxMEdyOYS4GwVccfTJQa0yZ4tU5+ok
myNqq8NGibxSdce828hNEFVAMYM7N/371A4f8o9BJmYnEAMVwI2iPNcdGutoz24j0ivnLqUCyCim
F3SMQ7P1nYWYYY1mIsJVTvqb2Y5nENQteGFAVtyb7RIifoY6OHaspo5OVsOBgJ1IF5tzxOG1CCZu
tPxAEso+ejoTpygmiDu3laVPq268qEPV4vLH420KvBYhFgc6A9ANMId1YfSLlE3oREVUqjxS8ZS7
iau3y0Y4+Q+U2/4YYeJSylEkXEf0R8smQqvtJVcDwAFsjECK8Eqchg3wxCemmGDsZbsFHhX+GLMf
GUAm3CX6c1w/QLbNRp14qv08O8T5uyYHK7BamJjQnCTxVPP1ssucC/fsdzAx2ieWbIGXEucqmANr
7QmaBh7STye1/x7UD491EPpp4GkErxJzT2WqZelxA2YAsPO6S7VZVAnqGJvL7nCAFudWmLQrtus4
JzmspGAHUzpvXt4teT/KV3EThPrVaBabUL1OsoNiuvPwqme/w/W9EykO827HU1+ZaF1qWZ76gTYZ
E99c8DkhrtLoTh+bjtH6rdT/w0mjQLQTGkGESqEyl5ZhmSGoXGEP8ns1IFX6GuCl+6b3uughqXE2
OwixQMqnwQzIJBhTedrEWR1jgXV09ht/9nSncxY3c7KbzEl3q9P4k5/sB2hw/m63yya5Tp9/1X5x
VG8SDwOdjvycgzBI3opYwbknxJ8fxrIlGO0EsoQJP6yxHrIwhgrILhM143kHBNhrgbhCjRZQYea7
rtq05OCsRyWufWpknBHptl/2oPdU1EZw4PHW+dQUcxYli63MGIoFyhAoKiuDbqoIMCGywBxBRdPn
U7bCQlWA4UyBFo/mCXYjLZqwye+pE8zpks5zkZARJpJ0p7dXMfGn4i2WtykBnnYfdteKCE7AiwLQ
VKCUA/1LC/2c8/RtaMtiSRUaBWQjW36TXNsiExy0GaFc/+BNoszUIE07txGSGK+TFFFQOc2+23SB
bXvdRxI8L96wQdPUC93QCWenMDGeX/mSAAXFO7JPzTORIVWFni/UxaRGvx/nNLJvk+yT9V/s4D2B
lg6oPhHv525axiSnXQI3l/mYGB5J343qqKsPl2OE+8FOrNAoPcm3ZVWawG0IKynafYa0NaIaJM2i
a4H+VjYQQRCMmTmIQUHSjPFlgt6LOVYoItpWcSPJgLFAtOQJepoD2Ev06iqzbwvYJ5D1zH1btNO+
/j1jHh0404LQBp5pqGaeO5kvRhQr1YKR/fnYkcmbzTszftbnD7X8ITVOvHqdsbewKbSjWv39QaJS
lgDdVPHWxYPt3PaQjV2/2Mb/I+3Kliu3keyvdPidPSS4gRPjeeByF0lX+1ovDJWkAvcN3L9+DtVu
ixfiXI494eiOsFWlZAKJRCKXc5D6A+2WrQz6BtWlldfZwn1HQAqAmx31CeCbCqdO7hQjrtqgdvSA
2mPojaNmV/RXE3oY+LRDurKdCyfgSJzgVoxgSGXQodWO1EUbX6IHVQLWQouYXu93p83z89oQtw7j
0aiVAW7BQOrjePkCqrWVbyU1MP1yO9h0ju/mth7Ysduc5ds2wghr7v2kbmnrty0mME0nspn7lrqf
Q0y2+VKtKL+01rMPEu85CUDq3ajhg8YGVbWPwQxcuNOgSkABcCiq4W88iMEGoaEe+ckJKMZtLRjs
NDODPIzYWejjTzWADDlvAL7eWbH90qVoWrRXB8M/uwq+r/uXWMEvkKpF4hBkOM5j6vWyzUq72aIc
Zft77Tq8AErlpj0HAqdtedYPZJhT+9Xav/KdD9I6QKvxn5f56NabwVlFy1wyPlTB0COKRyTaG4Xz
xOpQjmofH+Y/SJvigrn1W1MCnNS/YB6miwt7sBEf7NdwmBZu64mU40+x5NgOfQaCy1GFWMZVEOC2
Nn06bekLU3qYo5xJEHykKoNiuTQhoX9rXXWneeFlfhk984fQ8e8wew+7vtOeC4R6xQ/NPQswxPfr
//kJwqanRayzhKUobzrAUfHqn8oF2mgertPD20tx0Lfdk+9gpyWX2ro7nK/B5i3AIRwvgXCzW4Qx
MGxhCaTdob9Kf1EAoOrGju7fnvOtDMRQMOf+0O7onbU1bwb7/bT6S4/Cox2YTG92F4JejUSgE4Ib
vbqimARtfypub+c2u3lTHECVe6pT9fbK1MdC4w2UBskWmcZoF+DM4iIsMB9RO43v8WKjkxDZ8cTp
DRcYFHJ9kNgZKl9y5NDakX+EAbr9f64ovnA9T5R6KB0RGf8TX/eomBaG2WHdxxoPXxWwQ/JECEkd
rdyq6j63rkCCyxpgYWSXI70s1t6mi2eaguWDAMIHzWnCmZZ6MuYg/IKT189p5LJon1kM+eDH03qu
iRHOcId5dMJl7K8vwYWV+QVRjDepCm6V2l9pqyXTlfvNf6LlBxOvgHNC98CxLQVZUCv6ZEvWle/U
brD1b6iX7Pt7eq9s1V173t9Kh+zXnf6OfM0GV8mGuwNmtfnT2qlaepODSujrUwS1q4ibHZOwuvGA
Y9vifYpnY7RJUdGFQHR8EbvdypvxzNyfXu+l7NgU8yhoa0SbARILx4vQD4ocKFqERagHZwQLj0Qs
p66wtX062kE4XCHB+lrXqkd455wWvuSwJ8wdjBvjlfytlJFIlVqWA44VYQdf/mj929O/fyFwJgZ6
NTCANjXai41r8qBbHZsuSGDjDcDYKXKTbXqFJYBqSdnaUNqSOc2lCSFXxICEWfaQltT1PquMDXrY
vIG2Thxq9hC8nNZtce2gGgrxYP77RuvBTYV1TZfXcDmhi4ryRS8nK6+bpUQ/MfCuAfY/slLIoB7b
BovyAZSxRe3k+WCHaPYbfRWcidSLfYC2Z9mZ3zFb0sLdxKA4coBDKQkSgaoDXMi1w7rkGNB2gBnd
ienrWw2HtClT26aqnUyiXoH2Hs3yz9MBrb5+v1MSsskydKp3d2ivdlJZ3SbNsM8IoPtoYVcYBwAu
rRNI+b5pOnjxH1H2GqOopYPjMouTwxDSDrTKCQqsa1R7iycMvKuIjzG+ihtEOGGxRgKQyODLlfLZ
7C4Uyyb1S0G3TXCtF3afnRvyWkujMvkL0bXNZU6rObsmDV+vZJlDJuOxHZpAdFHBANB5qSpt5Pyq
tw4K5pyt5qbVN83fSO2RuXDBbILEB+g+UKidppMeah6dGfSeKzV6mMF/CWRKbfh5+iwsRgVzieLR
y6jO+3pSt0BXIPI0QfYSI6logKsRk5Nd6YLwTgZNqqrh6VzbibwNJSdLPtCUZlofK1+zdFXPv0Z4
D6F+kjC5x9eYEXet/qKWVDvWXdJ7ox97pn9dZs8y4LKz+KlMPiR6tyJ/IaWE6R64Ijh0dMOJWQkd
oyJlQBqsP7mvEA1pwSNe0ITsdcOuzI0Vu2a0VsNdenLNZQphKQaalKLX2trhyV3Qbmh4NkiGbamb
tgcmHVvxTAuu1gJrOKhIJ54sQxyfAnpmkJkyuj+AKmjXknVXVtQJ9cSm4Y+2WCt4TvslHKYjacJh
qjCYYrAQPR9WxmA0ByAT+L7p5sZtjC78mB+0Ndz6ZYnIP2MUbWoWElyGEQdaBsBRdJkA/Y5XSJdp
TxE4XppUveuaX4nPnDZe619YcveAyUBABe+KOplYJgfgeFsbmE51FGyjfkk4ENwJ5mNAXN3tCWD4
gEqlSWivedWb3K7ifanuTpvuwqV29AWCFQVDp0rMwkqrZv4M+hxwY9ekWrlKFo1npqawuCA1k1je
Qc2wRashC52JtBGEL6jybGqts0+rtHAwoBJKcuCJxMUlkuOZEbrL+3GCqgtlzySjQ8Mn8ITc1znd
DBGsVin2pyVO3//NXL8kip3YCNuUqG0gsQxjtyDJzufMiZO/kX2HYujfASwenkZicCBhlKvLIwD9
SXiS2YU0/pDl19OaLK/dl4jp57NbzCdq0ZF4emJF2Q5JS9voN1PbQcbcPggdIj2flrdoGZ9Mm9YE
gy/mcdQ+JHmcA8QIgJOtpG64f1WFW5o4mJ12T4taPmwzWYKptxnGInkHWeaYy9dDXRys0LhpRmtb
tDFKM0S6I1rIbQXZXrvnyXDtI9/jlToIB5I0uqppmj6sfNPCxYXW3Ilp9F/6CyfDaouutUJ8k59G
j+BW+ZHKxWWSxG9+95iiOBf7vttJ/hYoI/aoZXjsszdisLW7ZCHUO/oMwd/muQ7oJQuWxbPL1tLP
FK6hVvBoNrvT+i7L0dGaM9E7g0Lm2LxGnuWoIUFOyBwqb00W7/P63Fpt4lsKT6DQlyBhrzUdZJXq
BI7V0jc5aLbGUCMl6psPLMh2avJiWHSnAK1CHWo35U+ctNeNbj0VWGHgxVxGg+yGVrriJhYP1+yj
hM3OUVzv5QAfJeuAerrQECdyuk3NR58bm5zpK35w0SvNxAmbKklSI1UEi90MyH3XGBpyc/TT/J0d
xW6i/Y4aMOTjHe3kPqv6CO1+IHgLzGLj55mto/kqVlbukOXF+xI0/XzmmfIIVOgDOvSdOHvX9PHa
DG8autEztxneVH9tmmfZUL+kTeHCTFrVBTxUGkjjqoqXqy1bfCsp1eXqdM1i3IHpzT/WT7w68hSM
g/qEBxmELxxZ80R20xoQo/pTCeRLGp/33fb0ji2l1nA1Il6lCD2AkCdsWYzx6byRcBuPab/ry95W
0GqQAesy0fLLWO0dyQDDi/7eNL/07IPEpY2XoC1nlms06crHLNno/FuEXR11UsZZivuGd1E28aEp
bleqgauFQbw7rffSls5FCVta6HlCIw2i4o7tE3BXs7DZR2PqjP3abMyKVp+12pn1DE3Rk34CHtYV
cCuWyPirZGeYN6cVWrzQZhqJkDywmiQ3fYjxpWTbhNqTlMdIBNSexFQ7qYkTg3xT74xtj+GLoY08
E6jzXNPssFubRVs6nfDqBNyVuoFUqZDYo3IHKCodZswZGInyyjZq0+GWftHVP0Olv+uyce3OmsxU
DLrA9IKuB4yAKsAdPz6iHaKUCWYOkeugPlgVuAN5HiUQmpVuqZLBZUxZCSGW9/VLJDkW6Rc+WuAT
iDRpaYJMZKReFXa9HbT6WoFr+vpv2ikG6luAJEIzonBTpkonhRgAxXurNg4he7eS5ozIzVYOYi+K
f5l6hCjQsk3S7HO5Xbmoptvxm3CkfafZFnVKPh/rSZVIVbsSwosh2oSRfhu340qCf3EpZyKEg08i
oFbmIxxsY8Qb01d2cpK4eVB4K2dk4WUO7/qlinDq1Qy7lEyOPEou1OChA4Jlb9xw4sblmRFETiI/
SxheOC110dWoyNljdhf0IGKaOyut1OIcl6LR4K2T+pssarZmDqIUGqwgcayJEkyy0Y1hYBpEBdTw
QOVoR0OHqrN1BVjB69NaLZ5x1GTA7Y5RJPBzH1tFnIBwl+lYSilxEK3W2QaIT2iMfajSnzr96zOU
2sSn9qe0SfGZD61YzLVkCix85WBQlDCjvRWEyOqsxBWLbmQmR7B1C307ZjJAq4GBYTDoAPr8y5L5
WR88tZLinF7C5d36Ukqw+jzIQfeZQymp9sLEOsTmz9rvrvia2S9FFfPFE6yeZGEdk7BB+DuEllsy
P0Yxur6pze6Zke6yGbrQYZg/OU+MCMB3p5VcFI7eDpTOgLmHoZ3jnWvRJiQrKYSDq86VCrfv3yS+
t9IJveEuKX6xaHNa4OKqfgkU4ckLpnbgPoJAjPx15WtTu1b8lAL35rSYhTlKmORMjnDjoApb+jLv
gJkM0g6HeeHOdxu0yQJVWN++SofB5VejB+S4O9BMrTiyRX85ky2c89Zqo8EEBIVTk3irJ9EGvWb7
FHSfKzquyRHunVFX2jRrICd+1UCFSTwN6Be3hTdsstsScOi47Lby+SqWytoWCu811uExR4tJ7GPu
JSD82/medugetY90m+2GxBkap/oVcVtfcWqL+sJLw1OjEfhbExTGwMLc9yGYkoMFrCu/dAezWokb
looD6Pz7kiLsnkTqUFUmy4mqrc6vdDY4KRq4R+7K4P9kuceGbYm3GS4kq70/vaWLSzuTLexolpqg
Ypcgm9Xa+ZBAiFxeFFK4rcI1uNxFXzoTJeximmRyVADrBhWjbiul4xbsx3aZomHBSNANqD+c1mxt
76afz66IvvCLJskgTrFeCuUmn3qa15zZ2upNP5/J0BMkjZAkxepVIa6Gm7TeMfMMcGF/QxX0qpmy
in4ulLyOxQD8pQ5oLOMWys4Tya2Kt0BbAdNZqoph7gOkK+At1PCPIKOs2yKlBFGdXj8ptDnruqIC
fcfLKPED4He8diyeM+U+zvK708otBg4zwcKtF/IMv3MKHEIk+KzSyUc4ktq3O/RFGRGQhg39b1Qr
5qoKV1Cq0xAUeFOoIhe63RNzE9GX3m9vlHLqFZNXlnay62/x8peC4gUUZHIQtFOsEtUYH2jYaztg
EOv0Iq7JEC6frKoSK53yHxp2DS8D35YHeVgRsmjtM0UEPzUkta41HEKapnDDVtYdn1BvNBWEX/la
MLTUgAqDhLXTCcbn22h2yUtlIAOWDUP0+bgN8+vIf0H/tcbuaxUJyOGJ6Psmui6CPV8r5i+NMx8J
Fw5219WgE5tGYbXEi/VzjRyY8aRHO3QtJCiolReKbtN25bZZDI2AnQtEcvAWgozy+JiPZWHyPITQ
TEqf+gCTB1HodoR4ha7ZnBt2ARY6Of0bEAyIXGZyBWV7HtDemOLOES0+Q4gyLXCLfDp4ff6IEWpH
GR6zAM0E9FGP1/Bjlld6JlzwOw1PVHOcXkN13KJ34ZBnl6b+NkSRG5pnjbktfZdVO38tPbJoyzOx
gteR2MisoIVYiXg8ojdlY9i6X24U8/H0yVy8hmaCBGcj68DkBkYSnmBmsB/wmKRStplm8E+LWdHn
073PbqKo1qO+0CcxveXbZdc/BSogrFHdV5o1buLvKukyGoRAJQiAC4B/C3YK/EMid5oKbonh0gCm
aTpsWP9xWp81u/j8+UyhINbQO1BCoYj8UgqvVx2f7X20DJSS5QzdRgaJNrdbnMMVwcsriUEZzCYb
YEUQXGmepqw2Gd4LdQV6J4BnxD3DJIG0pWpqq1W+I8mA/17tNTnyNGymNJp3CQbgEutxUD+KtNmv
fNFitgdz7P/+IsHvFhVGMocKE+ZtcRMAtKS9ahPM+wVn+lDYprqVUI8xas9iu9OClxrJ4Ri+BAvB
IU8KTc8olmIsXyqmbmuD2MDbvjIGMP6mpldIwDeLbup0OGtpj6qgvNeDdK/Kd2oSABrPvy+Nnx19
yThx5IbAFIOz1kSxqiPBts6VD56AhZXFQMNSZLvlqK8ApMPpSvP2tCaLoedMESH0BEtrrA86FEna
67bes+itRCuSJrusH1Z2a9mJf62ZcDgqv2gtf3rfluS8Jnfc77dycaPUVxreLZKJ0s79ad2+n8bJ
e38JnOx5dlBYJYNKp4N1FJpvw7HsuKxgRLP3Tov5Xw7klxzRUWeYwm3b6VykV9T0SuowEBkwGQ1m
+zh20qZx2xHkb6sVicnKjuMnoP8DWB7zz2AoQVn5WMHCQscgHA4UDC+4H2597cyAxeOJ1EQ/ge9q
9pHTZhd96lYNkMe6FQe+UBGB/M9RRbRkyoB4OJYvGa3KUfhGkF/WNihMo2ETy+DLIq5fUjfVwaCV
X1cyEBQzZ+S3uqS6SXAlD9nm9A58N+Lj7xCuLAIogSYo8R1BPRYbJHA6O+oD2dWy6srPo9DOiDms
yPxuXJAJPHTkAwF9hW7jY927kcQMxL8I+azLRNux8j5eQxacPvvb9qLVFkh/eMXLVFjeduQotQ4Y
9vGNAnUItpX13GuohsEfwKFb/gXH7MyKk/8eLh/fYMKZ6Q2LoW9ew4MqcKiELV3tv1pauPkdKWgV
DmXi99PCgQK+RY5+uCyT59P2MH2kuHBzEYI9NMgMWJIEEWZ2JQF9MgFPEbuo+V/OIR+vlRDAdLjt
lekIOH15UPv3HAMN6Q1VV0oayzuCXgdkWdDYKoLUpYPRsSHBjjSks2u2ieuPv7NafwoQISr8cKCD
HENAMdxV1VRXD/w70q7xBH93/1gtYqD9RqEKWN+EA8PMEA3W02r5LVNzGz3mcIpj4evvRtRkT0yX
4vdRK+r70Y8CzCEnsb/yiiCLS4lWQzRZg4wDY7/HZ3aMDEKHkdVOBUQ1jJDv2Q+d2VzHhI+XPOpO
5hiX5+O7eme63TPF7E/kVBdA8Tq93gv1R6yEBZh4JHnhu8WhI7VUR7TKhGgMTlxy1rvhD+MFs6Y7
304vYpDheNa9VKwIXVb9SyY5Vp1KrRaUFqbscFUY7T3566XbY52E3a1qKVLAQVY7gXpRFTvDerAi
9/S6LTqO2bJNKs6u8zS0OkmjEGHQS0kHvRMA2vlKeW3Rc1jgzMakwZTwEY50S8NRNiLISMsJneIV
z8sJQIH/9aFHHdMxijlh/SCHKsbwctz0sPJpTKc1ki0Focld4tMADd+0IT/7OMjXJkeX7kikatEw
KYM1DdH78eohnRCrdSWhuw/g8krzixmyHeWwerMFlkj/dHqvlswN/eMyynig8NA/SwKzvUKFquzU
Bj5F64H2RA28SLIVi15UCFOMqKiBewb9fccKmaMcqamB21EhvZsZ3qDHdoWhIuC41XentfncdvFC
wQQDEg8qhgS/bxcvoiThNax7b+3qZ3JQgath98/dZewAnYC80X23GS8N+yE7GFfD9XD1gs6BnbUz
McCIoQTv9Pcsre78c4TDXHajPAYFPmfaxN7PkdJ6PC1hYXhOR/H8S2PhPId5qhK/hgh1o1/6BwzM
XdeuuTMv07PmRXLbs+Jg2Mm2hZbpRQY26t3pD1g6iHP5grnWhJcoh0G+BkShJLmg4aWfS26OR9Bp
QQs1hklTIAiZSKZN+3tsR1GCQjTv0A+OU/MsIVKNh8w1eszgG/42SY2d1tSRTdATixZ4ZLRdOW/+
euEb3vNzLhdnE/PAgi1nkdbJuYbjQlgAcJF9KtscqMGptj+t7KIL1SEAjIZIZotAUb1ZpgMfTaSy
gx+0xdipD6g54+a0kKWDieaHP4UI1mkEplTWkxANni28Hru7pH3EU8VumjUk+KWDMBclWGnOfNCT
aRBF/QsDw/5Zk66Yx7Ty4smfSxDsEPMhRiG1kNBpz2m468MrBKxK8cBhF9Fz3q3cP0shP24FE24N
sd43XJ2651Ue6Rae4/l9pgJLi6h2FbwHxZtm/gizFXNYXL6ZNFE5jMJ3SBqh32LYlclPqVgpJywu
HihjJhhWiBErJ7Eas461uHP09qlmF6p8GRdIyFgvpvYcDU7ZvZ22vEXznsV3wlHOWnlI6RTfRa3m
lci+w29jkGjtubkmZvJds8utMlMr7QqISfS9Bl5e+BQbvY6ndVnam3mEIJyisVSZxFJMO2bdU1uc
ydbD6d+/5GDnv184OmOsFGlL8PsVvivaX50a2tawbdO1+suSNyAGIv8pUYCxUUHOoCgRRh5hA3Lv
Kl1g62TXynvacbzKVu6MpX2ZixLMWQrAxeKX2JdCRf5zjF01eCpp6J5euDUp089nuy+1Rs2iGlIA
RZUqrYOeCQNAd39HCECJjAljC81sx0LGBqwetTWpQt790jE1IBcGaygEiyaAOdp/CxGeyRVDpxwL
ICTEOOGohq6BafE4VuyguT+tzqIkE7OQGMKUJ46sY3VIgZR7pCDcNbXa1vyrqN/5steukXMvlGrx
rsTjUsUj08Coh2BsfTyEJETRxGlNMG7p5mOkmWBxGisb8BP2iMt9SAE84LONwddGMpYO7Fy2YH10
qNW8Q5+LQ7LRafTqerSUlVTAkj8FLAtAwYGch0ti+vnM9FgwBhnsZeq5Qtc7bzLQYnJGkGmT9K0v
h75XVz4IzmgF+MWuWanWLhk+nqwwGKAlaXggHUtvTfByjiFuCzNC5MAAW1zQC5/WK6/0JVtRkeaY
hmcVNGMJSjaJZGm4dXEp+R7B6Cdrc7cGnJ1Vbk4b5aI+X4JEkPByyLugmB4QqsyVzlYqv77L0qID
gzxJcSJOS1u2zZk4oXqCHH4+pDkiCSPs7TiU7SSSd7THJQ8+ZjsKM6e20LreXzXFuBYnLYUVyFRi
tguZSgtZy+OtUzPFV/qQIveCRK1m3RZFAODV8iKIiasp7zXwrU5ru+T1569NQaBpNb1WZ5PXBxOu
LdcBc5geZjtSAhO6RQm3fD4tcHF5TTTlAzUXqHkohhyrmPjKWGocSZUobs58PdynBrWjqtk0BEgI
CbPb4ToKACMYvJ+WvGRGc8GCF0UxvkSKB4J7ltlNuMswwVr3+9NClg6Fif1TQOYA0CkRq04Gi2Vs
GLitJXM7+kAv2VLjpz6uLeK0LWK0i64C4HcrVDOAEH28iHHTaVoDRBxHYddGPDqYqnfCONm1Ct+3
cb0L9eHOKF4mhreRgRChVM5IFqx0li7qauHim4D70QosOABJIkRC8zHwO2owLxlelDM7rbxi7fpb
OhTmlxwx79lnMqfosIHFZNGtGkZeqRQ/Rl92W8LsonwfwrV2venLxeWluAHBiA76D9SmjpdXG1PM
T/RAKfBD0P3hXkp3VY4nWNT716qaH/quDRySS74DmoZ8ZVmXjiQa4jEti5oNetOFIzn0KY+qATAM
qv4z6q7b9GPsnJ5v+r8+RzqNFqgWOvDRBayKj1mMLUgsJni6G/Sp4PsoeuHhW1y8NPLbGmzGQukN
sjRg3YA8V0UUJCgVdVkzwMNgRZFSbtrNgHpTtwH1q6JvqLKhJEAE9UTWXoWLKdy5XOGy7+NYlWRg
sTmytnnvnRtpx6sN/XErPdLKC7lXPa54mcXd04FvMc074h/BvRljgmrMNClPEwzm6heabKvKqxw9
BGuIiEvHj84kCf4s0buchpMkhFi2RexCfu1iR1vDHF/oYsLWzeQIh4H1ptrTSU5Wo1NW2bV2Ymdn
6k2NjLxbXpe+o9//dSc6k/h5hczCJ7+L/ljDcJrFx8Rs/pTH4ANJb0/LWZiihGp47YB0ARhzREzw
j9zMgczcI3m1NRxlp9xvckdTbXql/GB3oxNty2uAeXT2+HJa8NJVNJdLjv1LnQBUPacdrJL/ZO0e
EHLMWgmayPQ7vvmwmW7CiWvlRM1jCTLaTUJs8lie+W6/p3sO3s38XunczFEdGdBA7DVxzjF/4Pyd
F+VcS+HsJZEpqVKC1R0JuVb7wOGF5BpotgD7c1tW+9Nr+llEP6WwcCcOulkPRg+FzTtjm3vKm3SF
sQDNYZcYqxg6V3ETN9ziSdvY42Brz2w7nmF49i14pJu1t+f/svpTyhvwl5jUF1a/Dk1mjAGcuLzV
N/nW3+5Tx1Bsc6Nclg4HqJunufxC/VD2mHXOttHWeFjjzF02sq9PEJa/H/2hCnVcm010hu5XYuzp
GqD2ogsyJwIEPDQmlqpjO065ppRyPmlZvDfVL0tr7XC8M9pfp7d20afOxAieLu7LAj3dEIPmbt7+
BHSEnx9y0tvDOszNsizgqVuY3wYqkGBF8Rj3Y+BDFgPdQNKg0mmgCea1Bsu60aGgb3QO3kKozMQf
tRG65tAeLJ27Y6UdpIhupOS6Z/GKP1yMmWFJf37UtA8zh6hxUIK2colLRTW9BrwIUupYw34IXdV4
HssdlS/VtVTAZB7fjhOgoFT0cmIxxGkoubKGXCW4OVMq38SpcYfzvPL4WArsMKL7pwhBLTWIpX4o
ERSQTPWqyOmUrRxjoobtB+ksyNb80eKBmIkTrJU3Vi0FE4KRikdd12KeO0GuQVtDsVi0oJkYwVo7
o1D6xsfCGbGyY3yTR7KLcp8j9W6xNsi4qBLeifAyiDQtkSWUIQ6N2gKGoXBAoZaGrdVev8qMJC+Y
AoZfJ1Aw8A0DUvfY/IysSmpEpSjHK78C1eV47IOhPfQdCYwDaeQEBlBddqfP/JL5WcpU4cWEnPKt
h9Ece6OkOjarSIHBWKmXSVet5EmWvNdchHALSyXAdcsQakkhhk2DqwS8bYB2UouH06osGcRcjnAX
hCXwumgBOdlEMMmvMu6NfWYHuVdLK5fgmijB55ckV2KuQVRMMheowEVFMMbrVPVFEr6d1mqxSWOu
luApqyw2gAiM54O0awa7JjY91HvNsxxyVZyDxcpN7NhRvHF7Rq+C24fIeWDu2kNtyYPMv0HwIGnV
dI1cT5bZZF6aed2Yb7rGsnXlXGJoVnw/rfPa8goHoQToxpBTiAMS+r00Ie8AORT/Bx7zKPZ0M9ye
lrdoocAHRYFVwVkQcyVKV46q1CD01srNqF4U2oGy13HNaBYXcSZFcFiWFSYpaVBYDdNtR9udJOlg
8jzveeoV9JqtwoJPDwbxZrFm8qafz26zrMSUgN9CK0AA0l8mkgbPqivfqE/gjWOtXTBHehxceUcu
y0298Q/s7vSqLjlNuEq8RFHDBdSQYLitqkt9MEBfCfnRGGhNoeYYaw0qi/5rJkSwTDYYgfS5qH4e
ujJ5CgFXfFqNxYI4eG4ME0OoUweb4FfGGBQivT89zKSrMr/OGDqc0Ur6FmrvVXtlACSvODBpG8v3
pwUvrt9MruBkfKKMcTAdfD4ysH2gVGQiMFp7nC1ayUyKsEtS1abtiM4Gp8wutfxDGy5Ik9qgRWJF
BoQ0cBAbP07rtXjaZhKFLevzorSyYrILfmZFL2F7YPxFX7uyF6QAPBQdS+hGBSi9CKXXyoU81gRS
Cl9yIlPdJF1ux/SqVcKVy2Cp7fdIlLBRLAb3kpnhRdQDRPxOae0RpKjjVjpo11Vlp3vmDOfWi7JS
F1hwJxMnCvDoUUWcIMqOj3fBpUZlHXKTAKCiSFgblTs2ga0pE3+iBz7F07u2YI1H4gQla7VLzC6G
uIJcpNKtEu0U6fa0CGVNJcEW0VrQ0XJKt1b6bYeBm8pN20OTuAAsRYrQU9pftbap6LlMb6r2XM+u
eXjFmdvAsQX/Wt3/eOv/k33k1//yk/y//wv//pYXeKExTNYc/+t/XxUf2T+uk9e3D/5f01/88w8K
f277kV++pt//0NHfwS//Q7j7Wr8e/YuX1WE93DQf1XD7wYHE/Pn78ZnTn/y//vAfH5+/5X4oPn7/
7S1vsnr6bSzMs9/++NH+/fff0C8725Pp9//xw0mB33+7/KiDjyp5zd75t7/18crr338z/4niqwV0
evR6gxoX4epv/+g+pp+o/wTZFspw6OMjCmpxU04+yzGx9PtvuvrPaRpAxl/EuCjeIQgBObqCph/J
/0RQDa69KfxEv5Gl/fZv7Y826WvT/oGmles8zGr++29CPgCVAKAfghAI8SxK7MBzEe48hY68H+IK
79eilO4HroMerK7laaLXL7lrxrUBr4bIzQNIUrCNMJmTepIJqE29Q2sJkfvGC6KOnFHDt17GqM+e
yr5POsy6SgAZHLMgNuAZLf9eU5tqbxVy62TDajP9sVP+VGOC3wdPKRoEUO6eXgqzq1vWBlqqtKI2
jUZ1U6ht3dgyutBtldU+HgZpeZv3WrDrJCvey6O8RgQuzPP88QEUxQYdXdbAKRZO+6CVeQreb2pz
P4kuqkiOD3UXGrFdl2j+8n0VnoZj5OmsiKm0M5t4cAMm3SUG4/usGDADXJmOao07fCXADNq4BNFr
z7ddVQImj/Jqr4LsSfPyaZInyArpAViCEiIENMNEDR+1g1YpkeEMZjxu9A4I4v9a6nRsnZmB/2FC
c5MRkpOfqoK1/JPkWQN8ljijljFTxqRR6aNWFRe3MY+sS97LOmLNsbCMTZCP/SVgBSLDjnsKTGiA
MgFYK9Z81UmoFTxZbZe8glPWQF2vV4FBh1inQyqQ6Y0uuV0UweJWPvlzvvMrtJu+GcPdYOLGGATB
OdSFK7RTtTZR6gy9lE2ZXCpK/1HHxehJUNCzSNyepyi9n9VWf0d6bdyZaSejVb7Wfw5pm161ap8B
JCfLUf1D5XHrV2ZSXIax1ZxrsQJi4yCkb4wXQ+3lYxUOzlCl5YM2ZhJqtFZ3NgASb6MamXxNQXUW
+RlYZ7Oo3EjAGHKzgqvbPozLnzFwfQ+oaFdPoHcafuWqJd2WSpqcmaHVbHy/IJeFxCV0NGqSZ7Y9
XjFVzM+LnptXdMiolzdddmfqrfWe++NDFdPxMW/K7CkPsuwRrM+G2ygoFwPGsDwPGbc8vymHa462
l8EJ4RiB8Jr2Zyna3C+LoeCHfMyyq4qUgVP5rfqkVsS/0JWxdywrvjUxXnLp12EXu7mZFpu4Sro7
VZWi2A0kf1/2eprZI36ZbbZDdzBN6QKoaJgQ42N42Ucck3bWpq/00bE0Bnxm+YUUwPK1I0prN+ql
ntkZ8Bs8LbHkGyUcugwA0i0wtXqduWlPowNaTwrXaEPZ8a0cZ9vAvWWXFfo9aVw80UECK4jR1tel
yWMvlpuzMi6VTdWna+20/0PddS3JbiPZH1ru0oHmlbZ8tXcvjDa3SdAB9AS/fg+vNKNqdk3XjuZp
I6QIRVxJWSASiUTmyXMWBCUmANHoqkI6Fh0dC8D85Rw6B2fuyIiI3cbq0a42Rm67hDV9Faqc15/d
qMor0SqSJ6VgmR/krN4Lw3xsJVXCaFXW1+gwV5KheIrepx60VEswVjO66ufTr5oFyPih0HwBXLfo
ff3+1QYwo+gJQ+cDHLiLV2Np9ZqJRkPiFlySvZRrlmMP04igLuzVCA8yC9r/UqJ+CPNY0Xw5FiB5
zmn0/PPx/Pp6/eN36CAlB8ob3VTAPr8G71GTWDKZ6LT1Y1/d2RT7m5oV9ZJOKIFaV8adzsGp/bPR
b2EMfMomONbRzkSfBWpICzgF0GaxKoG2GzO2atL7ST9UT7pZx+9dpmmdYxRxOYQkncr7LGM20DGk
yEBP2nXRc18JHfJ9tv5cYWh/J0Gj0uGA9myNavQyuUgusVQgTcU3OA1ggCIhI5i15qCghu7dIoDV
g2mVVKoNh9pAPZHOPOLHvyWCayDcVs0otBPLU+pKaA6nhIVtb2z7RAXIZswtdDjAqgiqV/WV6zq7
IjSvD5kqTN+oVRpKJAf7nx7Vb6BOX1GJ0U3fg3w2J+WjJirZRTVdcWnZRLfQ0yrWRlWAQjTX72sp
HhRvsiLg/upO8xK7tW/rKLE9NsQATyoD8tCkNbuDNSNkXGDSMKnaSHpox/luTNQWY+nQRRsxQORM
Vd+BD1TrfUiq2Vd4pMRO3UWQM4sjwwpmxPoLtU2xYVDFCVOW1n5jx1GAKbp6cmOLkUAaKuO2EUxe
SVUShVkBWmdCobFoyyVu5irRn0kykMSdcvzPASgznkYGpACGZNPU0UU27EpJ0iXXNJpNDfXAK0Kq
5rqVyv5Dj6kSIJxlB5mrcQSa6n7aFEk3Tk7KVdOLGeqo5lhp+4So16xJh5CD1PfJiCrmxlFMDqTp
6JWUauomjsrIT5H8rccUo2Uj66FdxNTMUbMi2TRGPW3q3OjDQrPjY8H7BjFbjnmBCUwm5+AqIAys
hpr+1lSG4rfo6FiO1MWaT1KtZ0GncRqWXAMfGdrsrtClZjU2IB2waEYjryxr/qrEjHsgPwEIcUrX
BSgZD4IOhmfRaNylrbW2DNoGRUSeVDnStlqVPBgxRHjVGh3dpqd7SyBTrAp1cmQQTB9yibCdDraB
MCOT/VbgtglLVEqZ04N3K/dGKFJ4UDXAPhOGgpxV308ij/YNa62j1U82WL7BN272JQYiFE7CxpSv
5EZ6AR/oeCPqiTlS2kSDw/te9ZIqN/wmSmu4vBqmysS9Jo2e4kxj18NgWMfcEJUzIBe6jyqhPCCN
VtcsTrWtDOZbTZusUBEY0gH1i7grqhyCATnnN60YwftZWsLlqfEILp3cNSR9uKoNLq56W6IbqbT0
1VQgnc2ZFUZ5P4B2pLVMr7c6YD76rgD4sbcwrZrbjQdM1gD527F9wR4CxU7al4jndGO3o3rV95Ts
SNGwDa4586nKMCqUqgYLDBDXeUUspZ7WYWBAElJYsG40XXvUeighl7m6mSq7CYpkjFwjjaDQUyW/
mN6CwTwtTBqMGRnxY5S7qBSoIsVTte9kZKdBDWwI+uNZfT2gVvJWsngPHM/o13rN3pGLydQF4RU8
CEIyG00v1BuoGwKqY9XdQ1mptyAZ0jeF2siVk2uFAs5LOPJEgTh3ANEEo29HxCrHBhxKKdFfgSKx
HiWjLVYMseceyAN+5I3KnpCqJv6kpWLXaDEooJtMMtFqTCFc3w75UPplQ5MhIJWZxk6bKmrtZHYS
PUmtYUCZOaW/arPWCq9NinJPGylxKNOHdR6raggfq96ksXo3q9JyrVq1gHkSws0T2wiVLIYMQhy3
W5rT6dioNdmaBIpiljk9atT4ZDjxQWo0Ia5GO4hlID+UNL2CYmDhFvZoe1GuGGGHGsNrDxonZueY
v+djvUI2k5kPpp1U1Ont0kaCNtHhATyRFWZ9bJJ7RM+VKqBS1h6HisXvImOdjzpg4vAGpJrOVPZT
2MVVDxGPJvJtjpkYOxVoEiMVOCQJpJLwoQbpMFR9eZukpYSwwBsa5sgdkF/L8SqaUIrSjLQAe0NL
S8cS45voYmtbcVbuJUoyDvyHlfptP+Yf1OCZ29RT8WiV8egMtaG/dZHobpNOQuAXuh81kvVq9/qw
T42qXuFAK4fM5rY/mDZ2piemZHiNxUtj048lWtqZ2aUYewPRv0P1sY5C6Dhl4NY3dPYsKoE7AtOo
9UZBHAPfiq5KOAHz2eecN46a03ElR3JxpHmmpuBmUSLb7yNwivp0LNXxnhoErzu5LECqTDp5dFsM
q30M3cSUYw95Sv6HpXRIjX2saTG4bOZjICwr3hSVkAlGSJSEO7hGBvUaPFwG++jsKHcZfvGhZ5FW
uEzX8t7BYNS0Q6IOEU+cNR+kkpYnTwQXcJr2NORlN14NpWgstzIYDdNxUg6mxS00XGVtnRIE364w
igLaQsp4VYKDEoE4qhPicx7XPGjqUdeCoafV4Mk5cpQto10Of20LfF05o+FASxqOhWXtcI/bDzCe
VzdylqTpWzSWsXalG5XauTqSkQxZsMLzgNYzfDhWLN45LCnaj57LAzKZRjnwlNar3z81s2N9zeuW
hkIdlDsuF/WKlLlyKDq4sVLHygEAsMGxFVzGeLzVlidaXFURbpmdUpSN4bB59XQcbL/QM3GDjiwo
tS2VsXs2TRJ11FggBdJYP161BF9Lak2jvxmlQjkkE5NyB+mk/ppWDK6hjAKVdl0ikRKkeFA2zpAN
NGyi+X8kl3m9gmikvSMEdatJA4M4j2z8jj6jk2PKNX+2oZRTuTWz+I3KbbNylTxuLdC5pXBYlujr
jnZYSFNO2I2Gp2brqZKJdjk0F4oI28kkFwic8Sqv8SICehjFQJEM9apuVHJkyBNLN1fsIsHFabNt
PspC8Uwi2Q92zPDpxiyd5n5W86EzEzwlk0gqV55Qz0VGMZJXAEvlR8XuG+EwZRx5wJneX6UoiXxO
lpTudRvyCESNTYdxGw4KzXZLLTa8jjBB2iXEvirtSfJLYhJvMPWB+ZnR5oFNpcRveiGCRC6v5XrS
X3OiqHsi6vUglYrfgPT92q7GZAMm1uGQdEmveE0/KW4+mtGdlmf16OspeWfQBtNA4JbEGy3PMXRY
59nR1FJ+3eWqvp9sufVYXuK/a7V6M+QK9QcbEvJO2kDqVkcmEUBx2nxDqxeqN6BzYKsK/CZbpRWq
Z0Y0/2hMZB2VGqI6b6c7TVjIVHhXrDDqXX6Wgo37ImrlO54kXeYmkwF6HaOtFRqUFe+epzafUxWu
JFDOVnCDRBlFI6ioFBVDB6UIa4hzoKqiw/FM3kCvnU35ymiTSOAG1ehWrXBNmyBFWae5bpcImkqN
r61EoHnghhKtwKVubrNGGn/p6Jl5UAxX1rUmjxuoSyg3qV6rhtvg5b9i+hTv9QwnG3Qn4iFS9Ufk
mLdmEl/XiUpdqeL1thGyAoRGe6Nr82isJoCUTuq3mGnMbU1GnAQef+QjEilBCulaGgSydIvWoZik
62SQbddO8JaUDCL8Ros62MJF36pkPMZt320ZS9mxKaZxhSqC9aIlpXpVtDZz5QEa12lslb5eF4oP
xTfqDqKO9/Ms/MEYu+a6TKr0HoIPj5zJ+kprLHbQyu5V6iP2UBNODTScue3QFPLyuWjpyo6ah5hV
GDAfwQ7U6HH9UVOdetNkNfCDtq6cyRgsJIaWHqoSDyYLbSslbcF6Cn62xsHJRIkQ4MuQdaqO3dc+
aEnubVXspzZhDgNRzX9RFjOg63TikMY64PES+2wAQRgy0fsSaScV8lHO+tEpR7zYNKV+a4z2xurI
u5opj2WPmF7J/KaOuttMSu+SBDxCGX1VE/n+97Pxz0rzlwrqP6vXyzL3HSvw148V7j19r1nDPtsf
/63/R3VwGxXo//lHoflbGTxEKb5sfonTGvj8X/xRApfU/0bFDRwk4IOG7jCRbfQx/qiB449Qe0Az
CIhilCCgoYo/+rMIrtv/jak/sKMAxU0M/CnevH8WwfFHMwoZpQMbSQJqe9a/UwT/BsaFbUR4vK1n
xBjK4YsiuKSmRE0gpOsY+ymYvMKfVoWrO8kB2btbu5KXXqihfq14QJDnq0F7Ua4erCaPIds7ID15
V1Pu1eK+gh7j6Gf9JR7NRZXnu61FnaMTUapYFvKRMn3urbeee3l00zdhVYOuvQwS/TZlfnWJ3fmb
Yu/vJaoKSGcwrTXv+9eiTjeoAysFlqjd2remI3zu2p58E+2NDXiFjkqQuGwzbQsXD5S19lnfDIHw
wEyHcLKyXUztfBC3fpG8S2CruVDyVyHlz89x8rvmltpJp0DrsxiJNn5X3O6s/EqWgwYMXMqFMVzl
kpmlS1U1H8DpCMIVb/Cz1V51E5eCR8whfu9rfn5d3KJFd8Gtzu/1X4tb1iFZpXR4OmCvDTNyqyk0
UFgYsgMdALRUvbJfgczbTLfqJS6jby3/P3ZbR+9jnprTl+OGXVfixgfy2+mD0dPdwo/9djWFdpj7
1CMX6oXfkN9La4s9BPOGikoPPq58PT3V6yaMSvd9dCe/9KVNFqThSSw71/HQzvoMpllAJYzB9yVo
VrC6EVrye3Voi3crSFj4M5RIccvJwVOPh6b3s8m5cfvdS/+yuCiJCuh4502EFSLfUaK7eLLRuVj/
bOOsi6JmDaEBG32rJVWJRJGko1OOh8p4pMVWyydPLq4TvB1+tjP/1m9r+cvO79bZyYkz+rLTo8RE
Ncp864eXNPtb23NiYBHhDDHKGURIB6fx5U8dwTsKopXhKG7sJj49XpLcOLs3J+Zwz51GkBLVO3uk
WA9Q3AqenIz41fjx8zdb9GX/DFM2CvO2guYwCiVfjYzUwO6g9uSooXBt5rS74kZ306vSY2EcFp1r
3k9ufZADRElUqZ0MUHHtAmDi7EJPfsPCCSUdKXMpw+3rxs8y6nb5Tu9/XVjob8qIb+5xYmX+FSfu
oUDAsxjnSKk3FhjzEwwQ30LNMY4HJy/uVRsXV/tk5dtWBKl2b1phbW4StE8r6AWncyt1a9mParnu
tCDNXsoqczO5dIbmvm02pnxTDPeWWTrldFWB7VsTHtESAJNWaWU7ZfKapqFdYNxBCYqc4/EVYO5n
lD+Ffqfpntzv7GLH6p2GDlUXr7Js3yQbFutgzX2Qyp2uHAQPIzQHjGtBgNkVm1rBC4a/tOhe5Rb4
OzlUY5Ndn+0yckjNHcpXCVjcoQyvsTuOQSOUriQrlJvBS9TPdvpg6caCCcyDF8k+zjLMJL1VbeJN
/SZtP+XhvhhuR2v06rYGZUAYpWGGNmZOHDElbhLvZPvXhH+7UR2mP+gp1MJb7vbgnR6habiLs1Wh
C98QT8pUupCVdMY2nFCzVIYRym+Zm+p3EahawA+tRse2/2hiFBWegDrHXLRXtQ8ZqlsaBAVq1XR4
4smgKDWm+5ZArc0CC4BvChQkjxOiP1ipACKwUY8qTVeWkE3FNcgp0ba+MytogZBt0fmM1+iN75Pq
fkDXutiN6qZCHdVudnldoCp/jFBpHJTRsfOrEshRLbvO433X/erztdlvK3xAjG3JgHdWt8qEtsie
jNCMAghrxCgFxcvdjtfy/EgPK9BlproD1bORP47ESwvM0dAVoS8EIhdgmXDaJoKKDnFbvcMP9gzr
WU3vWzxpBQgOcMQkRQPe0a+VayuDgq62683KQzfUMcp1C72WyHghuhTmFS6GNnFydA/MnYrqpqHe
m8l1LCVrfQin0jOTJoipAEPLu5o8Z/0q7Z81ucNW30IYqtTWCj9U/TXqwahZuVXTYK4eNd2NzNeT
qV/1aA4mybVdv0AuSkoPrfSa8r1o8ZX4lYqpGrN0OWqobZaDyXGd2FrYlQdI4WZorLdJhvKCb7d3
mG7F5scdtNzR1kG7MjBUvMb0TzDUXzjjX5tX34PZfBOdHHE9A4n1VCKQGC9T7cUrXNhetEse6D3a
Vfln5yGQOdSDavEafRkWQFT+0qzm2UvoJMos0tGqbCcN85goa1U1invH6ZLCnnrJwiIpGcuiQM8F
Ftp34aou3sDIEsanOR0qPevZdmvhdt7kExcN8zfZQVXfu/yy0Gczy3Bq4zml4JmFjuGyrZmCVrZv
51u9r/dGDQ8wHnm/t+S9ITZjfztNARhvHJCsjUMQ6ajXYFa1M/ZqJRwuvFYOevtuxAZEWjALhSZa
WHGOJPIuBroeaT6qoLVjjXdkBJMkQP0FqhVwOFneA8ndz9K0Gzbed+bGZtcRSh/5G2gonD5+MpIX
JuOQqC7qTj872Lx5P615cSMbJq8VrceazYY4OWoBWXqfk4ORI5pfSrHnxP0nW4uLOYNwxYBa7OAM
brmWP2V/CsRDjpdL5sbr0a8C9SgHyar0L+eh5+5jwLXm8R9CdLypvh6jZppEa+io1IMxVM0OjREh
KZQvZGtnXy6nVhaHFVXSQh4sWDGPg6/6VWi7muIDj7CPjpqL4ZTNsDXX7NKT+PziECsgBYx0dDld
XPeVrtSzWcVeU1CiJfiy9ufPfvJbgfbb5oHw7R9GFhlNpKWjGDUYifJiPbZ+h/7CYLz05TOVQelN
0Jl9KsjkFPJRRcktKw+owgesCwow47M1umA12mGydRV1kdspR6u5Ma1rteEuTY3dBB5iOt9taHU3
U9iruqOSbKeSZN1GcP0Kjejol2xOm7zUvUoC41uZOemE40gfx5y5Ka6OvsZNQ/NZQs5VxeOg3P/8
Db6Bb+fHE8am/vkNFl5UohGLSiC+gR72nuxnfvErx0BG4qRvtS88BpKdleQBVvAf2l34FaeNnQwC
dscgL9ykd+bICMxq4QAr80LKUAW0HrjtC0nsxfUuIr8CGM4kMdidQY6fPXUmL/Pjzcxs7IJ3z3b0
gAUoTnz8vN5z18HpZ15cB4zikVzIkO3p7XsrOVjGBSqX+XN9c2WgmUH+OGtJLlF4OXQUOiAy0baz
b0eAtmQOMraXBCCBn9dx9lziFQKg38ylshxKULpGBowZdkqwytX3KCc7hvL6n9lYuEaqcSuzBGzo
0hVpXos6LC/Nil1axsILzHialFKBiaK5yaqdbqBBcOE9/Q2N/ftkzfjCmfpiZrn5Gp/Tthr7XoON
xhe+4lE/+uj2kWchx3E6L3LUXbLBMIsHCat/V3cMpjWA0DBmCYoPzLAsTEt2nIHtS8ITmKELMnnT
eDvr7VZHS/mVICTJJPx5y85VfL5YXIRSoF2VmKBZhsWWPeaHpy1ONCQhnf9bxfSivUXYQs9IkdLZ
nrzBSJXmxRuE7gBVLQh+I4+6VLQ4V2PC+ox50hY7CnD0180cjLSXowJhgzh8V69r3Ehe7+iOsulf
a2xi8fjzBz3joF/sLXKYhoC83zQBcKEU79P2VbI4KAYuBKUzyeEXIws3yTurkcSIj5hngdVNTobL
ZuK+oX+0kPhK+AUnOZMrfTG38BFF9JyOLczp4VylK8IuaNZFYF44eL9z2kUs/GJn6RsFwlY0f7s5
Jxu9xhFhcjc/MwrUSrIwWnVeeQBs2p9LQur2Un3w0tYtwtfUZH0Ra1imEvuNvFHIE2c3P3vHmdsE
K7ShVo4uCmCAC2+ss6ECBhImxvpuEsdJXNipf+HufxlYuB9RBPq/KgxAmcqfXyzAxGQuEpYwX6Gj
Go7PPy/oXKn6y4oWrki4jhY/g0H62qtOtlJWNGwdsGbVQCH/rRIuZhUxMw7SUk2HROjX48w7s6YW
x3HO13vwCHpdeCP52nWzzjfDynJ/XtyZu/mLscXdP7RFZ+jqnHKIwwjRMkhzN5CSR1b7s51zN84X
Q/MBPHlYAx7Y0UmZDXnaU/xggdMB+I8MO5c7bF3ttHByq6t5/y4NuJ71efN3S09GZvAbr3piOQIz
Szy2sFyV25K8YHDB1i6MQc9b8u1Un5hYuGRh29XUzFtWG/c0uYY6IvimQ0FfzH97Av/39XliauGM
WWWngGHAVG6sRmsl9ZgeaS8s56xTYGQHJPXg6j1DYajGtsjn7AClAOBrSkzolmXYJqsLTjH/2G/f
7cTQwvtiuRiBQ4AhsBn541224YpvvvR+twZRBXNzvFUu+Pv5y/nE5MIPrYF1dpbCJEYFopCDrSbD
eCTChxqgxIRyx89LPOt8/zSHBvFXtwcWxwJIEOYSA/LFj9GwSfnnzyb+GBn6158RreavRjAZhVRv
3i+hQSKszzwUmM1qTc0Qs92AuQS5omC97QpARcA+w6l60bjmGuPrZD0AFai2nTuArY9bvqqhlFgC
arsGTNazwO4QaXuCKmVJb0YLn2owMGshe7WaedH4UgFlViE6dZ92+lYBRKNWv0wLJIb4uy6ey6p0
lPRebkKRXUfSDuJILccAKkqcGLMxntVMd0n+jA6SM/DRpRG0lKpdFQG8rk/BCB5/wCmiJ9P+HEjl
d8Wv0jQg1Zc5U3OXG50Tx1sqf7LhPuNBlb6oJYpE1Aoa46pSbmOMbPaQ/C4ShGmDOqRYVzrAphIB
pEcKpuQQmXcAR7Z6iJdzzO516ZabL6CjB8/ECkASN02hdCQ9S3kF0OU6TX6heCxZt4C3OHwKNZY4
dUkxM4JTknha86hJOwmaXp3aOHGCn4AqFPVsEXuceJRBLybIrGstvSOWl5Kjrvot6u7luJpQQ+TD
M6H7EvAvA+/21GBOREK71m9rDhAnlM8MKwkk5b2KqZOSyh3QTcFg01i9VcnWNG8nwFTtDGV8YMKt
5J1GoYT6q/DrcR8LaCkCEawboZyDULOxMRuwYYXs2codje4SgXAVmdxJbd0T0gQVnyfS1KEFDTH8
7I4m21HpV0UxeKNu+jXx8pb6MVsbA/AsHKT0+wh8gAoPYmltdlh1FWbAS3PP5tdW5NQA3pAeD3d6
HKaDAFFEusfgq8OMMIqPOT9K5CqWrwyeQA54VUFwSysAwZvc0cZ8O4ihK7dEbVtSd+pw1KbWJbHh
TRRF4Q5EaCjNw+N/PlJnchgd0mYgBDEt3MPaIhvMRDdpzAZ3pZYint8P6QU1lXMpxRcDizTQ4Lyy
ptlAvovCLhxXdGeHmL+FLMelG/5cvvTF1iLnA6ZJpYUKW6DA8yYwOE1boLucLqjWuQ+a+cefv92Z
y+OLuUX6YgCa3fclzBEDnQU9dVka5OOTTC58wzN7hDmVf1xS0FH/GvT02pQma37tJ8ovCLw6w3T7
80K+UQb9vmpPLCyuWqLkKYYkYKHx2x0P+lXlYeLD0VfNhXtwvnN+it8LdyNEpIhmMJSu56dAFta+
FNbhpbr/OU/48skWXpc0sdyn5PeCMKTQ3+Ve4s2xy9U20TbzwC3y8fMnvHT7LVyPN7lgZgyDJbsz
prAsYsdkF270sx8P0oqQNABLn7W8/JhN+syc3bsN+JqsgDQMul0bXnq5nXW3EzMLd4vKJJLtAWay
GGDIFk+OJPwbH+vEwsLd9DTDIGIHCzp6ISCdYeqHYl/4WGcT1RMbC0/rohYzLSNsiAjEm/I2E9sC
4OWouk5Avf3zes6724mxhbupJQY0wISLOvlRD2fHpvfU5b4Z6gEE0IPqwik662wn5hbONk7ZwID4
HR3QjHqjiljaM8csL+zSueYZ7gVDRSkTamWQpP0ad0ptyiRqZWg6AB1eYVZaq68zEJ2VsVtAPqfs
N63hVmIC4AJdRMnn1WMb3Ur2thIVWCRWMUY9tP6jBO65HB60DkW2St/E2gUmjrOJ7unvXCS6kArX
MR+Xw52MFNxWbqJ7ki2QbuyEuSXVW0Mw/cGD0b61yPrCzp+5A06/0ZJuWofqdhVH+EbJuvf6XXWD
K27bb013dPmr2I176qV7w//Z6lmjMwcraLsN6Ocuzg9Jc1nqlAKBYCihaXSQqO0a9b5tvZ/tnPMz
8MiBUOv3PbeEWLEKU2KFDjvpuB0GX2l203DhA56LabMQHsY9wX0um4tjOuhFz3MVzAXpukU1ql0R
nJkaFIc/r2QxDPy7262d2lmcUA3kf4wK2BlcTBt7zXY+p9Um9eZXEeFuFExAjkERZhv5xQXc4bmA
emp7cVyJHoHBYYDtqPzQkrvhkkrX2YMK1goFDNLg/cMz9utBBaagVJkGA2h+heOTEvAgWkch6rG+
5UXr1kkfphsDzW3VoYG+UlfScxz8rffmya9YMi9zdaqYOZNQUP5uqWGOpkRtBwOmbeLcJXYeFmTf
1BixrNwcqfOFDT7nq6fWly/DtO7tomiQwmyMEJ1+v/TSIAvt19G1nMiJHoeVeqHbc8nk4qJsAGky
Kx0LFtyt9C3DO2W4kPqdS59nQpJ/bO2yA9tKY2/V87KE2yOlhQbCG5nrf750dSk3U+cX+iI5A7s7
mMMgSwn897J8RFjcywlFDiMAwxniQIHYKbdCVqwszAR1gMxqdyLvwENUe4yStdTdsOE2a+/kaF9a
xJHqQNUxHadeCENnYsRpnr3ERKZCEbplzlf55neM2NJ1Aie+FMvPZAynZpaQyFgpqjjTZzPNG+1e
Mn6n6JA89Sbl6WdfPeM3XwwtXLWNFTvjFgzpYgWEvd92NwZNLny0c2DFL1YW3lkX+SQlcwIkzy3l
UHYnyBLyu2nXAPMMJL0n3UQBGlPjZ7cuPDt12PFS1L200MU9pal2nZZzC1HLNTfrCProb5J1oZd8
1ggmCtEIBf8OMLNfg18cGxj+6lPcIPY+qwKuXEuXEu+znqFrsIC2LkrV85+f1FUT2s7qTTAh969p
51nNO/T/nCbZkvgCP9WZm11XZgsYfkbzbIkmkUBnIXOwyjrgOwGzCIkAQGMaqDTlCxfiWUMEQxzg
A1Vni1+X1MYYkGYqcqYME+i42rWjOa4bdsEJz6VmuNhnPhqiY0XLhjiv8xTjRjAjb4bJ1bxpBaUK
FNrQ8sk8sbqEtT8bKSDkp6BsrBlgOv26KhMNmTxjsy+sKZoX9UoERsDDS2DjBU3F72wCchRovAOT
o2jatwSsMbJMHrGswdXeAWQljvmEmpCP9mCHApfwkUz4fJN5pndRQurszp3YnrONE2e0m7hrtB62
jdwr2wQCdyjMDZhJoxdeNWcP1omhxcHqJI3riQFDhO6mZi86zObe/o1IeGJikRmhQVeNugUTPOkc
Oj4Z+Y6RC7f0/D2+3WonNhY+IQQtZUOBjRkma9a3nfzrP1vE4plk4lnZkhYGMCQ3Km+SBjab559N
nHtgfnG4RYaX21NbpR1sqKESVIduLwE57ECh/lV15BUU+S5py2AS7Mx3w6tKxnwYRHX1ZVzVi9Ru
ZBmhyEo3msq8XAsm8t4SjLHzF1FszPg+YjcgtHJ0eKGR3PXpzZjfkPG2qg96p29KYyUBiY9skKTv
llID9vurBrIZilRo5VSScIf2bZJA02DfgOwBJG0QKPEtbauD84ZiFD0ZAJoG94n9XiWKYxmhZG+I
7BX1reju1T5Eo4EbV5P2YGbFqoyL7WjdSl3pxPYbrTZWBtprac3MLXAWFuEOcJB6vjdaNAjya8zM
i9iJGgjxjeuEPU9gxUxWdTSBiNkzQApvXMmkc1VzO2TP+YQX75SD4Ogog83IkvGP7F3H5PJ4BC+T
NwiwMdyIzHRL5SGK3TJr4GnXY381GteY+BH8KulvU2MzNWuNHUBb4Ekomcd4CZAMT+jkussKnyrr
DOLqMXDFtuhWk9J4reRx+lpAKjAyHVvzRRrqA9lyGmgmsA9G6yj1OhkPIvtssseoGlyG6rMpHcdo
k4Oexd5wvpLEHporoVVuQcAGHhKCsgGSNR21fim/a3SMPmnbXpkOo0AcsxWs5a4kuzYJCAb4K5DD
MAvYBMlBedPIV5l4MiNHal8TtfSpFbtateX2R1MfmHgbqO0Rc10buRvJoTRxtOxiYK1bh9XGKi+K
65rL65Sae6UHBlsYYd7IqC0cGpU7ETWdPjqAWgJ8Gu0+U4DyBl95JTimvAnYVtR7dep+gZtvjzak
q8gHrqlX+ZQcY9bsC0UFp4TmA5sFKgHTnYqAMuUeJASqFDLloIDjV1RXDe/uBThryf8Sdx5LciNZ
m30itEGLLRA6UmcyBTcwJpmE1u4OB55+TlR12xSza4rzz2asNmUliIiAiyu+e77yR+TdtMNhtlAG
Wdy2F1QIa3I4R9QJwauoqEKIayQW8jQ5oKgpw7gRwaHMj2jpR0gsptVsPcBYQ4ta79o1z/nIGl4e
sWCDuP7R516S9ld99gbjZRsSaxnQvSooqDQO1NNYjGylRy94RUS6GfLw3pLroTRvjMrH8/Kq1WZS
l81+cEGr/BAjJ+SSbyZGClaQ8j4TEP5UH1W+Poz1F7coH1dhnAIPVvQgoaDYR26GUwkAYq7lTRUW
nE/pZpbediQnGxj3rvKQSQ0RV+66yUUG2mneRWm+i6IUqzUWVusnEVBtvzqV5a6drrqq3fRutjN1
tG1XccxL/vtu79K8spyd5NOpqtrMqzhD3NqmEJaDZyH9zWIz6pBDphA7KPRRIHhBQ4xRCC8kTLz1
zWWQpWXswJ8hkKCQH1NkgZkRCxonrqZn2T+m/cbtXqz0ufCZMJ/tzajkzlux1obDxUDCYr4GxVEw
BK7Ew2ACMaP8T+Jp5D8xC0haJ9vUVrUFR/dgBerUNOEhpSkfVI/N4JGQ+vti/NoHd87lIDfEhlF7
NFsqqRz0+XWVLN3RFjOT42Zs9mInvLNu3lsYej1IEp/ZdzUasRUgZVnb81wbR9VbhzzLGbeY2p0w
hoNBppin76sbxEF6nPsJdMdLVsOoVflmSNlTGh/nXmzWfr5ZtLvLWrGrLHku2QOaZL7P9uYwA4Gc
y4Ojn5e555OSmIU//N4+WsVzRQPOxb1Ui8uvi669suEDeLt1MZ6HznoKcn1nd69pZ7LX6sexsvZY
b28m+7k2kU+lxkGvb7pN49772rY/PIbA1+VxMg6Ov6spkmCdGzQ3ZXldzMOmG0107E3shYA5qrfU
ruPQubfXB6bnAUIP6clifghcytztLXS72vnww6c82/sRoyopvUCXAgEjHHImP8kfWnm7FG8gKQpv
bxjXVfOdEfqkWQ6c9GV4W3qHyeo4Kq4uLd5wvL4EPHke0vQtN7YJpscot0G6xE50MpETme3RK98t
8zAXO8vdDeM+L7641jHlfJ7rjnmLB5kbOyP/MUWHZRUABi5IFHPnOvde4+3wqZv868kG4sS251lA
UzZ1/331r8p2g8guDucvUwicCUOOwY0N9kr0k2avlvedvZnVzw5vqzDbrQH9ySHWzImU71yzXHJF
EtkZ0Jp7P2Uspfji0GWOvmX5h8qf2z6hob3M90Glkszc2pBSerFV4fFyYNfM6Y93nf2lzvc2LdXS
uZfFbRltBufoZDLWDuFnddO0PzrnlDuPwGdD2v+wpsbqLOvTAlermXfNsrPFyzyedbr3a+R7/n3E
u3UezNmMVfUlzI4N29BuznZVxooN0q674VLl7XeiG/aF2ljmz6H4EdFc7zHN9sXdtH5lzCdfXwLh
x6Z5YMbBza5V9DwiB0x3i3eeFCSru6aAIej+aFJnqzlUzZPfHryli3vIhDb5QTvErEuxpCAjnlom
pKJvfVaC7zsKmqBBtK/0T5N3pZ1HheDdTl/8SHIXvkr3Oq8FzIOdYyWqZnC5e08ZkyjVIXWu1qJk
8Ou2KY5FfevYmzS81/p1DWhiD0fb/WaW9918Z9Qv/w+Rm21FTHKa2JmD9vo1XHfWbukmSRhVXqnN
so12xSn7KBJeAIzBGKjeb6L2vw0V//rAT/lBUwYg3CYeqHbuyYgvNc7L3PyawJ3ctcnvnvd36QiT
AYz3+kgv/kuKDESpBX5HgcrtvpnrTQKl6/2ff8K/C0Sh7EGHdjEA5Fm//oKToRYdmRyexNdh+Kzq
7T//+Zf//3OCAMoABT40AwgGn8oxbmSleVpKYutuiqe55CZCj34hOF1DZv7nZ9mX1/1PD/tUlQmH
0OisUVxETf7WSIkjhhIa4NNSnVKsYDvvu+Ntl/bWHjkEVbJKru/qbvVMkB2oXQyXYYbvVtCdtL4Z
2igOlRWb878Hs/5HQI3/O1rGhS79KMaPD3H9rf/M1bg876/Ajn8//0Kq+P+GjjZJz/7PzAyQRN9E
8e2vyAzr8n/8ycywIFzY4Grx+EMrcfFq/Q8yw3L+xe42meEIoigkWyJB+w8xw/8XRDUYpA4CR2ga
F4nFf4gZ9r+cC+aZle1a1BIQp/+H5nH356L5k3Ly99joT138SxmHY4ZSDmo2K2A5f1JgqSzQqwp0
il0NzLaFhltOvJIGL3KU6t1VrbP3IiIWWVB96YbgprM95/iXn+vfH+qvIOJfNxOf4WIji5Ud2gdO
PGYtft2sGAiObFWkMEMl9NEulqM7qult6jK0SFmbn2kqur/J8C9/5v/eU38+08KLml/dw3iGX/GX
ikjQzdpNjYIbOTe+ju0ouo1RAzlsW2Q1aUZs5rlCfAl75ln/x9/W8X1erhdS8UMC/OuTVScraubS
QHQko0QGfvg8ldD3lHKnV8Nf0M46hrP554decv1PXxfUuE2zLKKuhhXdrw9tV69dWmPMEukAovV6
Zzh0lbux4BH9kHpQJ6Pxfayfix62Y93s//np3uU4/PR4SnpMUlCo9HB6+nSCpaBkVrP18e7tgfwG
UeuAze0WgnZUKke/lD9IlCRIqrY+1Ithqb3rKeYDPN2dDdnpm3Aeppe0F0MVD2IqwYLa5UPQKyit
mplXRJokXUFVyIPNoDu4YsC9Chs0GxpYCdyQiqi5XkMh5tIxK0ccnKB/cqpp5c8z6nUXzn1xLPt8
POCD3SVDSUkJU9Bl2RTjUn/1mQVGJWc13xrTVt96rpaEBDW6Ny2dnYw8rc5Fo2ATz6HeqVSV8bI0
IPIimVeJP4j0bS4jMJtFl/+Wif03u4cDxmeK0DGBv9ufds+oJWa2UEUTpzOsq1Ha6SmnCPPqCQSJ
Tb9Ge94vHNx/fqWfQoY/NhBq4cCmxI2Y/b9UlbhuBU3G5qFyUjjJmjpo8kxjYPp0hi1FmSdFFWlw
sKhiYU0XwWI8zUqNR39KxbZf1fiy2Fb6m1o4W/i/lxpWkvh+s8lYcZ8RQIDiZFgZvRFXQZjeZ8UK
RdNk2Ok8VZlfbpRqvHLTFg6c8qqryAsbFsjGNILmLcOLNU/gsYUsl6phiCkL9qG0KJcFVvUYyC46
9Lhs79Je+le1u5jvi9t4gCV1Ee1VFZXHDu5Wj2kQeY03kC20lnWxVmYYWuQmk2qMvoRvtWfcZpld
3gsr3VswbL6wmtOrAd/pE3Zl+q5bS+NJ6Z6J39k2yZCzC3u+8sPvYL5dcsssDB9ENA7bfJjTN0cL
fedM2k3WdRVvAW7nKpoKO3Zz6zmY8rKILWVaV/BQ9JPZQjFdTA33r+jTU2e7xQ72JIjYpc1vNXy7
89Jn3R2QJeM6SF3roTGrFC1iOmX3YOT0ySAffp9MD4lrUU9AD9f8Ll3W4DlTcjypprOSIK9MBg+A
yIdtLt4sGHnHHNPbfVeEaZKGMMkqw3zzpb62+nygO1LV+6UO3Nj1mh9LOM+PmWqHL2rxYWWsFS+u
ww2qjZVx2d1j6VgP6oLUzsfKeGIWhm0u0/RtkTBV49Fc0t81On8NWf+8L2h8MBcNQBIM9OcTjKyr
XWxhgPDMy5MYMv3RGaN9QBDqJr3fLr9dyP+9jrmSEdDgJ3EZDfy0rWEZjMXsNEbcLvNyAKK7Edr7
wjLVr3M+qmu/M/pDtwjmmVbRjUca+kZ3+M0m/5vNdOmM4KYL0OvSx/r12lBjZHWGzWaKCLI3xVSR
lpfVQ5Pq/EXOtG+Fj8y3tShutsVsbEPuUNjHufk7wvnf/PwQeyy8koPLjR18+vlHhG1CFIp6IrqP
O9cE1kgZU6p4Gbtlw4/IaJ6Rhpc7HO5h4VhXf7gmWJ1p75xKLjvR5jeSS+7RTC/jwuCefzMV8DcB
hU81kQ94gY+B1f31p2r8zlsLl9KmoVbzfQyU5fLh6u5WRWZ2jtxLggBO86tsXGTj//ye/u7XwS0D
XwToZ5e/fn227+XjhBaTZxfBcF2LCiQII6Xoz723JQX9/s+P+yNa+HSdE0lgPn4ZYTKjP1pdf2kn
6bo1lqCWWQI5FG2MJaYvAJLLg931V0OvrWbviHxqj9GKg4RhA/cPlfsaWuv6uCzZDdpqse8gsW7T
opxeGllATvvzEMtDfbd22nyfVm7lYm7Ks5Dl8HOhpkDl3GHUYvEWxSWTy+iuasPqPRSjuZP1qH+j
wPnUh/xjy4fYY6CZIzjHf/xTLysd6zorTOLeUlSoJy7HfRuuzZTgVujdhT6HXHwxSD5loRXFgWDy
2nYgh24a22H2Ke2n5XfQgj/C0l9/eZcYHS1nSLju0IP69KZ7o2xmSfAoInGe+WViXbgVyJvG2YKE
NmC49+e+t7rX0oDTPZazd1etnn5Py8rfC2eyk0l4JqxbXewkX2fTmZP81ptkiNVUDSgXBPUhjml1
diLV3Ag7nNbtYtjtkzkP2bZtu4BCszVzwXp5yl1kq3RFxu/6J9x3n9vc7PYyX81kqs03WXfRo20I
ZLRYPtwOov2R9ZInd+DLe6cFjtMQv1Ao7dJtN4xggIZsHtXG9hvr5Y/DfVXO2KPCHSJzKyNbmPw7
WezzJqhe7YXqzD+v7U+ir8tbd303MMMQqCfd4M8trKABuTEtOc0bTvWvqgeATklaNtXR1RJ7xbJe
7eEwOm5uJ0OXz7BIU4PcZc1m/UK6Z3mPocs+L4eZ/kNvhZM8kEZ1X1P0j1C5i4US35w3GbE4LipP
v/n4l4Pw8wJhKik0UeZbFpKcXxdIDku9nWybGs6c+lTvVG3GeUiJWUMPW2KT2PQtr4LlmI1WgEOQ
LulhrGYtYVe31VZqJe//+SN9EpX8+YtyPYQ44vHjhn/8+7+cFmODHqkpVgPuzhLtMycUe8OO3hY9
2PN2pcHw3VkVRm9j2hf02SpIv3M/17FXl8a5q33GXcxcJcaMZ0gfjRT/rXDewwOfknXMmYVYoP5v
HAJzHwXpbG4Lv/itvfyvOqfLlwB8SSHJDVyPytXn6fkir4Z2KkmgBhlRUnUFmKEyvIbIPGxSu2M6
R1bVzg2VTqTw+1NH3+w3WdR/3zB8BFI37yKrtYPPkW2ucjXjh5RR6+2+5mtkxDpN73RZzB9agzRy
yGa2BdOzv6l1fRpO/PO7+9al6kAkEP4Zcv/lBarU8LKiqjPac+O0m6IZF8W5U7GZLzOV28G61k3W
bFptXzsdSKspq1sA+yjBHV3x02Qs/aQXJcsvHPqjbxX+lZ8W7ePqDM7vIoX/TocuiNFL9H9xYKT8
9+sGEL6JY3LIqT2atITbOqJiGpiCEQj/Qi4evCKEya+NGwyYOlBZgdzPnX1Dr/xrUAKCa7QOdobK
uyqRHEhPXgCTfSVC+636EE3e582KZOePQoDtRJct+ym8CoZMLFUJq78fJO4Yw8VJyZN+o6jZG+4Z
Uxmw7lGgvpYdgUUrKmWCATO1eugxQdrVOd7G+14AET/VfUeXsQ76L+0wr3Jrdd34zayJz67SKmjO
U3ZoF+UATAurLUrwmf5u126UqLuJjmEUEOPBm8p5qX7wBeQ2DCEOtzLazyHyosTIhh/zFPHJ/Egc
oyxXANUj6GSrD225tGbviu6Zsc38Npg3oxTTNheOO27q0il+hDhbJHPZN+h4IPzszNatvrBSl37b
OBpfDbu9mCOUYdTQ/uC/Neu8ZU6uMMWhcHlKr+rw2RAhrb6Z+bfG8lCktXWwxto35Hkt6+VapqXX
bbCkH647bpHrAVz4cfYDcSj1WJhxaSn60gZYCmv1v9dd1dELgp5vVwa8szZ/jOrsUWRIUHvcOzlQ
Kr0X7hodISv1yHYK29vjCGE9rEZmvWVZU+2Eb7R5QoMkIwKp1hfdYzkl+YByiaoXpPBYLqTSpYFk
4hohDDyqLjJWiN/Bac51GK+y58tVwbzEgTamZFS6e8NKYgVr7YMA8QM8AaH4D3Ero/J2NqD/4+8E
MF+1q3sKF+eQp/R5lFvqfTHZaDxd+qHYVJnNtqrDWWwbKD1t4hpmF6Ptom7R5ctOl9GC8WqUNMpc
bjyvGj26TX3/xaqW4NUcG/cF/6v2QIsxexxbM7ypIGfGWWlOL7Whr6hjEL4RqBWnCFMDO5FrYYAg
WOvwjvi3/6ERRO0ccCAxbdLo0LV179GjafkmU9rQc/YVnNxpSA8q9b50QgCBo+/xojyv3ZmRYexX
rlJyP13e4pUVwEkkSnyZszVMyDOD+7Zq9UUzYNwyqIZX5+xelTLPmNhigTZJaQXVPvOHfJM1XTUm
jdsaeyuXMlnNyr5e/fFhXiP73h4FDH9dfrhWzZwlSEC5G0uPfWesjHwu/Xw2IsFcYE6f8MZas+GU
M0d9qtYoPA4qsgD8pC7IQAwe6kOmvRXRRCRuVV58KAQbvB7v6JnNtxL69b4t8mGbTQI32j6nSrTi
o3TjFSasOqvL7x2n8R6aZQZ3hQvKZplWfx+lQXdcbedkrL7eCK+SV6NnPE7rcrBWJ990fUiLuJxh
JujunWJVy/wNJ3SX985u4eLd+CltuaVsTuSU2R0xU7khiwaWMwmdTMuc30QKZygzbMwdw6uCtzjT
Efccwi7KJ3SEpQ8/TNIxKOda7MuohiM/Io0hz+7OmV1dhiexZ3aMfiLk7HtcgbDta5aRrrAJXw/H
n4K1U5knLSKEL1kXfNWlWC5eF1d1Y0WvUx2gwPON9CPAeeCK6Lc/WEEqrkMZ+cfOiNjzudXsRlNJ
wkDk4ObKRl0Wg7b6qp+sGv9zRCBQDI2CNQfEnU5hX2+DIpVfOnLLY9aH9h32EOLo+wUnjG6MpOuq
+jFcJnGlor7fVEX/Fk7TK81LAdjQ4SSYpxE3pCW4m8MpPOWi/Eo3ZtxSXDMOKRI6p3L8TdBa1cYt
cBZZGfndKT2H91IF+dkvwrd0daeb1TK8b0UwuXsnL6xXpqxZs2IKcqCUFdZLJS/kpJj1fjcxBrjy
+mAWSSS5R4lufBxOzeChXhYflQLOFkGq54GGu1gnOq9RdHCi0jnVy6pQU+VurIOg3tlrbmJvsPbf
l0UuZ2xpKrI0Wz96fdQfyeqsDz/t3U3ToKqylnm8LqxMoaqq5KvFV97liveSZj/HrJUbvxqtLRj4
8FymGgOHukYU0tX5eDb8IeDWsINtNIgnhtiGG9+w2m2NbcelvF3Sj8/XsymG9mopubAMnLZKxbCN
ANqya9BwHXqqp/coJsJtT63y2Ei17EvRiU2vcQTilkMBanFDtJ69L6jqx9PIRHdMX4OX5ow4YFDx
SVY1ryREo4vKoML6jJ9trc5zh2FGhv3NJnW6CvcLr3wlygUSmoddflXwOyyj120jwHM7Y2oPbWSs
m8z2XsSC0IybGReWcrYI5ltmxlflws1bp/T7YFfWZqlxzoi7ThtfaUT+9BWVYXOo82JbKDx3MZln
m+eZR4fQG6Kd7hn6SMpmKT8K4M2Rt86I5dTob4RdYX6FS9FPjfPkNWXd4oTfUnYeXOX9nNsq341G
Vbzw4ZzTjG7sMHmdPI5Tu3czlAE0OdaEk6c5ZI1DHzxizGdw/CEp5m66DegAsD+a8KtO2WkcivgH
x2OWX1qWbb8rESudRRY5FPXywNkTF+iNgS8kVVDiAWjULOuoA8ovpgEi4jrMMmklCGUJMyVB9mZs
C6MZX2duU72lFtkc8C5yFA3Yvt8uFbKnazfn3Zp5j+rBNvutafTlYVoy42EN3Q5txiAOQYanb2uF
Xb2hB2SMcdvLZVsbI3hVGlXLd1yrfIyVDODnNIvIwJb+xLrrb0dAP2czD7xzuJhBzEVZP3uOTL+t
g0QDovX8LubhO+5j3r2erPSe1LTYjeuy3nhNIDdzasxPi7LKzVAO61fXnMUUC5NVz6R68ybzAEFB
VK/d3mC3JVZuDlt3TdszdmvoymiXJdkcOa9lytrNx1IAve0P3tqG3wNvfncLhEMyzR4K7B73oZ3V
z6Kub7GT6pIwc8GlBLWythFJ4tHOVhYWjq3xJIV8bBZ8lV0GDZJU2nOCsx9w544j+oK6fytZwM+C
huF7j4nSGz6Eelc5QPcip9zjtCWuzJHjJu7TFYVhiyfId7fO7TNGDU7sVPO6DVV5X9nV5WBAX2cu
fALuDbRso6wOAJmRVc0eGrWym45YtlXxEqTg7kZ7fQ8GHNzqi3PMhe7h+itDc8Tb1jjB1fa9+abG
OnnbCJ3f9BOWkfYU+QfbEXA/Kogg6EM9cZ0T4b6sTe+dxyo7O2xnQp75q6i9bo1lX+m7YJXLzzy0
litTuEwmKUPHWW0s3/1C87OCAwseBiPClsOgL/+c4fh2n40kjphBrff4Vs0HN5SwU9hQmN4sMtgi
ccKiZVL541zrLpEh0sOAUAoxZPm1UvlClBgut2WaBrBa82kLV1DiQts4AQH1uJ4pCmE+W9H7ebNU
qOdEGlZ1wqTTNM6lPQ47tUSPnQE7osLIAk3fNG+L1Pnmde3rOpgsjQll35r1feIGCOYcjFRvtKDd
yPTONhTIDYO01KdlgTZM5nIJXILwDKkAkx0nipKhQNVXIVZJxkgaVzmZzp3GyTTuZGNerZ104pCK
ZJw3NfbfFuniaBYdV2Ox7ihTmad89GAbW8L6mZUsOAYvppPXp7i7BbOzGfMI48barq+rqgWHVF4k
VYSWls2gTziafezOy7ovxwmxD52UxJXcUjCf6bs5S4UaEowqrms4U/VjVlwVQ1ls88lXcdpA0zXx
z5maztyYbvTBn4kWDV3alZRZD7iFcNs0zOUglsI8OqOQYJZNUrCNXUXTnUTZtsvssbynCql2URbx
k6x6jpesu59k1LncjS6C0xAtcdKIcr2u5gtKenaNWK3BEkf2Ou3DbAB2XGN2JdqHyc+xJqt70sQu
uib2Hx7VHMpzPqTNljTWIOCALx1Fqt9OxXjdu5W99yVFr3x6ovKs93mIutrIJ4SjxOF4AE/iR0RL
eWNo7jq36WHyCprLmQysPeIw75zOLTVig8IwMdnD7Pbyihdb491qBrvQF2MXO2qgrRZxWjYy+jFQ
rNmSO6W7KS/MvRi5FMxBBBv8j+7runnCNtA8WFDtDlZfVI+lMyJSddL3omEEK8AyliwobATOtdSt
tL8UyGsLRWOoTNe4qESwXd2s3U24oF4xPpVdO1OAtrUxzjIQ4YUT4idV4fhX1eisSZcNw6HN+xbV
p7olGpofh96Ofk7+3N5GkdttXXpP35dBROhG83abr+i6iNSDOIygOZLYNNHObu0yCecgvS5LMzh3
6ajHrdkU5hsZF/BnFSz2du1c+T43AT48olTrgxU6Exa+pvvMF8X3VHvp0bGEt8mcfjhEKzrylsvz
5NYzpkXT+qOo/CnxHDTjCJmtu1CRcDO7g10S+XKScgPjkchmDY2se+B40+ipw++immdaB1W4kXU9
XPdOxHiGjAgPgpYtazfdIzYKcyzbAMWUhRJcht69pAGFMLOAqd2OkmnboHa3kFqGPdduvhsaLDn7
ufzm48a9MwpsbvMJi+5VajLCEWxDA1eFICd3senN5/6jmcVPkb/mpEBxZOTN3VR35aGb1uisYTI/
LGUGIqh3PCpTqw3808ph/BIlWkXiq0k9aYwEDxTPL1izYt3M/rAzEeudKtKYNRGzE26rrK910oyM
M22IddlwxrKYxO8DSE2nlA+L09BIrEK8Gp0myvaZQt9c2l2EZtPB4Cqss/tJMP4nq9rZB5a+1QR0
951f1EgAK+77vpYo63LeqYmf1iYQRpOIjlup9H2xd6NqfJEK2iZHVhFsCnUZAKMBfdvpMuWQobtI
iz/3DhFeypgRe3P6RZkrjlRVSZFe5yPlP8c5tqUS+97p7TerYP4hHnyRXsshIhptZQ6jJ8q2lMSN
relqXdAkDaGozF1FfZmh6DuvKaAA59G6A9YJCMTpetDpKyOyTjtfF1hZ9hz70J7aqSFB7j1EI6MO
Nn6GwRN9+GCbeQohqD0NH4slrUPT4n1kGtqCgD66Q+K2UUWOiZlqZaRfqnL6YbrNW+CbnEBlJtQW
f8Hi5FtkuiOS7OuC2OIsrSzLYsfLlleXvfhUyhaPlT5CNxw481dAMN25bBExYjhlPYFOhu7T+3nG
hqgYvwg8fNzcFgE3zXlxszjoMussN3mi8q8LjdGlEmxOmjIzuJpSHZk2FCb887a8kVEOU9zUubdL
ucueU4MkC4kFXzqlEnrKrb55nIo1/WYa7s6Zpm5H8d+uEop0PQfh2PTPYxdxCuMeubEyqZ6UyhS9
BHlrCDoTiT32RlIupbUHJefch4biSp4E19VUCUTCfafVjcZscput9vcsNTgl8aAqnwc7Xa6qYnEe
ECDULEpvrm+LgirxznNU/qP3OF2YusM2MqNLdjPPJCDUquV2rKd6Z2ZI4gp8snZWwdGKeSV45NxS
Hy0KkI3GKPy2CEaNyB4Z99w5xTbU5d2gFzMxfewCiBJrRKsWRQdTHY2hwDMA484NjobdtkYq9aYr
5LrzIqxNqlprjwD6KSq7e7zo0pvSoSopPYqjRcCEiTuE1bdKeVytKRNOBy1D63ttpmiFp0CTsGa1
h7ivnQ/VOgd2fJE9xp7NJl1xCr7DdPvZoVf+FAYCd1YzHfTWx6U2WRZbnlQqOm7sXJx617bvmOPL
7xd6oSfDay5VKbPdQYzRN3MfWuherfwjdGzY34H34oWzvhOONp7GADV+z8l+SP3ghr0n6DPq5uDP
PoAH132xrSl4zdcgO5EIXQK1kjtcEDibRrNrejM8EIs2m0UNFMYKU+80sfVhMeWlkxxic9NI90bJ
fr5rXNvCa3b23GSJjOlkBCsfYuidcC+XLg/hMtt2e1e7NOModGFlTumZ3v9az92YDJGHE7dnVVRu
4owxnHIracl2O68f1+DYLK5znJU3O7dZ5KH/DhoHWYG59sKA+BFePuuavrV6Gp/N2fcO2TQQsTqT
8TL5g9zOXD8fXjhxXBtGLs620CnTQJZ8Qq9RV9dtGVA2cLuRWKjOh9XZU1H0661afWJGgcbA2NTt
SpAQuEH9nRHE4IPbud0p4TR1MmGz8lSXyJ6GSHiUXD3d7vy+ffaysWNf2737HvRB8HXJzXuHVtwX
7ipGd5zBH/YuxodPS4adKYMoCI/sUKSnfmg6bJkonuAy3Evz3aqCcrxXM+6RVHo8dPdOH31MZJ6S
0T3+BJuy8o2afPrstb9SRZwD/jZ3RyIkmWXVi4VtLFcHF9eVgePb9z/6ozq8EKk6OMM+We0SKhDb
Kh2x/kzLcKOXkYVZRt17B0Ci4xXK8sOvIuTr9kS39R33eX1DFbbqN5mu0ze/9+3+2Hhq2sw9TpWl
06w7xhi1h50lpWmzbadNp1Proc0LSk92SiN5Xs2OwElS/Y8kYd/Wr7FDEE3hE2xevlXn0fwXFHaO
gX/BptYLjpT05qyE6Ff3sbF4HUgzg0Eq7vv+Wmk8aF3t9HGQR2f8Cftb3FufS0EFdPDrfEe3ytpW
upOnVtOTS6yKKZxWGJwWOOVxEWMus10t6sOdDWisoP29pb6uFeXGrLnyQSNuvcnG+SUYFdGfRVXP
bzCF5QXSU7ZwFtYV9a22wEGCohh+gxZun048+RFN56mIhq/jPE37eo0guS2B37wxETNSKJtMmRjj
H//UcQk02sE3v6WFlPfZ6jM4No3B/G6kSn1Mdqk+aPazNB2lpyJJZxy7bbtfWkoqth0blaeeG2Sa
T33oGScwIhQ8l6Bf/CSURvRdN539UP4v6s6sN3Jjy9b/pd9pcB4e+j5kJnOWUrNUeiFUgzgGyeAU
JH/9/ajGue1SnVOF89BAX8CwDcu2MjlE7Nh7fWtxdD3DECHVKROm5gET51sLCcSaDEmf52dyMzwC
uCUrXkhMFmRSJ2Fd5vl7MjN3pb5w0cnNfad3azxriNrshbyk7hiFTlYHOysqxTUJTvY2qeJzNjrZ
NsmAGIwY2z1W2Jr9MGuegVxJTKk8cdOhWdqw6U37tGB2RkaiuVLC2RtmBww5l1OY+P0rcIB9KSLb
t1eWUviYF4m/cvMiOmtT5yCJ1VoDJQ6JoKtiAFQTlQg5r2ennsjkUzziiodPHH2HuF3MZJQzXA12
5L8VqZwJNtdMYiJUej9Mdpet7aErr2gAJ5QuwtQeCjNGyRSXollprYZnjknFvLMlbN4qNqavU96x
awW1O16ZLYMa4the3cleRraORZ8s1U40CtatI6kBhIR2JBqM7M3zMKNHJ3+nPIsqAo6QDJCQL3QJ
iGU3u+kldXrz7BWFaa79zLmnDwF1krsa7mT0EVadkVdbxRlGbFRX6880qRu4wWXRiG3Sale+SMro
zlFmL7ZBl4z4RpoDea5x3eocPzvNNC4fT1daZOwHhJll5F8RlkpcrKkFe4c43cPkZJjo56775s0+
iwxo0/CDqC4xr1Q0pHd6UVTffj+Ttn6dvNl4QlvoJXHxDPTP0LfI+4B+Rg9U43KqF13M4kwJeBQq
mJ+daSZP1olrm/qUw2V3FPM8RCiMCkhJv+7tN0dNQWi4BYM2Bj/fmll7tOvxuxc7l3gMvDOpgAwT
vMb82hiDJFO00bqVX1Eyr0rd659rGahraRN1HtnmsFFlSalv51UaAkDl2340H7vRrP6gUfoUCcEk
17PRUFnsnahFF+H3z8NRgt3MrGuWOJDKdy7jMLhhP3dms16ULleyjOJj4z9PBA2vLMQdR5v2Whgb
9EvabGaoIHVGq0zftOROdA5ny0gb+z/AKL8McPmMvoeSSUfHQPDJ8vO/TZvddrIzBHicXMa62PR9
XYXT2MSrye17sWIAQtY4BsB/lLr9TFks18axTB2ZPtC0ibDpk3LCDDS2+hiUo21ycqIT2iS+TOHU
nNhYTX4awX4q9p9AuMVVNhFQqpdJyeLWVmHHcBtQ3LMGvD37TkCCNToOVkkH+ZvG1XDFDBarpTal
i7jGZC7zkE1JI1sVXtWkGxk0DVbG+vyS+eghIdaIJi6rkUAjLdXVreCTf4lzujRdpTcnoZZkVssx
rpTh0Yz2WeZXpJntMk6j0yoyqNfnpvXPOdf6xW06co1aVLqOVzJgNS1ztjiyBnjI+pMpLiYT87DJ
e1VCpdJjPlZZpxOhZEhsJDSiege0RU3X7RrTNpItTEC0yyL7pE9mhr8uqVZXfd4P8GK0NjwcSG2d
MUZO9BWBlQ7w1SCmPKRuHN7ijt4pNbq8MRP/1bDL4RBE1nwlh3FSe65fjWp7HGGOuWh1aM5Ke5BC
xK+Faw5gkR596FTlzcGOY343P4/pMcXDyUW3cCV0J4OHMSSv738tUIY+sp66BgXhJstqosDmoQcR
9KJYXCXdiBYn4Vnk8Ow5S1vO0BDDIKOWY8Ui9yEsjXSbmWcMY+n7c3PsR1K6A706MZ5wjn1aNF9a
+g3vTP/LtaUVY0c/z1x2BhTOHm2l3ZxN+Rcn0gDVf7+KLW/rT1qf5YnF3AOXjCXP4TMmpjp/cnME
PeS0my1uorH5nJrZ/PT73/JPFFGW7/MmEqjKVfQ/a86EqivLbNHvxFUur8fRHA8yX6rBzkPOXQXw
8HKaqCCEN20pF0gHLXSOCRU+E717W2lOTrkzYobfOv2D59JxE20TbWzTbcPB6vq333/gT9ZWXFwy
dbA69D2uOV7rH+Exf1tBAq/W8qxSsB2LMNhLTML3hnS4qTzf2seRIchHtCMKnc6gqIx1FW/wCAYP
rLo+ufemGJmIjVqbvl9Mi6L2Zu+bF7sPgTHlp7xJnorOVxvVRAo2sVLfGr0PtklfuW+21+Yvv/82
vyyHfBnU9TaoD7IW4/Ny6CdJXsh01DidDOmmId/sSTRlsENLsfgrec6jr2l/+J2/6kn5nebHJoGy
3XI/bRMMbnU62FzAqYrTW+a91Strn/2iFUCuvV6lm99/R+OXJ3n5ktwvYEcihK3Pa2+vzQycmN6v
q9Zw70HWR6BLQUJ3NmchPW25r2MdOb10hkcbXP2Re0w+mjN/s6mllV2xfRc9OpE/fK5f9oTFxQ7h
WuB5yw34kIj+/UnSI+iTXqfkQut0w2kU35YOtefaq+h4oktvn40hi46D1nehQ8cM+ZoLl9pXfnnp
NJdZCxOOP9ydfyJMJbzUQZZqBTb3Z2HN/r5DmvZo5MPEp4Jnye/oyDknr6xUHtp2Pbx5whzWWem7
uPz57dYdi+K2FxqdYvokh7TV2NP+7cuE5sp1ln3b0ZeX7ucPNMUYPVcFAyrqOxcb4oSztKdFKxEo
eV8WBIg3E0L2foq3zWIOEFfj65JMBWxvfa/0uv/DwvhP4BS0ep6nm2zoqA4/1zltI904GBAoYy/H
PTHr8UCb9jDpLYiA3YW2SIK32cwtRKyRv8po0qxQhJKMSEHy4vSVff/7S/Qrf+UhHVxomUUGCe32
8xWiKzhTv3P+MDSdJUepdBXYCQFGzdSg9xkhUFAHbVPXGrZW0vwxs+mXehclKxrmxdKGEsD/pd5N
qfx0Z4iZUZbZXW7kb9asjLOabONsjZ5x7nULdkoxKCzS/qvXavmujKRFOWr8gWz4dUHz+CymvtB+
oI2fo40NBEqi9G3KaZetFF8nlyTQ2Ta3xWQT6+gOcmvN6fiHqtJcdH8/bZak+QBSoMDVDZO/fFrT
3EnPHFWxi/VRIos1PMAZ2dNJSjE96bOH0UEUEyKBluluYBx922fcIxkF107dN5umsLEtqGHFwqlN
hx3ScIrEIiI2OO574JyAoVtIlbZriR/dDiKwD3lT4KhiNvrXzpiL5g8v3T95oqideNu8BSH1P/Mh
tMyiNBGgGW5ZlgccNsZtZkbONekiHelkHT6yenXEYJZKM0u1h98/z7+eJICsIDFYGDlKcDM/VekC
0MlXOrpiW0uKrcfElQO9iX6y6ISxNWn4t2s7jgoKsTgxBbPHKvj+AWbENFyuEPGZL+nUs+mW5awP
9DYE6UNpMzj2Hy7URxn0853nCpkB7UqqpV93sywdjQk9Y7LuI6ueDggF5mg9xWX0Ba879zDEqbwU
ClGYi2TqucrjFGf+JLDWmKwbu2UCr1l5OT8NRlLLjRpTnYDUqsFQwrJw8EdHkF/HfdZt9DJON7Y2
oyCL5YzbQI8uQ2urlo4xHSGhmbS4dD1MrEhxrjDL8iGpm8xYR504MdDD1H6q/sgM/JPF0Af7hIX3
oYwpFpe14W+bWGXTKqtNCmXw5HRTK/9cKWbvWrrog/yRXVfR6UeFld34Ab4M7IXaF9ua51Pgyy5M
mYoffv/0/PrsLvUkJy7PZL8AZP75E2WGY+bSwVRjQoP7lQSI4qofBQ3ClEM4oZ4lrkZD5l0VJPzt
1NANf1iNf12CqGJxH2DHgoolZPPn388UmsZh72urunf0r4xSutVgj9q58+fpWnETyHrDi+T3X/rX
Gsd3F3YD1NoJFtnvz7/UxWZuCmoRr8ETaVC39KLLPzzqzi8XlkdcX5a5pWK07ODTrWaazSSeNLk1
Jx7XuaqXTqdMi6lnDNRXVcEQrbPWia+sDsmWquq11eMjZLYFLp2apePIkEYDilZOW3srmZ1Hyyrj
s0rdh84f4jAZhMkJqnzln45nEQ1EXsDfrPhi88nGynw7Wv3JYCvbFG7eHdEHHvrcv6on88swUDyN
3qjvxqWXm2SRfmvkSq7N1JBfps4UPxihRQ/CWbqDWb/0OsukeZdSE5uu7/0NIefDqk/bcaNMcddX
ZXCdzl7Ypz2tJdEEu1TD0pkBdS3OYBzBY0zEfbKd2RWZ0DieeHYasPo9Ejpaj34bt/4fmKGPQvWn
tWZZYyycJSmbwaP8T6XZOIyl6vF058me+SidxyR55dmFbW0SlMDvLObFS14jbHKbyt+mQSzxS9ec
rd8N2trOXJrWDs3NNEFsYNvVsAcr8dgW6yJ/1brOvjHSjuemqSKNxA+6zRt39B2HsKVavo9zZX6T
CLzStdBFca/sQNzyAqK8V/Trw8ku5psAmeAxcxYjVjSYX3OnfhIqMbb+GD8leEetshZPrkR6xw57
3u+mH1tH1kS1EnGPkQQ8HV35NbdCuy/UcE4TZuql6Pd+MBd3Pn0vZCKtL1eRPkNE1Erz7kSGUCGR
cfmHdeRTJOTSs7HoKOjQdmYAmfDR5vvb0qYjcPE8YVDnNY51zqe5OnoDtkfMw51dm5eXJsuZfdk4
HGB7lMywGnrj7yfO77ui7uSrj17n5BPmQoyPFGr/8cr/W5YYD5Xgj88uF383ufg/ux/V9Zv40f72
X/qX1hr/Kw0zWJj+tWHGvi/jt2b62TCD/+K/DDNM8y8/cCmRubH0NzAt+H+GGe5fwKicEXEbthfH
DH7yD8MM/y+HdY+CiKWPvW4psP9hmOH85dEPMMA9WBv1xYDj3zHMMD/vp1StASdUusb8HWYXn+0q
4qzNMhsXZzb0uELmLAtvj9sfjri6l1wvSUNhtWjfEkbxIWoOmvoor+j7YllZ6ncW7c3dIM2vjMeY
yCiPQY+DzvjgVxGjlIR0U7DbHO5hsE7GosbrENAiZVPjfa6K26w059CNMgsPRWmexKLoqz7EffOH
0I81rzuP1O9GGwTnqMvbPfRV8dj4zpe8dF9NPSLSIK37HXOI4n6MnI5VvBf+fTvhuwZ8W+49QZJN
Uo/+g1FLP1kPiBlW+Ch0t15MsLpGpdFs2iqr16NEN0G8Ev5QMOfnzGduYjiY2Hl9hhjXQil66qZJ
Hi0m3itc9YvzgMnFdtDIARgqn7Wjsd7n3gTaSHD7nZzhhXl1F6JtHkOrtfXDZCFLdgYX5d7Yijsf
7jp0fGqGKTM1co9Uqj/Cvb6YiRhDPSjHd9MEjNQmOTxPGfVWpGFsFRXOy9SL5FrmuLSh9SFjjaNA
vZrgmy+TGdlfFI2PE3oOe1Oit3ZWAR3VtEoOwPeFPMRFT1pU2ajnKU4jHTsxRZ6P7Ay0/4UsYT5U
DVvXlerbMGnJpY0QKdidSaRT6k5kANeTvExtTQoT+c/xG42zcd+B88zrNM2Ch3JGaVlPDirUVuGK
XbDMd5omjylC0q+L7++mBTUIdXRaV3qxBN1PsMRP3Sjm72Ntq01ee196DeAvtvFdKAJ3AosrPac4
+FLjLoG6nl0GNJcpsXARKOQs7k0ZQ+p3bbyrCDVbebgDBkG/HWnTkQ7R2N9agRnqymlNNHhTVyTx
qrHKdJ/nLcGoUTCipIeZC5Eu/eAkP688WfuoNqT2HAlTeSuVzPuYkvIHb3R/ABhGepTJYREuvI61
SNeF7SUHX2hGgqRDVbeaOdk3tP1Ry5TC3bPdt6j6kQDv2A3YH7WCW6MVJC/RncJL0OZxtklke5ED
voWMa4yNhyoUtmeg3RD7VYjFXXvrj2PGwNXIswubGY+AUok6TVZJj50GHFPrFu9IDp4Euw7Lz2Va
lo+FleoXXESqQyV6Zs1GVy/adzjbce6eplSI1x4F+JrtuSbSwldHt9XJbuoI2bB8Ga0tDI4P6Ai6
2yJAhLghP6sDEe/zTYZs+1pZeRPmUt1IEqV0vSPmqx6VsUdvPZ5a0eVn5pROEfbkAzK3tKr4Ets6
YIctq4ugoNyUkNE3rQ0H4Sy2E12MOt9r/IpHBJFpmhgYgbhfk5hXB0s3RrKpjQC70eM+9FMV4yvY
pkDqOIB9M9xefilzHf0kSKt6bIUlt36mF4/OoL4iuk73eo1JY2l632prnN85cMaY55Vzf1DBlIaB
pvpN7eFw2VWs0UR/K51CzzNe5WRUYdvTi88znkus/ZvnqG3V3pEoE2lP9SeGhX2Y1XP3XjaxeE89
x//mRGZ+cWqRnFShTxtz1vqjaDMNacakrdVQY90pewK0yiRJt1Eyb2PB2H5Q7R3KnmRts0esJaPG
jTvJ/BlH1Lajh+rn3y0rmfa6Mn3au2n5JSu9+rpIGbfbQRxfpQi+rkaDBlKQBo82PicPc7GoqOO+
M9+lHzEiHv0RP2/NREJGb9/gdBnne7AEfAK9Zsa22tKIqPGbaVolk6bd2iOvX+DY89GL8gv0eB0y
QEaBXnt3jtNI5pyuHSZIEg5t1BZvAcz8ue3xl6myllumI/3dJ7Ar91hM6pdeL/XtJLRdbMSHuvYf
WOQfdDns4Dd56vJLijtngzwFg5N8qxJkalHX7cva3WZWvq7s4otVZqHBqEXvuYxFgKmOv589vFd1
gu+RgdZoNqSh3ZheF/q9vR8cFv1E2+dDcYX16FVbygJTV3nnen1MP8vFtdVID7NiRlTnEn2lfxcE
5LrggLNy8upgKXnTIVx35RychSxJcusRfwCDOLsJgct+VOOaWuxllM88sBeRWxuJM6hZyzqEWLvt
rfE05eaJ0dlbJ52zptSxCsyrUp8OWk0CaOcd0T0dShUx50qHV9lbl6SPvnetfW1n6XVi2FduxHYK
+AN24G9oa274jVe9bWFrC1uTJTbPcO1ghuQNai0E/Iporv2I6fxUM3uL0gOgU72RGKtsWg9Tx86T
gmmGDzqQhjmDa6Q/WBRI3eOFKSO+Q9Df6L19cXwC0zNwOFPzDVpdOVGiDN1iT94A0NKakp3zraRu
XfEnHmrX+c5IQO2Lvmy2wpoRQZYvKCS+NmOSrtlZaF06DB7HwksXZwzkE+3THAu5KR2eXdVn52CR
K/a2f5qb8hRk6TlQI0U5g8rSHtlMYv/gWdm5Nz2U0q3XYswqQ3fM3pPJPNBLeg8YX7Iwl98DY262
RoRkbFzEkZZH6BwQ5c7rk0eO85Q6XR9s8i7BSqYOwkFLbyMhH8hQXVsi2WutWqdmu1CJ1TFt5cEY
vafCKaa1p9FmzMm8seo3wp02yl6sa3gejdF+TsuZm6PsELH5o/BANnKjcfZJ2VpMl8grmZEPVqW3
bdvSP3dzGUZNd8Fhqzibdv/eqs660eBMN1qVvmE9UFFTZDPxmVeS08nQnE3XXwjQp9I17oeCNl3L
tGs/teTs0fM/9E19PRfuMcjnYYd8WP1InUSEsV49RyykJ8rDDIveptzYmffupVz2SpjZjhda3wdt
ci2yxeTUd2CkUBZeA2mxFAymzmENhivOpPwGpR+fEg/Fv8XWtLMMpD3OYNTXQWLj5sDx+Crw0oTU
xCFe0cTUH9hQh7VXjtaNm4xOyWA3zrYTcuitphnVrard4T1B/BbKKO6fS5b8k+32yli3JtZi/A/n
U7I4F05EV8wrvY3nCzoxAcPdJbwDveVpZ9sqZrAFs8UX2DZfYrNnvlKJIVo3mECc3MhFctLFMgkn
3XiQMTmPbaFZ+6ipvBWalHqd6Bkof9shHirwgz764FnrIqB8y1J55xjIslovuhjZyORA6Na5mYNs
XPWF0V55HKTX3TgA/2ujeeiG+ijHuL9YDco6kbGluUme3g1ePO4bk1Gxo7TywR6Te0T8ncALnGxL
ZOntjhfaPHZTXa5nA0BBOjmxlRUhlJOl6Zeqx5x76nBXrnHQCVHUzIj1QNUCc5yP/MlqWboSwWQA
tOTC8WLY1kOOe7Ge+Ok27mSwd51YUtX6zn05ePr3stDVRrRFS+jmaJ9mKPmb2LFm5vsWJ2i8urYp
ZgYos+f6fvTwPIgzc7o3CyxTo7hu9nmfwrsCf6pTY7TighLGwcF08M6ipKJq3S7MWvoQYVcM0yV3
RXf0DS87CFG9pDiVYbjMjbmLVD+vmSONF9Ti95D45PgwucQ1GSfsMMIh9paJhGuxPUUt53xRwOyJ
+7HU7V3AYeQ7Pv6g3PXwgJKdkqFNjDVSzWIzpaa8+LLVdz6QTLuuOivDADyZzppdPJaZ018aRtM3
kcJbeHbb8UgjEJMnJKJ4+zpvwlXRrdsX3R1TK25V3EWQkiTA+61IQ9eEGwmSotyiFuapz5LB22Sj
294GrT9eIA/qXVqgrHQ6z8EaK3cjVGNUGlQySqKIkFgiOYOFAthuStyE22a+NpFUXXmpDPCLlf70
DEsKV8gDsWlplSEarNxqlzXoXrejGtoHmtjJXgEvEoxKgRTjBmsVyToRlfeI81WJJRgUEB62mWV/
narWOi/V14PQnO69SgP/Sz2O7U0yJfarSLXxaEaD3Lm0jXYxswYUdlPbrmRnlfDKwi+fkW7zCBaF
nh1N6KF7jKGafaEc/6HXunvmNfZtoCy8kTPMZtKVL7HN0xtbu+kSD8eLHv1Fsoq8PFpEVkH1RcUW
QvRgbFw25yy+0/UEhNYrIyXOThBFW8+Yy3TrYHSC0Ys3GlxDtFa3ivYVClNMmPAIM1udCTBpo5lM
RiOkcW5ddYyjK7pbqXuFt4xdA0Y4+UAIKSiqQfDpKrba5G4U42YUCXoEe6n5oihp9dDpuu7cVqbM
VljADw3Zt6N7ckHU8CerMXSOcxVgQ1YQf6EI1jmVHJbekyHlUOYG+VtX6AmoYWsX3xOcUDeY/5QW
FYQhDpkK+jO9p+8UWjyFqdbtlyiCg6u5FPZCjagxIA6que8fXCz8WP8jlnqeWbVTUfDY0xqn7rfG
RWg6q0uRte4mbvA1Goy8ODlekT0CKfhIH3vi4WiPVj9oIL9mWTevaz3Obmq0XGAb9JNvSe8tx3Uw
jtVmAFvB9VpvwJw9zBD8yp4f+RTvXdmkt03Uf51M6a0LCUxtTAU2N0JcGTLVNlE0mJuuq7/3eYVP
Esj/fcvucD3ahbMfLOEeNDXq5oq1575UYO+xbGZswx2EKYl8hwwgXA57mvtkGq7bAkCCM9F4bFoI
cwvHpRCp6zP8orsyEuds6YPYFVnRThvmw1/xcBnWqe98l22mjBUm3+q+x69gIztFBq6OO2arASgb
qeHv25wsWpee58bP3OnK1TX2U3hGuiPn2s21PUqqU+CW1nuBvGozCEKhZJAg5VqQSKW7MdMg633C
3u3Ya5Y9kR1g5NsykNnTME8E42q5GTay+oKiBJ+VeSbGOJ+iJ1Mk2z6DsHZ6y0WcwmKDM9QlKhdZ
fK7ya8w18oPiOLIxveIpGOybtHeCvWfgMh9VdrMfaGpTw8+1vxjZRy+cj6hpHK08e31eHuD0LwTA
x7ySMTkSRBgWnB49Rrk8Gzyvnd+qi0qdAv8TL71Yjpg2JezQdRpb6UmPiUBA8oKMyLM4TBUWdPZE
7Ndc4ucfKeu9Vh2+CrqLX72be1fJYLuhYWkoPWUOV0VGSz8P2CYgwt4VGnt4g0gNsG6E3NGiqtmw
DKIBWRIcZn2y12PeLMfp+Og5i3pLUyFGVOUOPad1oLwmirilZo4qBDhK+pg2ilz/lqOuDyO98HeR
RSyjTBwrXmFkRmOZyiV0e3Sm3CMXF4wWlWrbMV1sTDR5jFbWnGPROs76a4uTi7XSIumCmdBp2rW1
iVIcRnN4Qr8fwS4HP6IxjY5mZ2ZXjWE3odcQn9wgDfNXytUFTiFZ9j5yKc6GQnKXDbhWRX2xVrPH
oZv+zRajjaeY6foWQ2RJ6a7523iukm1Va8O5M+NDUDrexu9VcazpEG0H6b6QTPqD47D74o5OfvBY
0yApchlWpeXuYiqElakb900rJT02ivVdU9fReVjacHVbB+up5lIMynYOMCg0bMZWB3iqE7DSeNrS
cJ+esPkgT6Xs0udJuNq6pV9Elrhy8TMd3dD2gOYGzfM2TlwEm9lcek4VeVORq5ZWNUYQLyBJbIRF
Q1641oEHlgsoWLHbkMuBaxPi/mozZ+o71k5AA6ymHPsW3NAT+YTfRP+QJv6xWpBEAiKu/AVSnBdc
0evgavCVEWFjFMPJXLBGB74xW0DHxgU44gx9Vy8QpAcN6S9YZL8AknxhDegdaLL4wCetqFpXzsJU
Nh985QhpaS3IpQMwx1QHDFMzGhwtFzTTWCBNJmELr/nBbrYTGOe8AJ1qQTu7HsgTjio+6wv4OUOA
NgsK2ucNIYSDc44XTDRZgNHOrtOzs0CkwYKTmgtYmn0gph+0aRPnOfp2VHzWAqN6DeyMk+PuoDGs
8v1+2LUOKHK8YKyMdNMNXIa1CSCLNwi3oUpSJJW5sSCwCwwLYK4feYk43Tgf0Cyz0fgDn/Uji5sG
UhtzUc7FRPONm9ncWKatnbOId8tFtsxUBLo/XhBdGHT/1PioY2lkuGd/QXnzpamooHvVgvl6nRld
s83DEVo5EPCCA5eaV+9tCOEEUjioQYZJpsoBVCeaJPDEmpjkFiMFGONuwY2R40IeZwuEnH7wyMGC
Js9R7J+TD155+kCXF4i5+MCZF7BZacUrYnTK6wV6Bqcg73oBofMFiS4/4GiPKnVlLcg0Vb7ao6Ob
bzUJUB1jtHsbLZB1/cFbUyZ5d2mKPRZ8AEB2uqDZ8wJpF4qd2F3A7W5BuNsPmruLXlmS4LslpDce
7c4JpEc954ikrmhyxJv/kfnL/1ejlWV8/69HK1dV8b0aEEz+YLnppsP3//wPhun/GK1Y+l+MvT0b
XTXySDrGiGTUj7b7z/8w3b9cZEEMXoDfCG9drKr+e7RiBzoBoY7pGGgQF+XMf49WbEZvOG3Z2M3Z
mO7+W6MVZijMwP82PtUd5KVMaThzL2qlX8x7McOIawbl9AKErr8lBtY4G+zH+m+eitqtTre0XzUi
SrQNcIqFvUGckd8w+SdX9wjgAR8jkzXVihtl6yw0fRD1YTG7N1hATC91G9T7GAGaor2dtOdGG6d1
b7ocL4IpcC+5V4lrGDicmjJosIpG4zfXL+9d6F57n6naOBguvrlNIVozFHFibSzl1MQrTYa3T6QF
Vx0H1RboFFfhppRHSrpuvtECLH04fKqYxSAW4pC0mPyGkfS/6QmGG/owSMyoRxCbjib0ne4kwbat
Ik6aMW/tNmXWQfoN95PckyDoCCk1o5PtzD0mi3TA8OayHyxM5/DeMc2DAz7qrGifqafStqAzWQnO
QjiB3FlZM93UkcBWZ26X6kJGGEYnU8kem0EgIipiBei7fNtqIrpyZ4eeM97RywGyPvSOMnC7yMQl
7mvnMeqbr+0CdI1uNJcrqzO+BlTtq85MxqOFOG83d0lwa1JPHRm0JBDtvbcbx946tj5CbFnVP6Jq
DDaePjw4ILPnIe4h9ymIb4pBH677tKPUk23v3kXAOmRU5R2ZFJNZvCMHKB8YWqA68seCU72Dwcub
0ZjJQ2XqXKfA0UkgDezoa88duu7xxpArNDBVmCSxR5wSHMMdhi8cNUShvBA52PyKQ45kSoI8ifjU
6SnGc5KfevUOAzDzasjgfuLMYOKHI2W9LjyrPuIamqBJCJqvOCxcRzo1vMIA+Ri0rsuWLdEc5rbY
UU36iobiXOxqGkabDPcdUmAcpJgILPyvRYFkfsL9DCBAaumGPqd7qeAjNlLA8HZW5V7aAXt6vRnH
dSMdc50Vk9wPuDTsZtsenjxkaKtYs8Y1m+gKx6Zoj5MPM5SueC40jAo2CSenc45vNxXuqN210Zid
8PlsL05hPBhGPO3gEQj1xC9iVdnevIECoUGLwzAxLekPo40xNCddzdRTH0uMh8xP9euK8vEQNPd6
7YxiVQ60NYNa1eRDCT6tJgex9cF9VhjKiZD/BaFn1ewT84S0gATCYrpmHiIu2GirI+5y9aooR3fp
EZLtlw9p9kiBg6WFrKtHah3qz1Kmh2nES8EbTZQdku8a9ME+4pAQyjEo90FBZtc88bylKeUL8zp1
QBrlbvMxNldDw81vLPPNpKeKPMXKV3g+4kMaIeiDwxW99a0wy8VY26+ntQude4LR48Sats/AzP56
AHm/9VEHnlFmTK/5OL/oJBiHusiwRHTghQ7+qP9I9RiDloyThhMAazT0DCgRFBYYbM7fTc3rdsj3
X3FUFps57ZzQggG64CxM9T21yXxnMcRjPIWfpDUIMtu8BA+BoHxMUx9Tclkb4ZxU+KgYtgayaMzT
0RTNSA1uxmVYJ17ynW+H3RvtSvdugm3ZOCnRIQUCuetMIzpERY6492mIp6GZesGxxRqAFkVXgRcH
/Q4UHhtxy7zDFyDiVM40eVUz+MYNwBdzKFPdvGcUycxMZ5RPR2tIdlJriz2LTnD2KwvTiwIH60e8
81WzwtRA7LDLYVGOLNqY6F26E/2lZs1M6gU7Yfetn8fF3tDgnCVrK6etZkwhY5qNvcQl1Q1ontXm
YVIkZ01zelqyGk+1SlpS7axLpdLxKi/7aI0xdjBsnGCOuStDYm/ViA0eYqeIw+2MOTmGzGe7NItr
r/q/zJ3HcuzK2lyfqBQwBTdtb9lkk003QdBtFDwKHnh6rf4Vv8xAEdJEocm9g3MON3c3UObLzJXu
eIvKmD/Rc7rqC5MzNuV2Zkba9ndzo0deZ0GKXvHL1PJYEQ3ZIkw7K0uX4YNGGmNMN3ICNmKT+Ypu
PKQF/Fd0Thk1d+s4KAeg//ebI+rw25B440VZRuIt4MfG6yE3SPvrtt9zGYmhKcPRZn8KDnVAs6oy
cdE4EOsoAx+xUXXvVjza62Hw1YF28PZFMh8DTclFhJ9EfMY09dgsYi38XVrZnBtj4qfL0DM1dwkM
t7FtZlzPJO4Md0a2HxOZ/nH78TehZXuXqqj0cTbsCuLd/Kphwn9qpAlulFN5MPyExTlVnV6zoDsL
K2wmRBGN91M4PR6sAZ6/LJJNXksoMAONEnHWL/wwOCocRD9xOGMuS535WA9jsPOFRfadjWpiBj6P
z71KCkB499xZ1CQH32hxCygWRLRjmeCdaqBZNRH/Mw3NUdbIDXlaghuqRbkNCX6vuiiMHpCnpyvp
t2pjlRFWi5wHmUmLc4VK5701RTMdkrQetrVW2VELO34ytdb7GTzFSo093Xl2+takNXWDfUtQ1UyS
5u5k8EFYkMF4EGFrwzoaknOnhrxi07PUcy4Hf51kQ3gEU2Bt+0pLIrDRSKmkrIZXEXqEdHP2Fd5s
Zyp/DYtbMZVHE7MUx0xqFhjXuCYwseBBAuZhDITayyuSx3qTF05/HtoJuwfV2hjrG8q4iyVNss3O
SOIzkeDDZM5y3ZdW8l2Lqi6W5lClDNvt7NOIbfuGMFWuc93030ZmT9AQag2Hc3Ail0MLNohR82Z4
dhC9CInta1GQkX1L53z+cANX415z4reCqceOL6niJlvezYORKLlJNuaxq52cgUwtMXbUjFraDJF1
EUyTeQr9mftcGzHRiD33rWQS/tbJVL3XgtV20Zdt9dXWeb1rhAk6bwYB4yYSYFJe41xIzcZ983vL
+cfFwrgVzCfviNnVILipJ/PWJKGSn0CVeBBauvouf/cfSnEU49mW1yFR0bVGyGBxtCqOjTJu1kHZ
JbeMzWEFzSeGYRVF/cpWVMdFhNo3VY010xJlux1aiG1T0YQ7A+LVenaJJS5mrBA7CgwYLIwk4zDf
gbua7tn51iK5Yu1I/9N0gYxlh1SXejHfeFdOj+SVIOxhqVjkRoDVsTNjCDxF9xG0AVPTkFs7OfbY
Tb+cmtG+UzN/oRwubKk5BOxvDHBqnZ5+Rr/7Ho3oz+eUYbrOyXQSGHxdcMk844bgcAfaUA9ZM2mA
07jilOKu3SY40BmwlTYlipoRaFToJ+ae//zUntYtGLyzXyRYkwzAhMsyE18xl14fMCEbzg7yUL2M
YnpHcRhBqsy+RND/TAKFlJDp3hTmM64YwHGKlTuZPzzVXiCTl7z3iPyMp/iIGxU9sodbp8EcHulV
yYC2hbu4YMpQYRRjARUI1oo2NYgvJMQTKr89yhtV70OL8aNqU0J/u9o+v8WEFrSEsAbxp8GlI/hh
dh0ew8xXx8y22Pesl15qsalS8+pyiPeJ8CYux5rZiXbCwVIqkwGrS9zt9OwstC//TbSRHfpuCPCb
ZBTB8Nu0sN5ZljrIdjhlx5UrdP4Y2g59sLVVr4aJt1wb7QYNDRLcaMLtQ7fzMRvSbcEpwxxpnQ1N
iR4Z1A+RmMuz1Hwzdhq9uZNvLFHgYDYZ6Udr18nKEMyi7zUk6HFlufU9mW4rHoUnZZr1F3AIsD9A
+vy150b5SZAGpJUx/VaGnx3cu2OzLYip6aTPybXVmFhssbQJJy9E0Ww9M7pIOb+YfkSVLPejIc8+
5qmwznlEbqEYtYF/KfzOYvGEH/8aJNVFgRI9CONkT4SjXXdYVW2wcZyx3ySVcaJvBtOHPxA0Jerg
xnitmiT4yCz7o/SYZhdp6awb1OA9KVbUM1ZoMQfZzidljUui/KD5cgPmkQ5CjsUnI/SZReW9RA8Y
fpg6P9ZA/5ZjntxhdIFa20lCxaqRfUnTCjcVyb+VqmEJNNuxf4vc8L4G+V/KC9xXZsDOLbZD2kGn
Fo8WBgV3ndXtF0LTfBxEY7NOJg9GWyPzYHlSzrTxokbs7UL+2Lk8hc5pAEB+MQIAaDV89DJ9SIqO
7URbaxXrFNW1AaMQQOgCG3bhrhQcrN4OuJfMxs4Rtn8QY0JC0g2eGbTgCvNEBc41oCmuRLKas91c
Y7uXa+Eaa/euF2chJNTMnjdz24QE6+uSvsRhP7smVy6xF32DRDuKd6il9ChDWX6MBMxo4B/eIp/T
DxmjC80OwOYygwBFgGECvsaAdNZ3u0wKm0Lp04RJDfBT6CFHFDsR8lRz8eTPddYyCNf80pzMYv4g
1BELs9CpHhLNPbBLqH4pPooE2GJFC9LY4Gi0yJklITBCYdvlmVWZ6WAWL6qMiCKT/k3uUqfMaC6d
G15+XsyxHtQi0M28acb82EX9zNh91It49H5zmJFkgr2Llzb/0hYGn9IOJsLqc4hbPAgBf530zPh5
4YxhdXA41awSTjXLyhLFQhpP1OOsQUwwfKf9k9A2tK6hWVupxQI7/PZZSO0Mi6pKsEdN8a1Q/Q5M
fbIuAEwl2n6iB4Eu2LnGGN8wUzDtVeFxe6yAFXkDA1Qvsoe1KsdtHlNFwLN+lCZPUoLkwJMPJVIE
zUrXEuNV0t187Q6QQtKNmMIHt24ZrUKp2OXGHQwLeMEooXo7jXXTVfROsRlKidbFumVHxJf2HQn+
MZcBuY4s8UtGo+KwmSpEmPqTXMEtH+onv6iKTaCJipRhd4F0OTO6ziH9hMPMKsNb3ducQ4dwXct+
2zWmPlkC6HBhFGcS4By8Q2NTI3IDCHHWIhKvFbe6xZQBCQ9x9IWh3DLAmNYOpc8grxFVJEqsxL3h
UkzLDTylYfBfAn944WrMCqpaMWC4ZZH72uIvB0kyVqu+z96HmFXWi5u78Iu31DcvsEqZ3ztjtklL
/zVN5UcWYZ4MDHVsXH6e1Za8Df198uA2RwjRe8h5IL+G7ZjBREv9HGxj9+fHIwqgixAr4XQ28fAQ
t6WxhEjNaF/RqxZzg9ThNGzsSR7y0X4rjCzHmh68VIn1UAteaZCdgp1Zivydb/ClK9wngDtLltRr
kKp9J0os+cruQA9wQEomvfICrLJOkKxc1SkMF/mR3Hq0sbx0HQImWGDLPM5N+jjUwSfOi2Yzex6S
Gg3m2BE22jYPSiQG1CxxGruwWcGnpBDXbBtmse1Hy7O3DHlKKz3tw/KlzNpiPYviYZy9C5LSyoWR
E1O+a4x+jKzjrcccTanpQD5XVIRmTfhlW9y7Pe/ScVI9iLIH7+u+tZm5G2oKqIeh39R1c+aBZyMI
Mr7lu/2O44uO9IsLEN9sR/w/CSDA1D1yL3yfi/qzzL2PuLkI27x2eCM3POpnjMCfA+pJalVbTl2n
Zk5Wfi2vU916ezPJOEfVxtHhBJWPdIhq/VVCcg3uPknfZWlGhX6Nqrc5KH85f76PFBVLS35ozDlW
hDMGvjMy7d12bDZ/ZZ0Y56rAJ3Q3VkKYpYDA2PEYvqNgDwvTb18RLNzzMI9/ldhTLnAqzBMUkqvZ
UtYxeOfQe2V1uodgU6p23+D37RuEseVkxQ4zn5obqjw0ITdVN3hrIeOUHaeR0Bxx1PzGFfxqBEoN
Qq2kBtizN6E3voamexnj8lFkzj5wvrEneGh1Ybc3FX6Iuv4b4hwbeFKvtaNfXdv6Gybvk4vvZ8wE
cDEXzElct4PHP14ZC32qOF8zN6J60L+v2fQWRK23sOqT3Wq0Pu9dW9xahuFv7n/gJWHwdvK1Hww4
MDEVWyTcQlt8W9VwB2zp5RS/1J08V/iIPWf6Mq3pXzHyGsMs39ic2tdZnu3Ggce2MQq9tNP2MkOA
BMtHHt7QSMt3/q6TNbitgQklncZzVPcxvNH0GE6SZmnpLy0MPRsapmEHVvlrAjuOfwl/yazHTVbx
3zXlBDx/4oqG5yBZ4L5chEHlwVbCPdhzmeGP5xwHulQvycptAPYgIXB3T8sS/4FHhrkqgues5Cmv
2ZaioCMSXkDhDD8BOrtcCEJzTWf5EUvKp+f6V5bCbSBA1BbtxwzKVBnRS+87YiF95wSEe+VQ+2dY
8ZPM/G5bq/YsbXtZ2qa3AmvNobFDne5G48GkIBAcDhRaRukL3wkfHCsz7qNf7mi5PMjI/a1gjy3w
qXfosvkHdQpfHITHRZhKFr7ROikzwFvVRcfJJxLI9DakjA1ipk0MeZJsnL0acfzD9NoGXUWXCNYi
v+P+Ax0Luanr362IyhMfU+MY7aOO9nav4iThOrdiZLu/Axxn6BYVYOoFbqyNaLN2mfn6xQO9m+QR
ayfrC0HOl4rPBTn3JyrfI1Aey7TrNrZ8rvp6k8b9bnDaI6M7xGGRHoXZYo+tF9wIdkUan0t89XyL
OAxt70v4yTrvR26o7Rf1EBiKyC6yQCYLZ/Y2eLU5/qhXP+7gnldPLhhflXd8tn/AIx+S3L0lqnzo
/J9KGp9R2f7R6vJSBB+uXf8VNHIbDiAhjKgMVJh28i9cJ3OLqExOrf/FYtYuy4BeQSeiKrOlqHri
maeBnVstdRA0WKJYOIuJzrqiK74jRiC+9P5NBi0TQ7mTZhmBhHRvrYbeDuuPxEOHea7jRGZYhzkk
OE+YdCX6f2nn7EfBr9H0+QE1cVNY/L/WW4zBe4XZvrF+I8lekvL0xM6XmDgGlu467PxLPUo6l5oO
+p5ivsbGJsz1RLh8hB4QtwaH817dRNfDyp7W3hBFa5fKi0UVMdMBuBFDlnO9kwrFy2jFP7Q0eItp
xC0pgn/2gMyZCfjmlBAvbe9j4iQRpqPYwLjZdDzxWaP2uarPrvlbu/dXM6YwsObQGdVvvR++my2z
ys67tGDvl75V/XiCWwQHu6yJt8C7cH11T25e3fig4Hwk7RYTHZb5euzXkwaRYX6HJbcM5dAYUptH
Xp3t4KFuOmW7GKLgy0OPrnAzLQrxW+JO4iKn1mmXHWKm8aFPeT276K2rGJJ4PVp3MGM/xW+8Dwx9
Ta23qbeee9N4tuydPeO4gZeDwY7uCmxe0eAVy8Ken1T+mwfIJrEu904NVNZj3/71Rlbk0N63lCAB
HD0R/ar609CFHiRBj23J/etd56+u/FeOuSvVPmLn8VdS09kTvyctXaFB/hcwDLJD9WEyM4JSRhoe
o+49ZKEiDvyh2FeMoxbMzR7zgV4GEXTsIML4msfm2LvjfuBKz1mZw5FiSNvpmGUxpb+9ebu77Knd
KN5RW3baBd+OFoObR4ND6IxNmjIECwr2nh51XZf5picWw/fzGxuYI0U7Uj0SvqWxItyScOzw0o1l
fPt9TCNAf3addoFITMk7J4vEAjDc39+/seNYJyry2ZHoaIGpq3yVc9xYeJ2uV2motpPjLtqh7vfC
K+NlCqeUZXMVVt5X4jZqS4aRiJwIt1U5/NrsmXWFo2twdk0X4fMgSZ/isNRG3m6ZnK5jzyxWKof/
7gw1m9fYPPul+WKMLOlDI/ezaT+bQ/pSsU2s4Bdd8UzRaY25NJKNjzVzN03w8Gc/u9qJ9YFHn6tK
q985OHiT+9P0f+mUr0LT+/Qgu4WsCauYyeGxk2g0aX+K0mYTZ+bCDrJrVXvhidbPS6EmPvDgMWm7
y+hiQNPIKuQHnjC0BktLymsUgcmfiDJwgm4/cq+i4mSC7AE13PWgKNN2BycWwJ8tiWB+h7p+vJtr
t1pZT1oWe+mY+ym8aROLn1luR6l3OdVp3Iks9l0gnhzV11XrLZ0+g9+LtYqY7FEG1Tb0rkNVx/u2
nYhbAVVeFmqkxcv2P1sC9o0Mj9pqdjR1MNwpFmFknvPWxlflvo75tkGMY9SU48v6D8yeKw5WYayb
qDunEoCfwTWz9+m08YNsKdz+rJS3rybE0Qon6ODjEKvWZq98eOtQ6Qapx6PljexEIW497DtTGp5r
/zVB7axGi2XOlUeXz1eNetlm0xpH8UXG7lVLzAS5x2s1UP5GMsJtDj4AkNm2MKz3+RP1q7+DkS77
nNcHbXiB1+wA1Je0UUqYznEpfTC6AcI46eFq7BYooCudmue2M1E1e8Hnmy7k8BxYahsZ4dtUF+i3
dFerqfqjv+o21NlvGn+1zPaXU89Bdcoep/rZ7NgqzKn9wxP5j+Ds81DGT33LdaYsOR7ioD7C6ywX
/28dCP9HOdH/HxOgJpn6/71NYf/zl30Vv/+LTeH+X/y3BKi4N6NLxzEDKT3bQnX5T5uCsCQ5T1Qw
ktU+NbPYEv67T8G9WxhgzxADdVF272aE//QpuPZ/saRr+AHBTTjxHnXq/3cR0DvQ5n/4FBwIcS6B
O+AFjh94jFrv3KD/KXecIb6r3KkEg5woutDMlm5Ceq9OZtkHeOhQQDezaaRn5LxwP8mxfJEMUX7q
irwg4urgPliddFeNXeaoUHYlxcWxwmy6RCKjvA5lvgVZW6EPs0olI6rvok5j5GjsRkBkZKs6Zj41
bkx6B4Y87L7SFKzij6lFGV4G2CTF2cp6azpDJAOpZlkDkmmdJjAW7ybnVexZNXtYoad8qwSmIZAW
MINqxuTQmndlSH/wJ4SBwXjwctpGbl7JSrjiVDO8pHgJafJW1rCRZhcHm4iSiGin8I2lN4WLPT+2
GF1xLwwuatai1Uxf7qTYqDs0ZA7bvRNK70y6sroZqDHDGpeaLE+q6/UD8xhVnduce8kxMXTNnXUE
3LwXcPVoZEvc8WAGeeAvRwgjG28KwhdAxdUhqWsOXVbBVlnq+ITIH+VbxOnkarSen+FOC6p4ayEV
7cBUqrOaMCnWkgkTmE9V3kTla4ZPgXrwaTPo2MttjbLexvuILDL9IUlvMTUTHpGhPDd/oCg1v2ps
mm94reXVkFPzrxHJ9JKW/fgMiJUqIrOT8Y47QvPg+pnaU4Ptv41MRI4itKIP2XbFJqo0W5oAun8K
mTeX28iGS6JrjyJli9YMHAPDEyoi+n1rjcaNsxQnaNU7T7HbiStKcfXKkyU+PbOWtJ4oWx8HNzX4
mzbdJUJH3dBNkB9iiOUHSsiyx1Gg/y3MoBiuhe1Xj0FR669s7qJPm5+967XtHIdotD4c15jfuP3V
F8cxsq1hVs2zPfr62kt7+NJUYyFJKbt8BXMirqZSepOQOfvSFP+cWUrTgy5746GtsmZXOKP3juPP
PYkwnb9yUKdH8kOwfXv9CWnkhp6Z5mtuc+p1KiL34GS2S55v6p/SlEdpYZFZa6nYKAWUymbYK50z
DmMZIKqc5l9h2/MxGdZ4g65pHwst1KG13JKA3Ohd+yKc3qdiro6GFqLgxxC4csd53tVBRaCzRvR+
FtLul3mHk64gK8JMSwecVMeG24Y9leAPyqFXwYKPlbI3zDJ3FjnEofBvRIX4xDrRIauX/pOSTbSR
nq8vSITuh+xtHkTKQjJ31w1kNYhtUVzW2Tb9wNz1GuSXOPigrEltMVW2T7Ir+ucSMFNCUmEONpMv
nLWLcGhzDPW7iqsxHIOFPxUYFhWIsM9QCEzWeWLQxJyVDLQykqfPfHEtXWMY5U9l5Ov7Jd/Kx3t9
AIOF+9ni0Ss98d50HCvXlMVWexpNq23UpvGaOSWD50RK87Wqkc+Yec49BspEvvCGiJ8Oq3JLQNZq
cFonhZkfJp1Q42rlEZIJwao5hYyX+8c4i5vbSLvEVhelc0pGLb9NQSAkgNCAUb31o63jwXskWEKQ
C9upq25uNRKAIr6qrnSQ8S5CeUSWqrOAe7Jw7sLclHWbDow2x7kyO/lGRdfcEEeP9PFZr5RFhwww
aO5lLDYkh6TzmqvGsX3r+JkEzmkU/BIWssLC7hziDoPRV0f6XYZT16SxC31YDt91NzxXGKa/K4wS
D/9BzoBLl3OCo/RtYSBzbnVUDWQDkumhyrx6Dxyz2UbSj39JhXpcS+m+bfq2xzDUhhiBPExX4OGr
6ZRHon/XZBUgUeALDVkzA/gAbbIyQR5fraFtby0cCzRgpOlNqgq5jXGVHtWgmyeaa7EW6D7ETGNI
MsyUZ+15snmK+qR6QucsDp6XtOe8i9z3kSwzhQ1t92lHjucuVWtxcE8Db9+GaQKdLa4fQWN1K1tE
3YOyCmoG3CSE/9w5TOlRSO4WiCrNHlVMrS29Jz4RN1G1f0WmBpxa9XjGD05c1gjoe0ts3kSB4rkN
nAxQEnv5TwKJ7cCMznjAkzHQJNCnh9lm6qF0zwnQJof8z3EIxxHg9bf3LRSIqCzueT+zKhhmKa1e
gugOjY8bJdXBKDzxmcZR8esx9vgXOZO1szGC/RpFHI8LMra22IyKSkS2EKzZAEO3FSfLF8nrQNlw
0nJJGkouWJ1v6ssgHPlMEG/+x7nbOhS1Jag6HaYPm1/8X9Ga6pBR3/dHnGC6hblF0EN1BhTuvsjd
dmPUSLSLTjRMSRxr+HTI8D9QJ1gfMiHsr25MFRMyGo9PcSjVbQwn8ezWffgIQtsmBtkN0UJUefoW
hEnIlL2lhqQJWv0alAlZnyAcu6+MBtZdNIUfKggeja7BkQT4Um0L3HK/tVTF42h5pXGM2fML6v3u
+Cn0DmR1Met5BwbHeiVGzcqf+AbdilzIIvD6k745XS5f4klEHzFiDsDjwJME5LChkb0E4EXWaGIL
6O2S2BF0B3fRY6B7xuqjXqAcuT+15aiDZVXeH/tXds3yGrdEDtwNq0/fFOs6DKtn6kmjN6dpmxcm
zkRq2UeNfgHdgq5TTzd3I/qkSM3g1LIfIVrIXRc4TIF9P7S48s1lGUFabtR5xh9/TjQxmXacQ7VG
otcvrVMT1GIhDrpl3dXuvi9ai4BhXH+3YCnePPSSk+dW1C4CtVPLoCLiNqaz3Gs4yH/EXCkhcQIA
/FUQ68OQ31VUf2RmTbrKPUwyyE4VEvaynzicVSYSlQ/a6IxyieUdFCHWu9h2nv06M05EjqpfRqe4
Q9uWUBGWjJUc+3rn4/dfF0lcPuWeFNjTy+lgllAIIOsQ1RzSmL+w1w3eAw0mIQnScnimsLP9yVOn
3VlR9Nt0dsqwXRhvte+lgCFmVlKslQeds1njOVchNRKqn4hwydlaW6TWtpIailU0CYp4eXAEd05V
+qemZpo+4GZ8IUVKF1RhDT9ZUWV/bjxRrOhYRvnO11nfhpgPk9tvG64son3Oxsjo+F662Jvwo9FJ
sahs33ugUbInqVJ29RkefXM0gnlAcwhxkzWDRzBDzWtCG+3JGJLg7DQyfVRlbr46TYGIEDZ2t76f
OZ9siiDnXZKr/FTkIYtdEJoMhGjqI6UZdF+dZRtnnwYS4O2O019qe0DFUdW8De84j72Gf8iKmU3l
TarJfBqFnaw5jfoHOzbtl7abmT+3+AN/crY3a4kIhZstxdcOp2lOqgPag/ucZ8TQloDgR2Nd5lHF
RbYBZY/KhpLaDhNFOsKG5lawfD/5KopfLGkgC5LM3wdTSc/kkDh7pvLTo9IS07IMjfIzk135y0TC
fDL6JMphvdjyVnSePBLyAz2gsZfRuJMi4LGvJQeGKCl4OsAlQeKMa6HK5idnnvLUUsm7pZquiZFc
wNst+56JDJWc7iWKpuYTIr51rvqUuzve7eR5qvkkEEhihsOx9UZZ2/gvwfgPjjI3itdh7LKPyEuI
KummiP9hbpEVwx2PQhGqrbG0pFP34kGLekzMcNpr0gPbpEjddWHkVAKOhT5xU8MGJFtpHzTj7jey
iN3+Hl6Ylw0DKLrrOBU8kSXRl6xKsEpBwv+QwjGuQycitJgkOpWJLw5hir1lYSRoUUHSOW+Z2Rsv
tpVMjxROFM+2dKYtf3Oew8RFf4ZaQkVSIE+iaqKvXnf4zep53jM9659EFblHUIU+VlGv6dgNspTF
0cct4aUscGowsUtByne+ZW/kn4bwmRtCSD8Ix0RbDt1etVipk+HquBlohVQHFxv4z4VASbkfof4s
RecMj5QL5Y++ZWcm0xQKWgQFLRpx0fXbFcP54smrEu+BOhn9qeeESo92NpydH8fe0x0OdHUMApTk
QeMcoZd++xOYMoJ2dVVfqqGongpXT2ur6rrfvnHkidGG5rRI4degO0nbB1v5egzcWawwILTxyvY0
FrbG6snQBtVtpM0aFJbtfJsYyIGDwWz2URYrLDWMVRjXF5EPEG0uXyOLRt3YbLKTMc5iC3m4PNth
P1WL2i45ORphlu0EDJ6b1lPyRTyaLcvI+KQXADFY88M47q6JCOeLqgwuQVVnimQ7Oy3DpawOWI+y
hjiPVWbB65xE9JH0TfRDN0yc47cbqgeT/rZ/hZ0QtuSmzP6X9v6D6LlA+fhFLOZus/2s4nB8KIox
+1buSPcBzXbxteItZhXB5rgwtdO+Wq3tPnKk9PaFMMAQcAEZftiMk7OpTYMuWM8hrUPF0jbLbQOk
eZ7gAYCBeownz/ruvRTVwrRZp3DLBXQI20FPbw29Pt9ZMjpX/E0cYjJtpCFhxiK9gIfPdh1H2Yfa
4035yDvc13YtaCt264HCqGI8zhNl2wt8UPmJ6sv+MFJsnceKsW06tfqPJlnJ4jzWmJGl8q9WWHUH
ZsPGjpYRa9MMQbiFRDI90RHdHjqKZvAGp1n3TsEyYmGW+ITG4VE0RxN7Z4E/bQ5pEvNCOzrm4NK6
NXynb7p3il1Z3fVRHZrf3I/QvRtGFg8A+ZLmlrFZ7jrIai4WtAZtR032wS2d+QIOwqNGllifzSn/
nPZ68td1kMvXyHc8iqZS00XunEfFDLZCAAiJL1iU5xX9DbOdfI4F/RyLJk8tRnRRijsC8Fy2TKQ1
nmc7TB7vDT4HEYXz0eWxJFcE0OHXMA2GdMTiNtQehq+jlYenMWDrH4yo2GaFVV+UNwe71rCMTyvq
42/rjjdcWJ5X/vPtyuH2krkXrHfGPvOUc6E7s3+aUod5cZswpNGlVZ4iOjEP9MfMX3COo50FyOpR
BZ1zSKGU/Q7jnLxp7nMbj0As0mib1g9YUZFdZGh+eF3X7CvRpq/FFI17tw+Naxz0HJvyDJBIOg7j
dyfFsE2xkVySRpaXKsuHn9DU2UEFfTRgmu+jf6kerYtIuv5Ad6YNgMrSXKLleAVkMLzE2pke6M3z
vvrIL84zTV8Dlvu5OlFg6j1q3bKMacx5OHmK5ptiKRLmHdgteKMcQyVOrlNBjc6DJbrgXYoR+Fc6
OeTZ6IpsvyJHjWfJZog5eTC6/VSMhdqmRYHOUcYSmxpAzxvKDqZNz/V2pVM0GJq4GIxene9IerUf
vTVH+1bW/QdG+4R7gJc/tJGpvtNYFo+mN/CmJv744WJ7O5LI5sQeh36wcaMUXWumgudlnKrqCGtA
/ij2rm2dxepWcDc0FozMbCYrzMSoX6gLvVCNX35q5VofqefW62IY3kuLgw7Gw4ZSQwdPFNc1r/J+
lGGRToHG8EQcWP32hWBiwmVzfMLx661pDUoAVFK68GnrKXrQ+NRvqaKfyuyQd9Yhi9V54Nr+00nH
4xVJMfxwo815TmdJ66Pp9etoYvWjgr7/ouHMfwrckJAh3YHvdBDi6+kpkS5JHNjZidsH3mIOsf45
hbsScK6S/oWFoF4WfJT4Azu/3s2Oy/dp2OZd3Jkq1lt6pCPuEkh10cznWnXNNSirwMQIPrSPM5V1
NPD5JmFtkqUl7B0zD//NoG4eC27qcsWemwbXoU/QQwOmAR8e7krkjUm5n3REZ5jelU0NUU2qp8ao
k+BNYnNk57Uj8wFXg3tyXaV/Tc7gN6Z5ZCxMRhjHOZD+drAa82dKE+9vpvnxBBEY+nDZ8hhG5mPh
iuFlKHFZLm05vkyZ3y6qulZHngsKIks2uwwr286BMQR1dsA+LqWtUE4luxn5puCFfz6fQRdFDC9M
PAaNnB+SxO0Qnl3TuYSB5ZxFx1KyrKRSjyPtiE+JbPq9WdfxrSXwaLHdwxsjbxAe06w1jmU/ddcg
6sa3oJw11+yx/NfMdfkGHiR75WHlE2myUfxwKTYfnQpLzWya5XnuPU5jkz88BrKaaIrs4mPFnf2N
q5a3M23dPHpOgzHBj9znyR2yYRlR58d7OPVyy0wLnjQzjxAAct2whs71f2XvPJYjt7o1+yodPRYU
8GbSA5h0THpfEwSrSMKbhAeevhdKulckmKqU/p50dPRAUiik4iaO3Web9bUESIo5n4krGT2ZJTlc
oydP4tA3jCZn04jnlUjhtx03pOacthSUs4x+TeophgDKUEMYdi0paYCQ6fyeG5inB/7P5K4ekaMT
9SHjYhyN9nvYq+Z9aBUUg5TdNHyHUZzj52bhvZmV0i4oE/1+1KGjGllX/7ASikldkV60tUHY6b5u
cqqbc4tVRlVKhZ8kTmBBQ1lK9jpyNhtfbqMnsekSjifd37YUQ9+1heT/QHR65HIQRQrYB0HcSn1r
kiXvIGL0qji9WYbFpCuErl4GXRQJ9KSxdNMVhylyFMFMglVjNNK5aMrpM99k3iiGFV7REtTd1pLC
kRxrvgjANIGatLHkZq60jVFOpttkQBtUBZV2V/qhmsFJMoZdL2YV9VxRSLexTA5dp0xB63mO1b2U
AGhNgifwMEqxK3VxQJYgqrKrgx/Tu05BDVXINyKcf8A+TVAxgTl1TvsuTeq9lYUplzt1bgIH5/1Y
d4e3tMrhXwlqsmvQWn9rLEm+pQI4uBdMubhIaITzfuO6KXR4FiW1obW5yzpTp5EBOMx9qudBbv9m
lmZWCIpAVViX+Tc4Rs29Hyq9/duUw54mXF15ihHIDrUgOBlU+7SXBnEoAimDvO2ioXoV61x6otax
24PxVe4pDZ+4P6o6fi8zUyuc31C/S+hnKgrPJCGwYqhHpGXEeoO3GNq/hUXEboUG6I3TVL+hkAUV
jzccPTtWs+2SNt78Fmr+oT2MSeC1FA9mdt2yoWVhSm8PUUXmuI6NPxp9yX4Fb8XVH5mX/5G32RW9
OE1NT+tnovPPhIxBc6quGpKoiAT3PidkKALvJvSbWk+3ZGGVCZ3/VuSDuO/RQr8ylKR+4ioOtuzu
7jIuWMlIAFrX1OyGZN7b6pq2s+zeCA/a6zCl8r4pw343NmF+gg/8UwnhY+KIhaeI1pynAkkKI3iR
ODqogojSnBpyUZiWE06tdC6H3BFKquX07avze1FObwvS1GdCn5bUkku0stoj18lGDHVOUei+HGeo
fFn5QXk3iQmsLHqWznI0Jb8Foyp8j7vDfFOjt3Di15+za5/yXqpkoSNPFlWVSaKhrfJ5mA+tP1gq
iSa3ITBzO2kqWGcIIecdksg34J9BXY1JWV9ZYhTeBpMyIhhqEKcuhE6ObDlQYpzmrrwtat4RthIZ
7Q0tQdL63ydd/7an+1NG9bJ8y2+b6u2tOX8pl/jd/xvTqjIL5u/Tqru3qn4bP2VV5z/wX1nV3y2Y
HEhb8TdDFCXrv7u/Bfl3GaUTtK+QRtAlS5eZ2P9q/7Z+548AkDfpmeXPfEirqubv8Ar5iShNoS2B
PM2/Sav+VCz4uDcM1eBnyawtDY6vpS3Y2YVvZkauQmxKt7ITOtNGuxjc0End0OVQHhxUqJ4bW1kP
XuDQs/AcSM6wqrYUHqyyVbASVh+G7tiZQl/7p8W+/H0Wi11JW1+oyZPZjSutdH4P2Ytdf0vBIWVa
No+qnXFSp2OZWF7YXIpjJCVKBeZsk7pr11hJG9P9oa0Vr1xr219/3jyavxhtff5NPqSwc30y4UbQ
ntgI5426psLCIhswbKx+bUzOr20tkMlwQZhanATZQuZHIycFXeCjMbIjUiClfFb5Q94ZK+174Bke
L6PeJZl9BpbjxH0wT83njwMPbRqsV1UFhq8trgNKoztSoXFvq+tgU6+TNanqVbWO/zho/v7amX/v
X9lZDGI2NABFeuyI42WqvjRKZhNy1w/bNHV163wsHymFaaS3VD5xEn9dm58/cDGgYqH5aU9cyh7j
2yx+QOD3xIx9lkuZZ+yzgeVF1YRaa3C22xQDj++qUzvEAS0HZ8A6Vypbdss16nXByvz3S+Wz4fnL
P6zLFPgfbawY1r/pazKPTno59jYRM1R617I7bvTqlMlTgzmPxQeTbUJSQZ5nsfYGF5/W86+q77rb
uvOa6R/rs8MfXPi/XzdLd2U5uvM9+8FidNB9HEiSyu3OvB72nTsfeJFHOfpV+wRA26vWuUeT4Ikv
PbotLEpqACWTYNHmX+uD2UQZTT8yMBtvlRUt3l69Etbqpj71eccGVBJFQ1dwEkD0L+ZQ6ZFBmwQC
Gs2P0aED+T3R7NiFMHbWupm5aRwog/0flVZ/P6anjC5mURN6E20jsim09dHoQ3YJ5WQ38LQL4dsk
eNUFDxPP2J/YJ59PAJMQkGqQ5lckk2vTVMyFVSIvfdk21Dn2O2mlenTv7SfH5HYg0Oyemj/p8/Xw
1dpi3UAPK9vCh55Ny+g28e6aTb96VpzTJ9tnR++rocVKgaSd141FGCAkTnpAfE68MoK7KjohSPp5
zv4wwzqEH4McFHJGi1MmTqgVCCk6pa8itCfpPhlOGDg6Yh8tLJZiFKhyjn4uhMKNf66slI11YX2T
V+TlVv/u0vn6MYul0LUiKeoWU1Q+bZTNP750ji2Cj5+0WARTHyUoEGBHXfceUAiv+t4/TZ68oe3s
9cTynifgrwvu6zct1oEwZMIhNpBdUa/9a/Md9AwF09QJu1SKbuUN+APjxD4+tSQWXiA9yoR3EpXy
dP0JHXokgE+p5Cz08/78qJ8Cs5ZpIDGxcOzg34Vy2DCA0g9/TZEryTznh3YN6Pe+Pzu1Ko5Z4z2q
yfL8l2IpiyFMcquviCtzQjigYjR8um5DsL+zRZd6hpOuz/zjFjP2ydxi/ERFHqtQ5OzLQ7fyYfwR
w9ublB0FzyfWxufb5OcwYsnUNSSUddKui2EkKEqoXsXSfG1GD9D0NvkKTlpVeoTrvMmrL/N19qiu
5oM3eDxh/cguMOFYaTJKSkjJ8fb4dJfNaVq/1ucCc3taEdVzgl16ZnBtCttwfcLWkTVpijxNKNfE
dwWP9dlWOsqUb1YcU9Nt78B7B8vjhC5yZZpTu/W2Og9c6dTozi7ql3n8YHOxyzN9LC19mE/grbku
V8OGnuo9cKnTl8rXKwyyl6gj7yqrJq/7xQJFKqum8M7AxXI719/x8jrTLrKtsAuccGedujC/juVn
a4v1qZrmYII9YX0Wdv9ASbZtPutu5+XvxbZx5m5vuz1xpHy9zGaTlkEpOa/LL3d0aDRhpsZDRz+E
gz66M4UbK3gVdO/Xy+T4l/1lZjFjPfHiMNI5VjI6xOvwhyE9/drAz3X2eU3wIZJCjfP8Rufo+rwO
k44QS24yU+Hhrjp4pURt4vBqxilA+bdR9zJ6yoT4LEV7XA0fSOXZUvNMtcKJ8Tz6oTJYn1lkjLD+
YuNPCCgHcGno/VTuLDrA9FOPj6MGFMX86RbIhMs+fyfhyUyEwUASguxc6yirmt1NI61BKaYdvdLx
4wIlPOEczwvvy+AiezuHRhQGefFVZSG05TT4HGfxbhjP+uq7DCCLFvFOeOuyzYmpPP6J/21NWbxQ
A7rajYZ9wK2g+btqm68gy3oW/ZwuLW+vgZOtTr5Wvx6ZLJ+/vnCO5Hx0/5tc9GOxxqa6pkXfG84g
5z9l2zm6oNcn1sh8JP5iNJX50Pnw1CAYTYl6ymiGh3NYvZ10bRQvJ8bwq3PC9yD3axBcAEy4DKaS
pQylSbc4li9zKnTW7bpwADTcDw6IB/f0AB49Rz7Ym+f0wzfBrD6ERcr4NSHyBnSuWTxMkW0wrbv/
wy9bXDidD7ip8dkAkKQA7611mnAmW7+lNd+O7fjauNLvT5g89XGL04sKc9pz858LsvcKy8ndZCc4
DbQgNz/T1pInbgJ6tx5PbbujC4XgI/EGCmTATH4e1DQXuigAj25H0q4JoSf9iDX31992zAQtI7qp
sloIfy4uOH6+qjcqx6aikLG7S2Qa94wTZ9YpG4trrc1bGck97pgSoOwAXsnfFFAff/0hCyn22eXS
cEL++pLFYIVClwO8ErjJtsNeOysIkCh7eruUR9+FCLJS0BZd9Rs8yx0I8VPW53Fa7mk4UJZFMw3B
YHXejx/Wf1uXSiUVjOP8wBmAWITu5EaTna+yNSAyEL1uv69yT7blM007Zf3Y6cVenxF4SGgiFP7Z
Os31jaIqjDBsipt23W2GnbBuHPhEJ+MkR3x2xvmDrcXplYkx5cEW+y8CUrQtV6FredMNffxbzSnX
pndiWo9dBoauUtMlm7qiLz2w3Gzq8FAxrQZVOAjPuLVDuMQBvU4f6MB4Zi6lBicG9JTRxYoNkglZ
FJA7dqSr9KUrdlSd8pvnYfqyYD5812K5TglyMc3Ad9Ue1G1vjuRH5y0xp9QjXn/Kszx2gX8YRXlx
pULoC1uAzhya+241e7LNfiJ/MIfV2mdgWpS4OzLdSHZ8np0Ixx4JM7BgdEPlmYAHTSjj8+IMdCn1
y5FTTGVLho72cz8aBO6b+1OBe+n4d/5la3FSj6XWDAOEPRv8zLSKNumtudXW4cpwKLeiYOhKtoE0
ukTYTsc4FpH8P04gINYE8uFVyHjUiw81xCDrumROinSgeW3is7fdBpKJLWdO4pIT2f4Hm+OjxcWp
Mx4QJ82KnykReTcnhKDpzS9o+Ue/n8Ns/SZ6/LXJeVkuly1dhCanLdeFpi0GOEP/5ZB3WBR385O2
29CevZY3J7/s2HlKAEITjTlUKqqLBeurA7qQJnbQfF8RWlmZLjiIMwT8IpJd7VakeczWXv/BSX5s
7yMCr1KthDK2sXSwtcTsM63FcvZAyXx3BSDS0XE8JUddoZtjPZxeOYvU958r54PNxco5dGVp0FnF
1w4IvO+nxHf6Rrdh1LXqI0B8pxC3LT1AB/M97KH/9GdZSbf1SlB2NHXatIK41Lo7fXxjtM+/nvCj
9+rH8VisMamfEAebxWJqb6LX76lz54xHcka/jqvcSOvOE1I7vkAS/D5wTz1Pj27oj9bn2fpwr6aF
iZrfAesoZL3oO/An6aXgqcyH4mhOdPXHwRW59J2cvNOPuX0fbS8OrkzhUjXmzBwiEOvcrc/pj9oY
F3CWHbIQ574jrv2bU1fP0fv1o9XFDhPVRILohNX5FJmHGvrFtvQsLob0/D8I3xAl+rDy5n34YXyb
vj60ZjKnOl2AD9oqnaNUDQWc3+cbncoVKr3hcbq/XlRHjmmekmQ+JTpmTMIPn62OhUS+oJWJPNc7
6Bf2gNBnJ23N+kwPvovat19bO7KjP1lb3OZiGkUEn7GWGtu4uc3qu1///CNnIulUnvwGD35d1Rfr
JIkhk44R4TaVzMMc3FbW85n4L1NHP0+JT3YWK0OCgmwkKd+B5zXddi7G3GmjXEDFCvbZ9p886059
2mKiagg6FH/9/LRmK20iksVzAu7Up80jtLhVPn3ZYobol4or9CyZoRrhrjsIdVpy9etJOravPtmY
P/XDSgeyB+nbIiQ776tmC0TTTRzdpuPlojo/FU84uuT+WhLG4vqKMoNCzZxxM6fnKNzSbGyf+JwT
Q2YsXP5UzqS4ni3E+9FJbsoVx8SVctGuJgcxxm3ltGfSqSE8um0/fNXimgoUKPKWyDQ1roEnrnrq
bk4JI7QDWtSRn8JNtW43yaN4dmo8j/lWhiLiL/MKJur6879/mD1Kxa1uoOqYPaa+yw+RF3gRXuvB
tzVcq39w8czfslySHw3OM/zBYDKaeifP4xtugVl5E17VwY0vqB/9J8nL+RL9lbXFEUIpzXSASTBb
K7fKPvIyB+a1Yz7N/urp983J4VwcJYAGw7qv+bpxpzw1dynOleUgHQ2mz03c05kX6diG+Dici4NE
riwS0HPqqnJBOtEqDDaeeF7tDh57Q3ivHPG0E3l0DglXktIngI+j/HkO096kiLCmpYii4ov5Je5v
KAgmAQ1BZn3y4j46h39ZWxbWTEFHNXDKJ1q3xQtx2XWBwxDHpEGENfAh3/kP0mcaBQuKhjeuE+j7
EvOuu7b6qQcUb6d9cR2uEoxpO5rL8PyV7YkT50iQwVCIL1BqaVrKlwoJaEiKJM+j2Tvwn1a8Hq+b
XecpXnT7n33ZB1uLC8EsUlmLZqWj2dbPApDrzAGxt0byYxWe/wdfps4sFZE8CCSUxe5L5CRUFN3k
+tlHN0jIndHUaZtPzTp3Tq0SUhFHtvpHY4utNxVAgoSfy0SnpjeTwc/5NCw7tKQh7I4IooFEpEVB
H4X0hdW6EEB/5LLIljG0dyOjY766aK3hhpZYJ2wfe2ET9KAPDB8wt3gN6+9erpWtUIWbYErPM7N8
oRd4K2j698C8gLpGfbZv+5R/+3D7MvGbLt7pfn4udJOjUr3XtwI9+Tdol6jyqn2T1z7CDLX12qr5
uqXsXIOpPIIm4zduu9ypqJhRhfBszF7KunGSg7RCUYMK77uyoV3t+6hqThqLjgZitW3onAGirlbG
7tDFTi4T2advpTW8DqpgUg3QW1AykNFSlZ503JouGOwwpSspuLcafWWojkh1f5aBBUk3SrRS6n3X
UPQvoanUUohYb0VKyaueDhfzHHVZWzf3kt+uEbGdsYlrEWSxZlDyshP1W5QJs/G+76A6zqoeiM7f
T+pTDSjdOKMxtunjdUQrdfFgWs+t8T1SCTkpKBJLwblMc3/5EEftugwfW/VBh7pWJIj5xlCywaYk
06qFAyjrV2kGVs/X3OTwgkIBLUISElCbgaYXC441gBlaWKZ02yhIzx6eDgQps/e0CrdIc9lSSYxG
v/EDfR1J5cY0NpqyPbS5JwIQp6myG/ZJu0tSaGKd7zbRxsp3TXdZjP466VeJ2iKEhpqffEtvpS3T
oAjYuMsvDGvv52gYZv3Wz7WbUttWWEd/AZKIuemDM70p4etcmt2jYW0Pc9u9filNiPtoOEtGfZYH
2bXZXjfpJmiCdaTxEqvPJdacftmUjZdVGq9RAHP+tggisvnrabiDWL1pG5CPITjf5p2W0W0SQvQ8
7zW4Ybm5lqi4ar510/cRtvaQ2dVhnWgE2ePz3L8t0b4WyW+BddVMF4lHR1RZ/PeZLDlI+R2U7agU
roS6oHFfR8paTFmymisV75N5O0Yvh/7CLEAzaNsQ7nzDv4HvKzUnq99i5LW7tTjsBvG8G6+1QIbJ
e1uS/NEr25I9Gpb7WcYteR/H6yS4yc1NkV4gDd13FwcWIpx+C8Xf9EXUf5RoQUTvgrlV8o2UBau0
vxFpDKhSNMJhEiXZlWq+F5VTKZKnyUBM8N3bXWDQf/80iG7NrEj5uRVeNoPpFfVGMq+rtrGNctcb
9xYigpF4lrbboUSoIDkzhwuz3jbTPk92SfRUUWDpA5WP4vcqjDcKL+Xpe9M5bUI1OdkYWoQRpdz7
SIxrZ1Z/IdEBhy5HRw1JU181QAICcXILqPsVPOsCeFlbu2k1umnupd07ULY0eM6AS5aA0gvUJ5Da
GCYJ4uejZd4axs6wgMFtDnUD7+lOGl6o06cBlG4YAGS1dSfSjCdX68LwSojRHRpJZ9OBbvoqsUNc
x4ZgNTnbsX3SJ8oZZUqYvUkKQP+DGJ3OoxZQtmqsksOjmVD0bLh1V2zoqbK1WnSj0M3H56a6q63U
rYtZbG68lFogU4W+l8rmMkzQwIkKCzSEEd205qpqaRsLNJ9m6O7K0qpVOM3d+DcFPURlHl6DVt0Z
1XjXwJdHf7sH1po3qVP24jZiaIpJXo8TN3uYuE1xE6fRPu4K5HpRB9772UWZRLRtvmeQw2kysYfu
VoP4km31AW6JdRX4sY1AsRNrd1lJly9kbcVWoRSmFP4OQeSkMPEaI/SGdIuWQMLJkVcXKY1W/g5N
x8natZaD5g9alQ95gOwxWjdZ7CpQhWOkxzVolXQvOnSog3J+TU2P3k2rvcjafZ5eTihRxCrx3mQX
FjeCsEMhglQkyiSd7urDjRlu0NgMaXhRwfOMUODK7HArR8lWl6+kGn7hrhEDuy+acyUvvKA515Ru
V4hsT/E1665AKlVdj7jxDPGpV9r0VJH4l1TORGY2lyeoojQ1AWpFZvs2TmnXq64OIcyueHOQ7gcY
n9pNk993wVtjXtFeZ1vcSxKozjHhKHsZ8wtRec6iHRoXsGTTazVbVxpcroux1Tdl8TyOuz6v92oJ
fwGYqMXpB6cGeiT9q08c2pzAwNy1iyAjwSzHq9y8DRP+AXLqQCHvLBofdmvk1s8j1D5qwUc4Ru7e
D6KPFGHCikbvVEF0GrSlYUDZ6DmQb4QMWDz6Xaib2Hli2C34ojRswBPRz9q6fQtvF31NM8iei+4h
ZZyq6MHvkXg/vObBzqeopLkR4++QbPruwWr2fiwAPb9Eh80XntPwR6AltqVbXkB025fpVke023hE
0NlrpLMAsQXBfJZMrtAp2cEL2baStQ64UFpDofcQNFe5H8CdCflTJrxLszhDLXDk6Ku2gqlQEl9F
W85A2KkMxOuQTn/0sYubsI3pJ1At94TLdew9QJycdJ1BaudLBAiHy8rzkXXRO70HjUh5FLz5OT5X
vRPavBI3+s0Jk1/9Vwh4OhEaTCrQVxZeXsrjFb14Mi6N23vtjbShjZZoRvnttJd3JNjw2dbCyUsV
pp9syJzdoYzudtrI/k3nVA+Kk6xieSW0m19/3Nc4jU75Du65jE7m3Mfy+aUDxACeUULQMOUlEO2q
zdwYEe/+jNPM3Tx/NZPVP/l/P4pyrKIgbBb/+r/+X+0eYjn8onvoJf8f5y/jW/65gYg/82cDkfG7
NecnZ/Yi+QpawHD7/5CPFKzfETmT6ASaoxdzZxuT82cDkSH9DqiRwjl4LAAvDH7en/KRhvi7ORek
mBSJz5tE+zftQ19ScPDoaAA0JIk0//waXgSLIlUL2gqFObdyB2LKiZe8ad7gTF6zxoX5MDBXfwQt
PvYbLnf2bMvAGI18lkr79SJfEMl+2MXNYcT7uhOL6+L21z9+3qUfIyXknkRFn+mSKGKSV1yu9EEF
kl1lRJ/UJxQdeuDMRnwiZXnCxjJ6dzDa/iBaMB3h/Ast2rfD1jyVXThug5iEKlK3hmb95x1bHboI
pYkDHv54lRFAE66jH78eqSOzTmBAmwtALdbllzMWapild+jbuPp171mUSeab8AZIyD8IKH2d9M+m
Fu/1tDHmykVMJT7Y9QK3rl79+mvmE3Mx75IuzVUwbBURVunn8UqVtO/8uGK8DECG38MW4hCPi8E/
sXyPzAsLV6JcAlFXGZ7qZzulNlAGFteTGzde0VzqtRdMJ26io5/ywcRisLQC18HXpckVtSdkkSqc
jragJ+rUHSsfGTJDYgFobBPaGxdDNpSixBvfYqsw/8km2lmOcp1RpkGLrXsyk3Rs4D5am5fIh4Dp
NE09TXOB6Mrn6Gs9/VEHbFzIjRNsqdOgO8kgwXNitr7EFedUtCGZJhR19Ui2li1UozXUTa5y2Xtz
+oqChsadU3TjPvVyJ3XwdH69Epd37WySFDjFkLgvKuq+nz80rRG6ymKfFbLVaJqYexnmwPepkPcf
pZzLJf/R0Dy/H0d0ri03WnNy5Z/Me12/NtIq3vZau0VVm3eQSUVr4GaVfs7vtI5BuYoiLErx5SCl
TtdfcV25fi+7lmjiRHqGX9h5gHb5hKRZT8atcKZ6Vyg7U6uurJqGuRL8emCoM0ccIQBZorma4I4d
FPI3U/CkYnIBU3i+OVIFt4+0ws66u74BIkbZcKUhdgK9oOqbb4k53crEtFHB6kGVCrUtAmF3wbZJ
q04LUdqkrDJAvMKak3+6jxoNBKi3oT0AvpyFXgHh+rK5mqZkK/iq11P8M6MhIjV2qkQ8K58nIdpM
kn4lnveIxogwQqkCbL6FBT4XlLP71Ld2cS7f6sO40TLhOtN4edUZFBK0ceLqMm8OFxEKujG5uin0
VCV6Ff1buCM8w0QItzXs/YexeBtT34Z94ox6dGsh+xC7Qyiuq/qw6jIeNbzhoDO63SxGo7wCZvU0
CZ16GTkcw21G6C0c7YFkZyFYAiCFAPT18yGHyob28lVkufV4qQARquB5Bq+U0jaEaZTxIlYb2+eF
pKcGb5ebxlpDUTH0rZzMN5E+bqTaUQ004NLroqhuo5SnCDjC/BVwZxldtuhRAFJUMsC6RL5A7SVT
daFBEtfyDcLRXqS1VHyvTH41CxWDqNxUvDpViL7t93oqbXX0Mqjkgrqp4ssCHru4Tls0dlDlAjS8
7dIbRQT2C1zK8kbrLa+2ZnStVitB5rkFhek1H/fBcAmKLCgeOt7UKpp06n3ZrtTKRuIvL67ggY04
IMJ+qtGrdBEzy5Cruk2ii6raJJVzkB6qoHSIV0joCdLcDCiB3zrpQ1qu4HgErfUjrZ84+kDlymE1
q8BcdKm8Ao5Ye8oQb+o0Pa/m6glwJaaTJqJdQDrCJ2+C5tKXD4GrT5Qkwh/R1nnURLteHsXXphYn
FK2Qy5Vy6QHV0F0Pl8ceCZkMuWBbgzuKlKJ1F7L0IgXwFP1iX3LUZPrGTNdImAQpA3SXNeKqQdjL
HyHoEQbjxxIopWQVDb1QoiiI0IkV1E6FJkYhAg0gDBN5Q3F5gImIIN0m6ZXAG+PGrVpkWruBoIYW
bTLRnUaA9W/ylNLGUvOKj88kYaeGj6n1YgYWW8nOuFEOkmHzqO1LhAecWfdnFF1hmlbIsLEZnTIF
U5d4DViTYqOP2/RVUNd5bbgjke8W/WH0hhFcFFU0Y43yyko21VtB/A9XJY33Bmha4brXzyVKDfsz
n3d0PqzhMkjJmUIJC0KoykOhfMuKizSn5XAXW8NF2PvdHn0XxZYBUrhKTSwpYgU6oybILoq7LEsw
VQIy2HboV5ddl90PZjrMMrLb5lB8awxCRf0h3E4xtz9p6dBW4gms6m1MC0ixp3gQFcSDPVfoDlyo
KPnamZSejbrRr4TKsqM62GV1tII2fYPCDucRsROEei3mTLsdO2Y3KohjXZZ+EF5pCTtAk4nICMWl
KnSOnsBeQ9S1MVyIHbdxY9maPxAAK+9D6VXv7xTuWgJojjjAnTAII9SoWZjdGVw1B+y4a6Y0rksX
gyW8xoL2HUD1Suk00CxBaoFsNG7yy3nTyf32oAVbHzF2wdomCdHNAwwrS4U32riH8F0fzltCIgCE
OWMesly3ocq4xXQdTN9yKT8D7+MzCAOFObJypgFQP3hi4P/oQNGg4uMetORRAhJnRNp+YLvWCQFO
shC1KgL/y+YZZpnSTjDGuzF46iIGpqR3Y7zLQvVqJpeN0uVUPuvdRpKvEmlwBAnoGcymwEcFJATc
Mc7qm8gMxalIHOFSniI3tO5xDrUp9wLhsaKAkzzAQ2dt8/6sb91BeAELmSjPxgEtk/YZmJGFPlo2
wThG0aub0PUx+1UHqLFMC7ck3KQK8HNFVCWG7SjcDH6ooZ9ROwJq4e9cdzmKJHX+4svDRi3uMr9w
69p6CLPmh9b7q64oX8Z6WMmGuu+08koTVMTLUcvT9X4rtxTcoKPbyepLAnHK61DD9jpLrRwTKJdd
B9q614CptJabHeTbTr3z00vfD/YxRRL+ixXXAI8Sw2uVmR9VJcl5FAAZHavDWV5NwBkM/6IOMzK7
Aj7mzLAfAFU5AR0qXUY+PUs6Jw8kyEScNV3fIpIbBMJ3OPTJqlL1e7Db55IAQjBFTA4XcA2mW7Rx
n9d+dI+8iTvWMG3Ge13NiFHWZ82ob6ODQjA4c9IwX+kZgkRirRP0TaFpt7CCnK760Rv697CGmide
Z0P2MHSZLRhuxzdYg+p2IxR/slJ915IwgT1JoVCKIN585CGAUwpe6U8XqgBNz38RtejaF0DYoZ3b
i+M7UtB0Hb8QT86yVSuFRHpDT6fitK5NB1lGj6BzLJ63QAGmiAxt9hhLqHitDBTqD7HbckyGL8KB
TdVtNf6hFdI61PONqe4r46osVkBynSp8ajJ1k4FvtDVO/7gxhzUKrI7UlquySB76oEXdSnvwDd2D
YOr63VN4uC91YWMxPUbmuyo+qq4y6Ip2iaL3rojQNIEYFga+N43ikxJzQxuKyHEgdIqjl8h8RV5s
hQhAaygj+W45hhfdcF+W+7B+H8qLRJmoUzi8BswR0mc6qXbUlGyzn9j5JqF3MboNa8WeOtkV9DM1
j9Zk0vcWwTAz3M565HarzCSrmHR96AK8zp0wIzWCYOOWCwI9LhUmbgYFqY3jmyrUDAesH4J/Si3S
jJF5E16S9g1hgAZUOTJxdty+iHCnolWSIxTvX0QmHqFwWfff6K2we5HffCVKt0iBVdJzXa2HiLMR
VTC3PnReNYAI7S4VUKSR9nDgPPGH/Cbv2PppBCDfykc7FqJy7xed+n0eNxndLgWKuihzifG5tEyr
uKJA1AHkHr4lnXg54AXIXeLEAjpM32Z9+VJvwXA3d4neZbd6x9WB/F3H3dCY2kvd3yovfrg6QJLW
xsYO9SdF6UHOzbo4zybFiOrt5L/GN2PCYSrk+6iq2ROkgKZH0L3o3hLvjKrrUSc1lxSsDeOC1qpN
UuwL5UGWXtP2Jmu9Prz3A8We9YEykhLSRiOVoIm8cBFAQrSV/MaIDupVJet79UBDLkxPodhagn6R
M+l4iHIv4UAKsCLLH4AqRcIVen2paGu0KGL5bJAoqZzsRnnMzG0XotIgnJXlxHV6A9z2CgZnI3gT
YpT1duSoCc6mhPHZGgc781GhwVO2HqCmO0JwO4ZotqZofbtsIRDyrlGj2u4nO45nYJUcjZcyjQko
GONjuoRQUHzh8FXrq7zQ16nvt+7USegMXCrZ20ztLkx0r2Kd5JFjJuXteCATEySXQbfWkydT/D4q
74gHTfE21dxQvpaqm3E4y8sbK8tXAn6Cj2OpT64kwugHXwctmOzUZAw3jV5fFT4YsYg9P+jqC6Lh
G6Mh/G7BnufISZ4qa53ru6o47FBSyMcbsht2PcIhvDfKHxF+cfdYVbchBXc43gUZXC9rni1SSZBt
J/MxjS5zAeHXoHAbC207/Yxr1pHIbUANnr0thl2ZtVgFUm2ad8Ano2kWbG4GrJrcTMjKTPLEydCI
asfu3irRRR/ri5Iz2jB4N8hoP4tIECLrmtxppY4Sulgm7jjzzxMF9iy8+oJSKJbXgIyJnkw3SV2u
lQzaq1vppWs8RPm2aDYBAl9pqdo+ghfgjndNIVC7TuqFW2awMjpAo/bZRGMN1LSOmKjx+OvH7JdI
9fI1uwgSELOc/HR+ZJrn2pO2inaGp172bksF2T8orl7G4JfWFkEC61AoRjlgLVccjiyquMpHrXRw
SzzBPRXxPxaRIDIAVUc1IaDJ83//8H6ucjjzEuc35f6vUPr8fEMe6+fw/f+A+P+U5yL1vw+I3/5v
5s6sN24ly9Z/qFkggwwOr5nMQVJq8LEGyy+ELNskg1NwCDLIX3+/rCp01zm43YXGfblAPRio40GZ
ZMTea6+9vuXXzz+r4X//Df9QwyEReRErHwSiIc0gkqBw/UMM99y/sY+I6smu1NX/6yKv/VMLD9HJ
ZYKiwb46y+vh9ev6pxgu5d8Q11lOIxXuuk0fRP8PaniIGCrYn8V/LFwiCGEV/fm5COuFWbkogz2Z
uuVbBpUi3pdEsb2Ea4bboSR1F4Yg+XfPUxWycZBkzcxJO3UT9NO4Cv6dhvXnlwJrMv8cPi8iPkj6
YCr0l1dQMn/1wBQgnnqt+M7WJIW0rWJup9yu3/NkbEIIXmHBwmHvhmofe3l88V0NEQ4smvnyL9/j
/0W//4tszD/nOiJIGJEJPiR+8RfvajVHyulDKJtLENlTLjft7oa53b41sP56VhQky1/CeGxSNyx2
C9JWl5Dhb7eCZzR93/+b9cEr7OpfpN/rP+iaYRAG0k14nDz3L3rpZFx4ABAQ0sYHaYtAI1SyU8nm
/mbKh74hJtk851VJJcQ3F3cYk7waH5Gusv/9dxVGsEqYzLjMOQSBf39+dgZPA3jBUZCazuYBOkZm
g0MYqw428jR7LNb2U5w8hiHp7pRUy/iH728hAbEqii7IX+wl/buvK/iznszncw0s8pkVcdRFgnCh
P/+brBiC1WRYYaKmnLxvTukEKKFg/uRebN4QpVU7ZPZMuoCX35lu6SWWlln2D3KOLWN/mujqNE1I
IG90hot/BPeafI1UGA4PxECGr73oBaPv2ICNm8dailTUgsLEFSRYH6DMgdEV7LPFKJU5SaeOQ3Tq
TSF0st2CcvbHE3NlO6YzfEWxh45AFUQw6EJ9IMASY4xxMux9cjTZvumLaWVYTfxDqiAcrDRhYfOD
zS6Pgt/YUb8QHx4+y2JO4JqaLUHYVKb7joEWCPEK5j04Vmq1mKa2Kq7fRZbQADRDUDPyXucYhHuV
2OwzV9kSnxWDBUr2lmzUU1eTN7pTjezzR6JJSJ3M8i345RZV2Z4nO9jwkJgOfjEkvjU69laPVzQi
3p8sCrr+EtsxmqBhQfney+ha2onaUpCYYdgURTgG/qelgZW8768/9muYmIXoenfGQ9cHWWt+gbXw
hpTxGbwiYXoE1A5o4ZvnbaPcZe4M/K9FOXDgGWSRuhmp5V9ddCIaSmjxr03ddzV90iz6a6B7iEWv
kHxzYqzkckfMerOkgSxWuIY8FwRAz4BWKV4t+D9yZezvAnvUyLKRi7pQicKj1HV7MjDO8zwRPjEv
MXpk0VRFee/Y3BNUWD6M5N6rEroQH3fLucjglaZevVbfXG+keA5V6OtdHpHLdi76BVmkCtf51+xs
6ncYiPV9y4yN8JoE4a8YQxH0V0l0937rWj7eMFn7/ovUA41bYKMC6pbnQWEECxSnTp/Hb+OcT8ke
zY8WD0Ju+ViszrLuzOQAUk5WvxUpTQ2fyFhO46OzaVbEq7b4bjg76ZjaMPiMVSw+7DDAYo1UkFOU
TpEojvXEhHM3gYaKwKLkCGju7ERzGpbGfPpGt58kZoTU25HJ8TAnTVwdDa3t9ysHyxzma47vvu0b
+AG6CQ1MTr8e61tY0Lk8NF3WDNSinceX3NYYmsCCsG1j6xbrRUyaBU+u7+W3mGboskmtx3EpgUZM
hwBvruGTGRoI0ltD01GFfezv4mEJH2MHMs5u7jofCshGC5Im3WSh1lRGssnkDeY+jFvchX2oYpZb
a7GhZZhodV63Tl7tXnEysKo4BgNGFvj2HQuwep32arGBRltr6nZPj1diAVxrNEWrhpGI4AnwC8PY
YOap9ESWJipc0XzGrryfao2AAJTUR7bK4g0vUFfxcvTrSr/tubyY/TjrZ+UA5yHqqpp+aE1u7i6e
sXKcICGv57wouYaMp/MvUJtgjpocJ6IgDx8Rc0oWEn2FR5MMOJxAn5DQ5s9xnTSZg7VcfIjAC46q
nNgAOtFBkLnmEBetUtAiq7/X84KIEUbWGdImW+RvoSrncxsFG8C5q6Yv2VbBoLAdlIWd4VlnylHB
NN2R18yt3BMk7cM+SOYPsQm97QYS8omBIk2brl50wfcWfPwHsFHuJm3d4Jvt2oEEZ1kNLQqlKYmQ
dssWqbXdnIx+gItuty12tvwhzCKx625gv3wXtWs/La6HiFF4TtpEODf3Xh2X/sGxbveRBW6EbCfj
1Uu9ccPaV8jcN89rU0YX4S1hcg7Bq9pTScuyplb1XrZX9SRihIkRtSfSovlN5TO4+0Ib+XPuAXBd
X4fuwW0iMM3lOq2/ON03iBW5txDOkZUzsDtoYB8Sxta4g8qV/W7zTaGu6LaSrL576w/XZo2XUm5E
yx7QoN1uSt8AWe3yKegRjIOSwKegiNoTH0S07QLjrcjDxYIDDtPzwk7rYB0DMiEZvCMvtBP9cMcR
XjXXA0OPfoxz967qoezuojoaMShHS+iTKw4RGbGq8Zz9QsBODA2dnF48fcWY8IBN4sF2ZdfsdVyp
MWW/ZXgOZj6S/VJmmii0ofbLQ5epCAgj+wvYp5NK1ft2cxc0wqCDYDuEBN3tls0DmqV8107QJCv/
FYIVppvVrgAu7frmZISxn0y5yNcoT7z+SJQ3SBMF0YmBk8xKdPEyA27dERY6oACI4YXYcHjFQcHE
Ec+XceqjRN/N99Cju6szWnhTatf86ofGwVbxdiZBj7Ayin0T6O1HF2HEPYwEo/+CIJA/V4XgaRrn
ROLbrS06wDA36zdIUzA2eHH4JrM5aD517/JL8q08/0KwgXwu/WD6ItpwLGGdiMTb5T7rHOlMlEnC
60wkAnqWo/kUnG7133WgFZCVTOfjDf0/4mKutMvG6MQ0bxeNazjtlJZqeoj7kqvDQZmtPnkHVIFX
tB6i9janGH92Yi2/zQqh98A2ZsAPyOn/a9O6ffPMVrZppqAJcVU6HIKN7kCzzXqOFS/Pos3Bz/06
TH0+NwYpsYJLXM7JeBRlEcVHN7SKcUjRLsR/O81oTxkiP4p1rriDYL3DvAybOEyrpVG470tJwVvG
ypSnfpbfmrKrXkSitgQzaoYkUIuWSPuMswn9jqrrLhm2/JsnO2ZPzewM7e1QqqhKbcaTsMdzzqsx
mGSI9lnOw4v7tSNxvXJIvwQJklm5j6fr05yYEMxWh4EeqkZSm5fJ0PEywwCnQbR/7TbptaMOj56a
FU5VwnpwxJsWD6jpAQccxxmY3cHmqhiOXsOo7MZfbH5skzYkr2Fwi/t1GnJoEUkz6T0p9XNwyAjq
7nb9UmJejduayprNOWjvUoIt2y9xX00phwzfxVQur+Dioq9joCWpAv6Sx2m0xmu0R9PLwBYD7qjI
ldL1gyMnBwpZMcENICdf/Zq2sWcyGrYCI/LS9tCL3XV56iKQUje2C5zhCrHqi7STrvoJqqP/lhQw
SHZz2W7QYvNS+PtGEmR/hHtl6puW+W/3tkiu1QPf4DRdCIfnNa4GP3gpY62pCrOOZzCErMdrZ67Q
Luc6tjb9REJ3I4I8ORjm/wWrBm7wsw2c8VszNyLfx6XmNayaBEG24IgeSFzyvB+A2ksQbUHB7RgP
Ijj1PkSxQ5n1LAuAfeX/JE4+8PY1RtQ4zQeoMUxYvPmhFFOEjOwV4NfjaEO1pPXq5iOBY9GtlB7I
wLmMuARcnjqKEm8L3kd+/UxHwMIsSJ/6O4sBlAuuFbjZg7HDnFrbznztlV0IycgTMFfa0SWIRTBw
+ZHtF77jxhnEC2tT9V2cL9SBbaRNeVit0/8cZcZUQpYdY3KQNDa4G0Q/fAaeFq9rHCn+iLKoOVNc
y5e4GT29FBTG895mFfCRlZzjLZ0XAsSwzfZfFok+NofzMOwyirp8N7gBgdUKhNTXsAzKNxfYJHSn
coYSYNyNIjNps6ZIx8wfJmTNloEqWPmBkSdeh58BNLLikOh4CY7RQCQ9PIJQ72iZl4KiqePXepLu
8xSXwatYE+ro4RoYlvqZbwcOeRAVgxsKN9X94P3YnMXp94EL7e84aL7TfTJNito37geAQVvEKRY6
Ye7sAz0xxPW9dXvZapc5tFd6wUvvrNl1/yXx131SJDrbRTk4o105z+3Hso2VOFabNWQMcjSAMRW0
gLX6SBwIBH7QFGfhld2pmJv6tor9rD26RTxfnQ/6m83pDg6eCvNThx3tj3YjNccxUfXqliSXjRKU
1cRdno5mqMk90ir5Eodd+CEZTJ0GBeFwD4NLVheC19iPrPTk7cd+sOctiCc+8q43J/LyRbZbBkfc
dQFSf9hQ4u/rph7efRrsc+xW9qkdguZ76EymOHotEEof3N4foxy9VJVxkC4cX2yb5lDpdD/J+iTk
Jn62qi9uPV1GN7nbiZegduvHyqu9T8+d9B1DIWpvX9mJv63waQeD2osepAbamhpnUEfOwv5QqqFg
DGYb3A+AXW+DxKzBiTwR7Od9U2xvi/aZJGcQGe9EU5v5wQDI5c2dpC+/Yu8WwW4compfZmFyWp0V
FExczQWeiUXdlCaEfJfPIzaIOZlfpnyBo1tmlIe7GKCJZU7tUW4mi3OtqjU0grl88Hrd/5Ex9umx
sQPgeWns6L2Fc2uZFQWteVlFSKyuGd0X4W72EBHFNe6cxWXbhnkI11Q4iA2jf7wwtlV+c29hEr97
G4scpre9PFS05rdhkDvnJcBnnjkqRg5SxEpDF2BJQVdnkzf5V+Z/9ddwysSFV4oqqYzW+zxZi7PL
eQ9UtqZ05jRkV9wUQKnDuR5fIqCrwaH1DJCcJWzjS9jbgeIhaUIGPnVAcjuImV3iD9YcxpVkmG0O
TX1i+XYcj5PwZx/3jGN/rgQ61ReKo4IaM1gUFNjMvmeKdYlkVY9qG6+mfNd5bypdXWpCpH+7c+MX
qW0b5wKmLO9vmgoxa0Q14Utu1vIzDCiL01p1/b2N6Wd3/JRzn7a6s+CawfFo/sdFvVsSzo69p2OR
TiHFVCrUqB+0GpgQ2U1HfxcHmMbAAvzdjRn7DpWfrXf1GExpNeXi1KpBq9Oqt+yjSZLhwdnggh0S
TIV7iXECs1oYdZK5TUcg7oa7pRQMSP6IbKgfEwnBLvXK8S7nSk3raUP9nyTjLeHpJ8VgJWV9croT
cPloezkDzkg4cMt9W5IG6slEHXup8c70PGu7jLLmzALfkrKwld8Wm+B35Qn23Drqz+22xh8Vgtty
3Ixqw9SJr2MR3euH/PrG9XFoQBxK+VpxaS5nopl8dVOUU/ucLMrQZZfZt9gRBr6KRx805sL7BSGd
EkP5rFc6edRglqs7586joD1F8M793bpsmfrUNWDcIscJIA5ubBJ6M79fVnmc/alxANKWpr7lSArW
exC4k/6lC4hFDzaPCfhaxrIiDdQZMn/V+6IUlTis3cp/x2vf+/12X2RqBdPrjs2oWTumcbta0zLf
HR8TC8kk1QFUrq9iskGsDxtq20LYU+SZojhEvdeqPzyj/OAtvC503g5OHtfptvADPgcBjcdD39IS
ebTlSRucRzcc84ece8/llu674puzxkNzwzXZR3UKJ7vssE1okI2hN0OM2TnxFne/cj1CaNnZgYPN
PUzXIrTfS1uJ5b4PhlV9EZOe29++M18NCr7r6cIc26iflz+MHJvPSBY+1VSgxvpuBL3tvWVK1cOZ
a6sfztOA2/TOT9ZmwvnDTfFaNiv3/RyqYD5ZWAeF2PXrZqtH2wTIf7txi+uc+r8G/HPOvHnu5W70
t3j7CZuJXZc1Injgo3WrsDptkT+sZEvNqiKdLsvKXG9HDwSOn8D4ySbPgZqduHbcN9lQjwwmUaE1
L0jiRLciH5IQr95m+Aqs28rL4lTecDaLltHbmM1XrE8+uT3sEllSwP4Ie7zvPzhTq2g6la5BwoBO
TdGD+Y/IsuabpnzofiYbM/KDja1f3tmyrKfHzR1ImE83wPDrqYhsFt3ZAanxRKTG3FxKUypOvAFY
EZ65bti+hJofoqM9WQqAzPEaBz8deGaAZp0gLu7CwnXs92y1ut9ZbvbkPExjhawVIlOdMFEZmFfT
nLFB1ZBODvx0wYawOmbO7sIxqohsaui90wn+M8AHYUb14PQxDPduiUx3O1CAUk9HyVpfJK/FAbq2
R3kX0EAdi7bsbvLQwk2clfd78uLlZqxRgyFjydrsVbtuXmoarXMsOSwdY1wq1/tmcTccYFml69dk
Sa4Em8X31I0TcMmky7XAEm39Q66x/yqRz9hGndb3qoj0C1+RW1zcsJ0BxgnvtpH5r6QTy93IUD+e
KhnuSjuHNxZ60lcJwhocVdF7j6OeMnjQfMT1oR+xuh7cZtM3UWuwmIQe0/2NzZ3wvRpRrQnmaAQe
iah/s7hG9rVnmZYvKGP5aXSUMwBJy5Nf81rAlYtMQgES5oemzMuv8aiH59qDfYmJspoxemxxQ3Yp
0fj9YbFtGO0AbzEld5uk4OybWKJP62ruvsCcJeaIK2akiO2pm/fV6OWfvugDzEhun3dHSIIoN+TD
RW9bFVCAko9SDWnkFtz6o+2gzwdm/kS27cpDEcbZuGfGQ72SOHFMjlQ2KnOYqgrSvdU1T2zJpgQK
ykLRe1oyJcY7w+orW4Z9HET7vA26mV5yjIr7eiiJ4K54YoZd7A4GNlm0OGuqknCEkx4DJb+EWlLR
9kG8gDGgddepBvq0UHGGcrp1HGP6Q5CX43Dgawqh6RWVRwAph1V1L1uVoSS6DIfHUNv83gsG7uc+
sf5vvA48S6V0WvdLzBoc9alA18fLiSJ5rL0kw3loHNiFGH5lOx+Fgutajr3+mS1qZrGhrZaP3HEj
bz+QC1l+Uf4UfgQwks2tmShhD9CMDFvGVoPmS6xE/pJm6JJ0FlHMIvSkZHhHP0Uxn019RLNZMRfA
kGHr0nI+eePbCBOeOZo70jdi0nTflhLsCB6UVtU3WczGwCt2sgYLEtuSX0UFopiQv9K7+KRFsvtd
5RUqZ9WXuH+mRn1yMW/uDtsQFkUycE2EbJBHcm95IbydYL2F56Zj2fp2Klnke6ZC9j7W3pjqQAe0
MbRXYe/dSUZtZteJBlVAVaHzymiF/dFRCMw1nRrAXZu289370JgIv2Yf5bXZ/UfnkLXmj8WSkiTj
3rcV07OdmrGIrgAQLv+xFqrK4k7M6VrXijs0qBG1BbeZJmIp3/1HFTs9vX9oD+HGfUHR5bRvfkVT
t2OS4T/9z2Oh5DrE/C/z+HUoFEdQmklX8oTwo78mkHOBD5slRjdlBLTlj5s/Rv7ZIbgu2c/Ziqs2
XxaH3EFUg+rerGqZMPW09cesJJKGq5KOhbxVSFC9asJdTQWFi8eZ4W7u4loXmCRaP3tpmBsA95OB
wYI5hevXmtkiJeFSBQwxrSN+MZNiUXXN4qFLu4IF7YyyLGTDN5ZPdnDR+N0B9iB931x/xlMHJ7fr
hfiF6pBcRFRce3u3wWdjNr2IO6ZGMyIeiCTMvYmDeYaQopgzoJKqw+IDL32fwOjlJZMLdNViMX6J
UmpL+l7avwbbqi+RzSKfU0uzCU8v50TZZ7mUpjv7Gin46k2l6F08jUsG/aLtoJzOiISeJSriSyGD
arwNkRRYXpzzbv1pNi8D/mfiOUkTbPJXH4qtmNoq5hdpJDJ5pWRznOwGCsIX2TagoPtpfW6LmtjY
oESRcHXeefulzij3k9B1mDNkA45WLlJeZtTZGLeg7gyRvm3gTik9JG3oxtXqwLB12Bi33VUvEnMr
PrgiArMDZKTs3bxVyHOiVRs7xr1x7b/bM/nr/FpIPm1msNxWRJDGf0+8+BefhewGekAgjgcncJEA
mb5vrx5XGXJdrLuv61abeo/+H0p85aP+LBJHfgadZtCCvlTH/5iI/q88Gf8jvIxtx//cbvzv1xn/
f0ScXWMQ/3tPxuVjmsuPP20oXn/DPz0Z8d8Ea4lwypgWswz4n5YMgSUD04VgSwijKAuk2A/+acmQ
8d9cdl1cYm2JYoRBgl3nvywZ/BnYJySnTIhs9L/im3lk1vzlvArw5/C34IRIeP+iv+P1/uUhcis1
rSxmkbRYBPV6tOP8SENyiVDZB8DSfQ7TeowdWA2R3jPFQ9NLGOYUhXqp16iKsdF5eNalo7GdbZ4N
vjtr6H7rYWsxuY7kDwxm0ISGeN35y4afY52njxIFA8kbbCNFS/PZ1pvPTkBA47ksR9MF4lZG7M9k
0xQd28KU+3hwvkd27fexCOlA8fU5cXuqOvMyIvBupLlkgcbXpddzUcH91h1dUxRaQkfDF6eP7KGs
DJpoPvzgAmV40ZcfbtmzAOIgPq00aiekhOPaYF+0q0hLtWC6dOtzNIRnx8nOSJUEOGhJnCjcYjXU
7cXFpsFSzty/ZkEbUZTndwO5H5FgAOM086Xua5fOYZ6yYznxEWmmCcThi/s5HnDwLs+x6VyydRnJ
0ROCe85qB/uri/d2m6L9MFxb08HeZuR30ND175upHzsv/00Jv32p4rlg8afF7jB17d0KrnYY30Jb
pUGgUoDr9Cf4FAsSXohKaHsQ61mRc3JNZaePaxFt+b1TxLthdY7hMn8tnOouQjaw7sPa/axcZrKO
vGvx27X1p0vKeErb+DSTeLBKezM0MbRV0OvkDITLrZXzZ5/nR2nveGDsLsur39VSn+Nr+VJRJODf
s3wJGUUCYWNPbamOBWvw1YKn3eGw537YbQlTyfmHmPA3V8FjdM1iZG3qvFn9LcNkuk3++CjZRSB2
/dJP1XQzye0rel3GwxCU9/3kHW1VHS0FuSgeS3zkZpb2XKotjXJ5qTOKXdLojjZsFP+c8W3D57v2
3YkNuj16QEqDXKZ55761a3CEyX5pDc/SslTHseT6HhikNO+BYLFr9aAcdDvDNtcUnNvptoJ2r4k6
Ef1TFernCZt3KAgXVgrSrVzPUFY/GQWE3JeIhso9b8Vd6UXPA4a8Cd7LnIgvbT5Qe1NNRi9zT9hm
lSMFf2z+tveZFW99RNkr/D6VRdbuBUJ/FSl9nqc+zdcwlTbMzwy9szTC/Quqd+e5bXWmf1XYbuvy
PqxJ0mGmXe3jIH+Gwfu168LHSLt3mffI7J95bo/ROE+76m3hNu9GSVqK2P1jfn31SIefNbYjh+Aw
BjfkBsXH0Sd+pr1vwiVt6tdQfaNY3I/sJ0Ch59WcdnTBTI+7HxUPq2yn45i4Rzf61sXHKZmQ4HJo
7Jl095PbHdfaZl/Dqw1/LliGU5g6T529Rlz0Z7WumPMdlu2uMUj6XI/hseuqO1aDUMMlEWrdzF6R
1KwJKTJpuibfVyJ8dwbM4smMl1oH4VeVY8MnXeMxEFPxJAguh1jquFiWxuZeUgAw7+GRjRzJ4Kkm
GkjlZFew7ow8O14QPOylZM6BTtOeW2/G5dzrL1VZ/0YEDQ4mmc0B8Xs5tSy9MLEvHsbrjCImL2Kb
9M8ljD+mCMqZqVNyToj1yB+2unzOC1CA7K1VGDn2ZUyizJQiv9wsvWGcClt9SOzTVuRkI2UWU4mz
W2OZbq1zKYv8uCRIgePEaQz+LqeW9z2Olb60LGrErUzjRr4zQv6qkT/oCV+lvxUEJmEsTpxT4d8s
Ru5nk+waxuVr9ujG2R1TjVOv4rTvvmYJNbUXNie7Dk9U0nsXYTNiZY9oi1Pbv7vmiREiVOaBPQiX
pYjFYSulIrk0qAnRqqenYPpR1eWGK969KdZpShv9mxggtzJgJdj72Tujfptb459G9JoznHSeV1H9
ajfyaxpWejA5+Hi5Qxud1ZZr5gO0t5+zDt7DNXxA/R/u1/rDj5OfZda8OxXS/NUzM7PzNpVXnviu
YHOICcK+MishRmxXXSHCxqWt3A5ZPaUy6FBCwfa48oySxK2n2Jerb+xCVNHKTZKL5NWPylRv8nHO
fQR976ZI3oTXsNorhts2/HTKL10epm3OOCrb7gRswDEhXazaSFFeJg5ZpjBd6/xuivxtyh+Wbfqo
/I6BDrfNatmLilkqayZCJXFnVNPGIuB8rr3p7MXjrlHybizne3rwz+tGG5iJXZCRzFzxCnRU0p18
AU59m9CjjRVu/+0HVixGma58UriZbejcsKl4kPIC3wyDnH8E3HJoEVu3KXtJ2uHJyfJjVOcpSltK
I3oa/PWiTX1wFy/NRXEu0IrQ3fHCeBh79fW+OxEz9Gi6+t6zHpEvzQlhFua7+yxdis3h0vj4Lqoc
p8R+wrgVaoPkNV4cHN5bnByjkj2KdjnyuR1IRrwwlL2RAYuZpMjshFtjRfo+OmxeDMkBzf09L0gM
QVYZq6faweE9BrjdSYtMUcrvGVkwGGzAAGzq1hPDrhc2ZGL6amL2U2p0z0g+6sInsbjnh/BLtZ+y
zsEVBddiXzv6ZDMuzcXhz/Xts6/leMfjtqtM+Gz7+S3xSYTpOtOna8TxuzHpOBUbiJuJCKx9Gc6s
p1Ao/IEg+5kVyUMfGrwE9X005811CnbWobi0sWZSzuB/zVu2e3lxE/tOQgTrp5b1Af+PTTZUM0+6
6Q6Nio5IlD9Gyx2Eg0mdG/3Rq/noaVZ1ZrPnzLqjgX2bhDK7odBduqn6pJla4yIlzk4ekhIPxQKO
fZ+tSHkZLhYm3njbOyf/USVjxA0aL/vGZ0WzL41Dy2k/3S42r63Z/E8Xw1rHcLlA/OiHXxueorTz
q4uqRiL7bNMSFhad1gLxq+rZDnBep7q9tyAm0MGOwpc8rpRs7DydHOPeKrztLruH8OT33eCmOcFZ
usbYar6WffC1D9zjMLAMOaknKF77IZK3rfXum4K/P/beWYnkbM/cY1f3F0yiz5nQuC3Jz6qT+PvK
vWXURsbVwont7V0j8Uip7QU32o2IxIOTsFpb/BSd/XRGdaLufpKtf/Ar/49ahSzF+cRmeWNyX4FP
TP3ZPNiB8mit5GVy5LgfxwXzUsBmbaK+ygG4i/SL6phsy0shgJpR8n1u4ldOrJIUD1j5bpJEYXMk
GDIs0ondY49i+eqeS5TzuMj1Ti/e+4YLM85xxLjVTPNfvTb6TQYMapoz5+NdtLJiMqZq628cywLn
7BJyF2fJH1lT39v6HjUGEW58WLzH2Aa3cc4e/rRemuV+1vbsygG3vx82aZlsxNN2kb4JNixoLGVc
3PWKW2fuplXB4Rr/WLP+cR6pMXqHQKKwAnkSkUlt/JGNLclRYR40hXDIDZOE276eASdIdRsu8bsU
/hOGxC86OsmiuJvC09q+yuBFNT9d0wdpXOnXbGNLZOpmdeg9cu5sHJKaVnwyfDlIlknHwkiWnrbk
UDg1kxOPr7lDjx5Z20QExxFi76N+678nURtRqAWvVrCH2k3JzarFPaf8o+ywBG8m7E9TWaCcWFt2
E7v1GGbBm3OI06vvkmTy2PpoCj5nddWZcK+gahqcQdewKsfb+UJF+6aYMDKEyZuhFt95fb8cr9PW
lhCrYbUHpcTFbsUlCZhZOqa41GyBNy7FAlFVEeFgTsMml+Pkx2TGjxHNvzXD4if8OgFDBOVeVJZ8
4Y39rOcyOefsjNkkeuotudJXR41gfWfNxXxjCoVPIvHul3z7YlHhv6GnJfdN4NZHrewLon9x0cyJ
2mSmAPtRNfbFFE8N5WVlj0t/MxTJbduqJ4+XW0r3Viz1RfTmoMPXGJWvDL74i/iCBTUd1YTFSu0k
+hGsEY76oP61+v74O8m74fc2deVts0mvPeVMvj+3MBqPa1mCAKqDeHjuZ52/e03GB6iwUXx320E8
lIWLm7NVLbL9rKIHD78Ktv5k6B/XcpV3gen0d4vDGJdVfvV84kQAMj3X3uPay5mOw7KC7UccKuOC
rwLjLvtRym0EuYpNdNUtzaRRN3I37g4s6fQ3Ptsnz1zJHeYzES+nwrKvLYP4D15vFgADewvr7Zao
k7Ooi+U2+z/sndlu5Mi2nl/F8D0bJCM4AfZNzplKKaXUrBtCqlIF5yE48+n9UWcfYPeGj+19b6DR
6O6qUitTSTLWP3zLjOSTGI3h1WzKdhOQ5HmbaB8cpV/GeLcKv5SWfk4LzXLs8dGxDfc2NfGcNAUe
KrJDgL9ZimCTcJDeJk0ujqQB+Ia1Lj4r0yhfhr6y99Ir8XuBr+fb1m9xT3Rd46KquZOfne8aF3C5
3Y6MCGPi0GZ7xIHpPq0CtooT+P/AnsPAK2RXnxUx7o1s25ChgJQO/3DoHbc/x7Lsdpyzoqe+ze+k
EzEnFFQDe9hbuzQs5SZoB4WVOo37su7/OCMCfupjTaVVzNG5x4t+s7OkCzdlb/hXd4ihBJKWImVK
VNR7CHMe1WGEkqwGq2OG6ILDaOTuqSy88Z5EOoDRIIbdqZx8K/waAXNUQHmD7Ds0KGMbY4/AHw3V
wcQXWfd+JK9NGOgHmfXilqz9Z1wRXyFRD3CfUe84tTkDsQXfhCZvK294MCR3MN9zCmxBEpIz6IJq
PZp2s00RJ1+iKOxeBu0zn3dGDZHPMv0Ll3T62EzTfFu7tfmOy0C4wzR5aU0we6wA9qZlVAbctnF6
DBZNzuAP6csODCOplW0tR1qu4+Rh2glwA63QIYVfcHyt5WwtNZEpwEcd7yGEyONE+vc6M7TexZi9
MQ69YlDSsECOEkt9ZygeWCvCV/z+JMh2ZREPmlOhxTnEbWX1DpYq0FsON7LYDJotv5spDrM/mZGK
jr6rh8ZgN7CVac/Tzn1mTuqiTQ7PD6xsl/KHCrx9LqGC0SePQ5h+cujG7jAUKh0fOIRhgiX4eHe9
h+G9Bmmg4TR2Ij/hdNhPdVIHElZ/ElAYV0V4FdLDKx9mZREN6NsnmRCPJ2YTzEdSY5N3E7d48cEQ
OyeSYgGZGfIKvxoMKms3yYJVGYRcOI0Uog3IpXj+0HGQHNp8W4Ruyc3Wda0Tdld47foaRChtm5FF
hX54SgMJs0RUUGRHg00Jd3gkPH6oP1vuPgpKjmYCFIE6WEHnFW9dUgU06Cpl54yz9I9WBf7EscL3
82+GpnWHfRj5IdADX8mHeApauYvDJnuJkyouV20VGAxlKs01g9ACo8yyLJrWIlj63eNYWSaJDG6v
q3w0vOJOBemod5Av3DMZKNPf5HkiaIh6/Y6XIPmZQ2O9Eb09dQcmUEGGo7erdNvVvUG+ITfsddFz
oTLL2CZLmWkbs1FjMKJ7FUUjtpLuyltXJPlh6oTF4CUHiCcit8O1zOwk2ZIfAEtaTcGLpBBOyszq
z2HVB1thqOC3NADi1m0CX7KFkio6n3OYSQ7gme7qBsv+qkPpcg1TMyGS1+NaV7pzvtrB12RJ0Sa/
AiXbD505T1kMPaHsO3dlzXm4mmpp3AVJBLMwtPVN5AQbXczzJ8mnDEOzH3AMMj5/m7LpoXMUcXYz
tDo9tyX5LMYb+zcPd79e96j+zz1mG6x+Pys/RNnDo7Fm2/pSTpVxP22mswoYDXz40UtItmT2jB25
mlRPqJjcMLlUnYbmyfM96p9VNoHY6CGSPDpANsx0jh5n2FUXhzcMYQnBzSvTniO+b/dXNWEprEjh
JC8paZrbjqrGZvD9GWh5GBX3HuL5W1p5ZKRxgX9lQo77uR+suwx1dvnoTfPenVp5W5hd/sblqo29
M/T4/VQrzlmH+55UUArcnDiQm1vxm5HG9jvZ6OkYaOxNO5wnDyyMzHYwesnLJWPlPUqPgbiWOb51
qubm1W6zeAPZjecd5x2eN928AHrF3O9I6hNjtmN3HMgy2tl9PRu62SZDqX4DDPfvKlfNDtrUOLlr
gRh4W/PyUQW1eM+MRW8bc/8pFT3nwaIWNBKk3AnlDg/adaNjbrh/XN6ZGu4sW21XjoUDUvrRfKzT
PB+2vlB/bDPS9dJyKo/WzKlplGLE2+2/085GVZlqiDqij/RH4SseWFA0CYkpfvLQ/PO5Ocik5WaK
CY4nzxlxHWNi8pjryunoCNtP7gbNfdgrvQdriJ9q0cgtuRq73bmFBEhuzvHR7JrpNers6q0CcXyI
J8phhnaya0NM5y0kqvGlx9g+tIapT4a09bWtR3nvu5XxSESlOzVWjvFYxvM+5OWc6yDl1ufqiO4C
yukfr2qouLvOuGeNuzq00LE5y0UYi+OU5RurtfRbJsLvMRPOXTpL82NQZKmzse4OfZ5Qp4eY8VJo
OkGk+8uHtGzNSxyoDwwoBTlIutbBrMlWmqqAtTRYDHa6hXczRnZ5adIsZDfsTBizRSW8eDUjh6lK
PnZTBowozarnwKZzN5kwuns89U5mKQQHxGoVB9bZnBULlVojkChKRfjuGDUoHzg8q3KueWYBhxri
xrqZfVkcZjv4nQgd3/qumT3hGAHT9/MiR9JGA6nTsOVaHW37IrX7q26JwJAKTd6rmJMUrB+O3ttg
GuRw8YO8q/YB4bk/jA/xEoiW3Do6yDGHyQAssBrDpvtUxH6eJp4jO1uZHqUybfIAG8wHBuPG31qx
ruf9jzHzb3lUT2XOX//jbz7T39Gb/7U59TcLa/9d3n3m382/fqm/fWUwnv/47jaf7eff/gVycdxO
D9TLpus33aT257ugm7D8zv/XX/xv3z9f5Wmqvv/nf/8F26VdvpqKy78jMyXm4f/BwVqOI5/Fv5pY
/Jl/mFjuXz6oTA+7yZeOZwp+5T+KxYuLhY3jUklwPJuIJSXJ/3Sx3L+wqBBFccOJ9v5TrVj85f/s
H1qW99DGsf1/q1a8/P6/e+747VyCpsMuTZ++8r+yA33LatFzm35j4c8/dV7U4GtE02tSptz1ajSb
JeoQb8RMPs0UtQcifvbUx5gUL7BoABVU5odNGGU7usD1EWyb+DJ5YIJytvA8dTlB3sg1zb0XdfMW
0y7aDYbhgsuvSheLXdDwSpxOvRpB554aMCPboaRo1Ee4AQHekhMF323HsWCseDBMzArrWHj5I3k/
cvTzGO84iQF4GQbnPs+G5CauyAOtLAwm8oZdcWI//EQFcQlbe8j0cEZK+xoTYzvYRpv/9oIqB34V
jNEHoAe01XzYCcqpS68uynl9Y99uA18XezvK2narh0E9ek2zkI16DngqtYsj2SOOm21kIc5BkjJp
iNwN3igfKqHUnyEa9RXnqbpNZ2WvSGTobZBYt8oS5EGiDcn9fVK8V3ZzVcDwInwpPxrlOh8FWhwH
OLgMZHUm7L+9jaKFOTZvICVS8etMEj5jN1+zwllbNtNwSZJgNdbJq6WK+1xN97PqNlHFkzTt8vUc
dxuadHcqIxjhBLvQQk0SghiUdn9zMMJ8HD+cHGY5kmAU2M5Ha7J5sCDjuXAwvvppNsgem98+TxAq
KxGnuuJ9kAFuIJ+DphHXPrR3tUnXzk2jV7Ma/+QxEXfEL+oXPD941ykaNq5brBI5nCqZn7g8rHVN
/GgdZfNxDsO9Yg4jkN8AlBMtzHOO/3MdEGwxhr1VmcUVjD0HxZ79yqVHCVbcE0U7F5qyadXOb6M9
vEKEf+6b6ZeTTixEgBljiHBn9Fa9iQvb2BgU1W/MoFAHwymPiHfEaBeajVOVS+hZrSIfYzUNrDur
KrpNmnvnknrX2u1kcpdabJUwi6Kg+4LzUcX+sBYZey5Sbv6OTdWO088qEu6uUtCMRIe9Ofsv8Whv
5pR2ojONX/huzhnn8Nlv/KcgTj8oLgD5n3JaCPGzSw0TotOv0IrXpFrGoTmYU3KHSrmWHm94mVUb
thoCmgsQiX3K1ps6mKGDJANSQEu/wkpCPi11+F3k6alqXge3P6VVMSLLZd6pn7L+Zpgh55siek/T
Hnur9OfT1NvhOZ7Lr8xy0q+WBMnGsH11E7o11l0OXl93ENkij89RN4XWm1+NyTrrBIs3ysi4mhTn
DnnSoFCbnL1tLBrHRkAqWcYdcWLP1Jam5WOBi6g7eTbD8tplllwboj+iVZ9UaP4pXLSn0PHllsNe
vO2yFFuNcmI5OqRlOCddlOCk3Oe4o6FXP3aZo7Z+hVbN7X5ajQQbSXdPZ2t02l3iW1jxfpO8DwXr
lkV5pfO/Yn69oBqsNNqiGTxmKbYcWw9w/XZ5bjiHMLBg/nHRE24ZqZlYulrrnm0rlmOde8HOQj9B
SCU/F1U3HIjAcMnHRmkLBFDl3Poiw/hVebubVPQEliH8lDVHsbiPb7poJrvYJShA/VGlSU2frT1F
NQNNmhB/zHOLS8d9yXXy4tj53qrLnRLypObPRTbzZBzsCe1OOySNdwI1v4l0HycYdu19UnCC5pwb
n6EwpRsEp484Kiey3eqh6vlMk/ibtzPm+lorWvT2WMV72jSg54wHqxnkZppoDCfaPWF6Voc8Qv8l
ap7Gc7fNXHklDLbpZbR2QQ8ZM9FDI/c4JleZeye78Jx7O35Qb9nMBgHTfpAzELYaf3MLImFrWrdT
cTSJyIdzeNVjtp1Tso95RTFPk5GiIhgpYIi3hKtXVkKot0KvbWjlcqPpHWvP0mn6TNNzzKIQMzc4
y91awQf0r8wzT1JMX3bV3HgwFNsse8wHgFZl8xQDX3I4e8kkvJVp8BBUFqOMqVed/hoV7z3rGciD
oSHLQz06D9EYnQ2PICmTKh+7KbNPPENYnu3HxbVMluUaxcDs7RXOrU5biHGizFlPAqltMjWjRtxF
MUE6t/6eKFJte8Mt33AbDCwpEhuDY05vY5o1RDNsirZq8u66Vv5qAS4QmUWDjoaMzo+u3McpD2bk
DIV8lo27BGynH9cYbeMMdtFwf4VCbsLa9A+V0VNBiMgzhqO1dWUz8Vwtfgd2yv9/MCjLVwRSsvZj
yjomWCfM9llA9CmMuxNFEVBLAbENYA0flBK7Te/H+qU1ymVTgahOcQdYSMZYmkAO7ccymuhb9xaX
AsnIqzQoxq3c0XgWQ/ILRZaQYDKlJwaCe6Nor7lmA0UatepsD2mxL3qPrSitOd3GqVcifgATqGb3
Zoyi+b6sg5uSZNw71Cx301R4AOaEAMc9KzaDey9OGu5PCSJDPT7VGfjD1jPIbvklwWoV+ewymD+H
AVUpZCqVFVYHdS5aIPowdkLvip46UWSGJj6W+zwSDdsqF85CZkQUmFWhtpLwG37UlDyUzQKyY6fR
HapD+0Ja7DmC/zVBeOh5KKepzyIKr15TUItuOCFtAtcFe+nJM+W5J9redzkLFTjn/HY8yqWelw4b
G+f4RmfDS23VXIuaj781DbfFoFZBA7U7Ng/UGXk0Jts0w8UZ5/Yaew4JlHTd1/ZBKYhStpL0XdId
QbtLxKqONFLb0tIPbU2gtOwmY0OcvV4XUlH+ZvdMlGP05cG4m/OH0rFWcd4drVRbK12E6doCz9XD
Cky8dGt2tIB9YezkmHeXbjBv/NptELcb3uOYQ1gcUlr5RLbcdz65fYfNPaV5S5+QCkTwiDW+s4b8
UBTDL48Ix1hrArEj/hnbI1R5KhtxCAQ2jmLNJCkNMplpaT/M05Y3AGf1tjftdTlgrDJQw4PYZUhD
/ThsAprBbtJ+i0HhiVe/0CTWyh03dpdeAMmCiZs2DoUHv0+faqAGXnVLE+nWyP/UFXd75kOjeMnK
fey2Byc0bgx7vID3fWDzVJiNF8zIddtRpUcwqqtx7QRf7BVaR3zQ0jqYLnbdnHVcr1zi7yv6ELd+
/9RWBUSDbh9I8g00P3a5O935wbilpHSxyDo7qFM8t9YFxnQ4vCVN/0RBeNUOrFXrnIt05n3q2McI
OKPJcWfkUNsI47iEPRqWajz3YkDCIn+T3cdNtneoCRGntLnm0vVYB1d7lhuVtnzA5aUyhLWPC/da
Orm3jX1numfnerMXbeK/qnHRxjMy6ZylWSJhXgY+45uRNPY10UJvReXeDyzMXZmUt7cpF/WjO6Fb
Q0IDKphPGHu1H5+aOZ33g7vo+ijLj2HZFOdQN2o7B3Lrs9nIKsaT4uovnPkKYWZgTEVxENjvA8EO
npCkiHcFDGKyrWxBnt+M9tYf9M4e3D3ckQ0ZFE7z2b2Gk9PTwulta5O7PivGbt32qu3wPoBq6EAg
dwe0uVTFh1YaO07Bm7R+NFPrnqPP3hLZtlM8YJFEgQ8Gq5i6lmnmF9ZfPzfRw4CH4i5LaxpRGy+5
iOutbzjJSGoq7ta1Aqtq1jU/3ymdaI0uQ3T1M1CXjNZ6mbHFz7g9L5P3Ur15mpZpfP4ZzEk3RIf+
Z1zvf0b3cJnig5+BPvwZ7skjMejXP0O/H9nJu16UAAdJIFi0ARS5RSZYFIP2RzyYFx2BYG2G1oS2
QCDyNxdLeaCVZd3kiwJRLVLEokkEE0MPjdrgvfiRLAhQD6to0TEgNLmcJWXy6i27XQKbNVRGxF2k
leUzT7jpQNhC3BoE8XfdopTQawqpBzRBvba0RklZNJX5R15hpuBkuWguwaK+tGFo4Ci04TuhOfOC
pMXyhEWvqRflhg76xAyDmjP+6DqLwjMtWk+O6GMv6s+06ECsg0ES6hZ1KF10IrkoRmSw3Ld8UZEg
+iAo6UVbMhaVKRyqed8uypMK0aDMIQgfMQXkvWfU+totWhXJIfvQpUX/BUczf/PMNrvGjiN2Wefk
h8wpqzcTR/OVD3p8jJvR3yWutNpdJVDJTOSyonAehggbJnOAWdyVi6qW/Ahs1qK16UV1gwSAAJct
WhxH61av2CaAROc1WQOfAokIug8aXvYj5/UIe60YYcovWl+2qH7iRwAMkAL1jyjI+XVmjkQpbPsC
0dD7ERDDVP7pnSk6ekM3cL9CZ6RzTilumuhJZLP/lC96JNaKeNeLRgnVySM4sQQ4WhgKzoFygH+X
Lsqm/hE5vUXvFD/SZ/0jg5Ji7Xd5gau2D1HiGZ0XzdRa1FN/zshFdnXMYXJRV9NFZy1+JFdkxGwn
/kOI7Y3mhmrodFRI8u/eothCNJv3hkX5wsHHpySEtc4QzRs2BJWxLxflF/tI8phGDY5mshUrQ+UW
nw3UYvmjGy8KMt9B9+YsqvL4IzD3i9acLaqzt+jP0Y8UrWLdX3trxjWCONs/uYtqbS76dQo157EN
1d6brPqx/pG52YaC5N0s6jezNUJ4rWfT4D7ccNCB9IlWngtzNSDYoMEzRyhJLmoUhfXF851FhMGi
uevGjHm3dVQ+8xHkJBAasf17RNcnBxOlZ+yp7KZadHyy+DZn/EXcZzFHmm179PXPGPG/91p9M2Y+
aQDZGnejFYOltWp3NTqcw4rQfhrpcH8MYe5/VXWNvZB1hvyK49JJ9363FAmMzHSBMfhXC3NiXlwK
WK8YFkFtljd1qthqsfgZAG6D3xj3AcdD3Z+lLswjXPHgpa8c+95o7O7FjkDQrpNuin6bjBZvwDn0
prZTb2fKhMdQRUnPr5RDlt/u/G4FMrba+D3K+lqS87LBa7htekhhQUw79GbohQOFXpZzz4P/LPB9
WYSXlm50nzW8Y2+NmSMuxbPmZXGypIhryOTDFIJTtEikeh7lyAY2Pux3TajGZ8Pvhjshg/I4NHFz
BmsyHL1cUYjnSvSXqcdF2K9H61Q40/AocwdI8NQa9RcfOwJqOsva13EgpTo0TWNxiS4jP9echTN0
lB2eM/2R4sWCHLGNQUl8piHVUEfn3bPt5/qroKZ1aYNEP1p18hFEbnUX41ljs7o+3/MUxmZ66WyH
E2ViDubnnNd+vZN+D2p0LmMinHJO1sBXymfltgZVk7q3NqIOYFZ6RHAoCCbnIOE2VU1x/mT0GT41
Oxtu8CKjMw/rXyWp113uN29G4764LXHjptT2I3kdSrrSZ80Z1VBoRK1s94Gd10/TwNWCaDecsAeg
XLfRrW3H7QHGJJ/tAeKOITNxFxQQUUqZRbtWiv6byvgu7Ly3tHVfqbzACbWq6dfUgVcZU4NTrl86
vC57vDW82Dp1RouPWgTyEiqWGJZVeBqSqt+zAOLT66wXRr0Aja5bcNbxPQM0B9Moc9aznedX20nH
IzNUsyq45i9z1LV3tlU7xz43nSNTWbnHLDfvUqjUD4nZm6fJTqznxM6OeeOycUDleXgLcCv8Vu7S
xhJRSGRe5BuoWJR68ijI1gKR9aZwhsNs5UVLcqAWH22rQxLEpBuLEkC9dqcH29V8ASkS+CNmxpJf
DuxHN8s0DWaF8zi3OAN+YW/dXNfxukkCk8WMUHbB2vAk3NqhywK6MQ/FppnL8huemHEx+1mSoTNz
0gd5y/jEvrXCMNifyZyEH9z5vr5YVUVkVQKbsufUfYSfyhCZa2LKTdVHNwAaIlYr+5JtpXNuBhjD
EKBJWaZn4HWcWWizvjlBt/OnaecVaAftTW+qDQy2ldXngMDKI98WyTefydq6Amc8jViK1ejRsmO6
aj16N+yfFN1Wh/6hCJObAS6XGYkrgRMywMUaas0mt4AekPVWkNJrhrW0HgHIWfd1BwUuOaUthOh6
vnH9fk+t+lhTU6L0ShrNOKt6b/CpHKbyDL1xS+QFGrB5DmvWnRjfBjL42vLFW2Mbe4C0HYW0R4L8
l84ioRBL85Muk4NIpE+tiKg3aQcaAXNTXf6CgzashtT7cBIc85lneehmnOYJkUlElHbfKIudFaCb
ECW4T1jEGjtC25a5H7n+ksogEyxoPFH2jMsHTXwsCoZLWz7ZzRAA4s/3qWX/yYYaIHJegh+LLZZC
UFWqDbQO1n6cMne672cWkJqUVXGgU4yiiRV7QnQSdk57sMfyO7aI7vQePKie1vBee/b9RJwqbetm
HdfTMdbxW+i3VKL6iQ14lfqTdbnPG0lWkH86VBRwVzA5X5n5iVkS2BaOscJptphCmRUePHZEEIhD
YXNZCrHxLR6v51ryjos5JjRBbQxnOayG287jaIOiVt8nCWtoJIEjHpAsTSnYkEVkK20aSgLl48jL
ZS6ZXybDIvH0Ty7J/4bZ+a8ESCll4Ds0ZxxfCBtU5t8JkDBF7Knilripi2544TjIkWr0aHVKqJnK
BMT28//7//bV/9W+ohz1X9tXj1nZf6b/6l7xR/7hXtl/ORhTPut2MIcWL+o/3SsLX4tkPfvhPDZs
B77kB/gP90oGfwEaFXSj6NbRibT42f+jgyW9v/gvFpYqwUbsA+/f8q9oKP2LfQWqkmqxFUi6Xj6t
0aVS+k8VrGpW3txrdkQKZ55y9OSZ/bAOzJ+rP2r3OhRu5JHrEKraUpVYsAgg9E3EyEQ98PL8Y2E1
4AD8gWIkO5lT+ZCnA+qh4z/RUNUHkdj6kRwCd7dCNDC2cr94rWtRGiSGCdzFZDDDGJWeR6MobrpY
1OxlMcZTG/Tywy1lcwV3eIpjrTYj3rpB5M/NnkbUkHMQVdGZ5ul+dllrpBJdfHFmoRUETe22aUDr
UEMe70fE/XPBuuRzYudw4EU0zRddK/eWmQ5jpdEpD4vW+N3+zBaG1zyZTKaKCSJvTmZry31vG+WB
ltedXfTN3qMo/4uTlL+jf6ZZDp1XG35xfhWhxyPTtsz2tmLX111ROcO+0Rkuy9CQO2eypCylomeX
YifhmTzyyTc50ATrmiO1bBGrOFSyI1YLMF2U+S/CyNoHA4t9UxhFjEgTZcUOWbtYN7ZCWDepqkUE
HG5mTdt5Ksf2GnZ++NCEzqdHIYC3S75Id8ZfijK5D4ZJbWp/cu8T3XWXUGYISXo6A7Dh7j3DPWQ3
aWPuVeERfh2TYWMYGaKfZgSuq/7JAW66qRoZ/p4KU+5zkT+SCMvw99r2d0yZj8ZEZLUPHorLltwg
llQ7sHOgarJHDIzpkiekgS0Ihdcoq8di0831my+S9OgTSTpFhjNdEMiE2KY+skdMiY3DknduiH/u
+1rkF9ArA2uQ4W+uO3vQh9CnQ1LS9X7MBsoGMWsgAORYvIe5a+56U2DeUTvZFHkw3JNblSyq0M0u
6R1qQ0RCfyclWjE/gJpTPdwIBnFIRH1K8ZkY5rCrWSIVX2QagXixR/QY/j6fLGUWZ0pK875smUhc
zd5ZCluYJ8IwL1YwsauGXTIryHQms2ZVsMl92ceLIbOncRGzI6XCsBBj9CgHo3iq7b5ia6saDySi
4qutfPdrHkcGCLJRl0rpE2ONfRzlVC0bgMjNp0ZzW88Bpw83NyH2pRaQfy+80LeEc58219HN2GM3
wkpWbsIhGyNirepY0Lo2NEG7GDksc1i/0LBd4tCzLnqd+POzbhV4trgxYNUURXlDN4WOm9Xxu0np
2G9hFzR7tGHKZ4JzSd5GbOa2/DanGNCo+TLKmLHKAi6yiiwOM9o2xEa43QCqOI3qG9bsdK+BP2Vb
eK4DO1us8iFmLtxlZZHsXFW5bMrqfHFvuIDSgsgyn0p/xE7keL3iAA8naPkysre4Gq0cD6AA1K+o
TaFXSXUjU6f+FXXVbViysWQez0LU7qsx5OYlx8AnTKQhLYYV4vGQdru+ZuG1N1INkA38ABpA/t43
qnzPskuUr6z8BW934f6zwqMFArstzGgjfPVOEZv1EZneu/P8CHpu5yUfbe0+Qp4JNpiqa7Lip7BN
q0M7S/kqhjuCvMHOaqDCVZN+j6v0GerVjQ07heOWP+EdicdyYMSJ2DTuzfolqhNKK5n70ijzoygf
OuGjIEsOjIkVwHX1FeEqpHe3CTiDSpW9JHM43auaYYlIDAeRThVfIIL6bdub3ZXlIzu7Y++Chtga
NO0xmsXD0J7hLP+mNcGx2b4pUr7HCU4oTcI1NMMj+8KncaPZNmaWv0QN55DqjxnWe1sQrSzY6zLP
X4MTfrPD6ZabBT9xq93ObS9w3cpvGKp49OBfzhLlYgc66KZxhD721n2vHPFOggAcshfwnUXBjWRH
l2vPd2OWJI+6duDRsZFjBvD8yy9H8SISS154ebW7sZf8Ecu9/VdznqIvVoo776bwvVuTPU4AxFS7
00Rg9mZVkGoDlfvqdNz88P4FcdqhS26oqGYPHdu313knynLTO8g/donrttKDPRLHdcZ1EdHi416i
kHBshs4t4AWXYHR0GAYZ0vkMxV1UFiCipEt/JKz0trJgJGT8wRVb3tifMY+Geon8ITjiwSd3WauJ
u2tOzUOVsfLYTGuClyGpgL6aT3nEZ2bt+DyYCh7Jj8Vyjwuwm979YQBtCgUL7KHsyYQoA1XEUesm
zCdaozR4RlYmcqMg0BcGZk8vOa4JPcmAqgjRNHqz4S8XEsqfoGqXVduGte8rtDBdNRYIr7JLIMVW
8XaRJ+5ju7ZODOv1icUY7Lux5zcUd/VcUsI42uTuYaiWLfA6QC1556gNQX61bVmSSxN7qTPPQ0pZ
AFIppV1r3E6cQ3iiJryZrYHS7aodN2zwvsCW1kPHvRIEHmUiL/M1q8NEDgei0Ie+T9SaB8W8rrNR
DzgAcfZeVxGmWQR1is1A4A9pPSQvdm2X/spVZX5DIrWid8EjvO+MckPeZAKCAyuxVkdcmGfpVvWK
R6V3MjqXHXUxabis6gjphfoAn8hb6bKhcp1NEx5vEN+5iXgZXGJu+eQ4gDl79o3HNet5GlLy82yo
82Dfed1d0TnWycuCHLlPsWYvzgUzpah2I/t+n9Gp7dc8LSxOC4F51kvnC9LdBKKvaKha24ppk5nV
7RMTlZJonRbpp91y1VPKh0Fl2gzBVH9T+npsTrcBkjKV4ne9eYIYRe2F2Z0Jn5lIefVI1yDZB40F
Q24sPvwyQY1VsbMSrP7YyppLCO3te2LAOcauiPZR5p1nConjLKf9UA9MxB27spBm1DEyqxfQhQBz
PFBhNVTzXR5yuzYs4kjVUJLfS8UznNt0W/bZ+0w6em/FifhFVrfZDBxfLoUnnF1Xm8mTA+ZoByiM
ME3boQvHs7jp0oEDCgDOFiUTeX0pcRrVUJzbdJ63NvGwlbZjgxtr+VkPHXM8AHHjM2sABk+ZJMJi
cNtbDy3LssgdNePR6akcVmT5do0Tf4+FjLeFXWdnWsyL79SCo8k4kWLRYqybYOPZtBNcQngoL1lt
+VcwOZQwq4qRPDSnbWtqvZ0wTjc+i8BgkyYDP0Bh3RqlzF9JsvCrWU6mP8VH9d3c3sVjRboLM9H+
tAfbWmUcjvmbsDC1Uhe9UZKQtnCPZVZ/KABhcJGx/eC8sbJonjsWONacV9mZFKYR6tjkHMfBACao
aL6sgQZtgIF2RzzN9KsKs4k8iKn3wi3y30DUxm0EeWwnKu8FJTPNV/nUFZupr9Vi08wkWwvmaiZl
Ls8gPYMIO2WQHzf2IvUFWAljNZsn34vTg/AAlbeObbBlMRyfKoznPZy5jlUA1D4UufN9wpP/JHzc
417NBws2OukPTfK8TBybjoI+/y/yzmtHcnS9sk/EBr25ZdAEw6c3N0Raeu/59LPYR31GLUiCpIvB
DAboPp2nqjKLGRnk/5m910Z7AhRJmzhJW9aMcMu8Qkzic1WKz4jlBXdoDQQcs4URBrKhU4cE/fDq
fy9hLZziSotICoIOiionDZikfXYDpPwYu7KdCAjMFGPGsrtMVe3ka01IWpWZ8jssRAGFrUxiFox+
tTloEyRJGxZ8epbSCsdoH+s9a+TWiF7GnIm1zU1UYqMvASdAQJJ5CqfmWTRynX1n9VmBzbvTpqwI
5MqgVF2U/CqIMwAleWQck4m1qcOts77I9bEzxIsPvWLWrJ8RuR4YLlIgRv20YW1AUxfF+siEgOGp
nlHO6gpIQFYEWehEZowPbEk00j6EquTWB3KDzTQTPyKqt+dlzqoHdmRWgBqmv7U6w1TURaoIv1cf
kdXkbUjwZy5WTeHkXWL2NiJ0aaKE07qFVAHZwkPY9u1hUcT6qODDezbwUmLnmRuwNGZqvI2GGj/G
yOW3G0rCTl+KRnqQmXfCWEDc7pK7EePntKTiXYwG/lIlSzBQ9HK5CBd9ibt3ZAihP2Y6BjHkyc24
q3OD6VOTGwQWkD+QmuQyNbwn9+G6vjW4ADw1boFKkINFxquCF1GGn7omrWlDHAMyO1uNK1TUBSzv
mkAqC+lLhPuF5TrWJTcVNco65nr5WVqy7JCEQ8zqrjTly9T3XcCCY/g1JaV8MceJ7CPmrRmoXKIM
qKcbbtzY1DCtSmr4aMg6rccaH+g222vDHgI1h6yILoUAnkZM2ezQy/khHiCa9eEin+gZ+ysrF+1n
KIvyu0UX/rC24vKw2cDQ6skNZ1Khlb8khjTHtBOUxw3c6DRrLgSABb8LUw5RZfVEgsbQSVsOIRmU
L36r/mSFMbluqZiPl1SagUDrsLVCoi/NwVE7Nb4Xcw6TZikXL6vqVNgD+rUeaRlD3tHAj86CmS4S
tCCluNfTtifOrCyN97GcBsAONWOjtqrAwqpLHI1Hetcy8VQrDL3/szOk/yvVzcQZ/cfjodMw/xSf
1dBGf2f08En/GBDpf2gySnsCgZjlcAYqaJX/IW/W/jAUVMWAeKwN5qWL/M5f8mbxD4lAJShtuqGR
imLx5f4aEFmb8pmvZRmWajGN/W8NiJRNQ/03ppikcg0a633ZZLyLPe3vAyJ6g5g0AQYJctfD8Rxm
zsItdtCq8varqTe4So1qJcbpf7dYWFC1RlB4p6aFE0uoFMdsLdwubBObu1gG5GuZz9gGPrVu7f1V
mvA7Y6WyrQgyT6F/1Eb4XLXqGwaRXdwohscd+avI+qOIW9/WmX7YUoywTWZCsuupDzABHYwFc6Fg
fqsqHlmY5E0wQyyxcWUYjm6yyZXlXDiW1oIaOA4/G/C+b6zPFxRCcfIwTwlWiYjac0WbcO6lkAAT
fcEOEKGRHQuZpq+v0I3UCHmWslvR70qiE1eFekUMZe1DfZpPVjsRhUo17LDu9w1leTLL8D0qmGpk
cnYX46KMbJGrJBp1bPxUQ+Q1CPBGssTQ6UCkdwMMixyns48l5suI5/xg9VCei66CIBseUTRDjo0U
kwCi4lNLJsVPeoJnSzjuXirTwU6dvnriqvR44PG2M6/pwBhw4FcFoS46BJCp5zE9TkmPES/uD/OM
fKnrzfe6A7ZNbSd/VmI6E1qCAX6vygUeK6i+2znCenIynkoeQHbJxuacsxnc1TIy3lSR0UEJ0L4X
xMeFKZw2V4cHnqG5TBUrst6khE+WBSWSXN7H6gy+FOEsATw65LJEPnMmpVxoi6YqiaHUzB0Etrp9
VhYZsWOzUGc3mM0Tq3lSUqSFaoQ1naXdsz5Uj+IYmjsTUR8KvvG5rvvey6TlrE2sKKd6Hi64Qxti
jRcSRxODDXCMzgsEGZGtWGFVyOdUYeNLP1Wmo8rNQycRprx047lXB5wqjECQsQEsxO/m1cQHsp2F
wWSS/wP5uw+lk9b08GKkIqHLjC/rGMIACeVPccE+hk+SV4+g0loV3wYd6nkmE4mKLsPhSXDMqW7Z
uC+crRbL8TEhaLlcrxDQn1ZT50muY7KaBTLAtJe8EUKvDxEBLZrJkTPK0E3rud21Mhu1QhlQzdXi
3lRiSuVQ/Y4mLSdbZHrRWcuzrBWFIO7AI+Vm2rlWO7y1SvRYx1Bv8OWM+yTCQ6jEsW8q8LgWKFhy
Z+4lBUCpENZ6UDWGPHPlGHpxtpcusyBsrPXcBWIpEaqRtG+dQceCjW0D/Rjhnk14hJ1oPBBhNO/J
EgrE1DT3pPP4NdY7f+T99SL27WdPC+xIePydavshRLEyebrQLF4ymu/iEH2ZY4OgqyDPBjEngcqQ
+zuuCVUeeyBpwAYRG1xnPuaXGhvCblV5oavOOGaDZAUj6SynGabxoStl5oA4wZxUqwhfnmNcZVLy
zjMh3sWMpGgpocRLevbSmm3uJSpFttFND4qWviXJ5PZrTWaiPCo+m7TcCWNwdyPD4IBnIz7rjqkP
edkr6SdNDMqPvbZnCj0r8NVdTGRD/YpKwyxrZQ+QNvGamqIiwvHCq5ap94vRaY9GWZrY76iAhzVH
JIovSmYPuRzBEAcdw/QNQEb2bB6vtpx1JZip5E6UlaNcTjxVhIT24gNV3XzfRLQ4Si3vhNxoUWxi
WrVW5qmT3F+saPnEGZz5AuNUc6eF4XccEUbS1PybGE/gIwaGhTAI5Sikwh7Wp6E0PsewOOXUc6wN
I92mo1S8MGxeGOxkeKfiPcMjALCN+IkuV/ExqBLAlKehF1K65W0P5FEYlmPKrM6ZptHi9uF6pJ4E
KRzcPxkNjC3m6JRMZTzP8vxdLVusRZJDb+sQ/ESJ4TLN+p+wA/+/9GVtPL7/uHKh9fr4qv5WtWyf
8I+qxfhDJbYHt5Gp6Wy1JIUC5B9VC78jWiL4bWMjBaqyZP2zalGVPwxNwpRlSFQ0RA3i5PqrauG3
ZPWfAZGbyesvQ9q/rELxsmGAw6D276xGcXn9vWqRRVPWFFVmRyaTIyjL/6ZqMWLQVeG4jJB47ghk
h89yvNMcTOceXYcz7s+L4QwivfSDuRMPk1s6hZ/4xnVdvJUkxmmxj88REzSMv77i9y7VOLrz1j4M
Hs/u1Jtel712YK56QHCn6QeRMHN6lMtz56LY3Bd7wzW9tT0tCFtqxS30vVw8E2lV7BSKF/J+WAbZ
xXnU7mukmlwYtYg3snN2Zw/tZ/SuOcPubuAq7hAAu5aT+3Ggu7GfOBA2jzHojJ2+nIYjK6HBfh5s
aNAX+S4PYH8f8OB78qE+6b7s1472dhQcIrsJWxVf1H17yF35E4GKO+yfp53wQMaUvf0NFP/GFc21
cgo90D0gFcT78U0+s2ex78Jd50pXKIua/Xy4e3627PNx+z9MHU550Lnv6q6yOXhOdPr2csjAINhH
hg72q/f4GNmfs1OfyE90i3uoJ3b23NRYHHiMG/ZR9Mlg4ccBpsuy7OE59kr83Xxtw35P7EdeKzsN
eqfn1+AUfVm2YOs7w7Q/yatwsvveYUJy4jl6Wax0lzxJ1BgJInQ/pVwdcL0YJaKWu+Zr9cWAYfwR
QiGDmErx4KwiM45O2l1yi3a13+2R7rFfGu2oQ/btylckrUN34B/dvE7GrX1dvdwxneQUBbwPnhlq
2pqjv+cHMtwY8kmc/I5h7Mrp1jg5ki9Y+N0ONM0n0FiED8NPfaXVVH80r7kjFsrPnf6Lxh04zbFM
+LEpWvA+lyjOdrisFn7W42yvP+MZ+E/mQx7u/My2XkqGl6MtPil8N7xw53EXym77HgVz7mRxwFM2
Dm5lHLy1cxD/DlswkK1ToniMZ49iwDbm1L4t7xMuN2YzOW2mbTX7GLUXKI4e1cvko5Bg50aQ+Piy
Rjstv1h3sBIddpIv9Tk+yWfloT1N/vCkGzfh02IsQk4euz6e6eJO4QPxkF1iR7hiLNilAuZCVyQ+
7VRhFNE8IBqiueNjonWgGpBINJ2MANXCigUvdtmfLKUrS2c4HDj/E3LffkEeIQyk0Jg0r34cPkAR
w0bCo8zVB9NyGCge4j2ArUN8SwOsRQOfFN7xJZ1PCHr27XY6cP2ACB4aB5UeXigbthSRANCeH8vR
JlMt4bT61d/1c3GMfQtaNTXsTnCVQ+ax56I2pWx0ta+OzzYdyXeIJCBjchdiL7qrtqGFDYkQecr8
yruuYbX9It1A0GtveOXs8EH8Sj2bSs8e/WGvnkEDUiJw9n7xjVl26cXe4N2WvWzZ5DIe8Qfw6lBj
jU50Ua7hk+BlznYHi8oTpvPMAcTWfXJdTIjKXf2q8dwwduNreJfeouP8jTej+RE+cWGyrpE3vbbX
QGv2y+ilgRS5sJ13pP1yLj115y0uiZuJ3Qerc6097fgp2N2Z2yY5pt/ZRT9shJCP0mFS8AN+jAzQ
aWe+5Z+FYLd7+e0Wna0PBXwJIWQ3+V65JRZ1OnXX27oETOzuUGW9maeaEVJU2dNgf4lY9s/m1V13
hm++hrZwLk7jjmD4T/kWKPe+sZMu8a9yMW/oEtzlQTlcmiDdV57UYFS5N7IAzh1r7ZZvqL3UbBr3
jG+d1P34iPcpLOhAtB/ifXU7pK6ye3FrO7Yvi+Nq9FfuF0mmDluTb/nER7boqK/lx5vCw5wmhzQj
r3cHZ/LiDxSktsmvELTpzm6+R3HnTqeL7Em7C/ixZ4yn6nU98C0AJdkVQXUanN41r1Ug8kfQGtmY
4nY6ukTb4s9YPgmG+UU7TA4XxD8vJwIEkGHt6U8sJVAxQ55B7wdqeOh/Nc3mw/z3zfD/vIpL/wz3
szsCWbPzZ8NFqlsBxIepcGpOcGtp68iGs8ffVD50Tpkz0rTX3eJRqw38h6z0gA9Plj9STWkcVaDo
2Zhe0Y/ndi/5w+INDp9D3rifax5AkpUEGt6e4ln9ivB71ZoHZOSm+W/CWeJ7wNXPVJrmyedd6Rg+
KfLOh/LxBGH08LDb/woBrk/5CDDee7owqtVgwJq29qHtsqDl3DTOEqrq3XJLeIkGr3EaR/G3f3tX
uMPOIbxzxnL5hk/hHz2WH1mx6yy/O3FR5ivV/mU6iajuENbb8dlq3vGWCt+j6hi9A2Q3QU3p3qGe
nji+cn9JYCfuVdL7OA9zLhnfE6BGtgO1sFdAhjpSL+7U6qBbwv8ATf1fKC//XzL0A37+TwpHCrSP
8vtvheP2Cf+ih1L/kFTNQAtFDajLhAT+VThK/I4sW0SHb156CWb1PwtHTd0QAIpkIXejmqND+9+F
IwniooyGajP1Mzzjs/5NofifFY58RZRaf5t3EVROYQozGz8/MF+Tv+pfC6IMSVCjDSxA4ks72+WI
uECVx3f0IpcEA8JPg3rDbcnuUwXcMbLGozWNXBQ6mV0WA1LIhb1WVhEGkLCAjeODJiVOWT5gK39e
rQp80zZIJmhqsXAYhFANte4wAwGNsukCJpHbfw0mcTlEdZPvkxocdjQzbMJ33za/MDl/507DDSTD
OZOLsySkDMS0u4IghLaR9iTvHHELfgj14NfddJKH6B7py1FVYF8SSwjLo2IA1v8k2vIb60rQlzUb
dB4ZgwxElr2QPrhNgdVsDt0+Mb+tzUEn68NDaY6vTN5AEWe+mE6/egGhMck8oD/vTUsSXVIeklx6
ylc1GFtxo59OCF7WAMVPy/AMcc4STzeyl46s7Qkkwciyhv3kaiUS4wXlOJnUO2wlRzZVT2GXecuw
MkTMUYkJS/ILaGWx4yL1Zkk+ZymvS49BTozmoBPigIH1RWC4tu0dbOzKb7OufGJhB/Kt8UQ0Ew29
c/Gal6yrx5i4q7gdUncRdOJj5/JssLjdMTIoQe1BS0E2/Tghf9qpUoRYRKjWF3PoxN9wWdXvXLTy
qyEjKJGkRAHdx5bQn+BBnwx5xHRdDCrdN7j+m5mO42M/FiNzESGFQ8gOhh0vEayenFV4RouWWRc2
/HQ4KkjdnhmOFsiNFS4NmynDQSI3u6AaxNFBRy85S4y411HLRkKtEE9k7VTrDm1NCClanMsbtlUi
WKOy6jm82KEeJ4U8ZqgAA7zCtpsUfU/uSXRfDbH1ak0Fp4lGgoCNm/2rUK0ZWCgJOd18amUKkD6T
HzALQy804tZhYIhVqWbxgnlMNxantTS8qbXeYKWvW1iH4ON0lUNH67P3gj0r2O5MxSFPKhDYX2QK
6j6twBb0rGmvrdombt0r4UVq64aMa64rJ0V8Xe9UBpGwhotJeUwJrvuwsE7ED6Yqbq/VlH/2kCG8
xLRgYCREL9WCeGfK0nqVobfvmmyksCs14xWd4uc4ya/RSHDxnPF30MvCj2pyAGhi8SRqTRAhr7gj
ZYbuLTLdsDRJBK3hhTJMwYuMHm9nCGXpjxObr3g91kIUO2OjnZoJX1goPRMptE1o+2tvKgHKJvaT
SdBiA3JySYfBFo5vzACvjYQKxsiBq6ryrhdfNJKK2NSJfjE2L9HQBmgIwAAv7VnIF3dVhxOyhyuz
/8Unhup1xNPjlEnmzoOO4IYA2E5WXK1QERgJDOFp3TbOob7kaAPwhEprlfLnW49QcEZSBkaUJIkf
WZujiKhLMSUNLoYKU+xUPeoxjWrnxlJepz75UUz1wyJbBjIzO6I2wUVKRzNOCK00lXFVPotfyRC+
6fVy0NdoxA+M8B133BnOLeUxb5zDZEAanYDsYr7QGHrLplOtteKYW35ev9Qe24aWFNIiqKVBJpFY
npMduV7WTc0ockMmrrPlysK24K2YlWnU9SKqGJKrSEkVJrKl5tcB93bFpFAiUtUwFDQVVbKfeByH
2ngTy9DNW4hKyFNQ6CF5T9qPWCQrKFWR6S/J0arqPfLCZ7bRx6no0VRGwilrQy8WMQkvCt18U/fX
huE2e1wAQeYovgHUvl/F+E6qSreLo6+mj/fSVB8QFxCjNknnVRnuswl/yBTjln9aiRqxpzbZKdTe
ZNpsXC79QUvW55LtPpOxX3ldfggAPsEVu2hhc1aINdMX+SkpNLcesmNTguxDdcTsi+UtEaEmGkXE
qiBBYwpGHZWVxkTuUKGedHAcXSYsyvm00FTEZxGjaTG0PCj1YyWwnxWptKTpfpuiRkq3j/TcG3Ni
yNYwkAkNz6PlxGJ/h/+nZWIcB2KPnLVOCB5Yer7zCA5FFqUzfuAOUEZ5zYSSd9J8znXpbuTXWi3h
7m4rOrZs3BGw4kl6/LKyKGd54c6oNrqcV7eXlady4FQ0s8+0bR1L5E2tcwYt9W/WMZAfavB8mclM
H/AIWslK+x2MxMWS7U9K8YVpDolW3OtnwmvOCNVQcfQI/dYZSG72KSwz+gkdB7OZ+VlGDuiEF7kp
SVQHWYxgOftcLRSFatt9T3054l42QeSV13CtfXVquMHw77FVfhpFmrYaXEnZtsdmHs+NYS6emUwH
8gCht5jhAPa5xQ048JrEZHlRoYKe+tSXmpyJ4iSo84MkCBeWBkhky2PHeHltsMJDSVe2SLiUdp9g
bYgHEgjBVlzfO4MGWax3E+29LqXfBEDZBHA/aGaLY0a81HJ4hRe8F6MwcQXR2FeV+oA7lk10j1MT
PdKiMMnVrRlQL412CNq0CkNCKLpMcDoiG3dJojw0UooMSmY0ZmLw2woXI7SUXd4q4w4FKeEUhTw7
RWP5UN8AvhfVO4Ls3+0KxHh5RpvJH5FGZghGCC2ruKkGs+1UFRca9gb33yJllyxLeWKEZR5A60EJ
vLIbMAi5EUvj0eSeR50LiXctSezTJBx9pH3JywTacq0/qjW9zaURY+qVXwTBehGAf8BlKFJ/GxhD
u/lO1YGmaHjUZ6AJJMNrCkOtbcSNqaQ6LAkpjGXRd+R29F+Udfs51C4IQX2e9zNTHeOlNNdrSDUh
yf0vdKcPcB73DSclCuQ30UoeFFWh21Kml7lENYIceA+/6YHgWmcpohOTpt5dtAbIGe+rI1I8uD0F
gm9pvua0UmbVelYRkuU9jESrd3CREs6XJlKP5EvBwFPVvRFWVyyqLFYtYl2FFmJnNxMWRsgprX+9
dditQhlCEGXO3kKJyKyIJBhI+AoNb0zm9JQIOL0tcOUFmwPoF2+6nv3yDgpUKDk7Yt/8Nmy/GKBT
RmkM9JrExDSFWl9AngKCufvWKnI5k+aUi+yHtDlGNjSb1KJxvJNxsqMme+h1/ZUU+9xuoNADFto2
VkSjSAVa3znRRL/NoCbVFY+veEtqnWdkeSi77Flk7Dpm9aGYYRwl+mB5Jeb/ScXDShlGdt6wB1SS
PCQKJqlBKvdibD5zw/E3qNM+iuvzJIMP0hbmVv1c/BBEPNiC2NORk3dXCSlJYUN8b2VcTkiG2m7c
+CfgddyIlAJbKVRhbw3qpRTY+xXq8mhaeRco/ZbOWUeBOdDMCjnHBW7U0jDdwlK1HVUBNCNVcU2i
nGoVdH+B/2CJh3C3GiPq4ywT0b90p0EInyOZwyIUeKIrVR7kguoAx9rLdcHPuOYYdPOls+jwl5fB
JLseHgZRZDAfqS86WtvOetDU9Zjn5bsMogFKlHhnoN22CyUVYcRWF3KmgrhJqLiyzG8b88jGLMj6
rPHZ8Go2Mg3oCqrGJffVCWT5pSnCq1yWgTWvqEjWYV8QdXqTqtBCrDQMR0LkN3S/fr8dRXKYEwzO
eeCW6vjDm5v9iygif92Ul8ki/ujC9GOgceXhbf6EdfpLfBlKVAo2HzDZW75+dVKfeQQJiidVwbWL
Qjxy0Y/dk17dfSWgfmLk/C0YXnEOT0ObMEmZ13seOMjBwvg6KKN2Y9kVUvUCqwFxi6uxAu0Zkf45
AHpx1Gzp4sd+xajCzT1Gj7OUJdjKaGRQ7Iaybisg4M2Dgr5JJAK5F/xGyGJvngmyK639lK7ghBDI
yDViAI5KObV8oe49KMVH2WDim+QXGg1HB2ier0Nnq1X+2M2jhkiXFbUPWyShiCCbgK9eGrDfG+qQ
brDi1CcxMn0yoE+dQ7HCxrFu5V8FLJp7oH0dqFoIh8YI/9hZrBFqpSR1Mx5i/lfUW9y9PIir5co6
mrnF9BrmSKHRV8BGf5IUgj2yCj/Bdmfjd65RlWmt8AInnv4x2k1CfaAQuIVm6LeysW/RZQMC3S0x
iwaJZ3eGYc+aZyedUyfSNL/RkO0BbWhgcazQGCp+7GRJH81suCw6hfMQkpa3keGB/+zncnETmqwq
1lxiOi6aIFFEEMmgDk6qmPdbABA5mLc8b4JEsaCcEwQ0mG6NmlmRIH2rSKJpH3sFw306341t/KY3
xavYEtsjzHfwHs6xVO01OQsmLQrKRH4oEsXNVbKNkMn2HMZCPtMcUqpG8YhdZCHVoStfWjD7dc3+
cmL5u8yHajVuBolwcWpcF+TKPWSMUCwOSmY4S9Wiu7wv4SjFCjvxNfkUaEyYQessZ9T0KuqLu8Et
K5rWGdUszTWDSzIgDAsvIhpRup3dyPGGqO7bnKMb9yzFFuO2zSVhjctdp6InMFbm7Bb6jrFo7EJs
z5ZKmpCkHBBsuXKrT54R4zGkCybC81L2Wcsbe1ThnUtiS65RKg9tHQwCp5+rlJHMqodcuUNfdjIF
JVngdk9M01PW6e0jT5g7lq3oBYqYw4DJmqiMD/itfQXoKs9ADX97/TEZLzmqv6VMdkLFKiqDtgPB
AjWtZb3XaXIjIPjRzCGIKBuSm5a396RWjB5UHgD4PhkUqtqQbVUhK3izg2Zm/umlXciVORSmOFA9
/mm73Qy45QTexZmrlAdBb+Ut1N7NvFtsNt5+M/RGawJVG9wF5/Sftt880taXeI2iFcG0koMpYXC8
lfjuVFjgb/80FJdZfJsEU3a6zW2sNDIJXJCACtJcsCRnTTO+CIw4qL7itDxHSR03J12asgyMQ6jI
KIKQYevvU05MuAS3YJzThwXdvluoCY2vC5W8u8nCqhrQWJhmICFc0N9W10LdrHM7aNVZslfbQp8f
ZWlMujcmUlH3KyIemnU0q33NyFGRmvINn4DpUrt3Dwh1cYISWYbFoam+dZQ8d0Ip9BAZRJyay7iy
ucNlpCBBCEl1kgDX7UktNF81YRp/c6SGjkooEdHKBNMwx3i2itH84edkHdEKp6gdQHXZXSQYe7ld
JKr7tKvfmrkGAVGK/ZOe6l3QdchXnSUjnwEdUw7ue1Ri9QCagg2dUhhJhxy8qGH0d1lCsKoYIo4t
WU2m0Ty9y0KODWEuSLn8AKdYLDxmJUl5GeZhgHa86OHnlMg9DbAYRdvAJ9SAKEKEIGjYCanMeOkz
Yf4w1UKu/UJEhov9ohWRdzAyqQo64GmQ3wspRuKS9gkqVshoWsGQiG+xvc9MabSqXSot0KR2gFfW
oF9X9nNWJJnaa8ZldOBlEqO9Jf3K1e4mIyf5ZTG7xm9w6iW+VQrmaZ3awc9iXk3YLno9v/Mkqd8s
KRXaG4e3kp6BazO+K9HH25j7UoYIUkrTpqhfuI7y+8lqi5UxDcotv+yIquctpRjgFImQAg5F5Ipj
5cpTYRjo7/VE3Jw3aXoiMKT9hIJb0NzG5qFJSdEwtUoH+zKh/M/l3zRKyyfc7P27wX36YkzpRwU4
NKhULbqmUTTCyEsYGHaGhEu6lEK/GOZ3kGMrcIWY9ohIhgCcF2GrtdneRIEI6WbtpAPTkV6ze1Uu
EV0XIVWsXvO0gL0p2NmyMlOp5N0i1spRg0F/nemoj6JgILBiNDTetKLHn9VYEhtR6l/skaOyBvJU
CkFCICn73QhcBhbNdN+VuXGO14bsEVS7610sAtZmm4RTx7egwbVeFOnreF8qphhEhmzRuerSU5XT
hAB7h4lV6la/A2NSngkxy47yQFxc0Rdy0JEU7I0oe0n9IM/+K48V5UIcxriPEbFgtFxr8tNWjamq
IYBlAaOVUzDEfX2dUaBHPnI881EZCB7HkrKc4Q0U2WnuRFKdTe02wES46DDk7+QWObYoyO/LLEjo
hROgamLZ6XRPzADGWg/HwzBFxUVkpk1OVybmDoK20FtKA0OetiztbdORf/KMnW7RsK1Lehg3sEfj
w6ppQBin1nKg6tSQythpMuSudqEooQUjZ9CPlLxBfEZMET5DeF7R+tDmDTDpEXPSYvYhUxFNfiHx
+NdM2/oIWlJ9mUjYqhxepyNoVupKeK5H0ezIqmvrxJNA5tNg08imGl36lt6KMYlF4CgwLtIFxfAt
wK3fCwwTqYIGbuZyeWgbY29G1iPwfsmh0K4osBcCkKg1vDSJWXyW63PSTQ2bae4Y1TJCXHF651s1
oqR+waaTLht0ylJuXQXiaVCFR8MSkZ01jepKuRldzTYOSqvIoSDU/GR5M/RHbCJMzjM94aADNrPG
lCUikBaXp0LjJpOaXHPBGmkWVWOT5wk4L1laT7/FIozkLCT6D/EBcGcJGuCo2pb+CtMRGYulUSGX
ZM3dDSuwF4nhYpw+E4YHeBVOqEHMD5OWdWBlqMcdL48Wssdsl+EQSkJFzk3ZPPKMY8qngsnldCM0
/oDZ+5AwtXLhd6SHfBZilrAVQMCuJQeZAuxoyEbqr2k/E0DTqg3mULUVb6FV0cRjPdz40logpcQ3
bUNxhixKqAfCwPRUBnt2p82gkHhWRtpbZ9UZGWOG+ARHH7zEkBTM57l6CslubywDgVvjqJ0K6LJH
EPIvaSRwVzQZzL4RpKE0aSPZUSqJUOGE3WzR5A9uOwQEw8BeXxDJmsn/jL0Yzl01sgrvmAH6THip
/uFcHa2wZ4NuhgQzFvAW5tRoD2NoGIFYIcGd0wgEIZyz8rOnpPHntdA81gVv8dQWn6AeBI+pKwYG
aVbeTb1XD0UkjLuhkZrnbpmk33Hq48fMqkdXnvXXPm8GivJ0CRoevCgMi2p8UepyTD2zFP1QqD9j
MkDBYuZZOJFqTBaZZtY6pVmNZAa6jV3kckx2SCOfoa2FD6nIhkTA6/HL43O2xSZsaHQGgzosMTO8
k/l0yKJGeg9pY4+qNTzhrKOYAM2kn+SOSXySCdO+68Xpvhit7pAq7J97c/5Qrf4pFEbgsqKWPOpD
3Qe1SNUBBKXat3MY7eOc4fqughq5z80aAHCHtkHMWnyTcuq1BL97Wm+whU4A0BRqOhwwCfe+VBTy
42hqa1CXzRrgZ1BJUdGTQyr1xXO46X2rQaseW7qgm5F1yVlqp4o3aFRs00DlpcnpGzTAwMSYZLOD
kzZk4ZD4YWRIPpzq8EDVuTo4xkO/U6vJ02IUAQsMTjw7SG5BomwKavLJgEIjY5pY6koVWRuhfjZ0
BjSCWn1348JuXDbWfVwLT50oZTw6cgukU5md6UBf5ob+G48IlNZapeXSC54O8QziGaANB2bLC2oK
8M9UPR6/TYP7y9bA1yYWoHrimgSERcZqPKhNlj2s49gds6XPAQy3KYeYMnyNRP48DIivzxFzP1eE
7ONxhhMghplKLResW+20OqTBhZ6YZPwkhRV4ZDI/VlL/KmUjEXwdTpzOUVJNc6MQ3+t2VLPCSZuZ
MLewOAql1KBxLlgDTpuXeqVJcgxxzfZWi+mzwogvx1K8X9X0ldWWRNexkMeqmjk3Sbd8m/+LvTPZ
kRxJr/WrXGjPAo00Tgtp4XT6GJPHnLEhImPgPBlnPv39mOoWqkpXJfRCggTcTS8aFRnh7nSzfzjn
O4NrnpiIeaANdFCk0gjj9xgr/N0glnjvtOw20JhHIeIusjGGYzWo5KUWaGjGujIYo1fTc+3WmOpG
8JMsBL3xoYnmDPpjV2g32lBXp7gAAFCZ1PCbhfCoDSmzzIlyogROTreIF7auyMpTrdGPrUfNHC3t
+EGKi7nNjfCU12u7LoW2j/RZ/0nNoF/phqoODlbPi1sxqSBKJuNVkxC/hvxQDMyXeUq9E94E/TYi
Ze4MCzY6ZrndHW0WMJRBVS8zPyfshOm3FuYXsogxUzrxAmegdW9ITiEKK0JutHTJzyZN2REmZAPh
6Jzz6Gg6znhVZP14poK+SRKy3gBbHQ14/+8Kfle/cScSSLF8TxwcOBqfSdJqKa8IO/Tmfr7BO3o2
IKbzdWXcTQZFnFw62GeBU2uPVN/8tkG7DrMqPMBAR6hhzhmzGNpCYVn0xaTzgYrNRW9tLUDVGzcz
xq+hwJFPhkSjAo5V6yRM8lGzEYJdXDTWO4dil294++Ida2RCS9VLYTskuWqMDqHWxJhu3Wg6962t
IUyYoISTjXsYmcfeaXFuB6Xmtc9Lg6oj0vQ7z16tnsK+R8A7YABsAAGUFASJmpAxegi76hJVhYIH
QMeXpN3ZMFpUHynfLu6TYcewNz6NncqYAk7d0XEbw9fRJt8OA6VCpZbDkMG+S9gVV/deC5m+CMG5
zVOvv/U0bYea6IxHM0kKYHtO8xFh+9qlarCPCaBoyi/nGM2FoJGu2h/5MA0/dWxS1l50Y3nXDbIz
EBNb0VXXSIaP7ezU22SS+vOQyiVQi/QuEjLZa2ck1bauWAhMYpQEn45phs0+Sbdj6mL5y+34VfGV
3necC7BSYx2SgeGsfj8gRM6ZmIp5k1ml/TMKRQEvCMMgyOjPfLHNvTUg1I7z0TyiHUAz5drTPXi2
7NFmOFrafbHpC/MqIeyOZZ3Xkg+7ehejuloOOu3mdQzDehtbAgSJu0R3daM4KFPa3jDMGO+u/kjm
Z+HJtboPLm0dMRohuMojcZqn8jA3ZuNTC88k4jn99OGkZvFpzg4vZiAKsk60EBj35N7mmUb7WS7r
7rLrixwttQNuSK+HZA9xwnuOJKYHJOt0HcagLkk0ez+IhJy/kzln77bO/KNRt570to2cjb1or9Qz
7tPkVHMw8Uh0G8aQ7XMrM2oZo9KNFo1M5SyAd4cpcBo+dN751v4krakx8PiANfSpMZsH+hNOF6kE
CYcd6psoM8UZygHBY0qEFj7Jmi5oHqf4k7GquytabnWXCETdi+9RCadHRiVGYDQwu83KELsxJFTH
XO3EkV4/11bjHvDE66zewvQla+fo2ChxyTOr+sTqyu4ycsvtEpLJxJDpTo/G7CpBXxwQ9kW7Oo3t
2Q6F+ug9FuZTY0BbduaSxS3+ODA7Vy0UP79RJuWqPZJEaONfnNOQL+own6ppeqtMt7jqQvNSoife
Y+GZPkgZMV5I+/KgG7cVqBnWTegSEvsq7BiLq6aHwx1X3ZudNoQOyiXeRpikbquxvyyR7QWpqRiz
V6F2Q/lpPg6Gy77EIGmbC7Mn5NWuWMliUFcNOoU8NxbIYpke/liGnAeIEX47ghdbbe/xMHfHlG6f
Dp99kwVqZ+OQFgXmZvUjhTiwZW7nmDNEzHK67NMTURCESmMWeDE7k1hGFSe35erbd/K0eMRL+FmH
7vJSzZJBX+gReWe2Eq9TPXXmStSaRsdnLcNIV28u2TAoiAeiu+9lbJ0UnuF7NtzzC6Dc8GdVxyk0
cUGURJ+GrwDn+Ce9tG0dNNMm9WA5NR+1hkHA6lPmbTwPdEeGuWDklF3tjBunm34ylky8ALDDwhs3
IrXh/fYO4heLoS2rlSA/QFueQuHdeSu7oV4pDvIX0IGBuPmiTwrKQwfvIVtq69Sv1908i2vSvYil
WAERVT+5L6qKvLPJA4FgBGjqkUeXRkLDEG86RNulMToXNTjRLfdPBLZUVrjH9Z4oGxFA8Cp96anX
rsfa3yrVXsI5MulOyOdOewNNnY6bu22QIXO2YTWG/q5KogsQI+jHUGOPToTFbZs3T2ku77V4+YbO
9Ibr4wbpg3ZrqJR2XM4PI9EleCAaljF1/Cmz6cbqNeTikteo2NXt6wRszRI+hRGCQKmZ/zWKtevk
AwxC9d39OYMGnf5HBcOEYWL3L/+bdG32X5K+rt/z7v0Psrb1v/9XWRviNURteKOkhMwvEJH9Xtbm
4uP0UJVhx4RA8m+yNtP+DZ+CqXsOujddN1eV3N/8EKb1mwsrzPKoNgxsoOY/5OL85az4vaoNA4QH
Jc5mCStXadvqF/29qk1neMFgkzEbF8UmcZ3AIKygx17OFXgp64FFzztT+juRv1Oauv1TX+3J9t0g
p7oQir1n3kqrB+0nC9r2YQwxIbQHpT+b0jiYmQ4VXQQrgEGl2KKWgysui9H5tvW6ABMn7nj91WP9
aEyQh1nRnbX6Y+0ntIC0i+jJni56vncUMsqVyeTHU3kEQ4SmflMxvw0rciGrAzOmPVpxOyTGNFan
iv/LAXZhJ0dEU1sFPUPHLp2oLzQGW2Wx+27vaqIJOvklqzubwDIKt4ehRP9ffy8j6lfvda4LTG3N
TxHOt50+HzUTeyG1Na4OZZmkbRY7biBmoK9oFVCSUaNGvoMkXUNxayf2VoTIZ9h6zKavZx8Gcr3K
etBDYx8P75NZPVsutXVIhzXjozTH6lCEz+Agd6KOdkUF+h7YkmNGzGvEUasG3sRuN4qBXGoz6DRW
AE59GImgENP3xOp6iDe1c5mTN9kcB4YAsvrBAcNyEGabRgiD8md1wy6X8MCIEoUbPPxAP7siNi22
CPqXWD7c5VHz3oXd+50yA1H0bFB+WuTTdFFyx+XwSGp1kDkHS0XBunHU6Yom5xVGxnEmhL2vR/o/
yBZWdx3iMM3FPqziIE79Fgy5V+Z+tGT7Iepvp1VCLhtS46cdNYPfx+YeAgWSMeYYNPzOVN+YmHBa
xt8Goh8iFWLUeyMBhWAHAFi8082RC82jk0hfP49DfEoQ9GBJ9WnMtwM6nhro/VI9EBU3pZ8ks/kN
W8vSGbeyO04uBBX1pk/E2MF9Q9ayyVPla4iGx8jcT0gBbYucQCYdAFDgGxi+GbVHxlkaXIIJsJwc
nSu7GACImmA4JFOeZL+4t3Vn+SZdHpqc0shPkf08DD/qBSRnfr3Sq/uYv4FvwvobI+uNQThOzNQn
6CdbRdxoT3TzmCYf1C4ByjkSEaZtw7fNrdmrNmAOuCKXmEo8NHwLSHuL0U4my6GMO7QG0DojCCFi
2iYdsjDzo2A9URasjtnXbXNAN10MQXgS+BGmrXRIGHfubMUL168G8VBn0y3UmN8pfP8fjitn5QQy
6Y2q8vj5z//EAbYeMABowB85utQdZL2/P2BMxzW8uMN+beTfCfO3tnjKcJiAXt7hilgMMpoxeWuC
6aR7JRsSV5wiEANDyWXaaeFIBhE0JbveDSbRm7gLI3nHYH2HkJgfc/xa/Cyne/J0F3fbfYF+9xN+
hsGSYFbDogQ61Y7UCEIZvY0xnKv4fmFK4mh+YcSMUMnYHuFYmG8ohwwAFq7+7GlVAP0VDVXMco/v
OHvv5cqWn3GK5KjUznZ7booKfMYxjd/ZbqKDYGPDyvERbDizVYQllo2t+raN7wmXRDC8/+s3VfxJ
i/zv3tTVm/87OGPvzEVWrZ72JX9CAHcnkfWtntOF2WtRvs01Zk/9FVDF4u7FDIEG2sdf/wkmV9C/
+1wl/vpfXj6oRH8y0pUDolrYhSQzCTiQNtK4GETJNmrvcuSd9k90jQUucyCRliJI0beMe2kfS+21
cY4oiFlec1ToxrOeXPGt1+bjZJ0jd0+LyrQXId+h1pFz9Ld//Wf/CVqwvnEeqnCexfUvx2n4xzdO
8MQkwsvJJ/J+9syMeiDfi3M1Z8t/8v78Kf3tb7/ItB3TkIYExvrHX9RHfd7rYwG2yvANvGEkcZMm
Ne0T98Cw+K9fFMl2f/4wBEUCK0fP0NFzCEP+8beNrj5pzI9Wcu6VS2CFEwrw+8xziuow2Mz7ocGW
XgyjGDFnnXP/mnthHTPyqSFtZeN1Dp2rW/d72ZySm4XSIst37KCw7uPFBigWcc/HGj4/Hc5/WT2k
UbEdzWcWL5zB3aemMBzXo++tC390Bvp6mvfkRkc3Y/shZLLvSM8g57d1x2sIyafpVuqXBpSjicsp
mi+KDawjLJrO79kyfWWCUeGLqTnZhs0GO8V6oy8em8T6bSDOmjDcq4n0aSk4SkbaVJUfjOiZHFTO
2OZYI8rRYu0Q5UG6fBfaXZS1J3bgbuvQJ637oGnbDTfYqA0A2VFhbBPCVhIuRBd5Uhc+6vkxcVng
dAenvFQmDbZT78AXbIQDYIu3AQxOpHZj/aJZz+s17CB+t/BfSVah9O+4qg8eQW+DfKjRCCQJsn79
epwwgc2fAh4Qild7Nagwc0oBBOSfs1uc9CIgKPkEEHyTefBoPh3eAtAyGlDssXzvM3LcnFtH3KfF
7dAd+lXscz9wc9jDwkf/EmVI6Ijm5AYoqpeu9yB6WnRoybbXyEExrkaw6GnmazMiogpiqttvxnje
L1Ca7bj2V6SrpGjrXCbfpK9XE6cncH26Y4mdCNWCsjFn08gB72PlWiARQOsTudyfiYVmYQSZiJxO
JrAuGI5WB6KafJMMsFVWufRAodIPo+F7n5PuiTGI7tBLDrHaR0TPpKHYOzNksGabUvCYfE8qBDwR
d1+PhCm6yiNvW0l8gNRm/LoyJtpTAawcSA5Qz5mznEYbOgG5zvs2JmsZI2FoP4swQqPSMLS86xgt
ok84rFcqqUp4DNNtTSGjwZPTNYDZuU0e7I2VfIY9HsEsCHOL7wyswMXb6SiZjFcX8rdh8WN9dDAn
1iGW6w/WeXApHmc8Hal3JCwG3z77f8BWTDXZQJSbsr1fDOuBXfBgDdcmjGvp2CdRM3l/ctGH0qqy
sjdBbgYgJLYZ5NwivIeMC3PyjpBpX/SXpv8YJ1TPivUGU1ypn4aZkiAkPNjZjW57aj2cTlSxRvHd
jzb1iE2In3HPhinI6/EosAQa9XfFrqe7r1HrpyaDNNAhq1VBoqtFE+RFr8mALgTtSY7hCfTPMfbu
KP9G92uxC9+Nqes8lA9ckeK5cW+xR2ytBXdJAoiAS7zwuKi1RytBDPCom/pRQ3zjjfFDxgZ2GSLi
bDrIFLehrjFxVYe+/dAqPi/5OvbEp3jxdh7HUxxGD2tJOYKk6L0yKFqCxkguiuuPsn2pYWca1Jpz
ditBuXb9DzRYT3LKAI3qvt2QWSc3yJi18Lr1gsh9HhxuSoVMi3TgmlLTghKSOMBLfSKuCBpmXYtl
DfZRhUzcLGx/hN8epXc5mAcTMYU5o+5m1NtD7b+OOGbb4SUUNuFdPJcCfANjSzSz8Num7Wy8Vvqp
1QIMFJt5ADJbHUuWZ+gAd6ZxJw5ZDJlJBkb83GjxKWo5Y6vs2YObNYa57yZWsLYSvcBKwuDPBndh
lsu+KQpyocCZsVsZgJ8XMarQHDhyPrOMbjESMH+zp0PqIay1j6aiboGiYhPn1GIBVjOK0+bIp7WZ
xuceBVn5zaqJGprVip2jtJZHZl9MJJ9bRw+WCn77Qz59WrQ9TUXOTIH0aL4nX3TfzQt7BeyAIH1I
Wrlo7X2TLcfQoOZ14o2tpM+6NllGeBmoGGGlwP3aLIQwu+UDV0NLHGDe5Y/6eI4VT2l+HNxzo70L
tp3rn9JV3VZodxmkC4d+BQoKFF3+UjakroX+zvpg9+S7gq+trrYmTysGvXmqyUJirGxp5CDJXUxV
Gwl0o9xDGZ0t1A6mghZ7hhdrfijIpHfbfLVjnVL3U7DH5MhbFW7Us/sIAU6MARzL00+CGwcG8Sg/
M+sanMA57J4y/dCPOCrVPhsOiP/Hnmuzu2oSlvtOebTkrWbtJ4P5/0Vp22Q4RPqe6AbZXZkT+qJN
Ex5yqgJXXDmqhh2KrwdWULvC57WvdnpFgCSofTwL13hmcBac6wx+oL0fSb4pn+v19xT5DTGGbxoC
z8Fq3vClwT0s/fS5qdqti/qO6n7XTmRjRVcIErYDD+26bddTrKyR7vfTLcpZYBu979Qow2tiB+m/
V13dAkBEDdWbmxwyBs3a1Jy7MQ3yZSfpYbMg0qdHUR0r+2bIYMG9CSN/EgwCpfhGmIpCaleTaDDH
ZFWz5C7YSMRsn3QaE/Say9s0KD9bdtiFQxqiODma6/49DFwXHh84ElI9Zx1+gMMBDvsRQvLGuyx8
YCkLIls420lya/OoTogxF1pXdrzpwIaASwZRC3uBXYOz2cGyHouT4jC1kBh15mEQT0RqXYzKCiYS
LSMbD4AadpPL4NzTWI0i6ayG3Ux7BSRzlfD2TCU9dKVhfSXyh5ZbuUPb6ZKk5jmvNPc3YHf9snkK
py9Nm29aszhqGPoNBs1zm33rMDWbrqZhQ9YQMJXgg/mhmf2m87ygTPjioWDs9PIaLTgBgxzEWb+1
Qtr5xxFUUwE0cgJy25r0KzzWNQnVarL89fW7M/1RjGNMlkyyMeo00b4v00cWZZwm6yWXnRb2Gx5I
QTDNQTppAaN1jbwc3FE+2ZwF74++hAFgpU0KxWji3TV5hVYIGmMpSTOpAzuOkShDaEHtqg3c57Cs
KxCmpc5aKz11OiPhegYtwBR2nZRW54EgQrPy80xSnODhRdBb6BPaelYtzFW68LsBItUa+SEuQ5R9
d5N3qm0U8SYOMuR1NtNiuewjqW0dRj6ZYe0L6E+QvjdLsVyZdPxamH4NuuUPbATJuNwr7BCyXaGR
7k28Vilme5sm05NZs7aQBzEXO6BN2zrn6dHraxmR+RtKmvZqm/XPU4gGq8UhFfKkYgAESW2n002e
UXZmxTUinyKj/ChUMK1d61S+G2lz06voaJApRghKt83W4MT+s+XIHOz81A/iSPjhDiE97Sr+xuYO
V0rQ4k9M7eXoUYiyqnHrKHBsNj4M6QFDQdQWDF3e4DDtjKnFq9VsqtwivobboRB+ZlB98h65VuEP
2o7DuNPPJP9sEcuyEgTJZ/8o3AcCL/0h4vorX3maMXSIWd9LVO8pu+lMs+EHxds8fGsFlYlWHORM
q1wt27F6VsayK00+7+ppKZ9oCoyandcCdzFfOMN2qn6PciznwzVhRq+RglEmxblJXyP3tcgoKceB
DJJrc2Kh6bWwL0d1M8JpWLpmnxjjniEcNrHTQOlUlMn9rwbo/ydQPM5/HaDu2eIvUT03leri/3P9
/vH1iR/qjzPqf/3Zv5mvzd900xWmx0DZ4BBd2TzjV9v98z8Z+m/StqULhZC+EgUwo4i/h1EYv5n8
l7S4wuJ/fjXTf6f26L+5to76HPO1rXumY/0j5mtT/HmIBBtIClTvusn2kD/vz900fetgSL4n1jTV
D06VkChZcUDAck2QTNF3aJEqna038eztw9lxhh1BQ92rbWbqRxHRcM42p/xG08yYoxU/x7VE3ET1
DI6wzxs4H0aOkcMdlnOLbOMpzPBJh+Fo7xTg7Usv3P7AhFirsa5O02GGvBgA4xredBDIxyUZnJOc
uRY5oZsNeFgP5qYmP3q9fucObs5QQ5OtxXuGglYnC08yqpS1JR77yuCUIkkdyRox0+YAk0fP2peG
Q20Pxl98KUP7hYylbur6lvo6CiMmim4EHxah6fUIZRTOA7g/Zou8ik05i5/S6fpV9uoA7iGyQexq
d6wPTarFN1OHENM3ol4+Si4SIov1Ib3qeAPyLXrhgblw6TyZje5cLFvWr3GTj4cSBbNfZ1F/5CIT
CwIrkvvg5huBbDEeEu2AHjLR7UBhPC8CSVP2NrtheZ0b+RDoDnJmGfXpXbpgcpHIjBE9VsjREFfe
ACDlr+4Spnv+zAWxqRc1sE/0GAcgHYd2HInbpJmtk2kL3OAAZZ7s2EQEmFbew2TmyU8dres2JP4H
bj8KeEOfrFODzY8LLcW7U/Os3nXjSCdI4ggW6YowLmt0fRmLo/AIAirGxaiJE5PJOTRDbrbQs7Jr
XNQ2/kynOIEZQHkIDX5hGZokbHabAW0yorefiNCKu2JW7BHiBBwAKsEQpbDJvzdmCSGGTtVdI90M
9CFT92s6z4s2VQTjug7KKMbBqwgQ84Qp2+7Zaincip46zAh1RBtdo7FmCIesOGhgCbLrMBYlUUkS
IhSxbrdyZF9fZV54ilRLeYy+Ean+khUQoSwDcGsa5y6kwdF9xy6Af5nv2KMsI+2E1YcNeu+ll7Rt
JoT0Ij0wr2/2rTXql9aKv0VeTyd05fLaXMzuekBSua2X1PJHqNDrgpl9SIRFKai1EH1LK+bPWons
DVFi+KIr1OM1trwtghjTz2rRkAutNe/K4hLL87G9jWKHJ66C8FZy+lzaUo2fqacx8xjyqTmIsGcF
YnX9bjYRiJsss68Rt7j7SZrpfi6qEIW0CumtKfC1Srg/47F211RbAMCRZr0UYST3SNw9Cuixf4ib
VeGANDk7usr6tmiK2KMW6tQ3MBpLAp8/q1A0j3HaW6ygWJDfNqnyruK5zCLawv4RHeaLUzvGx9L0
9U3rIpCzC7u/i+u8vM0TkZ4FIrfLjHvKR2e6CiWbKcL+Jmr5ZlaDdzsSLXZL+ak+E4ZrKPsyaGAs
EfprCA+RCpIOJF+tftniKzGfvEnaDyRvRISZphwAfBjl7VRBQsTX76TPKU/SiObRKS5t0UzaiRxo
VurJIhhce/ooVv8eS5/CeRrZsUmORgg1rMtnf26r5H5Ah/PQALAnaqZyq2uCfUf0IL0GjpA3HRhT
yVatSs0EwFSqe6iGE0UUaTOaQWxNtA7elGafdhmRAKQhwPPLRJT7LC+Tgrpy4TthZLO8ojEnr7co
TRZ2fdgGaAjdM0elcd31i7tAWaqRYcSQJFVTZ/q+nEPvCEdA/rBDu9cg8U+Wu4vdOrypILGsNk+A
+nG3EJBr5amGB7xuMppSwqs3vTR+4BmdwUgP+EzdznLOXWbMPwyd8pWPTI923Ug+q//fW4b8D4QY
G+tc/z9GAd5Xxfuf6opfP/G3qsL7DUYlm20UVFLqktLh34oKSgnOKM/y2A1ZLvf534sK9zfDtkCs
/OIaSxtK8d9X31ACbcMxXECh/Iv/aFEhLLGuKH6/mmIwLy0CWqAiMzSHVfjHqXncTqMRruHY09y0
4VvW285WamnD1AILFkYYFdfNvREWDhxdWcnnHuXUGd8hWzhrSXn4JYKW8bqrjQYf4xI+/PIxxsrB
31o5jXbXL6lIg9iA25BGlVOdXMooKw4qvGHxpzt2U3kZYHMeUzsvyZsQeVYRhe0C0meDygLQ7BOt
CeCehExo8SR1H2VjM0utyfxTgVc5YjflGjrGWKVI1VuNFEPfAoV/iRS9Y0hX8qjNWrFrkTdlP0xO
8/aum4GMbKys1gkAj/IuPXT5XNOB2+51YWtcmrblML1qm9bxDszTh6eid6GXORmjCyNCTVVTLTLf
zfJ3Ln4FHKWZV8lVSDBDausMG8bEHG+60RgvmQBrvOnNFgv7krVPERuYTT+VA5tUswIdMppmU24x
H+K2gI1qpOEh6uCQvM2dhYgd1bBSexi4dJagRR1jCeIx9L7EoI2ncVyqjAPTTc/N0jCZynXQCkf8
lhIInulEl66tWO0mqVnfqViFCLld+2Hg8XrAeYExz21KJ9mYxLrvV4PYwTSdgggbFqZd5NYgVcLh
NTe6ZWaxlhlM1BKnxZc4OWJrhwZpPgZzk9Lh1dvLqsyprR7RBPOGrC6Q93cxU9YmG8M9UWYadjrv
pRraDx6GZpNUSUsjCzX7qCUNuqVcEUiMmqvhw07yLIBDr+4cQq0JQokIPVIdu4uhcsfjnGZM4ekO
Cg7yGXm3oNzbqXKC+pYq917V+HSkUwt4AOP85oU9Vhj2O9+jRThN1GQEArStOmh2474YSr3nFVhe
IDu4HY3OzQNG1PEht6fxk0wwbO2dgOhcg2c+GFpyVxGVxa460qLTRIQzI8lR1k8mOJh2C9l4Yihf
qxL1YUnWxpRJswhKmAi2n+L2OGgiak4DQrlv2agOhkQ1MeiZtPoGVw2LXpzSEA8mOlu6Zt8qFN4d
xHl+I9Axc5ozOkIDglVMbgnn3eB1xl8JvkwJ7wZpMAE5orz3SDzaWFa3yRz3ncg3htYFMyXsdKhD
Y+OCZ52Nk+d8mkNx0fQZ+awY+JDthhnMVG9NEX6klbglGSwQsvbxYbGVlGexUO6OkXuWjqO4asjU
mWQzYdNOq6uoJx9ZjO7Rq0W4a3MsGJK4UKXUB+b2BGVBWWNJYvLEfMnkGMlMTDdGEj+nbnhOS/Go
upEooSR097pHbuTSLJc0t7OzAOHRYrGfuLndzKLU1AZGBkt5U5rjTygJR261o+KFVYms+WHn0cjQ
7IUUOW0VmoAvmp0nUXa3hCSIEnH54rHzTnodVi8dw1bzins0grd25IQbZVXYdrJcW88tnqaEQ6M8
o9r2Q9OtzkDm+10nUaNlqnojA3AjB48wG9fVdqTSQgWc5S2qSniPKCNrAnFBO8yogZzkZNWhvhmG
+UEoQkBFbF5PAD8treiZ5TGYsrIzQjro2AyRJoHnmTThbuo+Ky3c112KT7YZIDmEMbuXaBwQ9y2v
pTJ1CiRvl1shqy00/VunjynJ4hdXYxY/0AvwYI4V8pMV0yqn5oU8sX3r2AfO7SfsCa1v6ihQm35Z
Dwttb5SuCiLBetqCEE1g05uuR/va4hlh+cuBJuqvudVrRnyuu2WgvW9q91kt7heycVZoLYMmdpTQ
lazyTvXW0Z2qu6ZkCRG7N/YIIKkyMcWNvHbbXXT48+OVXJxzorR7W5cPVtfOV4CgV3M3LJCii0DQ
OOwR+0K7nzv73cOpUglYfXWHXtFig9G3s+Yb+vxdAetAJAQNrGd5pRCNbuyweGrq/uJB/tkMadKB
MohIdTGMoI50794AM+HbGSqeMbzumsl32wybudM/9BIh0BzFsz9WECIg81xEnjw5ZuZeiYJdfR4S
8GrFZcVolOFTkmQP4RA/NQO7gykTr55I1m3WYOwrDRhamlJFYsI3CTNk4VSUz12hrsuuvS2ZDSZV
fOVGxJnrJAAxkEJvqhunGS8WYOzo4nh00diCN20I9k+MHmCSlGBmDdDVEtp7fQzpv9xG+r3Hgo9i
9CQXzBlMXvHCgY7VBmjhurzYcHJ1h+msYKSwMRr7rfB+8AKRX+PUNtRnlCJcolS9sfQvriAqUJCd
dpo91xLMQ5kd5mJ6T/Tlq5sgTapkr6Xo9IX+w2rYNKmk+k5YNpO4iKGzBUpR9tqPJgVC3q14Lrej
wc6YZhbdG/3WA36Hbjus13K9jKfW4NxDYkIFPEMaJZLIjWsuhsjlHuheq+Iu7vWBTSD5lHjTtiYm
3H1fs/ZFiUwOSr8MUBrhepPlYd+6k3GlZZLxq7jvpgT4rVV8YJ86uHP3o4EWEtY8xkKHKTskIzZs
Ggufgp2QbK3+HjUcYvFM3zsQi43zc5NM1acFEB20AmuQ0SwP4NDdgICWR90tAuUyZxH18hYTdCk9
xunonBkL2/c4hXM/tWrtopLwrXK5I+kFA32O3yuEU0r15b4fKr4yEfPXrmp3cwZ4jpiYHBSPxMGl
5eaBmHvSvEKAD04tH/EDQ9u11Ltl2yrIwogPjSsbnQ7j04VQI7Ym01WljBMmD3Pb2d6+dsi3hFDF
zF1vb9qkfU+9/qUFZiMMjRcENUhjdQDjSidIopd7oAzE51AElqSjUZpiLBu+ETm/J1P4Ihq8byJn
mCrLA+lyX2Yd+6Xgou6QPezw2D71hKB5Q/ySmdFt0RsMmKorYC60iBwmSSNJB+KpxU0RsGLnWu2E
8NUo95qDwiFSfI06h3fFs4DsOZxas3Cr2yGn44KCgtwJnbuY3Yc0ZLs3NwvCxSgZzjNzl4ouh497
9kuPyKnK6stXRyyvYhTxLuqHx9hS+OSxV7k2+jWFOz66jVr9a4T+cuelvI/GXLymZnqp6aS2WE8D
ejz9upxXa+IMBjn1eKVzjcjJkD9m0r0Sx3ktdfVpcInjrsNhqfLaV277boxkIxRCPxspqzfVOcd2
sO/VAoAiBpo2ijvVVdUxkuLecrXvUnZvZuK84v48M8RB9WdSCbOo3Biy7lk3ZUhYanM3jAPOYSsK
rMnAWIeeo6BiPXN9yE+vLm9mAqE2YzHck4Eb4H5N9rEbb6ksA9sFMjxqwz27/5tQtHYQompttZR1
O6IKDVPd3i1HfYOjJN5XZSZxTdkgVI0qBtwb6dF5NsqY708ifDPkixgNOJbJ9ku2Y8tR1xg9G/1U
25uVooTTtYtZOY9EXBX7MBMvcpYnBaFph3p9zVt3fUg6DdZWIFB5kT2lI5WPB0pgW+jqKxJE5PXK
/bQkjmYi8gQJcn1y9Kwp39V1WJ9alOp20spNRJOxGYf8NetN1h3eDI3D7NhPx1Tmi5ETy4E+g2fS
UbfFILodjkqA0nl0yCURpHFT1kHcSbI0i+amYkPlYsB5WBpc3zMf3KHJS4QsC99Z12B7Ho7dxaty
hgWgMQOl8Mn9X/bOZDdyZNuyv1KoORNsjeSgJt7QO7nk6qWYEJJCorHvaSS//i1mVr0bEYkXiYsH
FFBATXISGeGd0czOOXuvLbHvca5F732ESYzVta2q6GUenSlYYlWfU5dxcYq2LNBFil0E5w5BSIIz
huOcB9MR66obsi2c7n4TxiPG8YL7YGpYG+xDtwNJ9gxJwi9MESPa3+LNKwYmdbq1mwukeb7JZcwf
2dFCBQuzwcLL6eXAVbbtaa3NXNEzhroBuEo/6CLUMzTIGMA3BBtgO1M3kQPSIXPf6d8EsWsQNu6Q
8zkORnVOmXSvKWfeukVKDKIQNYwHKjulgbazNK8KCtVY9+QuQdbKHhRcxPVC6iyrfD+K0N3MiKQY
ypdXpiQvudb6Y4lj9ssY+nSrUv0ubuqz7QifVERm8ShTe5jWTn9oSiJrQx6xtHbGbYjlbde0Q36M
IvQjBI4cZlwTh7CIlyOHfscdQYduMBtJHgw6P1jtd8UFr1+QEDt19Kr6nNYlc8JEc/A1xhrXs4KF
xg2kDhCgQGXCA2PsEhzxVd995GO/UNMK7ypO4uTGibHzDvmrN6VAOjnP91LO2XPsAtDtkAROzC2p
I0cmrAq0XqzG8hgm1U0MYJH3WBwQntZns+/UwUX6zcyKa+vglslbF/b6Q1MZDaWkQPJUJxCD4iT1
X9ucFL6VoeH/tescEVM9EYSbS0rRaIqeOXnh9dTluZ/95tqJRoP2qpYAdiGJbrQAjttJeIg8FslI
m02fexqixjgc+tyToNiK5mFgyLAZcd4jwLe3sMroveazPNEhQ4XSWSjpjP5I85XA6kaTd4ghzGCe
jOJDT9lqWzbOF2KP3zQijbaz33Pyktp3qXOCJBOipveQcJiaukO7INT0ncFkl36c11/PRZpuMymu
q0x7o11NWkmNyWuTJgQr0SP4rKKivuU/kCha/2g3FbtZxa3BQHVCB2N6VMqFex6JfUx4x8Z0nWaH
mzfe2nnJ+c/hUsZvbJQPo8pawPpQ04LadI1XbETFZiinS1jYn5jk8l1v09s2o+SQVzFjjlkt8C3I
cxGYFRllF9G12sLaOLntKG7mWHBT8XxQzm0EnZZkU20Y4KRzbORzw9EBxL/wUL3okU6qzXyr281b
iV8+KFEaQsq4HWvvwVlOkrronmetazdhxMkfZQXUh/SU2tPFacHOicqDLm13+AGy6SD8CRSPWigQ
hvYAnvGL691+UFnykKjhbMj52Unl3TQK2rFpx4FPJM2Gi+M+Nv0CqisyeosB0ErasHD6IroAJaVt
GVWfJFdCN+X8uqGx333OToELCiRDDWg0iaOjXLJ26MgMFYBKEwioh/6SHZVB1l3v6Qm+wzJNxAUf
IeqKIbnuK8ksPm2H5rs+Ihxvo5jGEM4I9vSxQa3sAsib+vwpXTZAkecV64UvsAMhBxVKMKEVqRUI
wqTQU9lpfmc7EBkN+CNMVMuxDSw/LuyjozfjYQnS5LMIFtGUuNFd26ABz8JZ3/lT1DybA6nEES7/
Jwci1zGRhXpZeJgNV9hNn1CmEz/FKRcREb528S6dhdfe0PFIkQuUyOc732WM7GcvMoWiZ3TDg3LD
kE6DOZ7bwRc7SG/1d9UwsViNPfOBtik+23z0zX3b+nbgeK53qqp8RMSfu9fDSPSC1fXauaiqD5gF
L7kxolcBJ3Zf2QQyxIgVP3sZT5fW7TnN4zEC/Bg5dDxkN20ZdRFAOjbJK60DHK95TSlSetnZy9P9
DIlmWJFj2B0LIuxRK6ZA1+oGvr8boSgtoukuRQwwsIPlVpOTY41cSZmmjFcR0vYg5fqcEqiJqN5/
dJVtnHvHQwBKSTJkgkiOVk+CIjEEMQ8xGtsix2CH2BF3bZKI4cqvq09PeVchBs+QMG0EjZ7OPc7J
aQfUyW6MkvmoC4JIcbyRjGmTJLYSft2rVax6KuzOOyOkIOQvJE/Lauzr3InkpRkJGtGnVwgU8YFO
T73PNO+1753mvmpzccYsv3E8vjwgJAfkudFZ5rZ5KD3SduTy8xZcEFaNPtEFyYU6xqpTOPxbwluL
2Ad2MvRf01TtwP41G3hJwKTcheQoUaatnbYgx8kE1srXR28HbiNftKsC5dcEnFglHEwUnSDSnieu
G7RoUvc0hANKHJbNuTGmx0mGUCiZjLTe1i2HcleMTX6O0Kp2mKuPaY8yLdHyO/oWiwE7N5KrMsJL
pOfuejSGCtsJChAR01VRTCpunI7Lll4n917E2GENcOhidNq3Slpkn3hCo9uYa/laedhiMk9VQS6b
jxiVBqLByj2IaZKss+Z7Zvk3fkEAPaxoGfCdjjvmKPquLxPzBMEqW48pUGvwuNlBwhXs1nQxt36N
FbGtkvl29K1HlVCihN0E7Mia6sCdowNhORMTybo4hjiDabo4Wxpl3Pz6Je1NWBcaGuUJDNf3ZkwM
sBqY68EKkMeWVNVtWjfxVYYX8p4EpJBJYlhGR5XabLWdnSQHD0jVVjgN3WqQRE9oeZHyeAXiK9+b
tVvpWOO0KmplfveaeWkBZRkrHpzDXtMoNtom59qXxQBoAEdSVIMMNb/IOGf5OXBAH+pahVsBrflc
poRvTgYCt6qXtwNYy3blTwgyRe9Y+fUUjdoG9iK3XWjLa4Q7/tEP08HajHLOwR8x/uWIcNPrrm7T
G8/A1uPQKaDqrObuq9XI1GtcGb2Eeqr2dKWfy9TuyZ2D0LKtfbhPdNRijSl6nhs3dk4k5hw1/UEz
QB+gMvbpEbcVRiRR2fGeFsk7oXvZY5dZbFHStBiDR/Vr7poXXa8RZjldU98kmuftfOp+JgHu8ty2
mdMFU2lW71U5DQ9cOIyXMIeFQQJLy2VGNAD8QFyUxl6nkzquY5CLYGYuotWoylzfk1c8hHS48zru
b4ExWbTmkN+6vWXcILPAvmb13fdJ7xE/RSPZtAaDvWfpW/NN3Yj8UdRhjIc3Hrs1NGq2M5jH4V5J
Ed/gb0+ob6eovXXqMLHWqqkzFnxXaNwHqU4hFEUtQNS5BFqRg5ybh8K+9BUBtboDwpZbigbHN5/o
1q+V73G/8Ohd8feAB8Lo//Qm7j5JCCQSJVfLYJqQ833dGbRdxi4jNFwUjf0hiIBb+zPacGPIkJ+F
AqJGWeT3qa4X/GJgva54xFPrmPtiwrPvdMjcKKpXeuV/DQl8TplZ0/eiTnv/WLdW+T5UU30nU+g/
a8k2upEAgfedI2px5ag8LuiJqJ7vyy9rXPM04nlOVC83PDKMLVthASmQYABQELjC6AOvNokxNgyV
rCPbJuQhqfytIZAHVvSzvzIISF+aT8GyKnECsyQJjVZJgZY07ICSBVXaKBT/tItXonRRzelOO3Vb
x3Goagjhq7+BGzWQ6Pe+vtE6t13LrsXbnEwmFv7SnJszVjauzlHubKo6Kg70ekjIc2hfex0PBFr6
lsKrdtCVYVIn3ghvSrtvfVKqkAZG+cVrEdAikdMfJx2RJUnhJPuFfoHoTZnDhpqYeTxIRPoGcUdI
O+QB5fLj5olYDV0LhdVgTs9Napp24IaMS6/07MuCel4G4TQMX50dIhAs2p6qQZRES3o+faRMuNnR
FUN848/YEUBSM9odYG1x8yaxUqdUEoM4DjPzYboTLpt94+YmgoJC16dHB/K+uB1bY8ZfNbd9u44R
7txqxkQcNoc7faOar/gD2FEnVsVo94+lsvsQhqdbR6emHwoCCejcDsEgeXui78rxHOt6dtFpPZQL
S7qZH5Qiix7tb49xxJOlQdfetLSXMBL6tgXv+djX3Wgey5zrYQ2M5C3n1AW/KXH9xFUZHmG1gZw1
s/yxaQyxE0Pe3c6p8MqtbCb9NAti1Fd5rivtmNiyMA6djHr0gBYlf1DP9IgXwjSTThxqUH5RT/Z0
AQorVdVhlCE4Jzt0rmQHQguQZK1tZ93nh2HNljZfwaAlDsojNXj6pWX83zDUsrTiUnFV2zP0WygU
wNPpA61g83Tjm6yduL5RqVmQ8RhlcfRNsUS5jYxaju1qHg193jUeyNut0Y79AZ3T0nm2p7p6/L87
6/5/1QpuLtq0/3ogfp+hHPp1Ir78lf/tBhd/YLUWTLUtOBcMYf4zHc+w/mBObgLzpkSwLEP/V6av
Lf7wXNc38HctgXpisVj+H52d84dtGsLTmWOTu2ejzvs3Qk6E+MXUhy8Obxwmdd4cVnDeyM8TcX90
jKRd2DFxDpoXiZek4wTWohJdeIaP1xNL5Fjma54M3U5BuQGUgMsJJAjy7tIB2Uc29KNMc+j0Xiqd
vRqw7lQjA+kVmnf7Jhky8rTy2N0MxHy6K8dPYVFossc8xbXX0pOC3tvobDS2UA4qq2deht+DWSYy
KZWl3q02zTStWvKAOoTsg5dFt6ZtISo3S/+oxrSl4PWjHXGmy25kMnugEO3var2u1gm0VCrOXFHW
s8WBURnifMRK63tw+7twXuvI7o5Ka4IOW/PG7cpoy47s7J2hHR40CfOX26fkvaSz2XDlqkBX1FY+
BITTV3eK2JiTbkI/DDWZXxh3IbQle6tSXzQmP2MgT1c4+xnixj2ZCXoPVXYVM2ffNGS4E486o16H
9VhTzWBC8biSAucElQu3ixZisY6muGHayrWdo8+5hVyGFK8Auei6lLC2mZf30sVh4/X+zOFADTDA
4D33RQoo2DFpNU7eR+jR1fIYad0xHSTJrp5EMHI7pL8FMqLtOQVt7DoX2wLKKlPRsre383fEgt/B
P0ZHby7EPmqRaKHwcTbcDrSDQxtmLW3pPOn8y5tKE/PdAPcSAHtcDO+Gb5igW2ve99JRfVVNhy11
oJA8+dSOZ2sxo2R15wfwRrthHbUeMz6GDPjc82I78ieE0OKMRihabhuhihvBEPqL047hSTHcAI0p
DqXBe2p0aPFAJMVVhg9/Pbgdd/FcO4FcqU9UntEZO/t4pdsRvp9mdrdFTbIO6uRmuFJiAuVeMk3l
etYFwlgQBtNMu7m0wvfYarjwVcy3dM8W+ywM9X2a5TQjwtu5pjfSNqClYarodCEZs1eJuawe//vs
69hTBu5xruDkWrWSqUvDJHI10Mq+4ti9Y/qNcFpRBGoE4eIxjxRxiDDSXnDfjUgIRgyYuikBejKs
ZKeXHvp5Pt+YjYLuGs63FCHUfkbAgb61i58zrdH3emlOT5EbTQFNc3nb8wwfK/qi+IQicRipRDd+
3jMbD7nqF/HM8ixC7FgtkcU8jcZ9NKCNJd6Y0ZoRohExcVhR+qYH1G/ipZTh52x7LwZw0sDHFXMM
YZpsHEpS1GTqqkTCFwgTUxhn0mLrQwk+xtoZnKwTjDPcJy1EppoO4zvjSLxJbeec3JziYxR6TlPK
SzwWOuk7hc16Mac2OWtjHOKv8j9nn+DjkIx0+P1qXLnTGH3X8U5tK6vyX4e4K18aWHEr4bksSLPw
T43TGtsc4iOqNTALcYShqrNbehzguwltGHeFjEFxp6wqpv2UAU+xJZuvYvLk40QGFfWqWVwPfQwm
iy6KuVLFVC5zBK4urmD4GPQsowdGL+U2KRySJUlYOJW1459hh8bb3hsgWOXktBDCO15N/ncNXOFS
dW8IjqHi1XpT23i4t3Z8MJrzeoPXPIIChpmTlPMcMkEWY+9zjPhUTYCummRJEqmnOPCzrtjXLpNz
wq3epqjrgIrNfFQIJCUlPx1zo++Gkz5pr2PpnyJDdZ8T0idkmVzcaKgN2H5RNT2nHBw7lc/2bqQj
tGcAMOybzC93MGqNQxFV6ly6A0JJpfQng/bFvc/FGge+HNyDa9HiTnS8tmATAlTMDnoLXSTrxrbk
kR4/LnXpxShKHLk3U2Spgu6PAxoZ7bTAIQrFZ2fkermFV4Y2ebmXVhFGOc2GpiOhfjh1lCL65hd3
rGe6yM1rR+G3Mg2F+0MnOMusEBMSO99eVbP7pEMkG6Vbbngxa9PnrVrHc8KAuI+9TZIDzrD0ikhn
YT5Ki6J9VfElPsxcItc+AdhrGibpHrtnoGxfnehSfjg2trXCgWfv+Z/Szps9mtbyNDW+vGJyWJxQ
AnGAtDxMg4wvVm+mDMq66YWG5clA80IegAbINMFgS/vdwsoHndFj/JoXct8BZ33Wmkz/UJjIY4Qb
PJCmnaff6Aw6HwQLuHsNAijs+HAeOUosJ4kww+bVhk9vXAarQ83JxJCTM/K6722b5tdl1mm3ozOr
t1D/zv27C4BCQ8krSBeiRh0PNoxEDiE0r+mfjk26KcCkYjpl5icjsmHNtn6LdwqiSaQXRxSz9CWj
hCzMXKIjNSkT8NfkuOf4sJdc2qbcCBMXHUcPQLrGUOGljbOMotYZXn2riSnYyiS6ttmH+bj5oii2
OKC6jj4p6sw/s+31+4pmNXpopzzMkLnPSrZIdxShlYPZsEWh/iqviRU6dpgn32Zl+jvPVd2LN7ry
JZ3CL8os9y3Fpd9hfERcuwanb9+6Y4uITbGwHwTv6i5qMVdltt5Cqy+HcxTa5G1EypbIV63Z3XVZ
222VBanFgdK66RvD81a1oD3jeaE6oN/Vn3AlM/JyS9aGiodbPYaibxNewRCOPkxpDITUatZOOBnh
kOgCaSuZ6l1pDgS6uEmSRZaAWqmB713Eo7PzDV50NXLBQQ5dSaIKI1PpSLQMpySMQjPhzbjKfzB5
ZB9nnUGWSMd8b0J3vPYheN0AsRVXJkFSu8LXCTNCdP+9topbzOLtJ+jyGqTOOO2KWKOOLsZv2ojX
zsNWt+0zu+SoBI8P450oWBW/6Toddtc49IxpMPtgxUCZ/1Fq0cY1kEDNEDSZiHrdWrPijmaP3uzb
fgwGx6Pt5aAIUMj3Ng2LIKm+aal+VXVXbuld+xlPv+3Ol1obKGOM2NhWLrfJasrUirY72IQQHFwV
5mijkbrb+vAkzHhCn4PcN0809g7FKB2XdqAKVOi+Evdh60xERWWnuPSuhGT6ZL0D6LqKLHVXth3y
Q2v8IvnsqOBk0CFIfPtmnI2TpRiFMxVNb3xL0NPglLHuprqcr3q6mE+ar7HLcTP9UA2yzrIch+sm
7Uzm820Xc7iDZaby1q1by62B3yD5QO5g4I5KUnXj9jlEymXqnpVaQc5koZ/NJq+eTCEqd80DT3vX
bNsymDU7aG2pvUVGld+HbtQfx1onl9pqIgTsqZY8OfoonQB5ZxnoXZFc4/PucXWWzXDQW0udZ1eZ
DDujcs0ZepbmjNZsyql9IWF311EX25T8GTbRenlG58iMsUuarbHqks54QGpprBknFafBtdQ3WfnF
KcZfiBzV7R5MJ5pelm4QT2wV9yf4ZcbZMYgF7ao+PsZRN2wFIlBQNXb+miTt90QLH+vE7a+tgu5R
KRdGgTZyIIXU2o+0JRnUlV6N7MAMt7GXu1s3gmiX+CYhDQMWbUZCxT7RSNWSegvKgMAudZbNPL7A
6iOY1uDJiaWPRTWPcRBrsX8ZgHFzZWQ8ydsYaW9ODibI/18EczXsIFX+1neGwO23RfDwlr2/Nd9/
RKL9+Vf+KoIt6w9+EAI7/zKNGSal7l+6cAOzmUMV61s6jjPSJv5TFu7pf+Av43AFJGQvjrJ/ycJd
+w8LjBp1MwU0Nav+bwV9LqSUf2nChS+ofxmNCtMUBrW2/QvWRioaTbOKJrxf3q4S7Lrzxw/fxeWv
f+t/FH1+KYGdtv/rf/7Mavn7Kyw1+A/snokMM+knzbRzYT24r4R2Pdvay+9f4xdp+99fZDHU/fAi
KdhGx6qqaddQ6taIAaEry37bFekRwRMTyc/IURsgyKvfv/CCi/vb1wfRTjf5AdGA/xKSOhKMkjAw
4HUdbsQvzIP9olynL1n3D8ybXxBIf31CC3eBAVQK6o35yyek2zfZtZVMaEKbeeUO6rGz1Y1DmHmR
PoLgL9YeqXVDiSMd9Lay5FutJvSI//A+WHe/fmAT66Stg6fEt+ixln/8onUT74058IGVe6GFSO/f
2HeyuPKhxRtZscn95PD7r9jQl4/2y5f802v+4oaMYL0Wc8xMSjFlrzztOsow9M7uJ0ANnM2MiLeh
54oD/Gbt1u/aGrxHaAcVTXhJXqSI+0PPj4SSpnDvWAcrvbEM1IXyUXoR9Rw37hwbPPVldVuFfrLC
0wykLZFwZnTnksMLvDTEhMezrgdUWPc2+Rxco6oDiSUUVF71gGJOJ3aa3FbDQZXE0aJBPRk2MDnv
RoVymVL3ojTIAOE4vVWqRXLVTMVOwQTczZTjoLrlzTSDaPeaXuP2P16T09E/AHo1UY8lg/oaSNfQ
R3GgV/DRq5ICjtJaI9utLm2LtoN5FCU0AoV/4JgQJbaSUMu2lhOhrqu6zxaV3A0ZaRaSItS6W81s
rgcRB4x6bzl4AFtZ85M1F90mFnO8b0cuI05CMBfw02PRuvcoxB/tvi431CLeGVfnEKAUPDlV723i
ergA/te30JL5K13VUVGM6ihy5GcxsoOkdFfoca1dVgtSXICUO+n77xeK+/Ne5toGnhdXZ6tlFGOD
mFwe1h82AXJhE6vTtYqwE4pkV9FEGqlh7cSYn2D3A3QHQEyXo7ALDP5kPVwqOmfbfnJnB6O/XS1J
WyQhVWEf5HFCyLnRE1021Ka4jDOSA9oES6CfS/wj2RJ4wwqIPhtHq+EVRT4yS9GjK1rHvQ0oO2nT
0V+nrek+zdxyesZAtnyDN1Au8uwPBhnYSj301RdLjPOBtr93X5fa8OZE7F4rk0+CW8Vs7YNqG3M9
oPmgOhztvZoX4jNVlJKM0VgxLhj2vaHGBs0CYn3fx14g8sZ5puSlY9jaBPCEiNm2OmO7Jsq8AIks
HIRcDuBkWAfFEb/lsR+rDweHQwrfkxnXROQwZRndQ3livnrgTzL8H6mh07LMJE7TyMNKb2LXjPP+
9fe/5c/bzPJTutikiMBG+OV4nEw//5RawbC2KJmfzy1PseNI51PDa7+RbThvQqIWH7uuPWGlNNf/
8MJ/W0QAk30TY625NIcxdP/8yigQfEb8IeoGcgdWLkEUzaTqBwZ9BVSh+dHJS33n0c1dhHMH6MTf
cJc+lS6pZQ1BlBWFJOHx3nRtDowbJzc69KiJ1zIhY3g0vRR+l4N8psuxeJbEl2IJ0tFLFUGdDOYN
de4Tvmidk6uHsDKTX2lC1KQAAeVT1+E35YuzM3O8WJSVQ5Wb8z7sEvVCoG++7py6xwDLG2irtiWa
2XmoBsGFX2Rujy4xFRBGHPjH6JkZoEmDnc+bMDeucxr1XFJnIPorLONEEbnFq4wK4xTDWX5TjPTf
qOGbWyYsTFTDtmoevFpvj6gxxWfjZJgi7Pa6jGS8SfBCrSFFaOEGQBep3cO8zdJE3gFuSC6Wm7mb
OOnnGzdN49tMEnEva9qybk+bKAnDILe04SkRVnXF+PsmHO0zE6GtTc+j+YfTezmd/3WwsMpMhzsP
FynXAUiL3f7n39oBDt5obTgG2SHat7tuD/R6r+/b/e/X1M+XhL+/zC83IEol2lfRPOPV7vTAjrqd
JfU16rCYNnT5WmvZ9e9f8J8+1y93hbpjPjDovGBm3Wkfnrzon0n8MN1b7c38+PuXWmY7v/0Of3lS
DekJumScO/LQb50gC+Ck3o9rZvM7f5Of/puvtjy9P2zxZoyGlu16Dtot4rB1vcvX5nc6cWsRVDsy
AX//cstl5nfr45fLTuuYM/6R3ggK49N/zo3P6tu/+wJ0SRlusxJN22WO/vPHIfymNBFjkQFPqW9E
yI0j+4VWwD9QIO2f7+DLCmT+b7Od0bUyLd395UfqFUjtAUdnkGteu6t6/1RLtDtGjwnGo4O7H1Nu
Ojj9p+40qxQNRW8wE55rEDtGf6/5ZrRBr10c8xokfh3VgU3/Dd96i1UhifyldSYBToliK9303eZh
1834pCm3w8lV4SgTJTcuzlNAlJKMPq2H3U5htp1mGpgpqqoXreCKgHxVQQekBSUwq6wZ/uCdNurn
hplTwGltrEJKeQgMIUGxvnUVTa7/aHHm/8M11/hlMvjr1rCUZj8uNAfUDnla/hh0G3c1b8gIOFZ7
sje2cfBP28Pff5yfdiFnOQt/WNNJRUgUSeLkrPSPrX+VMCbs7acY4/q/u9h+fp1l1/jxdQrXDaWl
QZldNCkyXmcVlsu63v3Dy/wJFf3dY/PLfd2tZaR7aIkDPR/Ieown50YiH9WOvrLrL1e1nXUzmJGF
PHwEU2El6rYr/QpQlG56WPQyg5lVLZ07EgfIxwCx6s+yffIjiJYjDjZ4FXdmKr7VeCLWKN3WlgWK
KvGS/YTOY5eGTg8QLc4YVtWE4VIklM/Ah/qNRqAwDevp0LjqngHEzqbXTIBf60Ff1bjqhdF0cIeY
rKKGjti1GTpfNoD+ByaTlX4L64EeThl106NR0mYc27R74bQcDgkTn4x5HVmcUxjhTLOTncO84akk
pTFQFXqnCVljj2uNmUfrQ6MQiPhWyoisD5B33Z1nFfdS6Dg4onvDzqnurPFKNGi+p3F0Xky95YNn
PXlSsSs3eW4/M4Gz9r6O9Kz1ouuECIyjQLKHOOQ9QieyQr7VXTudt82EeM9rAgWiGQ/uIJ7Msb6B
EbXjy3mv+YNO4cNC01KeQ0Aefg05uI1SPQDFoZ4mgqIDBDuPaVx5WdBLpD6xwadC1mm8TaQdZrR7
Q5e0tjRFKuZ2TzCDyw1zuSNTDcHFmNR5Lq9g8kBXgYkmgy2+mmf37GKMcBnorE2B8UdYeFvRqRPo
2k6vVd73h4Th3MWsUbsWmGB1BKnbEKMnFZ4Of3ziN3Tr8tYW6Td0veFlsoC2NSrmtoxaP7ueaZ69
MgHVzo3FGCZVOXHNfSfMw0DGtOV0w4sRqU+vVg6jMkwuO8epjL1E6LTDbmBryJ7LqQpSadXWxhVM
7gh4iL6x03L97V2zB6bV4HxF5xxDU/SbUtqEeuQ0JQWXc2soNQYoKeo3pl57etojN/xq3A9WOmwZ
BlfcbB37mZwWfRcDbN6ETjW+A3FnKy5otsqF0E1cOyhJoHblxyya+VFlWqJttRYvS8owMaMA7aNt
Tn2apT72SBXFXr1qSpSf0FSgWmySrv5SWm5gKGNlXXgCqA0Ng+iVMMZ75Ov1PTbgg9el8cmfW3Lo
M4YzMoHVVQ3RmJBFKZC72hPK7NwQiCglPebWw/i6NTtbQwEZC3BnWMNz50PCIX5EXJs8GIMZQnwJ
CfnprczG01mpU54pp9kURd3c2eSjGjtKI3B/YWNTE8+zl/UkdAH8wnMQ3dG6z5Cxk0373DsNET91
kT+ETQdslYik5ns4m9VDFOuWtvcG3wbsNXFeDP7Z9ZH9dhpOJDvzNlWMFq4aEAcnak5pCmCTM0DE
18ksShgjQwFi1BTDPYIP2K71gBGT9DKdmLQE+NDivoza5RGh7qW17fJPmCWXkJlBTbQZLQGQKZLl
A1N7YmtcW7hbHWDwiinarcRlfybePvuM247UEjZC+u8mrMwG0wGTTAUbD2urZg3y+4CB5DiFI7p0
J67Gi0Pk6I0+IMKlwR1v3RQo5GBbXgCHgU/L+R10RVVeKrtjNNw370Oi5wfXQWjN2HAu1xG/w5FE
zXZPHlH6UFqo95Tm2k+UM+a6cjv5lbUGDmy/AenQaumpqs15pwoHv2AhGDpt6R7655ZV/RRWC6JR
LqD6OnIDqflFMDsdTOyuNrjXzk8V/cQDWZDnuZgksGlngI8yIsjSom2aZUeLGEG4t3MKUqctN3z7
+TXQxXDzJ/qmbA6SoJfZkcmqGYZTF3qH2Ewueh7tibSFzVvr+OqHvR9q6pVy9aVmxHfXDFG1qyeM
clYzb1OrqK5sw7U/ioYxjE3cxMoYk/eBEmc9zaWLCFFGsHJISS3tpH9ioHns5mrcUQ7lzLPzSyLY
7QwHk73XwQZt9W8gKF7xOvbH3tPio+l3IhiS6FtrMm9uR826Ga2B/zO243uKCkS6prHQtmAMFdCj
deqfaeqa3ZRUp34y1RGSKZPBfmbIw+ydoQy5MM6+nwxT39Qt6FaUdYzo8FHBp/mYTDLgsMHYRg1L
B7RdHHfPeaNna5tovFZXz+TY0qxREOCHpAjaAaRgkxYblUDHSAuzuiLl3cQxHkeqeiRAz7wX8wxH
0csMKIRkj3pYU/IOJ50ux5sY9fk+8tv+OUGRvOtnqJIrN1Vgy5tOEDqBL+xoGEZ/mPisK46QrzC0
VJCnw7SNFsY8RhJt5c4EHzuytU+Tx2piuTxlKQMd00g+esPlsezbYjfHyAqwCaiVNTfaKiqdC7Og
5Hq0WjiQJBWTK8xa72lkYzlTlz5HM+LJ8K1z+i7IG69AYVBVrrv08LBfYkedF4onKulVr+DAtgmD
v7qp1mZNHMZoJsepyLrbWsc9WnJrzeBUnFjVYJ8TZ6vbxWFICBtM8H8mEwAGU6rkiYHkTuLK3GN7
Gb9VKuUcryzTv8pF1Z6ctn13rQnLwlhCpEjGnmGlYuYp10kBXmVKk6+OfOBAuAn+9gh9Lek+OpkU
1pvdu9o3Mg1uVBWViC9F4Qe2cnXOTJuFpGzTu0R8z2vQWtGEViIZN0Yd689921s3qd7cgdRsdhyH
+7gglnbOYVvljQh0QUgAONFz1mfhBo7CQ+4Th5pmqNRAe2xQcvg3akoAmrX38KMCBkavBeKkvagQ
jbH+ay7+ZfMthF8DrlLTfFwAYEDYPt61rnomJrdl4psLsgNxi1VAjHEwWPiL/oO089pxW9na7RMR
YA63EkVKnZO7274hHJlz5tOfQf8He0mUIGLtbcCwgQZ6snLVDONLfQp9qK9UqKVN45T/Wh3cYTXT
t4YVuXXCkRhWokB6eZk8kZA9Pg4k6VDfW/XSq5aIa8T4hff8/x5A+AUtTnscptpMETy++8qTV/pQ
tGRH2Gd3mlO7gSM+ze9GluZN6EQrXqTzhyOUnSNzi6u2QpV5EUUofHkWeiBUbeyaeuU2f/5qwMT8
R9dIlSYedNqiso3BuNdoROToXOle6Wg9RGyKcDswz9dv9JdMaZphopuj6zOz79SUNDMUDKw5sfi1
ehPie9N6bO6v2zh3u1EBdGRjdjMcPU5EwACx7sVAfE2IFvlg6m6QN+HKs+58XE6eQPqi03qNrEg/
4UHfJjDO4wO1nE7f311vypqRxVxrfXiBZoQRY7yjonUfKa6K/uJ1I4uI17lTaTHFvIwdxFdgj7UG
Qpagh5+yOZlAGQqc8IUJWF/6KKkTIoPLrjTfclbsr/iYjIXvrOpbxbdIk3fjwnirJXGXBv6XUjIU
4AkgBHCDx5bibUJl/CnzzqfwM9vkxNQ3kVhQNNeWN03BSV4rsNwj+ZOEjhJx4shY+U5lZTSMxeQN
PF5uQTj5bqOnT0mW7vXpcyy50lmvYWndVflP9MPv1Dr41VaQVwR84py0W1+xvvW+4w+kqRrcA8u4
OnSVLVF3PxjFBgLYc6d/tlPhZuINqrVUJN/6Y3+jpbaJN0KnnMyZiO8IPlheMxDsSKCG9voYyCtO
ijlR+njRwAAVKxUtZVevMvwSkXhX+Wz6JUSHYCi/91InULNF2YiK/OZOKUAiU2NI+Qi8DHFM+31I
bOopF7iBNDnqDPCHiJGg/rj3Oe0BOSr+vktgUV//7nmVLf0DuoabnZ3LUBVlsQp1Myyg0+HwIId/
I73JPs+R+oUTVex/Xrd0vnNp0rGlxVL0I1WdWvYVJzQU7UFUhw9gie13RUVzD4lO97q1S0vi2Npi
SWo6F8ec8K2j/SwHSuV/mr8lhfpa1Wlrm/jgdWvzt1/pxWXkXiytbkg6tJkk+Xf1aMJa7sFSUP6r
uUEcr3iUL/rDdB0XIjn75Byri2WEFFVGGjTOI6Ay6neLy275Odx5qi1MUN+f8ld4Ntfbd3GWHFlc
TG60kZvGA03lWD/l1jZKpyBbHfeEuLJD/D37zzryyNDCOWqSTav3EiL2VgJIPq6nDflt1V2KH/TO
II6xSXkn2nInja4lh4ZTDJ7hkCjk3XcSjy0RxlECGJZSMu6PmeaNX3QpttAKSJ+u98jqIMyH6NEh
GROyTFHRA2hWx5mLZHlok3C6jTqlvlX7sQNCMJWzKwNiPsrR3tSRydlU0kqPrY3MvOUefUaC9HpA
MYHIfeAZllw3ghoDk0u5+coUXzM0L+8jQ37pFRa1ZaJDQ7YdZUJgacI74QbpkpWevbh0j+bA/CVH
lsqa3NSmbDJXJ+0Y8U2pcYs3PEpNaw8IuY0etAcJ2hKpA4+Vt/Nu4+aPlz7BgSUgSsgLwa3rX7T2
QYudKy18j6InMgTK9/pLCGcdiLvrf2aDK/ooQRjDyphenlsmXhUSioBcq4vNKxmEjvoWlhuuEFvY
wO26EQ+io+wyN3D/i7b9Y0pbXB3SkrK6xKRgIJIGH2aPii5QW8HUb+RDqcZQZaa3WiEi6tHh101f
nFFHphfbmBibxEk0ZpTws4yeVPkXbgLS8tL/JrKoH9lZbl4wbfRB4AJABC6T/I333ut3efeawQ5E
USNeuT2fnwXEkdiZZUvnjcOpejp9TWkMqljUeieLHVQYSObov3g82luEaVZOgjVTi4lZl1EyjUU9
OtNcgjkKlIugskGi0U0kwAz4vD5eF665py1bTEtSEZB+6zPZaUzxXull47Yw0o+C/PBtOnh2pZgp
hfoU8nZElPx2ylYijufXx9MI3eJwqGU0IAUR54YJ+WKggp36SiH419eUUyOLfV02Op2yRnwVamLL
v0ncVT8KbWWLm3/H6Sl3GgJc2IADbrFLYUOjGGoy0HpqV8bq0sw4DjIujgUS9a08nJ9wgaE7Ro2m
CVlWVQKILTLzO+isajkeVqbH3P1nrTIUkYJAS5+LDE8nPiDUEW4hafSAXlBaTb5McwhDkuaXfghA
hSp2DcoVTuVSr4BfjBWqD/07z45Nr4wrN5aLHXD0MYvjijhLQCkGXWz2dq1vdfkhRQbno1Kf5LVn
zYWwO8N5ZGv+lqMDi4KWoqsq1sXUdF8geAG2RBtS6SFTqgOS37lFEXHcHmQwTrnZ3vUUJ04y757r
A3BpeaiSCFCCRD/NmOs7jz+jDsLcQDJPdgiCCMaDQXF8v3JanG/Zp76UxQocZ6V0YKkz0d/7aK2U
p4sEG6+jesfoKKiCorhyFl5u1D/OosVS8dDkqdNAk5yGQCmlEXu07mEkTPvrffc3OXQ5eY+9RIvJ
C104VdTGBGlct7ljZuFvCWY7rt9GsUWDqjgLIV4DIgyEkmKLKpYPVt76GrUCQsHFj64O7xoZHaBG
4gqqAMq/a0wh3xf62KzcPNfGYDmzqwq+YMzSjuq3sRf3BVTFSXvN2EmSl5VemY/Ga72ymFLJRHJQ
M7KAhx5+bnejjT6y44dar24ob9218VvbHKhz3QSIReWoUl23f37xOnVELabbFMDbjXVmtOpWh/jG
2vWO6lRutGJm7rFlK4/9XYs5ZpaebrZZwvqtdsKPJj0o37ViZXFeGjUUK8ikm5M/zt7ZeI6DSpZ9
erK+Vbwb5Bx3I8LH7MoaxJDr3XbRw3psbLEhGUrdDXoUyo4yKo99DTo2qbxtqScoEY6xZmud8RIL
pUIRmeK0uLc1xfP31GlQxFAC1l35nHPXCMNoUpvNdY48N3WxtgrEGoF8oAOSRM3nFD2G4/BRVcWv
ZnIb/xdQCyox7Mwoeb+aKyftpe2DGkMJcRmRNFRzccc0eSMGJF5KzvTWknCFGpG+4mG8cNCw+1uU
aWsmiWvL7EiydqMYNcDR8cdvJb3KBrUfHliT+b93mBonlhbTdIyhR3Hhkxx4alZuk9iHrsH1obow
S9ngFdzKCqwNcj5Pj5ABoIze1FMPTTnZiKiVVOpLGnYPCi/yevJ+XLd2YXkfW7MWb49OqbKK9IHe
qatwl1jPODXqXUNcUyFBsveFO7FX0BRrvbX1Mf/ixYI/MbyYFU0ndiZwtNExUhi3cSv+0SRk44hA
27Uv/hQz2bTbghjlgMhanhorN6ULkxLzyBMYiiGDw5xH4ei+4KdRHOQd7E2Lp7QsHqzcfBcaeWVi
XtjVTqwsNgEvj1S5jaTeGYt3BCAPybTrqNP3IOFcH8aLK0ATVYNSGIISc0nNcXMMi4o8PaE5PgqK
NdW/oBXAcBuqDfw+WXN4XOy8I2uL468AEgVyzVMcsTZfqcsNHMLNb6Homyuz5GL/HRlajBK5RkJU
WvoAicfJXklq0t6D39d7bs3EYoh0pSZfmLQQpwwzSD5q+xORAgBA43TrzRoi/5u1xeImtSMiqo7b
UPvMf4cUmUr3eViuTIaLO8g/vaYs1rQoV56chLhEYsILADML5ZB0wiZq7dJ4u96eS/duDpb/TDxl
sYwjpQbDIeEm8fI8o7IbWpGB5qgG7G2vdVRUTM3XdhJMCJXGPhE9kfzKyRZNxEOvf8nlcVSQyiRN
XSXX8XQFjKMhBdE8VXTxzfpsQjLqburX6zbm3X25ZyEcLrJxUNVK+s6pjRzgdWel2EAq9EUTIrej
buS6iUvNODYhn5ow9URLKWoYHNRGBle2Nt0Xpd1ft3Fx0I6NLPqqick2kvQJIymsxqwG6omqcfcc
AAMsjZYg/rPa7Asz3pfqo5h/vW5+rYmLMxS1obGJRppofSK1K41QszemuhIPvLRFGbIFZMdQUadf
nqJQ3+TBFNLBmdWP6vHQtXeDt9aRF1tCVgNMHsk0zmLOSiFqoRxIGCmg3JDgRBYRmTzNdqKa5Hqn
XZx6Cjl/COfI3HLm9h6dV+0UtmbT6OAcKTKjgLL5UomTv7KaL50i1D5y6dAU4trKYl6QqWP2Ik5I
KpCd7s03op024p6zxFufWvDrDbrkyTJF9g6F97Ksnp3AlkWaYQ7BwPGS3xWlkJMNmrgzt5zZG+6/
0TfAeis2L7TvxORir4eeQVm3hMmalEh93OQ1h2X2mL9m6I+spUxf2IVPjC22ej8iI6/PxMEZZf2L
Jmypt7KTtH5t9W4XKc/Xe/PCdD82tqzc6PxS8AECcYplbXcLXAES/CQEO7NK7X9viWokBs4wodyc
pc7DFQ26CJ3SvHohNKSVP8SP6xYuuN4pmjkysdggilwY+khtFCfLRP1PIYxP8dDoZKegrmEj+BN9
K1HfnUXzhh01dDcU2XQI+gKPdK9/yaUhPP6QxaKDvAr/RG9Y399bFZBTuWu+yZCmcEteN3RpRzbh
bqHTrM3pK0u/XZ5lFrJS9Rxt6Hfqtt4Oe+7BtuXmju8IznVrF7YtE8gU1T6ajJMQaNjpXqJRH49Y
uwKYVL9F0mWyJrI7P+p2LSfnYv8dGVoMZAn3s20D1luZ2O23WcqZglD5wxo+rzdoXkqLc/mkQYtx
IoshzzVkV5Augj2dAHt0+vei1DfeZ1jfpGuPwLX+m39+tBcXkLHNhqpD4jV3nrlN76EDrUV715o0
d+2RjVboCp+Q1+wagC0yoif0qo8kk8RDS41aHW9DmFKftSeHewpR1gKNl1pIBQ513CDqqG1eXHS4
ESsoa7F3ZXHoSr7hjvwbFS9WtJb7cGGxs3GpOpXThqHwcFk0VIgtUvDrYKC+8F7iOX0/6De4yOvn
HJ1J8vBlNGLUFffdefNObS7OgabPLSPIGqBYvaA7njfepJ65F2q/vq2TbGVy/nWtnM7OU2uLg8AQ
rAJfYaI4aUbWH9mxO1HOUP3pi4RoNBn6AlkR9hQEj0pGnaSQ+Led3n1Vp1LaWJT3bDUvbD5bAw5f
abb5jgDwIRHCXdkhR6Zk3vPQaF8lqz4Yo/rFBCVcBpn+tezDb8BnUyeVPFceOnpzwjWNOBKQEgn/
2EYeCir8xCj/VaqMa9KNpkUtc7YPNGAmfdYjZdGWweMEZT3PSQMKURqyTX+Sno2x+v8sDTiP/u/8
6f/64xiLcMFhZgJOUkAdmpqEg2oxKIOFHmxMbYoj+nm7zRIx35bGcBAHaJ9lKT0EpvgwDKnxqAxT
8jnixKeIPP4wlR95inD89R3lwgw5+ZjFmDVJD36nI4A4UOOkbOvnjGLktQKkS3P/2Mry1IZbxBnW
G8SgpN/jPqGgmbRmq60csX1Wh4f2zeqRdV2J4F24eJ109F8I5PHW0kZxpEXm6DT9R/5iGo/1fRF+
eP4u+Ja1h2ktXnG+k52aW7xomshHpbMvZGdOJQBGN26ku8l4Q0EpzB7Vf79znVpbnG2ZMdXqRI6x
U8h/FAkZ9qmmJMAejXolxHzhyJ6nqoIsNfBCIm2LjStEB6+TQ07RvMpdqShIjN4b8ILz4FchJ/Wm
goPU9g+Wnm2V8Bf6SysvnPPDFUo+UFAVnPRcybjYo9sRjR7+wFjyUZSAV/4xZL/S4dZrVm7N8ESX
56tCvSTl30SXZd5SS5BAmvp5pPteuCeLnBSbSO5/J0UODQ8cnUYirFv6Q7MDRvWqFCiySdDwlMZX
bjq5aw5CDXQ59VXT2+ejnN7pTYWsEsBhSHaZeKCaETmPdpLqiJJnGcCSqPa9i5odkjRBoMjyjUKN
/R9PmzySlAsiX1tRELStYOIe3HpSLBq3qOBaJjrXomYHFJX9aQ2rNXYDJSxOngrxY07K951MYQvV
KGOJHESC5M6TVVcbAEEDkC0kr+EWTNo2UCg2qGUgjK4v1uofI/Uoj6I44lAlVe1aU1FuvagMcjI5
vZtGpaJDrVvdhjodZNtEpvA3bpL8MAiCww7/aJgkuqUVSrpKaR6kQX1rJaHbSXHw3tfRYfQ6JHKj
CSZ536NOhbcuLZLui0+5qeyPc8VnmdaoGRQV6qAhcs6+99wnVCYYTeqMNdAxOxlJ4tvXVYfwSQw2
HmCndg8XGP0dK/9elO2TlanphqCd9hUImPimGIPwwoiBaGlbr4jskq2f5HOychO7Cuoh2ft6CQlP
neShtXVUdzAcxrLqyB6iT5vMlxqF6GpifTeypM83rV90HmoshgQ4glz3+44Q6caTpuKHLEs/08iQ
vvoGgK8wDr+gO/oiyYXwKlFKKKGUMHLoeXJbwKGyhm0sxtXtEJCMH2QQjjdRk/6FMMsoEJOaiQA7
eqrI4I1aKm88E/C3xLEIuKqjQHAqlWQn15SzNb5hHnz8y1bcf1aV/kbeK3WrNVmn6KU3jlBVZOtr
oB3aQvhI4djbWtY9AA/V7qpCzrZNMmPmARDgFAQ8Bb1+D8IKqeJI2XEBk2wTINk+KECb5dlTlddf
ioLoXDDGXxMt8d4Rq4w+PehVtlT9wptOoUPmNeE2Ekb/ttY8cuuun1lnG4JB/EPRTQnSBwx5dbHR
ZkIDeCZSBtfwhV2MZJmkNY+t/z0FUBaOzf66tbM9YbZGmMKETQEoeBnpJqO7SnQ1H9wZPS7Iv9jZ
m0erMbblU/uvT6yFrcXVIGl7jWoPcr064mW9sCNOuNNzUAwWAAwgjuq3aMzv+0bdXm/j+Z1kYXhx
DTBjq6GMi0bOpWohkiFU1lCs/aI18NNACqbBsK8V9E1+RMEeuCdTqP23o0rpNRrJvAt1g0J1efEJ
lM8iGqEDvFPQUyHdDoWcu0n3n3NddRpL1YNbqaoM93rD5bO5dGp16UKmjA/0raerbhnW8V5RDfkG
NQ0P/dqA/W8ovG8tVPGvUQJ/ZBcKPgSYVBjLQ5JlZPqqcFofBDGHGAQaRxxssSiEn6ESJY3bSBP+
3zHf6405PDYiWaSKLoCXjalsBBKbvurx2LWoH6l211KTVcmkaF9v3vkVSFVFopEE2LhoKuLy7EbQ
PfMK2cD0JzjlBtXF10p8K75J7b591JSVIZyfuScPgIW1xfTtCqKjVaePbiNCv+/lfY7f83qLzu6r
CxOLWeJDF5FqdW7Qa0R9H1Ki0PzXsurOrzynVpb3Vc0Tm6mszdGt7MmB/7RLt+NXqjkccQ/E9+N6
k842mNmYJsLeJaJlSstr6hTKRT/U/uSmabhp2dWDnwgfUqewTQLqtdXicN3emQtttqcjA069KFQI
feFEUKAst02Rj25dAH4eX4UodqTcX1lZ0pqZeSSPbt9yWBidVjEZ2jh5I8vWEcQCbbCuHm6aIDRe
jDIV3DgSPwqveeuEbOfFFMabAWV4AnwrE9GBh5ho+krrzxf8aevnnx99FtBKjzI/baR0QrcLzTWH
YeuNn0XV3RrDv725zj1tkQ8wO23md/+pLbhs1oiq5ehOFTVuCK1vpzh8MgSt3Qr+TzOkZOO/GFq8
2gyuKGpn+QEAR6g1zhjaUoeWQFUkGCre1SU87ZVuvDhpjywtPF4dlGktyeHuTRJweio7nydkQ/pY
9L/EQ6TC+UVbWfTW6vkuTSqVtBYeAur8d7H8i8AKVTNJR9dEtnlsHpVSt6nivN6Ll6bIkZFlmnLm
xSTpaMPoCpQ/qmhc+dTUpGr1lTK5Ly2Qwf/CnATy0UKojIvjYqEMRq+oVKePvK3uIWFzXSrkt/FD
6dbSgi52nqyTJYy0iXzmgYLnxC5TYMgaXic5ugtNHjr5ynNxzcjiDDDiivhQhJEhlXczkFky3FDd
X++yi5uLetSUxTwwap6q+kwjLOP0YInes15RkZGqwqGowU7LLTgNlMsK68XzADQDdLlv4mGnIsVw
CyQ5h+hcWi++2A/u9S9baf7y5CjZcVPSbRnMWHhsybjy8+zWLFamzKVT8Kj5yyPD7IZCM+ZOVpKv
7XewE3H2iND59aZcXAYodBAm46A4CzSXPR7YIKxHV4OlPmx7DZm3Q/ESr+UBnXuH2CapBvuPocVe
Ilic6Wg2st6UGjfoLpBTG6WbTVa7huzd6+0DnIftpJgoJIf/TU+q3OsI9FChtUygVzyWZOtNo5uS
7Pd17G6n78Va7cHF0dJAtrJvSZa8dGDIKcjBtBsBoXKzN+I31Rh2XToRQF3jVl0csiNL8umBg18X
InwnY8maug1k7ifq4MZ3ZAqUTaPWlPEn5cpmKSnzLz259RkqzhJ0uyhBkDnwFp6o3vK6tonUzg1q
koF9pRFeuAj2twnxwNsaxv89qcrDVgqGFow4nHPy9QulRoNMaNC+lPrcROGzNsKWhCg5c4dcM57V
sS/+FG0pfycPrYE5EgUbvdbDrdAK2SOZGETJZrn3sgOLnPm4CNRCfVaBbm9HDo7XeE7F4xUu6Ldq
0epoQgekmm3VFDVmwrGZyFO+qg5IZUQbYQoMG2iGnNutgWIe4L9JRvcggD+XKr9SKdMd07BQUxUE
dEai4Jk3KVJRpHw02yjRJbtsLJQXguE+FbN8F3bju+GZ0HGQlKrKQ6/k0P9Q+B0tN6F/NlHBBUcS
xm9WqJdbnQK7J8H3pMe8iuRHZDXi34oCyLwAogmUPGjQNyPw4xs3AkX+wY0qUIN2h2SaV2wEwZTu
eZ0WN2afUKEHRXwTQ4Xdy2XolRu5UBQE8UA87LIo5awkyUFoI3wg0H9x7QQeClWDb6W4ZvtZ7MQv
AbxEvXRnUMa5jWWh/CPjAUSeCb5nhCteF6w9wInbLpBFIFJjfduULRJ/AphwK3wyQ1w0yEsJO78e
X5skirhdjd9StXjwh1gzqRcx0CYNdZB4KLNN8VML57vazlmNG+D48IzQtfHMcQdQIfyYxDRud0h4
EuxSW4TWHY96N1tRmuYOsYpkL+lj/jak/V2MeN1G9rzeg7I+gokVgjotD2BsJGHDrEM7VUH3gzI/
Q1jZKM/2/PnxrEEBJmEGxYhlVuaUFUGciRH6ia3/tWnDhz40D/i+rm/H51njsxmdjHtec399H6eL
O8KH7vlFMrgl+jE2yr+/OxEY48izXJBe+95HD0jhaRkgYa9lNaLEVb6tDOlZK/yDWQ8mSu8Q7KVY
3VdeDh63TPJtj6DQ9e+81Bs6UGmVzyXhQVwczRaqhRPqMoNbZIS6WtsiChP4Kw/b+Zcs9hzQjSqC
UNyvSXpZ7DlCiTRRM0CvTlEVQQ92M0a9Mw1/utZ7MfxXLlDGWuL2+aPQgNQn6wYSyPzlBXXa/2nQ
y7k3F9LIruTIu8gRtk26GbbmRtqJe3PNy3Ve5L2wt9jMxbotRuArMAuQG0HEMplQ84s0ljeuBApa
pi+KVvd3XMOHGzGKQ+A8wrOpB2+hX97CYpoeo9Aw9wRTp02dmeqmMc3vile6Ihp1myGPDrLZ/Wsv
zuKjFwPTt74xgj2mcpNr8zMaOVsVDUcByaRoZQqcXxsWphbXBhSaVGHISFFGsctGnfe2uw23M6kv
fl0b+7PXzsLUPOePHo25nnBJ8lBIrb9LgaOpj/oIwfOX+KFZzcryObsszKscVCNPHEPjErtYPnLs
g/I2oRJJIyK4VowYd7azlJsQFtL1hXqhUbhR8WhpoqmhgrZoFAn4hd93XLv6qrCn+k9lQMAidUHD
9ytNj0X/b1/Dc8uO7C3eOcBrp9QY0B4KKBaIfcW1yntCOghJTODQVmbHxW488hEvFmsdogukq3Qj
3v/NqFkPkYku7miDMFoZsHMfG+062vD+/vxocky1FKZjyPYP+HrXKl85sGHEUZ09ej/TgAsfemfN
sOujtVqHyzstpQCkQqvn7oW4QONWm4LBVZF8l8snEoh2cn64PkvOjWhzzhrgd7jIorxMgzLUCB8G
3HK3EwqYUnWQES1JwBpkq+fo+ZhhijDf7NfHHbY8OeS0MqwcDrmrDOiGoFff2HqQg1fOSsHWPWl3
vWXnvl9DUzmlWGsa6/ssq7FEtzwJLH9we/gpcvuSjzdxE290SnWLfIbfNQdiMi/5ZN01UrfP2GXK
9D1LOGdrnHUpwjoRWnQdKsbc7wQcBap639XESeOdb6Qgj6R7GBc2lKSVOXe+dE+/fP750ZTrqgHW
ps6Xy+Nj9RQ0aL9aT2m4C57LVZ/SpVE57qXFhhR6YzCCUuwRilD2gXDvq4KtqtxnxZUle/6on8dj
TogzNXJycJudtmpo1MxDjbd3K6sqNj0397a9zft9hguhiSTb0JA0lNsns3wOyi+qBm6YirSgfzCn
l+tT49KkP/6SxdHikZlRJ+AhXFSKduU03E7CK4jGlQafX2JorzVnw6kqcKrl2zOFTSVMhdm75LHb
qYKGQv/cR9MB356dl3apI6Fdrsycsxfi3MdHNhczx491MY8RE3atWttb8aOMl8kw7yI0nMQ1P9rc
S6eXtFNbi5ljIVNQ+rLeu22g3cqReBt8uz5MF6fmfxpDMfDphGl4i+ieioFuMlwiKo7pF1uy7knF
v27ocq+RQWhy3TzPF7a6WtV9zikS4YStWEKm457xJVEe4n+d7PB3fP6xtJh5o9HVrRyUyE2on+13
zdgY6QPaaPKP6w263HP/mJkXwNEGkmWZGWoh17RAcMT3WjhU38Eh/G825m84stEhqGGQciY547if
mr2g+jtT25Ems7KMLu4bmigZFlFaZtzSv2LBvhzCSrccQ5AeTBnMImjJ4l6v/IrEtzJ0C7Hy9wMi
pZtUQW8Ndu34COFb+K3F+Y8knfW61CJ8yXlWrPTBpY3k+NPk0z4YvaoLLa+RHCDFPmpc3puYyNA5
PW9YWdiXRvTY0mLzpLotVaWEEYXTM82gTjt/SteSji7cuYkjHnX1YnqSlzCZU8yde8awd6/Bq3+X
PGjbzu332tv16SOttWgxR9tOMwb05zh4pOdhRODNuw/L8t4P3wfhrdY/m/g59conH+CuaX4lP2nU
tFu9GngaxyuduzaMi6k8GFmVpyqfQsWiowiqbVHp34Tv11u8ZmXehY4WjM7tuBAbzr86g3HPTVxP
/a0Z7K5bkeYxWm7LXPlxVRAgwluxOAKsJBj1yFd7V/XKb9YQvI5hfS9K923ywxBtqf095okEoHYn
JsjTefJX33MILK18xqUrDD4zjnp0W2bH6GljQT2nTaOA2xHyTnUnMXpI4/A3NOsf5qBsuaqT72NV
//oJopFF9o/RxXI0lbwu+lRr3HzIUG0SxC+S+aDe1T+ud/GlHj42s1iLmZIJIBeMxoWnXBJ8wCUo
NvnKnPybKr8cx2Mri7U4EGbom0hu3Ehr7kf4qo1XvidUw9UVwZcU0DBcFtgfL2rxMx4/rc7tlH5L
ZS8BQZL75ca/mYb3RnnpjJ9kyN6IabLJ5D9+EG+E7jUXDWdU0GUORR7wtfVjSMUAMdP8pW1fBgk0
knhIu2c9fmgj02ljFHonjvgq/ex6HwCNBkQ9wD0bImeX3RipuQfZ71Dvc6j7nRm/Fh0RwkSZHMM6
THoB5+szK22/17/Wyp+yznbGNGzJVnMzkyS79FsaTo5Zh47WCS8WPj4xQ1RQQ1i1czTypu4Kq/kx
hPcFmN7ePLSR4RbS/dS3t9GQUnXVbhXzlYgvcpIb2Xrwc+Gz69Z2rHlcr43IvMCPFjC6HmEL07R1
YVaLm0bURDvWwccEHjR6pVRx+2uAjxApjB3Fmsj5SBvz01SG9t6zpN9ZhtPk+kxcW2WLjQvOHr63
jKFv0X8mAx7Vym30qjTlXVD+DLXDdWvypS37eEoudrC4RKQYYm5PpAOd9Ds1vhXk0Fb9rTZDsxUU
aNk7G7+nUjMF0ZJsZe1zeIva320Z7fpODTaqhqrVp6Y8pHqFV03OKmrNfgBUsMdJXemcv+mcy/Ey
KZwjaoH0D2zo0/FSa08PhDhuXFIROnnbSLqwN8wR5geyqpDSLXnf50WyKwU5cfUpq96tRBp/x5Fp
kfVqPo1ChfJA+h6PeufKQf1niCllv96nF4/c449cbNeBTzwVEbPWzc1URART+VoqnrWXSKhE6jv5
nXfDTVIIyItH2Uap++QRuem1g//SPJqJA7O2BoqBfwf+aGaTAjXN8rxIiCT5HYU21R7BilquwxvN
4KqhUQbYFlluX2/7+QOJdzmhaskyDcDdy0S/PM9ZI1EAarRyhE8V+Lv8kxIQM3H7D7KL/jdji027
HmSBTEqzdNsQXrjwJAWoE1NaroZOhlxSJz0jgLeyYM7fFXMDKT6RCAwy/xYT0Ev8OA2FYnTCP92b
GLlhtBtfK2OlOP/CFDo1s5hCgheUkof7xmkc9QZttH22zw/yRtxkW2/lVFq1NY/p0UzRW08f0wn+
RhXEt1lkHoj6bYmy2oGkfue+/attSlv03poA5d1mTVfnfJ6etNRcvAhzgNVdL/PmKMd9493o+sbn
/yhEV/7WWyvpWRm95RUGRNgwCoFcuoZxE5sokojyJiPJQEBiOVq731/YrEBYS1D6qG5ENnQZZlWb
ISgFjbkyjocJNSlkFbx9hFNxyGGqQN2VbocaJJDjF/zE9nEKJSXfw4Ng5dmtnjf89FMWNw9N1qou
EHPeGuWPVHpuBNU1auKGD119E322PLjqF898DxqEFm7N4amYftQGcy24V8uQbHXBQRF7k6ByN9y0
AH3YuCZIHNZ7XQY7qMa78BON+q3k70PlV/4aTNu42ebNDthiDyld2xt/IhQaSHD+RvpHV79E35q1
kufzy/hpGxdnOQIPYhe2rehUcWTH7UuFD0Oz1nIsLgSVTs0sDmjEkQWfKwM0byLh3avxoYnbHHx7
vMlG0kLv4u5V+R3XKyy/83P61Opi34mRTxFDbShdrQ1yJ8mae2g54SbpxdZGL20Fj3axkTiRqVIn
RQBn68JcbiVoNkjB5BTSjFVFE+XPJFjenV6jDb2NK+0niehfRJGXD/m0iRKJu1BrStjEBOav7/IX
9icK2I++ZbEX1jIgyKFMWECueYNXe68+mhtlW22zrbW27867zen94tTWYi8cEe2eUrUWHeQTKeuV
ESFKocNty18D151gN67kYpzvfif2lrufl9ZiN1oDsmU1u3zyWJbDm6okWyk8BOFNI9X/Y2cud0Al
G3R9aHXfrSun/TILgDfJfRV9sgVp7T5/HcxyuwpBOuf2GqaBJ46cWVJOJALvp0eM5kV6b4zshDxR
t4pTb8u5inhLlq4bbls7eyAE+Bi5436N7n8h1HNqebFa8yDqSrNg8rTc1d1+6G1TRmWx8Kv0RbYA
07Wil25aSybdxLxvekBm/8X0PW77Yil1meiFgY+aoGXC+bXeK/NHmFmPOakgSTUR9k1tQRWfJNM2
K29/3fi8rS+n87HtxdJpatSBlBrnT+fhn/cIsdmtUvy8buTS2XJsZLFmrAyBL+LWTKkXTX4UnuWP
2nDCVSiDfNYWa9b5nGNaxPJJ/DqdQ54R1mZYRqMjPTb2rAHp2dEHKQQ7de87a8HICxvgibVliLDO
9LGyiMPjNvPc+jnchW7/U9/oTvJs2f3z9R483wVOjS08K7rUqQWCKVAM5d2Yulb06HX6NhB3Sdfa
6riyB/zVnz6dFafm5p4+uvCVap/gUNV8tzVfccDuO8H4EqY7uUm3odLsJqHcE075f6R92ZKcOpvt
ExEBYtQtQ86VNY83RJXLRgwSIEASPH2v/E9Edzmrwhl9+mZf7LCtRIhP37CG/ZxbKVyANqFRW1jh
pB0u+KltEnQbM/AjSiv8ZbXRqvflGq5T/dYX5uKA6cedQdcLuBEXOibnsjZh4AbzzEoEjr595fBy
7h3Vx22naFqBMxWW8rr3ZA3bqAi8m4bojbPY3rXXiIMsXT/BPQ22WVOwZA7GgyEuVIur7N9v7wfY
B/bzy488288JbouUTzgr4CA7IARM+Mgoehax063zPtHto2IP4XM50KfFWcNjGFUZ7KVBxVxZKo0o
rEfSbrhITfqeD/39s87KIwjoLK1ucaoCmMza67pMRnhXNSn8x9VNWaX5Hyp+tcsK3yvkFeQlasl/
WAnfjtmXbTkFpy/HjGHY4zeFXQBBJ8C8LFet2z6CDcppvg5ALYQeJEyD4sip7sVoo4EYXpdwB/OA
ferCZlXkMKpRz2SAbJO7cdxDbdl3wPO8+uF+AmlQLcCgKS/NmdwVxv9jMIOEF5uTNH11VXfQWbW4
3hrtoWUxJEDYt4zdVM2aoL9RFmsTwF3pxZZws82vYaR5W9gbXzby2orgzEYC46QKUHVj5ysplnix
bgrxQvMa/rvemHQni3NYLoyROPr1hrj0hrBqA7OhLUzMqtY8/PuM/RiPgLm1MWgHxgT159+bGdUj
mSltZlA4oRgthQeqyZy0Cq2/rpxhh8g0oJURvk5mh7HHJBwIQehTFxul36+UE2T0v3/IeWBEY7ga
FK2cFfVmuLez5iGwc5UGYn7lgC2pYHFiu6fXMOFeM6M3nLQsHjt/GzQFemsQm1TecXBgfKzd6ZDb
mM7Z+I+edeop8xwAANILcC84C/fKG+BaDWXxtjK7skAsrIcPZbcffcASwyQcFxu4utXSINOPInR4
8jaD7VcUA0+ZKmqyKCoejTW8dq68Wfx2x3oM6C68mtN3dH7Ov+7IWfRGa2koW4GcUXgnJPTj4v8S
AC8aMC5rOKkG8gX3MFw8UdLmx26EkQk0yf79G75XB3+/lLMIZHliBLoDn3pHd2Abe2DjuXd+caEX
/1Mw/vqg5wGlmu05BIgBzdKVLIIsjN4nKuAo8Ls+mVXb5P/jqUIKTVDyH02fc/ieoq3rzx6bV5pn
sJKDZYb/p7n0UD9Fya+LnG2d4w5BD4TospqOrtjBsMy2L9wP3/MjSr6ucLZtbT1SeFOcXk55mFvo
SG1naLqOCuZbqJ/+fRB+jBNfFzsLuu0IrCHjbrG2NmjUr/q1iqFRtHWyekXTS2o93w5EBOVl4Jjs
wAUmB/KtfwclXWL2lXcgMvcRbVLEzRCceYzc0IRLR6U3bqBrkFInUV765r5FIbAbQNOyQzRXgKQ6
B2JYtYX5hAOdGzuqnjQdbsDj/gOqiIzdKXNLf2/Cg0Xsm37+aKDTLOZ1Pd2G1YXq7Xt1cfYzThv0
5Yqb+7wWvoZeReVBt9wNUU/IuWoy3euPKQgT0pAyQdRO1egeICD6euFtf9+Gv1/AWXXjFA2UAU4e
2723soasuMWUp7+DxUjJ34cH5P28glMQIMUp5jAX1j6Ftb/C3tnLP6trTD4sAn70ONbGyyYoqNNy
VjEPrX2BwUk2gqiYoPqwshK6yaDuvZRuEVzoU3z7eM9+w9n+88ADFzMnxRqWeuR3DevT3/9+yu8L
QE2RoNELNYsgCM/1qDpVzzbzIYoJLyIW64EcGtK/zGGQ/nudbwEc7fKv65x9tm4963zRAmD5Zt2b
WE/bEC2lS9XwpVXOvlegHhfK2pMbTD5nIbj3alG/8yl4Mc6FOHRKR/4+HH8/z/nBDCxw7xuYatjd
cJyPPoTzrKHN+lOZDVPPxDz+e/++N4mwgZBURJsIFu3fOf/wwnPGUMIEHE6odjyTUy3qD3GIa9k7
YRGnPrP6IqMYUOeQvq+h3XHhF5wuivNH/voLzs6itAH69igQR+RqQs04rcdNcBjSOW1TK73UFPvp
XH5d7CwddFqCi9EFdsR6IdPWHI114QX+dFS+LHDemIpmHfHKk2INUZzprRdJ+QmGxr+37Ic1Tqh8
H0WcTQP7HAXkDqj4tDjZRsH1i8ds/vD7ZLgoKvQ9UP0H/P/fy5zd8MvI8qgCewuoc1jfZu3a3ooj
cBLoH176wH46hn890tldDz16wSEEI9bwwKjWnftOIb6yck35qy58eNdW/saDzxg8mMFK7/qd0zT/
WzZnhKf1MXyD0STGfueFwihbpucggsIuS8Ybq1sv04VY9V164u8lzksAnwiMyBoYeLutSsZKhHBf
DXZIEWJfOR/gxI+buYYBPIRcb6QIzC3lsOudvQDjDXpJwv2HSPP1ef/zRr5cwX4xM6uTsIOa3wfY
NVe3ESjAzmPfptpuY9e98PA/nVlQ56DbiplpCI/Nv298H+4vXAALtoKCyVVVDm+8gwINY/TWnuAj
+O8P5Mfj9HW106/58nDFOOjJnEzboXF6Cils5dypHaQlV+XqUkj5nsyFwde1zu7zApX6pG3YWE1P
nTlCjq24DQ0wphEIWH8uPNe3kgn6VBBYPREZMEX9Nhmbas6YOpVBqI3+08tjaZCSe3PyeM2K1SUX
qx9e2l/Lnd2uPQwpbGXqZVUGcev1qXlH95cPlxxW6A9n8a91zg5H4VgtGD1cQE1jSWQHZwUI0UQ3
NRoTWlQStCeW9jMANaH+9DSzYmU+JBn3bJYY01M0OoT1HlAJe8VZP5ZgJHAn2tZAY0TAu0OtZO8A
LjvDYBzyQBCVKviNdO+Aa2hT4XV7qOImpve2ESOATWoYDQaPtOVwrp55tBUCEg293PcWeGYkV2B7
qY+oDh8NBI5gQm8/EtmkJUZbsSu9KNGQF7Kd1kt5XRWHrlueRDkkkF0SK1YHzbUFP5ktHFp9gIFs
dAfJtK8lhcv49OaLOaZDl1TDsJ9nsZqXLlMVJMwNmjk9mk3wP71vIxiKNdBwgvU0sTHLCTAS0DSN
uGXdmoh8dAB+AoyzdTvvg5OuzyC2kxW6ThiUvjSdYWddvUXUhiqLuJqRnrXQFwuH18DuMr9Bv23q
6IOIqjGKu8lDo0TkTe7GtFagDOgZ6ci/T/VPpwxAb9SqEdSQv5EhOA3hTw1EIO7kWl1JntmQ768u
hPcLi3yLvaLowgWVxKq/k6BzDJ+mewv45v/0JOcxlXLqYUSNc9w/Qdq+ydSjGC/E0R9KpzAkgDNC
0gRWld+46hX669CBxG55zVrKlIuYzMnkpW2d6QDGOPhiLqQbpwB2lqD9teJZFJCW0JFgp62DTaC6
5tU6wpKuyBb3wrD2exWO+Pb14c4CAdRFIJXWU75uohqoqQxfcoeJ+8fohQlDM2j4LJvV/KznSxDD
0z/87Rl9ZMI0gFTlN+L6ElFryk+7GlQQSI/RrQ8vKVX//Oa+rHGWT0HWMwqq0zmvouXRz537WmeD
22fGcdb+kEOsboNWrI26//Pfx/LHF/hl4bPkygUcHArgeIGWzIa7xXrhn+DDVpf6+T+/vS/rnB2U
EOpxnlRYx1ub1E2rVXi33M2rYNWt3Rty9397qLOjQgx04ai98HURwE1bumUdD6p1MquxwNixug8v
qOoLH9933dfT+fzyhKco8yWvMA7RDOKGJw9N92PySKbQIqgGUN7K/pq1VlIs868l6lJGTjSpykn0
KRo3Doln6gLX9d5oAsm6EjiWwP/kJ/5hM/HPwi7zN6McOaVuBCvFChjSMIIM4HQiopUvFjV3gzQH
CSZWR71MW2/QTsw341SBDVKC+L5o7xrMgKTjUYc7hOb7cFD2+zgxuFC3g30TEoyq3Q5fcH2JFX6e
AYGp7aK5DslfOB6HwMz/vSs9NBEcQ3y85+ijEpsZ4z6y3Fbkoei8bUUvpZLn3+r5cmcFY8ik04Cl
HqxYCYQchEda3SeXleXPl0ERdVLmh2WPD1E82ztrT9dlwduygDOEXrbLs8gzdSkinO/b+QpnAaEH
r270cXxX9QRxAXQxphgzEqj84A6sWPFS9xITlYXe//vL+ekq/PpgZ+FAuBAeaIJKrLvXmjzzV+tz
GC6oMf+U0LlgHMKpFwgG59z+eqhKowqDroJaFZsJ0BN3zTZ8NVy4b3/awK/LnJ0EYfMeE5UTXNrE
NlDg8wsclRO1bJAzjRfb6qfwdX5HfF3trHcwhxjPuIPF1zWI3gvnB23o+t+v5qdIDbr9iejvQbro
HD4U1hDKWk7dmN5eWy/BcN3CteGxENt/L/NjpP66ztnGQWSwMn2PjRtXsHbf9OsoXdbzyk4xGkwv
FfeXHups3wQkUqZocfk6DLbzctXfjkTF8PK6pK7zwweLlAiC4xAuAE/43B/E0cBjgXGJ3nYdGzsD
DlJeEuX6aeO+rnHurcXDqFn6DhvXZir9f4AcKzG3mGHBRPh/PyYAGfl/HoieRaBR+bkflGOznln9
Pkvol3TGoSsCeZI1D5tXfio3aMGcC+35nzYSdmVAsQEsDiOPs3WLzgR5X/moMs0RFEAQbqsLuMqf
ciHMH/5nibPQV7QmbKoF78qnMcQNUoxEu3GIfd4mA4nlI9wFNI8vnPofwsVfi54FPmCTcxp2KGdd
vS+q21l8+vwAQIFxt5V+K1u4QNB4urKHOVPvDLKfY3BDi+vytVCXMomfOhR//ZazXKk2jgpdlQOV
M2RDsYmwzzZ4UMx+deEPUd1ODtCj8HHQyb834dIenN79lwxGgwLotv3QrKG10yQ2gB1QKn4eo9xJ
MBRgq2CiKZ9t98KRurTsWeLky6q3zDjX65kipy9aSOCUARyPcxGllr/8bhYwlfilOc8Pkec06IDC
xH/AmN8GobNyCRc4yJOza2/d4BXUIbeCbszq35v6w4361zpnp9kaW7+1KMZZXDZQa7KA/yRVfuvN
dKXIcuHb+eFu/Wuxs1PMUI/VrgsRL4gQHQZYU7e7TiwbM7tPpwI9H1S2+Jee8KeQgEEBKiP/VHqe
X+ijpXrujLiYJuswwh8VS17IrX96V19XOLuSZG9XS5vTedW5IJAtIRooree8YlwSvZa6eguHur+A
WkUKetqsszv9NAD57+c6u5vG2uHTGIzA2kCA+Ln0IGKZTkrAuQj5umcnc96EoEGL4Q8zDMlMuFg7
GZjMz718D48CvcV1HWwbCl2uqUKt6lQBgXFvEdxo7S33ARS+d54i0ZNyZ64BmBz0UzB4PnxT3Gqu
IDkMx8TrpvXBu+FmoR8sanMSO2U75puBaK+K+6LvoLzT+XCYjmaJfow39TvfEc52yQu5ztnJpmoq
3SWpdK0Bc5m8okX3se0/aU5dQJgMWwB1ifrWicnodOahZyXkr/rFkibrukHamWUvOUnDQo5Pth7C
kxMDrZrU6Rx0jWwzRcdCh+QGk9lwO9e9X0G6G6JFx8XOC5VMcLWosqJxVBnLwbfLRJulwlSJN/V7
7Zjx0Q9aDJi8gmg7gwa8VSQ89NjHSX5y14VWDt12EwXXOipYA7VbpVDFTWR+qfIlf9adqau4DAOl
95AkR85vmsB9aMMTwN4C6WFWTgGdeEB3pAel8Nbt0S8LWAyf28yawnXbnuTdrZAcoLM3vkxcAD82
Pos2pJugohzMwRpOiyHzd01V4wf01RYw7jplTRVesQHNlRzlOkRHT9L/kPyFBIZm9RjXEfTZGg42
VdOVt12uyQ1oMICvUOvK7ya5Ra5V/y7sHuSwxkkhmR8XygO4zYEIuUuAabD8NzCOEJh8yMX31rSy
PCtCIw4sAJRqW8/q4eQqOpW2pLn16ogc8pClluu+gfXNW/Q+g2f0ae9Hnz5VtKZvpNPo/c1Xbd0A
KDyPXYpuysvgDbcLq5dNND9PVd5nTHh1BnHMKGuVnnaBXU9rOUKQ2oFoJs+7+hpdgwQ/H7eSKhI1
ArMYReHNNHZ7psN2lSsP3Jqx2UadtxkiPSVMRFc9tiUZWNRnXgmTCECppD5Ku0ecsuw5ZbyZNsZX
5dr1jCliBd8AJO5OO8ZzAb/aGcJ4N4EZrd8UmXYYdO6VNQzrPtfXYYHe6wxWFDHuwXTchSgVGtOC
O1CJZ1H3GQW1n4V1Ra5yqE67yTJ5FP0jBd10FRL0OvPG3QzQkcs6wCI3CgLuhzAvoQs2znm0izqu
f+d+WYxrdEygLlItXYi31auY2nXRJMKpu1+QsKOYQfkifyTcpXdda6srn3X9A5WkA9ASr/BPB3fT
2IEC31U5qhpz6YUBUQDRam/GNVsNv7xRjvXeqQ331rZb9jQropYgCRJ1uG66AN7t1nJdlrOfFshW
hKfqY2UXzgOOG3fhZmDnic2u4Bq+m2HG1sagjFVpyX0wnYJIHCb8qX0TdtZ17Ru6oOgH6GuC3RBY
Xmrpf9d2d9cpZ7p2Mem9gcQm9OvDBvI9pnQOA45bmxhI3t2NliwOMvBeXVtMu8WfDcjL1sMoS3xv
uWMQVsRs8Wvo/k8wEofF0KffWeETL9m0bYYeTh1MTxvbzA4Qicuwb+U8xHxgAG/aXXnV0tHZjCH8
Mu2hiJIRyMd1JasH3izhpoCJwY3M3QChwn2XI6xWF6nkmyeiIW6h7hGXBSFXHtVRUtFieJEh3giY
uA3Mwmt3wgdStisIE6YQh/bvowYQWA8UMXRMq93CKvhK8gOh+VHyZiXGim6VrDeSyG5XDsSg413X
We66W8ZJmXXVUv4WI9li9fw5mJxfi+euSybIVWWIhuoqrIAcUR08MtwrxLYYajVb4fJ7J+AyWxz1
APe1Pptym8eLQeKdDA4wLwt0LHeIyYDbQDKbf4yNCu8x8ZAbVjZ5k1ZQl+7iCBaSn1Yxuog7tgN7
Xa+v2LalLsW7h45bEzOExXW0hP3NMkN0keX4Bw3ygytvLughAm85o14TxaSfxF3YuN0mNyKP/XG0
kjLXbtqrPL9xci2f1NCZlE51lJQe7BpGXBAQBMrR1rJy9WhB1v2mxBtCb6JS0IB07GQyUK0kLb4/
aTEng5obf4LKzYc7V37SAOV7QrpYIEJZ4w7O882u7jwvKZQC/i0I2GpwxAP8Juq1ZnB35Hmp8fab
6bqXy7SuCvN8+k5T2EzIFJbfV1GoDtMyPikO+vTo2E9hOFrrEBKYIcUwhugmz/p6uOYaNoReU3M4
aITznhWNlMiz1ZbkPE/w4bhXDUTBs9yX0xuL1FNdwmE3FPQwo7c+AJcDexT7tsl5vW8U/u40FcET
wd+A/UgT4/xsR1mX+8IaRVz705AoyALHM3O9q2EA69lMgm4YRyxffNM+89rMq1xwcxUpTCLnYTuH
mBw6OJo7U9jvZoAnXQeJJVYRG12MwX2sydCiFe72mLy740a18HVuGmCmQrL2+xG1LhuBri2KQWx5
B4L72DX+HyAnk7bwUwHHuLjAZXO3IJPKgAF9mqiyoOhZHrpQBjet0+zKgArgrxTIp6W/g6hAiJtV
5lkzKnFd5ZO9xxnR3crJyycGJPt6Do1OoqDnN11LMhtpvYECY9xjjnUjkC5gd99sjQLcKwEbof5e
Sr28+RZZVMKDbtn2etBXhvSYlJ0k/TDZcpny40mqTC10MwoeawysgGsPw0xPNgyGMLdzTeTHfUB+
Yx6ltnxYitg3wRVoM+IW8iuPMN+9su1l1wb0TwSCXSyRP2Vz7XWoJqFGv2784EX7DeYlufNgt020
Wqib3wig4kQMet4JBTPSXdjQ+Tq3MY43drfsgt6p47YOCOjbGK4sJ1is5c2ZDyugvh1xNfptuGOj
5yE1QzNU70ffgXges2c/GzTMYhZHADrT51UyYV+B17WGx2lm+KyVM8qVMNXHyDHnlN1JmG6h7Z1y
ctFlcp7lfikIe4qQlcONhx9zkB6eOyomiJnqzs7qfHKv6dK2R3uZwxSU7inOiU3WMJLBoMYrALLu
lffMHQ4mNe/km4OP1IGlezKSHu++cTE6VUW5QhzqoWYQVkFC66Ze5UCf75wJkstFOG+5qaytc+o5
Q2C0OihiiqOnQ7BbFxMd/apQG0JbCWmled57fmU/RR2iVG4HLRIwN7Pyqt7Chrk91PVgb2zPyLRB
rfJrHBe2HeDzu7MKOPrUgxANJPE1hHpwkfxGrOjXReTlGDiVDGR05qoE91OEU117GLn6Eyhto1Xf
EG6RRyZn7wlEqqhLrJZUsBYYAZjvJEsrZc8fbWfcpzaoK9igiQ73Gbs2MhSYiubusV0MBtxFrl7F
soz7BhEnzi2GYSqfwYiAgNWKlGO7CUVHNnS2CmQinlKxp0ugBRsl1qGDbbDwdtJQ93QNzW3/Qdkd
ebH7zoKHUjDdGTrv+whuk0QhFi/LzA/cA/meczDZWaeKu8CjA0sqpwAzEq19NyGC+8DQMeD1Mt46
OR43mtM6J1UCS2YbJ9exxIeDNsquUj7mzgJAbreYutvJDqrfJoAsX+7017Vn7NiZSx/IQl18WlH4
W9TQkCLWxD4JM2LLjOq3gvlRUnRBDuujuoY/0FS5XqLK4dRkr8wt96C5axH04GNhI3pAgDVIchph
NIHDckUWOGzG1Ci+NjKHs2YEGgDQLu4ebEl6GiM7YQJ9TpkMOpIAlnXtFGPMGS1JPi3VzkEicCgo
hRAaZurQp1t6detiTxPERZNOPODXRV/OHr6qmtwM0u33QUuXtHNNeE0LOLPnnm2WndAQRi3qkMSd
F7lpa0nrrpzC5Tiw+s+EzHE1w19pP1MJ+D0k/jtxwBxg6CFDDJZPXAGvn3pyBH23iyLMv6XTF0PC
+jaHmSex8o0rVQ8u2oT0pyMARVjDoo98RCejGMEskDkNMpL73h5rWQnHpRqbkS57N8pRV2Dy8OKM
dn+cFRkS17JoDKJL/hA6eX1woPF8SwpYxwEH9sfx/pOrOPmrlY8M92yhq9dC4N/DMPMenoE0gwpH
uRoi+7mrebspmojtpBpJQkJ9RTRXEhxiTPhr07x5cxtuJBC4N74tVJlNyITutOOyd9EFN2Lx/bXb
heRY9WG768OArVVJwittRVoB4dCTWw2uxbrtW/LZRIGVDb5Sb1Xe9D042UN15yo3uiqqfqrh6FSO
x2GQv4wNlXO/l5C2g7rcqg1LnScR12ZbIHNEMTy1wRFiiP6mLC1x28KT66XkXvsAv9bmUBNniGtH
iF1ft90bWsDDkYajhEnY2ALOUKhyJ3slsqa3sSp8yYe1sU8WXj5z1j3kXtYgZbG9bqF+bTAptGT4
WJVNpVFC5HedA3OFmPUBzSa5lHu3NpCWrm3xQWj5lku4xU4+D1eSm3FKgZbAn6DBOgDHRW/JYCBU
G0UAxQ2eeBiYFRzg6Anp6zLMj1E9OR/4jtprz1MY7BmYL3J60k3h4eeoKfSbRuLfzkEHnVrHf0Td
OcSgmMFv2liPVa7ortIe25UStSvgH0BrgNDyXjAvSMIW/BFs50qNCwzFC1SDaeC0047KniU5znrc
hvq5HmEQ4JWzlfhQjllXdtOtxsbUG8R7ROhQzfyPGzH2FGpIvukGlTncxNtsEQC6LkP0rCfYoLmk
SLXF79CKcGOO4haC33PCAnYtXWdCCjrdumCE8rgduIOZZQPPx3qKcbaDI6ER6Cu8/iWAXIzb3h+3
bCDjrm04NCiLgl+dKiv0RkYfZ8KGd4jr+xmElJwjAGpmB513UNbqoXgXgSxvpd9hNCqhigsNFW0+
81rJVQlU+1XvzNHW1l3wK+Q1sJcALbDDOI7T7STBtFAdKz/k4DX7SgPFoFpMUseORL9GiHuXaWhZ
p/OAyQw8wiSOuYbydJI3Ktpo1gGFdNI+ccIRQ9sogrJO1ZaPxkRlIkSJP8yCHf7up2WUv7JL9zjh
Vkpce+4yy4nKO+F3+UvPoW0cw9NuUwgtYI0CA7w4zB2SucD+IytrxboZ6nzv8Arono6M13r032io
4NJZuu0xL+FOC86M3DjGHV/BY7KSVlrBpq8LvVN+gaQhmu39TMxV4NYkRZ4vk8iR7SFo/dfZal51
iZ5SVIX7ioDRRvIgv+EEhyYP0ec2bznYZ7G9VM1VM1QfuZnIfVsTfSg8Qzb16JFfS6cdnlbBWN0N
czQ8gb4zbe3FHf84Ve1lDc2faGt07DYjsvt5gFq5lu5tCMX7WFh9CaqBcZKybB8s1HRJGYFZWHeN
g6+3j7JIm+il6dw/pJryp9qFYX0JdXM8BiS+O8jRaCWCrQ2PU6j+Ly+LxjUKJu0IXhcNAOMqqysQ
IGTMtT9nNZtYqgNlpcqyx9VQcpbKacRAFx4LTyVDPukElf9c2RHb5B5TEMDJr/OijrImaCdkPgvG
VJFYkE6b+uRhqOwbzoi6HbTHj8yy/c/I9l85dettG8IDijZ9kMgKpmmwYD5CZcBOaW2/cx7KEFag
g4N6jtkYs8l53OB/RtmyRHmiUPA9mQ4pfdUFqTuF+GHFjNlD69kboTt6cDVaWWUBaw9KkMqNXtD/
nvs6uHWFrJIlglXbYLxgxTlxXmxLNfClpfCOScaSmcytDIjqtYIXL0Tqn6GpfT0it96Xg78Lh9zf
l0v41AvVAPla5jDv6ekRDXp3LTrZ3WsivZMToi5/ufhR3VQ9CLuvrqfRb9fzQkdoYNcW/NuUjXCm
+mt7JHcoeMbnZRn6lYzMBFpXSI+isABZBk4BOgFhC6tbqgA2HwI+QUMW0hNQ4PKTKXD1HxQMzi38
YwOdqlahUAgkfBCnUg7Z6FbsIPiy7Ejf0fVAVHTryMXxNkhew1f4hTbHmpR1l7BydPsdOivs4KBA
ApoQmcMBLo8YsOZo59ZSFNALMCx1tD3cmSWSVsqDaDhG9hRBkDKoUmA7A2fV1G7P097n864vajQr
a+a2r4JNv0ZlW5AGYmPmNjXd1G3ZrdVMmo0K2PQ8ErdZKbeHJgisKuHLKMyIngOf5ZFqp/oF9Ci6
yv0MJX2npojtYYi+fhHgk5/Y87DAniuVYY/0wV7EbhrBCCqj3FuJJhhj3Z1sAtqmGdbokrIjyx1B
1lXE22Ooc3NsdDc/kI62N0I33r30zSnaLMGwsTmvNnmBRB6II/4INUVcLLl7MqnoerRFy8A8FdWM
RtfkltMKeUqD+Nw2A7QWxttZizefle1xZkF937dWBws0Z7iKdDjeCmZVmcORecZLXn7CouIGQpiA
FnuQp4b34hW4E97LcJIeptaTYJFzP9hw5XRgebH3rObdUu6SATqBFKyjt0RJ67iooI39CP9aP93T
2fM2TY1IaRsAMC3x2y6WTEEFG8YQ8CaAE+msxgxo6vxmHHV98NW0cbzO/RDjgH6pwMEYaCj3Qlfc
ib1ubA6DBdH2AQfMRv8+rpewSQL827YIEc7gpRFAJJl2SAL5SAokiNMKon4mPXGq5YCWDHrO6rig
M3pb9rp+qFpR3gx6wB5QWGUygw900nQH5z/jnPLLMZYYpyzbDm6Vz7AMRievckkKX9Ph3YssGEBU
10z71WZaokwhNars4KpeohbkdsvCwZweMDfA+t2GD9aqneWcThZJnApmhq3kQ0I8sXUdeQxAjScT
ktWi2yO1TsOQHecWEjR2V+2NW9x25fDo6o/cRaWoIwjMSoGuP16uk/sg9zb1fdSRbRAVq9HWdzqA
KU7Bo8yp8o9gpvd+Ae12Geo1/DPRXfMhCD4qkJMpfHpl9MDUeE1qclvI+aDRukSmBDX/2eAza0F/
5EhNcuIvSdQPb50wD7SDErYjdh5cyjcTZSipKOKf+25Q/89NC45wIWFjgoBgzehI2mgQPdaNmbdO
VV4LcFegfkdwWHSxLngAJhBAVfZjZAXBvW/51e+uBBYLLiWbbhjHG20LCy6Q6O3/F2nntRwrsq3r
JyICSOwtUFSVTMnbG0KaBg+JN0+/v+pzsaRqhXTW3n01O2a3UkCakeN3Z1lkpTl2fUB2JKE0g12+
D2bbRxQRXQqfmCwPkBKNq1osz1o9fk+KpN/SYg81Nav2FiQYIjmtbB8vc/JCfViFSs4xEHfilSql
P9Y9gt5P1Xv4RIZzI1JiJ22/nVsZzn1yzrVY+EOaRTA7l+umiLDdsMf+EQ5SyRNDKItFeW7JSPWK
VT47yRIoddME+FoqXAmwYxvpsFl6U15G6Vhs4EQ7b7Pu3s56WsxevE5IowD7DX+I8TPz7WXJnvR2
djMPlQ+1IrvJM0im6Xf2fE+RmtxOrk5AZhfXeqDjjThgckszy9AeqmqJ9sPIGur0jROj2DATxDqL
G+BQeBkrgh3K7Dpvtcttn9dhl/Dnng5ekVXdBZbxt0ixg2Jwhz394KsRuGenNNZ4Uc74HjrGjnDF
1YMIs16wASByVtObFaor7Hf1cswdlRSsSO4oAq71fujfFCjWEO8jN6/8ynXJUbHzP0aCI5Sb7pSS
tzRO2BkYxm8xGZ6D29E5Hf3uWXMx4ClK81X2i+t1qQq7lAycg203tAiqpUYR1d84ufaWutZ7nedb
4ifOh2Q+0P26tqv8UpPWqyQFbomq7LypVwwAERQiWZMbOTUKcmYaj7vZVvRt2REXrBc9KY62to3W
zJ8cgmZUAc+nt0Cs5DwgsrLZZZTevqVJtGdSdS8LAbaepg+vdBf2c9nkV0qc/xYRTcCio7c+cLyp
zeyTAB5vqi55qo85pnpbX6kx25ZJJ3NcreuZFkygxfaDqZYhwRUVqnDdCkwBP2ugEs74phxaVbs1
EDG0a/JXitivM4OeubMdmAPVOsJjxFcD8XjhNTqeAUuqPlQ5O7sbSwLQ0puGMFDfGmK/SRvDVxcr
2SNrPGS5uCA4JvelWxx6tT+vKPEOlUSP72pjqGVxKPrXVLrhFCvDgS7FnnLXCEj/uotd4dvTikhx
qfq97VbV3h7dg0K6IDjpcsY27hWR2lymVb0l8INwZlFezp3ylyteKDlOntl+ol8ZAkEpdGAKp6bj
uMzDOQBd6mlJvpljvQ3iqj8UbbYvG+Df0Wx2HCS3cjV031rdrSaG3+Pwmusmiyk1acDk+zaLlqCN
FcQFLbaKsWLHsBEJbe4bbx2B1sq0CHLuNJvJxuMzikgvkDQzWQk9HXeN+/BaO8WZK1mAMqt/m0tx
0dvjmUoXJfZitbc3wh72yTpYG1fmfAaVdVFimAG5oPMiazwmESZ/dTkslxV44m6k14TCgcYTsGzf
tXE4qJ1PC6tmNRZnsMrfBOFxA17CUe/Cl13w3S2S2N1kOghgQhtSUdub4+OYaY+8YvXnogrcON6X
FdBTHw27aeoPNTmXXI3FzqV6uYhkcabSll4ikQMaOL9VZwFKkXDxoloTm8SJtvSJrpJ1HcHD89fZ
4RODPeQ+s/uiV+V7xhZGRdft+CjFmZXkF7Wrn1fcwTwnrsnwYZpAsw1sI7olAsh6SLSFRoYcgFbW
g2Y3od4qxEQB6mltQXQw/6ImthKYdm7s6o7uPan1NFmSjTos9V2+cuv0KHeza4G1atVHJltaJ/Gt
0pp27462P1ouF5gMwp+2lQ4bYNSP+47YlzBOiTYvc9uf2z9DKYZANX5JCfnVWtbHYaL9SH1usxtz
0xktgrim5DmvFUzO54qgGpfyL43DpdeKDeQG+vF23OAkq25qMRWX9JsqFrcNOegIdy5GsNJoCfK5
w/PJTYSX1NkjffWnrupeWYIQ3YwrjH68fnb1IKL2ZTJpG9SDtNZi7UbasU/AOclyZYv/gz1sDHPd
lFAmhY6wvkqDsSBc3dESnznQbczepnjWsxvLxIEvLgPMoK95TBB2TrQc320LLBpTKC9etD9dHPky
RvXCDo1ltPOcta2fkcdjLObLCv+likp/TLLHWGikZcort3NeWg64jWmYflSuuxTKthlJgV9Fgtt0
DlZqiepmaVOfrDPae9FFO2BQsrS0xKELZAl2ccoYrlpzE1GzA1ADrDUKseVSc3QP97o7t/ybi2TZ
0FObWTHN40q3pC8JppcS18KovxZKfbUuSnOGvEb1NXo4f5VBv4itaV+p426obHnVVtN25hoCLr3S
8KmIMGse53ohYN1Z3N3oVNC8CzA4cOkatZmSRkGr0N9J7bWy/IpfOeMqamHjYWqhppMmoeNgcJ4a
GvcxKN5NOlzNUva6NxhTFGKKD+NbaQNBnsqgK79rhWpwzM+YNw9mOVSkL6V7a4wCUq4KT6TcUEx2
RHqZqTUEmWI7lHeL5vX4+IemALXuFb0NZVPeulqPv7A1GC+aQmtMzuWt1jLplfyYPMK1+rxDfqVX
OdRx1llEVrs35ZFBak61TVOOX666AQkOclMv8a9oaNXnWOufwQgHVNGJlwKZPHOU9Dszajrcb5Mk
85Op1M7k3B36dDzTLYv91k63xmrurHkitVWdLG/NSIonNYLucNr2XgL+pg72JfrynjOy1C4ke65b
m9YDtCA/5XJVt93yatE62Ilq0YJ56beTXt4mNImgB5jRlQsnIcuaDRfD9K8GIuqlrkYbwRmuDIln
pFxmsZnXvwo2r/4Ulz2nr5JjfqL2Z41Rb+tZ3Q6Zq/mKOtxECh4pevyY0Hn1rLQ+Bzrx5doLn6PW
W1v9eIoXzrYv1ZtcyfCIy/2lYaEf+4COUm9Avu8aQUNKyAt9GnEaSUdB/p2qXg6q06AIASpp+2c9
1YiwQ3JlpOpZWQ2uX5VG/i5KolhXzWl2Mb00/C8yKJNDjr1UItebCiepu65p69/ubJ+Nef8CuHKl
kDB+xb5ww7ZKqdF2LaBC3hFiH8fPBXNlVKzq0sbKlnokUd8UPbpvczRqC6WEnRXxJVI40ouW6oow
1WU3tc5Wz0sj0Opau0rNRX8HRctHT6lbFx6HSgqXIohabqz1XXWG+Ya0ScARBdNea1Xq3aBllNoG
BVceQ9vQpUh/TRGWEypZjl5rcJp3o7H6RWZEWzzEmgs2qfPWSszAaUafj6P41uQQgcJRRjne+ipN
iEAdC4NVj1l9V5hbKp/5L4yBG0LeY5yDJd03s/ubp+MeIIETunCHR3DCwqvHvDjwmPfpDPoppHZV
tu4Db29ih9RMSuXRNoMBJmRTyRdXT14BiS6dQmWbxL2RHqba0u60y8jwkM4PfmwM3XbRuaNVHOmB
VDCoaxq13hP4OPqZTJ/ApivoXKoN9lFBeKFd09GeGawXq6ku0rFPt5goxX7VQBPJcva1qbJDsVi/
1J5zYJF4EE8u+7QFnOEmALs4hlPN11DSCdIKe6e8ncd2ZX6IgyKaNyaLb8fqQy3zgIPpzWo5BG3d
DmkV3xL9faM74kwts3urq2NcnKrbxJbnkSDE3UD9V7vKdmFHzCGL72iOuRyEHLmQtdC2SzZ9wX1g
nZxtiu3ZZuJilTW4YU9a5WCS3C94w8Y4Eg2yLcJa14jeqgf33JClfr60xt1SmXVgVlyoxzgZWbYz
qphkemQbqW6KjqKioM8pZu1sGHg1RbyeaYrZhpRb76rVG5fQPokSzxp9Q0Dib5M6m751HyakG8l8
nDetSZojbgaHtWTuNKn5iK9TBpg9AnJ3t4OlssEBmc9erh45Flll3uOipQ2bceDtUf6af2Z7fMR6
nt59MQC9KIp69MnqL6xWmh5XG8xZdS4ipioo8ZJruqdy9fBNw0m5zQ59NR2UPKWjXazviY03VsHk
vxKrEO+9M1EptzP/eQL6mBnaM63SEX1PCoxlFmdzBnSstOJPparumZE6+W2u28N5oqmlL8fmRSbr
rTLPyqaPftGnNZ7aeZ53/dL3b2kLJa1tS7Hpc7O4LRS3eK1a7tDa8S1Pcw6polFBZOprl3DJs1qv
zkrJuaHPw4WpZ9Z2mVZ9E2vaHxjommf3+D85UjtSK6Qnbc5qfeW8Uhqg+rHK0R5nkUISZWtv9Aqa
oYAhdoHo19zqyorLCDT17joXRpTf69xjoDDNSpIGgKUxh4CWZC/psHa/6lYjr1HqGtdyoxbrFZ7u
yf0MNe7OrXp0cnVFQ0IVRuIPa7Oc183Ar7K0OslxWtvttGzF9n3I8bOqKNIzIHUYMHZvW8DT1SqD
TusJD9Wt2jl319geaJBP4rYqHHWzHF9NMsUvIqMP1o3KhW23/e9lKPS/fDEIiW6Lg7qtNsT06qoN
S9UyosdlVItrtVkmH8FvxuFlv0eG3vtWNiBL6dN8sEOjjpVkoyUUvGcWGVOHOGb92GP24FjLcFFg
lqYYA+xLaoY2Wp40dTYoe9t8fKwV3L4sk99Zq7iirLiriolON+Vc5jdlexCoJoN5hM1da30X8JOB
Rt3+TpGkoiq95ndoUi3QC6pPjdzhwJlw2FiLZt+U4CqLOr+26vInsnQn8wanH31rzAJ4EEBYtRnd
FgRBPpizXEkUWAA9YvdcTUqukyvtrRR7F7/n7WCm20S/KrUAy28xgyod537NsijolzZ5lnJ2fBGZ
x2zlCu5Pbkx+EnPsbIolXRVCyKzuIWr0aK/TvNpU4zJvVJpgBihCaYBXpGnhmMGaV+l+iMdB8SB9
qY6/Vk25Xql5Y1HWOR3UMtlOoKYA1YXla6Ko0qcus+KzrKLpRpWGZOi8ls35pDlMxFQgltPwkLkT
ViL3hhbBzlxW7gauhflJOlfPqwGjlaCiZeNgbfmYrH05BVM7AxNH5i4auvo505RYBB0NQ9A4wwFp
LSGZuxxjdLu0+MwcUiUUTQc7CxuEXVrOiz8l1RImenGbSEBCEixDGK56YBJQ4lWj9WiqMBxKeEMh
cI15GPtlvYMIZp/POAMwEc0JlLYbD6JlNpvmsisyEh/WUt2lI5RV3n80PlJnd/4s0p2MqtR3YnIR
RgezwF7pQFdM4UM6wFWwlF4zZ7uR7kXhu+0I07ZZDOUlh3tFj0Hg80ovsnjg5UUoVp28kIEz8qO8
VGjrL2fttekoVVzxcwa0C+bUklfmDNSRylTBGbeSPUdVNQWa5DiN3DF5FIs7gBCmVzG9UhI/W/kU
t+CkwWx2WUdPACIbQ0WZ2BTx0Jhe65hoGg1jAGg1bOIwZptrZ0ZpspEx/weBEtJL9bI2vCiCQzk1
zXTWxab64jhr/cyRv9VWevFqWphBkSYqKX9RfeYQiPwkFGpzpVxw9WxdZiatWfsmd7LXQo7cLaQ2
e0q0dhs7ssqAES2vqxNx0cAy8FxQI8/WmvQJhPlCxKiDAgnLgGiuxYCz1Q/N+NhqSUeUr3nkJeqG
nqqhlIk77tUYZziPqNuaa4QJK25M++TOiWiramgbk8J0AgGGAT+1gR/QLJWzzRZH+WMpIHne3GrL
SsKSaHCRBqgaiUeuuz4cislaL7ooVV0Q4FijM1PA9vAwjOcGAGaXVGEs4Ghr6D6YAE52wYpcHmrq
g9GrK4Nn5Sajwk6fpDLuE1Vywy0XAV7Y5qZ4sayyA0/Us0NiCvMpsa1uCXsYoJ03Uitfjiqgltcq
fdf7xrx0vzpLVf5AjVBUz4om6zr9h1PSy94+Z8pLLuuRzQXIpljQtWxTCPOqmGsdKiUXGAhGy5vR
k5kRVpPSYKBaGdwDEZGJKTI9Ctf0vDyyunMbOqqApZnNRhWY+ZL4bYXpuiLHS7fTadpn+ow80L1S
V+UtGaRxGG3VCCAwAuHr47uVTlCSW7KVt7mmcVmvrRTQR3FgmmaQ3QPDlW6gNjoeMVNfaOfmEX89
KiZ8LjacmWNuvo9M1d9Vnd/Sbq9vRidNoCEJwNJprFu4vTbP1+rrPrLiafVSg59oOlylHeguvmrL
xD44DVEbcJo4gb8Xqvwjxf2X3sGwLNU5KlpheX2W/+D/mJRupc0h20Tze017uP2V2FqAxOqI5ZIe
uzdOM+1y0GkNRq9RV/dDHKNrxj19hs+mIFBv8vQhN6fn73+3LwUgH361ExGNSV4pUjYEIOpjAQeA
IGD1XaYYQP7kN/GVFsn+MNCJgMZl5bluzCV0btSXSlsO/Rr/XXujfqjMBcRijvFQNc0fNJf/1gjh
96eiRtIRJ9r88/nND3pMH73U8W0QqidAwpt3ciEa7Qd9l/ZvRcvncU50ND2RUEYvj69x8ds9QuKg
9gFlYK9700WxKX5UKf5bGvR5wBMJjdK4ENedVoRqJjqavTLbZdiuUg1xWf5+inwhv0QTa+BjrVk2
uux/gqI+qNeKkfjRWPISO+SX6Oh9GHF+evH/J7/89xf7PNjx7z8MBjBKZEmL1jOx9/TWItNPkXP8
JAL/Qgr5eZiTiSHpwlal4ojwKN1xnx0wgyoxLqJ22bSPgxJ0dX7WND9ZJP17ERxHJYIRspRmiVOD
6IKgW4ADAeN1ou4gMlgu1jWRJouf57QnRPu2pv+1BcvnIU8W+AJ33F31eA3nDqzsGI9QRf1l17fx
VluUl//VVPnPA56s8sVNyjiabCC3vjwzahq4d4TKg6MoB6Eeg7KwxdXzW/lgrMOtWMQPCvgv3q/D
/uoK5qptaqfh1nGKTcSiMVOnJXU9Oarjs55XzkZHVPJ07Hd2fFLL+ina59+bKOKi/wxrn6TC6Abc
IrrHC59VwCgn8dQ92CIQXNC05Qfnvi/Wx6exTs6SbLAm2M+DCOMJFMVgybfH5sMyG9peHZS37z/o
F0/2ybn0ZJuZoKTE8KhF6JRPBn35sikzv1AenSraGUr5k1Pq6a7GCak5R289k8wsF8uyz4t/Vpq1
dHKGEytypnUcGr8yHW1fl8P09/snO32Pp0Od7NgovZKSmm/iyTKWBASFZ7s+GD8ocMWpfcFxGNdg
BriYMgAqnrxAl8MJM10iM9Z0poLlOqKAUnqoIxa4iqXpE1RCng4KC8hEylHCBS2zFzduDTev04qt
qMRy0FpT+23IBEJpWf9SoHD76FHJLIPU7JXcwcDGDPsaxcd9HKNydEblBZP7330qz4g6RO09O7Co
JMZTTnmO6vGK1lsWrMjc/ttEuH8eGEMp13ANVYVd/PkT6hHRgDXCwLCy+8vZbgNotA9dntENwf+x
mX9NyvjDS/5q1rgfhjz5lHIcplbHgytc4+zakXKA7NQNZ1MUL8/fTxr9dIM5fbqTz2nHIIFqIqAL
AQ2/oy2I6F9RLRetuQZKZqgXkVCMeqPiNbsD9bZoD+TqRo/h4YMfJ77GYg2qBijRktAwuty+4yZS
0Hh0EuAHU25HKB2HWS/mDbZ+AxSu1IGQXBTOc0655OGFxsmx9pCactp+3z/f6XL/5/FcNisdExGb
6MzPH8+Avs4vYk+Ael57R3864eIYKOsPH+z4lj7Ww6fDnJxJrtGqYpkZxpq9NFnplrm6P2Wq7Tsy
uUjNy8akxZbuv3847fjbfzfsyeGUAIdn8TSK0OZ67ztwt6lBnU3maJ0fKR1c06l/FEn6Alafb0hr
2Dqa+cMJ9a/C4/89u22Y6MMcgoJO1oeqOUsp7MkJ8ZnwRH+IpvQ8rwbapu2+gmXjtJiYAsDo2g8j
f7FKdH66ylkE1QXXoM/fVoOcpgxxMYd0edrrGjTo/b9/vzoG11iouJyHjn4yQp9N2Qhteg4LKLSe
6uQxB2EfP7UtdMTBoP9LJqfrWSsRzQSXqvupni+7Ch3V97/IF4v0kzPSyfRaEz7zYDakaU/jY9WT
0TYa6nVry+zCbhP3wD018cXs5uH34/7rnse3/TTwyQSrKnBEM8JrbC5Mgq7i9qhfhNhcl+NZprUQ
Ier1pbeyWy03dPym0uVO6xC+jovleCMX95gk1FF7jAcl8vsefnFlrv3m+9/yizWOg52wLM4lavlT
e4aooDnqwo4Ly8U/hh6+ROojGqmRS9/3A33xGT4NdPIZTKMrRqtjIPGMcxz0E69rd7gMSK2BKfbD
N//qqbC9dgySDk0CH052rlIOSTzBuQ3j9XK8Lwh9MQSetYED++X7x/pqG9E/DnXyXG6uSGdwY4pM
+AZngELbdFvCkA6gqm2z7fej/fRcJ1PKyKQaJw6DIXAc2ov2Oul8M7tTn74f5l93PKbup4c6cUZJ
bHSoasL7M71pc7zjRft2N/vNvsBiR/thJ/5i//802MlGsWhKXxgqD7UWLyK6arMjwr/tinRrZ+8O
HqJV+YPPxZfPZ3CHpahUhbD146/04VqJwFV3lTbiyHmboAXDIi7xcTif29sO2MS5TJdbMlbU8df3
7/X4JCdHjv5hWHFyM3BEA3fOocpUlACjTfJfhp+m43G6fTfEycxPNUKOW8nLTC6GjRl229LX92K7
bnTvZ9vdr5/HNo9muBrxaCdfri5rSKCgAGEJ8yRujfN4qDaKWH84q76aIKYukJfilgwb9+SZ3FaL
hopmVwhqWfvOUt+2k4ru1LITSgRQjaSC54Nd0rU+/uTz/dPYJ8vbdLCCR3eE4LeVgQLBQr6sRCLY
AXJj+Cfb8eH7KfLVCv/4rCcrHOWubMD19bDp87+NouiBwvS32mHdDtHVMPwfX+3JQq+ovUxncKaw
yaI5gAZ2w4F1hbuxBs8fE6h2kighCtV30Dr/cHf9cuv8+Kwn06fMrciZDN5ts8GsZ1OEE8YX29XX
Ni28jx9Wxk8f8ngD/LDkay0re1c1prB+W+Z7PAnq7HV8nZNrw8EGYfP9V/zqsPv4ZMev/GGwVsNZ
y6LwCg2wVNjV834tx/GvOyTFtraK9qLooS3Qof/Jf+2Le6xuCkFnFRdV918W3/qUN1OsigkjnGSA
gmgsu0QBvUa4UwyAb98/5vEDnWw24mjWrruUebpjnGyjxBwRfpumemi6toEct79TlTV96TWgru9H
gvTwxVi6aarHowLnxH9sQT+80gkrSMjhpEzMbjd6caLc2u0kkErA6Dam0g4S8t/+NlIrDtVgWls7
6ppii9054YS6NO1b3YZHeeYCsb4hUeO6q7kySCdbmQCI2/HChg/1bsQqiuVJr9eb1c2sczzSUCCz
/oUIE6zagDgL20C8UY/ReZ10budPHS7VwHKO1/Rkx7a9CRqP/c5VMQnH60ywLRr+EKmTYaM3Rn+e
ai4qTcuNcEEAnar0rNxNGvydyoBvikuz5q16v+zkOF51kDq3IwxXnO5ss/T5Q75tkG6iiSmn+2x0
9DN9TvvXwqnnJDQL86lA2EuMbAGJszWQzNn1LIO5bx5wUCsP8VDmiQdn+RgqXh5dS+u4PmRKF45W
niJ6jYs/KaEDkKm0ZpONBrQ215IbzVRejGpYb2KyseCD12gxoEYki3gTcZf7bq+qY0DUqeNbdlv5
A1p/5PZIs63ZHoOR9vSFYkgI1gC3yKLKyvW12TzaUawFAJvIsLLI4Pt2xoTKIHeuE7S2ZQcVLc/E
eoFQVAdWrOfuAiUIvft6jtqAxOc3pYVI32fj+zpHmFxOiPuLcbof+nklLq6Du3kEmfJG2ZpgPDut
lpuhqKcLq4LwEiOw1DaNOiZPbQ/nzJMRCXxRocBG6tejoJWsPigMUz1A811jAe0SgrnnO251v0Lc
TN1yb+vqPnJ14KOkbIJGohWVOapShaSOnUBvA5J/VCrleNPnwNbP2bKo22Wpi3uDeM0h1J3xupGZ
HhqL8xcSVwg+gshIqwinku5mxBcISwKtP349kM4FcRF/0f+JtFbgkNfpBSyn9MySFZHMU/MHdxOx
Lc3p1+DiTSbtPDm4LUyEJp/BtrXUbjbCWLYtdgv7YSVKWRa/LfQ2g9DHv6apQ3TC+iCXVxBK8ANC
nRwdkliFao43ij7Eu3zJoE+UcTBb+nw+TEX9Osy1vM1cV0el1+P7qbcrdPjYwjHLGiVxhgn8vkoA
txV9/9Ql6UDOcYJ1VRbTvTKmRyR6LAlLWm8jP/lKX1X1QomV18QqzybVeHFli84So62QMB65JZFe
u3XNbLqo9V4JGlFnYdfHcZjbKHdlhax1kvNbM4ySB7XA3vljoC3F/QRr4aUvdePFaefsyRLxW1+6
KOB7qyt90zWawyrg50MV114X7LB/24DRKl4TTekZLC4wZJLzDP3XiCeB1fX6rh4QY5v5herUZnik
vXm205VBMvOj0dk4cWyEyOlBsudIDJlnrBmqsDWBxm0gwrIwr/KMTsRHnd1rXeEAYKV28XclmxFa
/HBjCP6rpFjIAhxdqrnS2hqleolK5z7KnfqGbqKzq0B1MUtTH8iUUDCch1ieC4Vo3BYbDyh6yrhr
pBm5iP7zGcOncXiB8Yc81ZK0qGIVE8YOMVNm6BwdtjYqP/R5tK+Oi48exSfFhkbQZTasKPnSWEMA
BF0BDnOr7M2MCYn/Ry43dm9d1poNqQMzqFrpEdBpa3lZgoDLGTYhGo59Scnw00H2RdmM/dB/TpeT
6sCyHIQprgE92KHz045oE0ygGeyn8ivLHKB7Dot6NRXzdZItuDC4YxNMRZ/t5lGG0kACqFRHYd8A
165fR6ISTM1B/3105NFGry3i83aiJ+8m87kDefsgkvYwp+Rs2swTFbEpdL4EqwYYv1j+t7BFc5We
SMnY8THqvcdmZTEflNEFEkdjc0YMKjQvM11IQkUFUeYjzc6eOhy/HQQCs+tpNjmZo/HXQPqIIku7
snvDxQxp3uICJjYlO0U4tsYPsVZfFLCf3uRJ6SN6uFDciPXQTmCYdkdDNegHvhm34epGvtbqPxjW
f1HyfBrwWIt9KAyUAsXF2AgtJIuRHWFIYTnb43sMXRFe208BtD+NdlLyYPoyLwKGTchzFneRiqOD
XEaMh6zsFwr1l+/LHloWX5U9lgaIpcJf5Ad/frrUQvxEc9kOG82EB5HnyFDrFJ63SycrtRWSxDPX
2HO0uI+qttaX0h7Gs4IOSEh3bj50mas8JWD5CxeZp6zsrpRcI7wjNy/qPlmuNDlMMZysVpxPc7Vs
YBqyKhEP9AnHtDSgjdQh/FUX2wlhX/SDO3tmVh/J1aLwykLm95WbZucw/JeHfhl4L+rlkU+62Mq1
OLq/LOS/sFGttefaVrtv2ukamqrJCYNJXd7+WkyJyMK0zuy1NbZ9ZwZlw11rTEokolO9b6pk9mq4
q145y3uIYsohKTjVOZ89pzKNJOhxrTrDmitfmhf+XyQ7hLl39kbqcJNzyHRT0SGbcLnaF1BS0a2u
ECoGAVPNGcugM2tYsxi9LkiBkO+LwDb7MIa1V/V2OMv46OayTYzqxiWFq0lbFvoYSccvhKjOzcoe
vZxyf9vjcXInYK2eayg3YyoXvNowCV7vXRXUeqojbLTI8/aM9tlqdZT4ukm9J5GeZLJWHgTZoBWq
OGct3R/WyFeL8uPOe3LTqlp2kWEl7HDW4yu1+gtLZ99ijTmKy9oo999P2p8GO9lLATysPKrwhofe
2L3FN6WyHx/HP98P8uU6/LAuTu7lrcwml0vxGsZJ72ynVD7asj+IQlkf5gJG1fejfdUwEvqH4U6u
5fUAMbLpCfAuFROn8xI5CxUDRlGySfd2M9zjNYkkiIzYvWma7mVps/0bbYd9s27/cBf68tHZEJxj
f1O1ThvrRd1OuG8Uetitvb6NZ3I/JVoKKG9toNn/i+aLQO3pgFFgiQ4S9HkDKohx6iqFqZOPi0Ak
UURwpU0RSFgZnlq4h2ksL/Ohf3WpOb9/619OJIf0ANUkJxOb1s9DO3qCMK5CQ5OZzoYgoUSdrwz7
HuML06p+eKlf1iYfxjqZT8lQIDZUyM2gGwn5GU+IGpppqBn58/cP9dNAJ+/TbSqrLnTep11ml3G+
7x1rO+BS938b5aTUahZIlfHIGoRsmE9nK2qWn77OTw9y/PsP5y7OLOoyJgzRdTJoEw9SaoBhw/fP
8eXC+7BznUbCDR3+XapQLUQwpIjhWuTnvvYK73JDbNP2pxyxr5bWh9H+ges+PJNVFirRhJ0VVuNT
95bcdeOTev/9Ex0LhNOeycchTiZ1opQ1a5vvPwjrslxgh6DfSWsut/1SB2DGd4PiPo09d4XvB/6y
g/Jx5JPSxVwUYaoKH0zVncYbJ+W5RhocIg05VxRTHqzlgcMqOcxla+3jKXEQGyBbbUBSAtHH+q3Z
jt0+V/5AA1Zv8bPqD5lWIZpKal+zLKxjEmyXEWWWtO/xcUO2aSJmIJxd7ZFxHItjyP0qUsw7C6uL
spJ3MX4bWVv/wo6kfKzzGrGWvLNnBHq68tpNa7FXFO3aThTXR3Gkwo23dd/GdAhLuexFGVf1vOLW
/0eHhBsuY4Qgut8MOhq2+TVL4TCaG6RMgZo8uEuMQ54TogtFrjM12R+rSc7w+fGKRZ9wmvhTDF1x
WXLyY5dZX6ZDsf5tocRfduv/kHZeO24r6dq+IgJksZhOFSipc7c72D4hHJlz5tXvhz7Yf4sSJKz9
Y83CGDBmSlWs8IU32H9B49+jEAgSHikybVC+6Ym2c7ietjnA/njVAe5H9gJ6QWa9i6DYlZp5q5rF
lWqtNh/b5eahN+MIU6oWSqWLT9hSqo1o5vXu5GUr2bSUZcuNBlkGTZyd7r01eHcnk7KLx99CyL0c
TAJ/caj14fnyZtLU+Z668FOMRS/Dr/LIQqp7clPRw5NLKLvkXYFwKE1KVGWQ6H3MUabCsm6rw2Ic
Dl5YZH/VUQQHwOHqczWYmKxpSP6ZXoGPffNEhpWN6zDF01VDlvKgT4PxQTzYv0dj+k5V06UO8UHl
0KMOMdj3Mit7KgpxClEk7ofvNb6O+moIQhRBBqihX6fUeu8svXzR7bx5aqr2wdCG8DWIVXlw7FZ5
UjREWRWKaWM8qDSdGnU7hHAwlaRARVhRAgmexkLYz+yc9DnBuXStOeG6LSzPbUNZ3+ANgVSQbJDN
dRICZ2hs+xLdbh3p0A+SA//JKc09jpnKJuCJQW1Aqg9e7tjbAXOBKkrEu9rOJCYF4aeq+6nSlEIi
a8ajd49dzeU9OZTolLS+QZzuYDZ2dGM3QKET9F6jBm52n/fxS5DWm6LTvpJNI0od6/t+tE2oaRaS
JEjItG+YD/1UhnGjNQQLFsaagRZ1ezNA8m1mJaoPdhAn21zm/aqPJnsTqvFvGYIv6Vvd2TgNjGMo
BNWVG+kc+gH71P/dzsbiLszGKc1FwXaWCIWGFOeMxvg5mODf0QftvNaN5WPkoCcbXTlI4txF/3nk
xXPPJRD08ATpxBWzusYoH4WVPFI++hU7ynZ0nN9WNj0Hg0r9JQ0PZq4ecK2gLBJ4w8/cgGNuKt/8
0vb/hCpKSvRJ7lGdOwTSfoWF9J4qQFhyPQ3XpZk++znaS00KvvzyITz3lHyexCKUmKSXxXlLQApg
LF5T5/E2o0/3VC0CONvml8D7O9Xmi1qjVXV55HNZ6eeRF+GFmqSUcs3UxM0MoVNKDvK2aioHYQVq
mqM59ociK5F1VrPt5YHF2RtQmw1ZqFhYYulzBVaqAbWRma7UFMktk606iV6wOiEmO+bByum8kLwr
fPY0hB6KIENxXv9qZt2trbf1obe+1bZcywnRBVzXpxEhfEc+odK0omK78Z3mLhoGxE2H7Ary9ly3
C7uf//fL5zX9FFsQ4/rqlJjSpe7yYH3NURUObxKAxbopn8N2rzyJ2DoI6V0Z+OxW/zTu4s2oUTJ3
ZEH3NMD01dEQZYxhqZYrPx2ueDmci9c/zVAsnoQYH87UK9kVqSruSyqSY9B/r1Frdi19OKTj6FzZ
DVemtgSo2Wg8Z3GN0wei5yipfBRmvAXcs6rCX5e33dmZYUM220E52BMuLirEKFUrmHwVDBHoWhS9
75wBJdMhbvd2mXSoAV6rap2LrrFxMxlQ1fChWkTXfjhTrK1xINm0nwwNL0Qrf9JpEl2e2NldCTrL
oBikaQ78/uNdaQydguwh9aV+9JChRT2t8A15yCfrow0d694AuUZVOnlWPaP/OYppZ2e6717+Feeu
k88/YnE0OMXSpHgGRzMqhQtSft1iMLVrWyQFwgiR9qEyeVzJRK/s2PPTp2PqCIuGKViQ4+nLKgg8
9MYtt2vH4UVpEFjGNO17GeV3o6bZsNfoeNmI9+CbRQlq4pZtwiu7+OzsP/2GxWU6mD08J7WgpOjJ
uwoTIl2rD0PXoYaZ1rchypa0y/AYv7zm4tyeBpX3v1Nf7DBoSHACZ/yjUiGSIyaihrTTD9Lv/MMA
zLgmZUyUlxLp66cMThzkCzRMfdiARW069z6YhLe+RpFP44hDo5NbyG4rzY6eFQWX3tFbVUb31YjN
V3ymmn1GCF0p0tlWYI9os+X6+vKEzs0HALUzg75AfC0xPaVgA09A7l0ntLMHTeboKfiGdSDSoo8H
Gc229Hx/ecx/EPRlFPxp0CWixxsJSWHl28BDzGSXOCGqck0Zv+iWEpf4AIlXfWr92xbPgl05VYRQ
I+VjRBIT7wP3FBgRyOFv8mLqv1dtq7z2nQM/TXiQ8kWBLVbTddO6yEdrneeZhcjMVDk3iif7L1qF
OXmspeKeh3r6lfhdQk5lKNEjDlsdtlKwz28qNGXXeqcNe0Xrk8fYw/4mrNrxth+d2bGvqa/s5XO7
Ss7ENke10AoxlwdKR8fCanwA33aEZ7w13cS19j5HW1v0w6CbJon/HaT/k9V0xjaPrYdBbV9sFFuy
Thl2agxbeShjRB9a1S0HgYh24tzgSvOjREJ+E9Zh/FyTAjxNGk4ZWRyE81b6BtfqSynoLV7+vPMR
WHzd2X/AUk3yLVSZFtf+YNmhOVnk6mGWIjAYQAWFsfrgR7CELo90rjcmBaQqeMZcqfbyhck0ibiH
jihdMoEkyI0ppOIhbJfG402n9JGrx3R4layaduToyIC0Y/IrSGOU6ycJwzGadp0hlPtaivjwf/lt
ROnSEVyT1j+626fIJbL1pLT7fnAF5WnY/CXlePkzi8z6rs7zwrWLds64LChEKJUlsvsLaRdJouYW
J1TxPUPFyeoyZXP5Z5057xKWzf/+qsW1WduYFOeZR+cN74NAN1dDflDCbB0H9kFvv10e7FwdSrKr
SZtmyLSzDDUmLIhMIPa0cQfU9M3SWedpEjwoCoZKCPQQgaS/EPOt7zVKIR9oU++kHT4MXSOufI0z
AfDRDxHHL9ZA28+G5zq5cWLIN4xgrG9d67xcnq6Y/1+WO1+fCX5EH7Ywl7j0HlZwwAPIHRHljUMl
W/1d+5mLyvWu9/Ri0zf6rshgYRtW8tUvareENnrToxzkpr6tfCfp02G04y5T0zoyk0S9l+jKqJ1S
wWORroaf+UPUJM6VYNeeY8zFD7cJmDkpmmMTPy2OLGSWPBlQYnUNH7Ek1azpJlFd1TzzZ0ypZjUg
hJfR+k9RMe2QCc66/g06kdur1k3rezdlLXZ6U7e7zKF4lcX0yPVmazgDWPy6P2BmE+D9BHFH6HDm
ixY9FsfGYCrqrU2IzXCp104E/R5aj9vjnoLCxTBtE6MOnoOk/ajMKfsyejSIArRHf6W1mO6mxnEw
PkJemwLGfrSkGxsxkmlClDdaHqgbkCreekD3DSXSaCDhKf5M+lRyB9gmLkPIsE0mDk6VFJEbO6Qy
fZj/TS3ETPUQAwMtLAHlhOVPb9KqdV4I+94UXfGA1Vcdb3A20Iq9ORrVjaYb2pOu9sZtVAzdSzpi
TkX/AoUdVR3rYVZnf+8SBJgpHSIAs4tJBtDT94kNEuT3IL3+X8JTW+fUwTTlMTm5gc2knAxEvPA9
b/CCsRp7k/rdFhnrH8AikF2YcL8oirB9GcfgoJbyLmnz9sojf7YJe/QrFmdOKWazNRs+bzNF6iZr
kIisu69a35prA08Q0TuHzisfUqOGSaHsOlunLKkk95UvPbdsdWMfhaI76LMhlOoQ+RhRfGdR1eHu
gtW9ogS761Wt3EF3e24wMNsjAP0R5cUe01Z1o7WCONihppear6aV/bI1+Ui4gEyFhi5MPUw/NF9f
OwoGkggorZU6bMnJ0wxbc935lksy29HpqkdyCJT6i+I2M5KvkQxvBWoGj1A0g/us9NFo8wtkD03R
vFd+26zznokl7aDvFbuGkh6WrhrIdOs3mb2OENdYTXoJQiaeVq2qcRIIh1wdmzcA/SCAAppm97Fh
3yqixQ0rx21gVOpgpXXeoXAQfgiT5nZAuHXfYUT0ICzqtzBCdkJD6bcK9WdkCkoye8TQQJj9jlv5
kuIHt/HzvjkMDTqLThD9KtKQtATfA81JkZkeyk1AEf2tyqufHWC5xwjOAYIH3qbkf4G5af+AiPHN
gL3ZJqCgve99/c9g5MNaS1DQ1bSB+1xJh8cyTq48WOaZQN+WluQ6peqFz8Yi18KXqh9EAEvbqEB1
ZXZp2es8tJCdnYt8wjd+5JGCJK2ROclPEzH6TVZRKvQ9dUVsOAJLQYc/LgwEFk2JVA3Kl+terxoU
tSxv21cx6sGy2pAsvVQRtDHdRryv80Et8YUhuwIiCbPgRozij1JQ5XA87WbUucKESLJfE0Wk1dgE
UIPNvT9MyNNZ7W+8Ppz7LgmbrT/Krd39NevsNaxNBCq15tEsRHFfp3GIeq7nuXmPShF98r5ClbBA
x8KI/e2E0rfsynUuRnApPdeRchvQkF5H5rjPsR6q/AQfO1QhmnHoNkZX31Wdl5JqR2AUPVXsZHvN
+vUkdqClCCEY/D8NEYjX85f6FNGIBtkwO2j5YYq86Zt+k4r03jIR7VRwvsq6K1HxyXAqtfpPH34x
XIJwSMxrCYs9Q4Ws+zsburFlXWG268GqryBwziW1NGw1hGl1WsTcncezi7qxr72EsLWHB7NSje7W
77wXr5bDQehgHENDwzcuw05FNekaO3c8eurucgRxJnQ++g2L6EzHz3ACSTe6xlQiED47B0zFuy2L
K6WDf2nd8sFHb8cy4Adop4GzqupOj64oaV/R05eZ0L7R3sygvm3jlAYVracNanj1wSuQ4Qu93wGo
3wpl4dFLSS68307tvYR0H4SZiF1R/VZNhGERX1zrTbqW9k9kcPCIEKvcK97K9Jtpk6aYqt+gDHSN
Xn3ufvg8lcUzMzoe+tNBMbqo7e6r2SCp0SH7funT5rtd9TwI1+of5zbm5xEXOwW77qBCRxEH5FL7
hc3BowT0HyOo5Qv8OtXh7+VNca7gz5EDm25RbEIFY/49n85dPnlNVFQqANcses7IXrclqIE49NuD
UMVd3qYkyJXhbfoImXHcY65NWMwzWmwXYPEmKZaA4nSSn6pYjwYhmj8ukHjAm0abTbjAIh4aGhOS
eqjbRjvEbB7j1NB3Vl15SK3KZ62nUYlLHCpEbZsZ8coo6g7tbPJnvGKVLxKs3hxj4gPloIzYxM0P
n0Q+qp2fhZn+vryKZz7a0RQWR0tYmeHntPRmLRh081DwdMAnVvgqa6jc2UEUbOh22v+5vOJopiEM
qWmGY0OaOv50ZiHVOEQqz23MN93baMmwU4wDULsH1X6+PMG5In38jRzNMufETheAbpb5ph9UvlYh
ukeuBew1USf6nDCLNuEsJdlH0T/prn6V2FghqEnzcXn0k+XlbWBzWpoEcYf6w3yzfdqjvTJosMN4
G0D3ql+xgMBO1MQPF+fU24RGhwcR4sranu7KxXu0WFzA7SmYZ2gbwvOhJkAoNF4B79PYRCGy2dhF
eNf7zTd8QHaDhXOtYenNAfNOmtP9cOOpxr3mwBzWcZt5NkJuqClWW5DoZv6YD0p6UKzhLbLN9yJN
MlCRVrm6vGYnX2yG6FC8gMNM6U0uURpGq+tGhLQcxYhseg9HMOMJzkVKLYN6wyF7rg1cGoF7B9YY
/WdmD80NHXkBHDbBCJ2k5lz/Uo0IDF3TwAlvRHa5vx2y9q3D8sELcFvxzX3Tt1eiuZMHjlHpw5Nq
Uu+yHXtekk/bRPF8RXbIGbqh0W/TeFOF2jZUrmyM073IIOxCFIvghhvLfr+HOfSAT/JMCMB85ovM
18j5reonjOH+6wecB5qZfJqlyxOUl5J6TSuqhNn45d+h1b+L4q7Vu6eqzbejvpntDz3vSpxyZgW5
hXEyF7DodCq3xyto61U4QD4BuFG8mIi1RXgwOPmVz3TSIkLPGWtxy0Ry44wARU6LRnEkJ6tM9r0K
iD+0b+LpBXWOl8srKM+MZFCnhwXJ5UFvcnGGa086Tqq1I3DwBNHHet+E4x103Y2haIcu+KbG1tbL
/sI0eEIADwRTGoPm1x5Nf1925S89ACyoN7BPQdmp5SsuKJvJJEZr2nfIqgKvRe1OC2+AD70Q8Nwl
aXADDNyUCHh29YtMUa8dPmDjg151Nl6+r9N6p2JqlT9MPjeoVfwBzbOdUJqPnOCPYXXdOjGqK431
kxAG5C50F0Fjdl6M5QM/gOONkaTtXF3ApFV8a4dABiY02ezw0eNkoGzLuiyuXD+nEa+GohccdkJO
XVcx0DjeSnTm0sJLk97NRGet/AYwh0kKTvBrqs8VVQ+v1L8rQbpFPTlCEfJKEHpaHWR8C0kXm4nz
h+X45F8YkVFscaWPLnFh33Y+Ul/vKdDpWNvXZrCppb3VxKud3jvB++WddxpVLUZfxI2OwP3VgFHi
QjvbxJh2kOHiXtuvpqHfUbJd6zk2Bcjn0nG+cm/86+kevdWarjl0wmYtN5i5jn688rU6gEYPMMRF
oO8LMvUfZtZ/t5AU2Tea5o4SZwCrQTQUJ7hSG0zk5rNNVqBDn8i/uaM9d764jSKK3RburC0a6735
UqOBeXmJTq8afiXfBvawsGgNLc5mUuGoWBdhD0fgeSY/9fVNlev7y4OcPoI0CUgHuMp0SalqMYik
ajc2UvW2tGgKPE3LVeBTrnoBEY7l+qqnFHd5wNPDdjzg/PefniBPplMtdUy/qgahvgRX5yx2jcJE
93m4pfa4AQJ6hbN7upBERf+KcSByT9/ayKgdGwyDt+2UBNcLgyw92+N8eKWMe+ZA8Z6j+QTVzBIm
6d3x1GRdW6JsWct+3W3kOljjhb6Xm+hBR4Agv0ZMmg/I8SY+Hm2xkEDkkLnHSXIrd+O2cAOq+RsJ
xBSLsU32hmvN5e82//hLwy0ePqXpRBK1mrdFhDjOHfRelRcBbiedqm2XxP+fa7mEZcAqafH0Yrjp
sdnobrvzNiAkW1fZQdjfOK+XJ4fCxuXpLVslkj7UMBWMlybAcwpD26KYHD4n6IBugk4U67Ye900B
5EtPW2c1YdpjOLSM06bbIZwLXY6y0a0XlBXSoeovg06zO4Q5uug8poOkewDA1N7YIomB4tX3oLSI
mJudrWgJVcAKpaxhrmij+ZZZ9biVqQcnL/3RpUaHS4UOh18ihT8m6ToJayiHYvhGTHwbT8lHEFk7
nPA+gsSqDkhIY1+Ikv22avE4F3q+82WhwdnI5fTkeaVbm973qcZGWY01jnuGEbWROs1BFzF+vIm/
8TXx14CbCkh1W3vZDt/BF0OvxUYqym0XOxJbnOmOYPKj9zwQhxmhagNlHOcIOEWN8S2QSM+atYWx
XPRrSDBC1PtxY+vjj97M37tJG7YG/k+W7G/MATplRCOst5CJMWUy7DPKId3U3KCAw6Obxf331u52
UWPftE4sf4jA9A5NL+6sGEejZGrWWMjC3qndzLHRE2ubW98X3Te6zPrc19kKxXoGQ4T1chn2zUp6
M98NXgDSrPgUrwaj2KOyPq3Z4A8h0vF3bWWiK5Pod2pKadhKsPqNgevQclpNXfzhI7f2oNTdrVZD
9Jmql7JU3NaKh9WIscy9ZVGNtewo3Wo4ud80GYq2pTZNt60tHmm2f5FN8EdBQFxrB0KcSECu8SHB
zT5fD6Vh3CZWvp3hVVmk/s0kKgZKPltJC/9mkMVdHgqclINNmGNqW1qP06RCIzcCAb07cG2Z7nrf
AZiIBfzWnrR1oGjrSYS39CKwMUyq99KbkMDM8Cef8iBHoL3/Hqnazw79lFWudq/YHqg3bZBjUGub
B6PUd3lT49CW0S0pGuzknEy55fR/n/Grh8vn8CQcpfNgUN8gNsCo7yS6TiujHbCFoGf3e8B26wXf
ZOsKeubkwQM8Ai+Nf+Zg70ThKaT+UVrOkLjRIdxre2cLxmx/XfTm5M2hWINEi60LxDIp2yxCDJMD
EZh+gZebulHfNUiLb5eX6kSvdS4HAVaYg3fKUydrhdp/H3bDlLmZv5usH/Wzr3/UT6O+xnHTNO6m
N7ZUc19GV+ocp58I1RQCEx0liH+R6/EjN8A39xuT9Su6L/Q+MvpoRIpIrF2e3ulnIuxhIzgQXM8I
cYWJH+I+UkUuDhJOtTHapxrdT73b2HtbD5FB310e7+R5mzFhNqJS5FX0kJdJ6wjVLDKAw9Atxs+N
fAMfQEinInWvKqieBv6wqVSNZoog75eA5Y6XkBKvPQ0lWtSFKH+hJb/zlWFfmYjS4pFY+H+oGCOi
1W98XqJW/a+sOgMUKpGBhgGiDmRjMXgV2uOgBj0PXZPMIuHlppJRsIsGaJQm9EUrGq71kE4nTHXl
U2D0r3H/Keazva5SFY1QBb9NMPKtchjvqUeat539oQO+Ry9aqa4k6mejMWoDKqm6SQy9LImZ8Ji1
rGNQdTe5UFF3yhq70YO/rtb+5r+XIuA2fBpsPjWfZhhhOGiFsDy3g2SGa4DuILR18ybAUXVAV+Ka
MNlp+mTwDSUFP41A0zaXlRyBxUpVqF3iZuODof4N6u34J0d6W30dqp/lq/dy+Xicribj8R9TQxXT
gsWxCP9ataY3QwvQbTb9VtuUa/vg7+qNsktd302vxbbz7XgUbCJx5RBGU0Hisqbyfbycit0AQuma
zNVq7afSyq2B6bsvbqI03KnTNhzxgFTwy1JuTJhVjjqzZdsrWcPpjcAzZFCBMSgRmggdHP+GyItF
E0U1vyH5Zo8rzG7rP/XTVRb/mXuc2hXp16wVRZN1WTgeI5tYbBpi1/MecEyOthCzc3/bv6qBi7yB
o+4aPN924hpO7PQiPx5XHs9vQLR1NH3GLbheb1VjPbxzBV3eNifJHu85dc6ZhcmDa9qLJN9I8zLU
mjZzQ+gp91n0pXjRcP7p9o565b0487UYiXMwa3oJiuHHs1EatGTpgMcUHVf9gxa4MnbRSgp3lyd0
bhhDB8ZvAwyZgc7HwxDWN1OA4wZa82N0G4yr/hEcamT853WzaCJQxueVdUAlLqIHjMoDZxwLki14
WW4X97+w7RHrsnmfDK3aaTYdb7+2r0Rfp5M7HnWxI0oCmVGTNXmyl/wZAgMv1wJPqeIFiRhMmWPz
SingNEZiPO4uk9ojT+ESLo54i4ncveFsY1l/C4bgLoE89YLOzHDlPjkt+FDfMxyHVwAtF5XTfPzZ
8FnRRCh7Zztm4q3UwGanAs+fKdh0uuLfOsAmahV6vwx8fHG7DiESUo8hjZ4qLb1VvaG6D6kIAeMR
X6LM+a2J+GvRKO+ALraXN9i5NbEAQrC1oIsQixz/0iqSqdMWqrNVHCxeJ43eUQPG3JrsK+/j6dHE
rwsBfpCbBCL0II4HknmixoNoHV6sAbM10sK837Ul2LOS4qch0N0KrPrP5dmdRnXHgy7ug6kHGjmm
tbMNK5FiiNft4ym9sRrTpzbjbB0z/jphzOJzWVwe+PSyY2BHm7sF6HBR6j6ebetjkD31MLKLMfmW
qvVtZ+Dm7Yhsj35TeuX0nnks2bc0WGaeGHWn5camo6WEYM3ILcRo74WC2VwdHcy6/WI1r44dvIVT
IR6ClmhEQkgPaMeuMD+7CkSbD+zxMwrxw1FpSFooip60P/sSzFmrJNj3BCucPf+ZOuAK+artVDff
BNv/zESmJ8IxtomfCfdO5t34k+R0MF7nb9Q/Pood79nb5Q95JvAhHZjb8EIIUF3LBowo6kzE5eBs
CSBeqwhepYDZVlCjWWO4tWsDAi8UmxLXapV4Jay6uZJA6qebmNIaUggkC8CiTkKvqsALmO0EGKpX
47tEiVZJZsbAhZAI9kts9tCzC9cFxjpbqQX73OjC9US5oMFf1R25ReVYON/0/qsW6DlWdxWmTZXx
0ufYXc6YryxOnW3ddOXrWCjPfWI/4OJbqqsGx5mqs6onEwroys/plhf2nyLObyo7pGM5xZgCy+yh
6L47Wv/otfFbCtnvuWhhQl7+CmeWgEfQmnX00I8DYXx8nPSpcFqROuY2sBzkLNGTwcUL1ffcSj5Q
g/LX6GBlbgXFoA1hil4e/PQs0y+hHk4kqpGELqv3ITY0ThvB3W6rl/pHK7QVx8fJrnzmM3GZrTOA
Y+OKyBFa3sQy1jMR1Km1bXB/oqyLX5KPw5ON2tYsbm1WN92ghbeTPVq7ugyyTVuBt0DmCxWZybky
55NnwSS5mFlcOq0iRBIXcUebmUmmIUO1NbuNePd7QMlXRjh5D0wEM3gcCWp4fk5IRcUEzz7gZG9B
De81I6vBTGutK5nsq5T9LopEcNd1yeHyxzyJOf4NSzhlU4E7fZlr0IxlOApz21nxlzZHnWcwtjJp
vyoIkm0bRU22lwc82bqmTf8WHZI5IbWkXDxBRtZWXeh447a3BjjWw3MdlF+VqP2WQwNH1+/B9MnW
pirq3MsD/8usj25jrgqVtjj/wjQ56fc1oTLFnNRpG4/FHYVQzATLnXHnjMW9Jf/k38vcce2vcgLt
qsQ3wb63MeTU+3Xzfaiv5auny87h4XUyNSqJsOoXr7899lorQ0dsozg5oB4Zb/FzPcQIthqVuGvy
/OXy5E/3L6rFCIuztXgcaDoeXxghCKooNRudT7tzvpbeXvtxeYDTN3fWRQb6TzpMTKktpTZlKgEv
gz3b6l+ajb+vd8o226d34ybdwEm7km2cVjSgGJhUECXlBaRelq9QQR5gBrP8c3BAL3VL0XqfU1qA
jLv5z0iRmc1Ah44dQ4P/5FNFSmE42JYD+9zN02r2MM9dGPVXzsXJjmAYUBsUpOasm6GOv5AJr192
8zDZcOt0LlfQs3T4rxu4da+Xv9XJZvg3lA4rBVFU9uD895+KJSNOTxGiHui9Siwble6Pgr8V6LR0
uvKZTu407EqAHuDFokkeCmMRTKtGXkW9rFW0csPflT3tfJH+To3hwRDPIMN4Q/8z9mXuo6vUsNnp
hNXLRyPPnKH1VTm6idjg642VIw2JdYtvtHPNjezMKgIcovqLVwEkg+VQuKxopUOA6YokoYYWtR63
BVKhWlfvLn8v7eTOZFY0ov+xLm0dUaXjD1aVMbay0gJoUw1VsS2n6MbMSU2mXJgQKsx2i08nXI4g
99/TQS1XqpVRShQq9qSGL77bTQMkseiRG6mTDX+lvyqjh1WASVkJ7Q14IJd/8ZkPjz8VRYd/DyZf
4/gH57w0Mc3e0VXiftyLEm1DIQ1rhWzbCE3Xv+s7Y6+ryTXJrZOAm4WSKMmYVP1nqavFtRoizBCa
KmBYbFUcN66t/tYogt+XJ3fua6AtReTFrlYpky8m5wS6SBvQoBYaqt/bsC2eyGZ+QvUWB8Uu0pXR
IMxT9pOyKo3+P9uOzR2Hz8PP4dmn0xvVap/pdQ78Nkq8Q8pnBFNq1t9DS7ie0+j1Fuw6xXOt3xY8
eDdWpZj7yytwbusTlIH44j2Zr/3jn1C2PiSVUYHbh8rsKrCL6I9tttqtimfptWjzzL0oP481b7VP
04WHIvIaGx43tB1oAR52p5iOl+kt0Pl77ACv7NyzU+MKtikGzlnUYgc1aeGrUQsoB3oHaNE5pNQ0
76WV+vvlNTwlb/IdQR8SB+DoSJ9qMRKPSlvBXsHqxDe6DW2dGldcvN4ddFk3WmU9QpGyVw6O7w+q
xOrNquS6tO3xj2YEt+AmiYcRIe8088ptc2YFcBojyLW1GfuyrDRjPtwldgJSuOWmXUeQz7ZRC0Mv
AKF0eQnOjDQbdZHMcYxI1he3hJEGBp513YCquj3eZIrUn6NevHV1dg13eebIUszRuDm5PeUJzduI
O70uunqg6dgctFt/17v6NnbrK+fiNGexSInN+d0B9kyHabFZu5rcmdLV4Cp7tLfdeJuv0/X4BGtm
1+yUzVUMyglxkfEoK8zelDOBffkGITcViR6BZnecPU3NKV97FM1XWdVof5vip6ZPiHJNKFx7ZZ9t
kMC9VsQ+LQfwC6hL4vbELT83JI+P51AjOp2ib+M2zeyuAH1nLAaYPbG3s/LEhZH1qiN8lE4ypQsP
O/LyFjrzYSksUaelrjTjtBZbyFE0JUDzZ3CpZX6ZLc1Rxo3WxeTX1SrpSn/TRhMYcBSqkawOrpTw
zk2ewikZ1FyJmBUHjydfFV3aGDFEUDkp+lsfxNs6GasDTvFbtKDt+94OgC86sMD1+FviFNdkc8/s
Nw0fJozugFdhrbnsmla1VqjViBaS9qXHNBSUzhP8k5XxjCPs/0Xpjp4lmxsW2r++8HK+etPjjU7z
2Y3G2WnX8J91XJLuUkSslSC+EqWelBm4FYgZBfxRQWNm2aUFJu0kQY2ueR/1PhhwZLpEEQV3CKjv
eAfGKzvpzMcEgkr8DVXbIsv/t9afHppMR7m7Cwvsf1D0u60S6PqaRBBczdB+r/UeCWmUCntb7KJi
+knlq/zP1+GMgWU3C0gTc3v/eDe12NNXXWRD0Qhx5K6jwN+ldfTgpZN/pXx0evEKABigbQES0Bta
1kdTTDQUMh2WtooOFfxqeEv1nde3vy6fznNrCmdnBizwEaHOLQ5IkUqTnJB7F3HzST8Y+UePf9Ob
1h4cfROXa928UjU6MzNjTgmxl6A8yK10vIZeFGNQ5kGaiwtk0BroUJoI5Irg/Jqr0nyxHVUT5lsH
srhGpsEfls9kn0clsCmsQTIUBiP/m2a90ddIO//LmDz6rfNxeSnPDceTAlqWdqikD3w8sZYIKPGp
dblh099NdroaFeMdXUY4NTeTihG8d0038DTworjK+z9D02EiLoEKolNLPZxpBEb6aH0d8hvV+559
t69domeG4f1i4wPanOl4ixzR7HtIlXXWu46KNrXy4EN/AktWmX6+BhJ1JSM9UziglAjwaOae0FFa
rmMZKRhhN2PvhnW20tgfKhXGDhyI4ZdvSZh9KIb421WNuUKxMV23qmLvLn/Jcz9hLlnwYmGdNot3
HH/KLG5E2pd9Bwz2r142ByzeTCd7IJq/K6FeeiYPeBitLF9f2d61rPV0uWkHz6VjqdPh0pe3ajBo
Qz4VLLeBm3uZVgc1GRGz3ub2c18fLs/0/FiQQ8B6oUa0TJTgXU59bdWdC2l5HWj5up0OobCBbPcr
AdDy8minR58CF/009izNTHLy42XVRSj8sqs6V5nMJ1MyFAffy/aXRzmtIrJqSHlQQoPTBo1nEXFA
SI69mI6wq/TaWqa/xhzVRxU0Y9ZLzNkVY0/q+4h2pf9opM1bJop9n/trFdlE0IHasxWk6PplclOr
8X9Pu3WiaKpv4BmQOVke2bhxPF1kLDgl1fqHEn+tmh/NW+Xt8y+XV+HMWpP4zUw7Ckjg8hdbWDhJ
GhlDMq/1T5j1WzE4a326lvqdBncYrtOFpR+r8kGXV4OooSJbMdMZgw86MAhH19s8ewvLVzIHMqNN
X12Z1+ktCwgf1QjopnN/abmHin5IDXvMOneCs2h1RXiTW+kDWhHrviZ2RfT1Jkid+srO5RZnbx4/
JrpEeYTPRhALNWxxu6ealg6BRFlSrZz4Pbd6iQMO2FRExIKyi0j1yvqx6St/byGCcCuMalvY6r6q
5FfpOTbllExZOTqc3MHBrx5Qax790Golx7zQdAuRKqSV5W0XNc5mVJvqiwKH/c63hubDmDj9yPdU
t3buf41SJV+bE5wxifN21cidFfQvIsMdpeudn31rHcbR8FGr+B/Ozqu5Uh3Kwr+IKrLglXDycY79
QrndthBIIAkQ4dfPoufltu2ya+Y+3qo2hyBph7XXV9UZPInfp3m87Y2f6LF5Gws3cQZxWsKyeHKC
IEW3X9zoFf9qleXOp1GG5+vvPfSsZj05EqZlEJUvUQ1E8fxexFO7iUqob3U3PE5+198ZM6ZubHYu
c+6ttgY9A6q9qaPmDGOn3foPuXSQFtf2G3z9zAnkowI2wBOFyT/gF673APaHtWksoNE8NuVq5ggI
LIOWWfTKJl/nyCz6xBpX/RZ3zzUG5AEJAoxJwYrG5oTdoA8yZaSfU0/EfBfwElaZMMSaVBADNejV
e7hnHvRAgFxzsgjnf1qa4a1F3qGSwe1yMcgICnGamqXrUiOrCECiAl63fMkNDqkz9LjVxdyE9hOq
BX26hMXG65WTekWrTqbU7K6OKw2r2GYDaDPAxLwgUEfLy0Ive6GWHfymwJmCWGXw/fk1agjGh8Ew
ANkqRRvpfupYroNgH3MXVrMQ5nTBsyhkmdBC6sSZtTxYCwbZEwWrkXRRDofdV294vkyYKisLb7rw
BhgxzVLPoFyLQKZhESKvqdWQUtKwKwD9II9vYQjbOI+tXj8P/f7DhvN5hSAC8aDHQTC5Sibcf3f3
Bv9zqLt+3BiGT7UP8bFCpcWPES1eItCTg5nP196gu20jeMoY8/YNgbm+sGnWdQXIJYxl/gD8RB0u
16gTXo+CvaF8ueBzd+BMH8sLujJ4As5cWNlWB0zgRCyfp4luwqh5CRuZzZ7DIIgHajmUwcktVHzl
tt6QeT3Y2hE64GGE5wtAVj4Vy/yIAvVz3JXbeVSPMC3eDaITW1YUt0CS8b3RxdmHzCMF0wK+zC7j
LyyASy8lYZ3UtMucuq43k7PUV7XpfYh0fnJQ/CI8X0MhtAAQDaGY83HwroObqQUduNnES3FVcnqG
KcdpwkSuw7lMu1XyJLT9IJDBOgOwD9+/0y/Cg3+uvm7G/0m4CqVZN3McIr3zACJNrM6AU2fmbYZH
zfdX+lwWRjoFjzQf7UZs7B9jddn4Jgrr2WwmOISIBst1+CF3+5ucfdjBUYRZ7aOALEdgud7sf26m
pbaDDQalAPJU3vqYsI/5mcOWRZMqYQqULN1vi+U8nsdyPsj+Fsqi6xFtxgrTPGLAVHyTaXgg+rnd
OZvv7/6LQw2hJnwq1zlDiGI+BEaVgv7ArhFvSqCebJHpyccBoTOwL3MapGMc/aDc/NwLxEpFWWJV
j0KE/6nc1pdtbfcczzsG2a0A4yzULBHFo7VSY4h9xi6blpisKKl3O4l3+Bml39/yV182OsyoigSY
x8eL/xCgCGbBJX+s8QvAkeNAftrqV1Uu57DawF88ai59c6WXnwiOX9Rj1q4DRjohqiOYGfxwjgOt
M0hHIbpuVHkKlYYLF2sT46hM+s7VbPE3i/vpQIO7rp5f3AIIcdLvgO36ybf/i+3yb3UZSRXiJ/z3
7+fYd0AIugigNl7T1Jis8ewNBuHp1dzMTcpFbP+Qd3/x/f+zP3+s5UY0HDErPmOY1avbbLaiswwf
otiCuTLpU9RcUuFFe5SDNUz5xcHBfEyihJOu8NdQpPb6CMb4jod3NhNvjPwW3S3qwPfffxefN4J/
fiX5YDbcSTBPGlqgL4U6TxVA6eb/9CDW1fTvRvDvJT58AiRumq4cDS5hDHw9F+DprQdstCqlLs16
DyQuK3BOOLwj4Ms8GMXOt2zE4Hfj7ivEBThLUzErgokjnsOYrU0Gx6nQtwepMbbak0ulm9r+T4Xc
z5vxvz/7wyahUOaQqJTMG21hhMoLj3xqi7QIXovR2Sz0R875+hi+e0zrm/rPfmmVSwByH2r/jZ9a
JBlxc16qMc/VVymL9+0tKnRwrMq/f/+fWQgEt4leqosxc8xhfKxgOtB3wlzfMRvdTXynelumAI8e
sUj2MI6pt+EyOAnn5I7Cc3tkQ5wCBZgE4XwhWgtWhPAa/eFs+vLBQ8mFbWrV33zM2eYlIkNfBEg5
auBd8RKSYUDIwbrojdJhHeybf9ocv1oFkNTj9lGXQ7784eCFPeysB5gPbuCrAZI90lDqNYCQelM2
yejBLxZY/ylyMJi9VI7zVII6JaQHFypLP4wG5oLfv5XPed7a3cZ8Q+BD1ocD499vAV7scCftLbPp
9M2yn52jV11H5UV953epPf4/HvhfdwfIUHFif2oZjL4KvKXF1dzysXqOABvjNxNHS/GHF7seMR++
cOStmOlGzIoU9mNORzwgUNGzR6HAfufzghoP5qeqn7xzv3h2GKomgNnA1DQKPlatq5g0IaR6ZlOw
miRgyV5PpbJzA0tJqB/qx0XUYypYBI1kxX54b1+cslA/oJKE9Byark+3GM1Q2/U9Bcp79OF9xSc/
E9DkA3ABo7aWPZHKfw20SCe3ySozhP/nwAatj78Sfei50AL5cMh1Bv5W0ACOm8kq71XRnhqjt7pY
y+bX1JfbLlxev/9SvzhW/7nih5WzqFqVaAUbOH/DlEPxJFgwzAnyLQZi7R+6S/4XO0MEBTriCcyr
oeX/YVk4mEZzlLvaYiCkwOgrB5dzABAlhXejzlWvmqe4bifYPQ9P1HXPrjUkMiTTvp1hQo5hYnho
iNDdwf4zF80oD6HXsqMY9G0ZDjdgtCZhpJqNqOM56azVbE+q8zzQ99luMxM1wCSLfUAc+B968VWx
FM8sJFld+hvSuKgHVAN8lip6KBpyHuMpJ2IJk7rRWEsYXG4r0C4p7OF7DWRf5OOzgEvaxnbGn4w8
Pj0nNKqhaiNoxdkwSfyonCr7SXQAsA4bJcHeNCnMdSug3enVj+M0nwNbmGQiToKrKJoZa3/q351q
No4/OqI0G341i2P85Gj4Jshz+OjKbcOT4Sp4rsYfoulPtweNgItrYjTSgb774wFRAH+KdBZpEjyU
N573hwZuHgzVoRlBAlM/nQ2fvvC/uSByQjTAoIH4eECWgUODETTIjSZL0s7A8cYT3Q0DyFJz6CdD
E58Gv7hpff0ipiKhtPASXqMkhlnYM7WiNu0EPzT+8uv7lfdpn8PvQjyPhYBTC7MqH548RHiOMAXO
LM+FZXkJsUTksD1kbHCPD/mQj6tcAyPiTuYWvPpho/s7vfTPXo6rxx4WIzTvmEb7eEJxCyaqC43x
iYnWvtNNhJZS1Z9htx9g85n8u5iOg5UL0VTnDnzWsUHFbWXiOHBGSzwPn6RaFozK0f6Ol9aC0hUw
p+4SXDO3/S0Hfdm5E3+YbIjnlV598kk2DnDeDLsASyo+B77J3R6exDaaaR1APsk4j6k1YrFZsw5T
x/hbxwRl7hfQuFsmL2J73s/BII8Bsupc8kLlkHWk0exiuZNIwmsAtk37njtAvq8t7JHu2GCm/VRj
rX7/8j7P/6zPDwNAaB+j2/ipD2hWSbW0NCIODjfSAkazS5v7eCqwxoUX8JGANVdQO++ctO944tY4
MhywrKfbbvzDlJWNUQgo51PdH9uC/vB2v/rk12kfWAWva+yjmql3kIdJGAKsg4aCAlQYJ+2f6Sc9
+6dwYH0EmKhcuYhYxx9HynwA77rQUTCNJtGWwV62gD3caLu77x/1p2QfubONwxDxHS6EIv2/OxRS
3aYPZTRsxI0n87a9t0ABuMRcD4Y5v7/S59P/76XWqjXgGp+7DY6Z4OzQCbNBRS7eW8FwUweg5yiR
0skvt64ZzzOpnqw4vOe188Ou+FkTuV4dvjmInFGj/WTgVmgO5xwfpXqIEN+nAuXv2E/1wEUidXXF
LPcPgrwpsWJ6DKboAYjakx9UQ1IDXLIJYhgctXQ1U52yRU2vQwygMgTfPzyjL1469ASo26LhB7ng
xwilN2XVNhyflqY3atkKe9iGwEV+/yK+usg6dLlGCuhKfdycgiGWdm+HqAwbjbae3hoP4d7w0yzp
V098HRdctVpoxpC/foT/SdngxNRalYOaShgbTMSOsEilNIviJ2lF3tZpGp5iOJOkfdz4+xK22i5h
ze9pGjLAt7cjry/bZnqHNvII27uDzdh113XDT3ywLw4KVJ7+Nnkd9Dg/rmZk30KPNjUbxSDIvbHI
XdRtnXd/uvBP5Mc14H8M8hEQoKSGRYDpic/WRrGsqVEwrNq4lgWcWgOAG1FP5VDJvFflXiObtEcw
vGTXjQlC6Qvmr1UB2MPOmDfJ4ETZPn3/NXwVowRYGgFZQ4ZVBvHvDgDnv46jn4/REXJhPcHxnfmZ
vKtuO/oaPLSPy335E+joiw8QaeTau8IeChOHD2czYk4mOWTqm9qZMziIUSAAhv4H34QvNrZVZ4Xa
Gjqb7id/z86GYJlFuIj73uP0i2gSX/MpQUXRDp+/f4RffEJQ1cGPa1UJIIH78AT9yLYaPFpgqVVm
/ozDfvotxkN36u/H+ff3l/ri7PnvpT4CEd3adXTU4VKTzjFRD3Q0Ov/ix6XrfvpMofXG74a0CSct
VP//fhNFP/ngB3jDBuGE+8DISVz71jbmubyRJKdPhOU/+tt9foquDXUr7FdQ+EM9dP1q/rNd+PVi
kdEY3BrNLIKkYEiW7t2339jTMux+epCfS68on+DEQxUFs5ZwZvhQwOKWVwRO1a+0mMxcQZPTPKH8
3r0x5Bv+U3tpY0athw3///lbwRSkv3okwI4Fy+3DXSqJrmsFiuPGcep91MS/o+LKmlDzBxqhRpLk
oaUkx/33X82nlAD3Ck+bdaIfaqBPmSFMEQBNd9ALLF1QFLrrqLYS36+S0LnCKv0hePtiQ0HUC6GD
h4oZJlM+vshZsIGJqdd/rSf8tM5pXqfu5f9aTzg/3NoXXw22Ugi4cMYg3P6YzAkYioYWxcnM95i2
Ofc757BO2/yktfsieFkHKiBhxxQj1sbHz6UPAr60MpKbenCzds7d6mmesmIZk+C9w5BffK1uv39p
f7FO/yYRuCSqFGvwB5Hwx2CA+NppMdKHIXhe1Ns+ROOQBeNw8CgJErt2vayfqu6t7kFDyCwmZLY4
pNuUXDibjhkvcTpPJICheFvOw23gFPe1ily4H2LGwgzydSzYvjF9eW9XwMtRa7iJQw14gz3BSB3j
zdccI4YJbNBgT1WqgCXEnbv77+/ys6wdw7mI8HH4oBuGutf6gv+77E3sKsVpkcdoiUJLEN8GMd0F
Ah6DB6aC52ZB1UThDGxgAnYxtDppDdzs8OB/+CFf7HnrLDQeNPYfFOI+/BAbvW5VVpHCiNjqP1Nt
oHA4AXiUO7ncLt4Pl4MtwudjEP0uH3pKxHvgA3y8ICPGE7Sui9zr68EkcQH3m8Rqyh6YSEsvaR02
Ve6K1kMdsAyQitWDSl0yb2kjm2SZ9YPnVzjWiDY3YEoX9xUoLVlB6mu5aLUfgpoD4RqjWUxB4tqR
mHbAPnS1h8qLXZ7E2Op8oLzZSz7SOiubQF/4grSZY4UvVAC/UE+WVCmrZvIKJIu+Wdl2KlHDHF9y
MCYSSPXvC+XL9ypmzUVYByrBlD20qDIwqAxBnjH1U59bjVkSZVxx6wcliFqh4qtTLeAQMysjcHVh
LV6044660mR25cHOIQTGtmib5bF0A7UDPa9MJQq0CbNl/xCR4AitFbsomT+8K+Jo5Hs1OwTEL17K
qtB93nL6AFxJ8D4v5snvQZBR/kqI4uyl14O1pQwntD9Y1ks0lUs6VRpfug6kymHk1J1iayqPLIz3
dc+6pCvJCXXNKvN5123iAA8dsXUHs+6W7Tus38wU9vjStzRGKZHwFIWnyEqKqbQemiBUDy7QYZeC
NOLJXm3qWgFKkW+5MIx15pdSzNWjR9VFC0O5jKLafF/wbsYKH4I/7tjZT8Oo7acRZfeSNM2Qw++B
3IDH7PGtI+EJVRh1sNzKAElq9ADlR1RUids1S1a73QXWztHtoYtKWRBu49Cq0oqMmDyv7GBOWMyC
o5aoDcys3YUBb/3UCRmDf05t+M1QRg+QAL54ECns/QBcX9b3bs6Gts8CCG4yT/F2Q5tqA7wQ2/R2
458YRviOcwtnbmBHTswvwdQRSl3Flh+0SRTM8QkBzCW6FywZVAnbjo5WIapw7RkiIb7BeBr8/qzK
xXQ+uHcXBhlEGev3urSdo64F5nGnUUZ5a+lrBIAmsd32Pl6I2cKSgUcgCwxNjdIKpJAC0g/ucZ65
EaVXsqkaALaZfiCDHN6CRrNsanySQF+4hSheHgDgqnY9on7fpm8G6wNui1MiIXl8J6Of+I4Jb1g9
ZT51C7lzRGSjyMUg3g+Ac2hB0cshlgSAg0UXnVT1OfDw0kzb2onXe3ChZQ4EQTU0RRh7qhM2jcUF
YUX3aBt3eiMGgq6k52jZecMlKqaw/5PjbWTNr2MrH5bG/AFegieV6w8JhYFgn4RzILZ936EQs3Tp
XFk0k451HchlyUdwYFO3UdFVNMx1Xi3dksKH6ZbUMUbjiQ2kuhWqpIf7nDBNk8IF8TyXPRQcXQzP
SmntxMJuqde/WhGbsPWHl2UDPhMri0zj3E+MLm+ceR356WE0LaXX3kHfBCMJEeRdE04pNWOwuinI
yziiD/YEWk+09DDebZ3zrKrlUuKA2tFZAawGUVU0tse+7wHItOMH1gH9klAsA8zjMdQ+ptwgCDgi
Gw4PdNTFA/L5aqcExJRonCBoImJt2rMrIIlIxoUJD4jX6ZQuxUhefUqeBgf6IzC2xnugu+ydcjyx
m9u2yC2crt2wWAvqWhHNgKqWmQODzQ2f49ciKhZwmHkqqP6DKZWsR4aeui3v4mSS/IjWUHhhAN05
OZLx5mDZU38ScAlp0mHgD1UH34mZBcUpqGHJHZf1dhqarT/3N7P0tnMPOAsa83wzQg4C9dF868D4
0rbQRFRkOoqWjTmVLUYLWHXnwgNyDOw9Uuc4H2qIugv0UTKPlEPe17SEHKcimSYF+BqNM0cplXK4
Fo1/tVAN9IYNWJxvTeq+j6cHywEFHFnmdGCLwh+B4OAQzk6TeVPPtn4106SqC5K5cDQmadhH7okp
sMyknK9DZTfXHgq9Kx+ewFXVx+qwNBhKJqJ/qqpBL5ZBMO0k1VhX+VQzFOOiAuKgvoVxdBcMB8dd
vHtPTNPz7PXdr34CgF1MvwSPTYpsPUzhc/la+QNNlbbR9ifQczJZhjvisT6LmfNQErwxbCwn6mLD
Wdq+vp4RI50Mnd291rx+Zr6sdnQ0JPPs2SSWRyDQJkuwR+7TnkfeYyOPCveK2/AUKhdgQWKUcjcK
pINw6I5kCq8jUDZOtc3ZXTGKWiaihNDJHsyyq8feubRq0eZAnZ+WyR5E4nflseAWTwyODjr2I1hR
rnvyl3lXoblI0oBBi9eWcYimfu+cqQp/sa49wgvL3Yi5hk2IVzH60PrCubBq/wRNXzgmoNutzZo4
TOcF9sEQS6RD34qT5Y/r6YRjM0Vs7G9sCQdcBWTAkmD0abjA0+Yn4+tkmPlxUS3ERb6zt9EbmuNZ
YwONdoxqd0MHP0rBDT2yuBVY4CiuRib4jVxC5VAQPi19BDxFg+AMDd5JjPsgMm8x956WmN67pUCt
sH8tXQUzL23fa0ZoPveduaNu91AR8+L6drgPnSo4FlY0ZH0APJTfI61EB9LRngCaFLjtdB5Ni3F8
l7wsPZDB6BUNYZUObYxBxrHhb7QBZH5gS5xTE8fbKmTNC4k0KFpoPmt4MpRmP+lg21S9vxtYz6Ho
9LS1g2ZvSm2nBSyxrzKKKOtSTxKXjpboj4A+FsMRrvVuaNTt0f8yiHDEOOLWF8e95naJyl9fAcsu
+sZkdW32YVfZeCDtS2WTy2jpCnSF13QKYTrfLgz7rha+f7cgXLosYBXcbYo6hN2stTT2XvaVuF4i
o47MUtKB5lO3d9Kl7R0mudVVUADNGpNFQOWwELjEdDp4iuLmjS98PHYK28lQ8atIqdyd8S8tGRFs
83WTxYU6hSa+BmJm5zVeuQ8pdpcEdR/r1PQF/9Wjg+MnI5Y8hZWuvojcDrmZgjTYE1HOfNHtyyBC
hFMMsCtzjM4F8a/iomDb0kVptALyCXpbr8Hx1RxjKLaODQeqrjXS/6OpGI+lsW61atFVm91Nt+ji
NuwmsXcwiwJkp4UB5y7s7D/wgLSedTVHN15Xc5pMTQmo2CxG7D2u7HH4aH0ZWcLctn1jb3o5qGIz
LhG4Xo1NcNiIoZouyoj/MVb9BruX5xlmJw8TWgZ9ArBbmUShlc8zTubZrvayHOYzTlgYu0r5aMUW
Iq0w4ZN1tuE2lEyVM++1iI+zR8ub2ALcdqycY1RY6qh8FW+LiW6VHl54yXO3m5AGNW2zn7ll585i
+u1ilYehhwku5IlJG7o5ArCkKyD9ZMS2jvYSaBA1apzBEI+20DonpEKUnlRRybM6mIMEXJMM+wFU
kwFd0oKA0m6til57ESt5JzwEMwKJgi23fYtXCDqQ2BcA2zXpOEkHIB6wB6hnvHQkECa7Bqw8tZh9
LcmwjYpuYxb/iHnQ6mIsw2ZnLfFDSOogFRP8huNgBGPPghI53krdkMdCaDPuoWeGnqaYQMRGl+7N
r5EaJrMHojCkvza2FCGb30xDqJKISrcXjgvRoqAO5hpgD5ONatrGGOVAAtKPNI2i/tHtSXQfwC4m
IaHeaW9CXjOLWW9tZg3XjRtvxsDVV/3k8FNYwTantI5MwaY6gC7Ol/J1ggToYBFKrvGX+gxn/6Mf
z3eebMONP4D1xpw6eh9cZu1UXeDQc9ehUi2ifR33l3rxMZ9TC7B9jcKMp9freBOrABorUdw5S1/l
PZ82OorlvnLgn9cGDtCzhCDDMvwVQ927sWsNAA9tLZKaSbwb+LnXM4Y1ZfWE2sse/KZL5LIyDUy9
8yU+d1h0FDjkfXl0K+RssLQ7RNT/a8zdr3J99zWM5/p9aqyGplD0T1AjO1bCxAzFfBnB7RuMtd8F
gfQcIeRkjXjYEk1A/Mu8Hyp3s1TxDTYclY6RzVN/mFYD47YKkaSVGuV1P8yp27JsDrh9y8IVXa8o
S9xWy9vFRow+FrN7X84C5B4PQBvJ82Bqt0NjLoVLntxgas5wrbiFP3n8G4+xz+Fs5Z1JWyAtt/wJ
Nug69HMxNui/tRbEeVVZHpWonNQ4q7IbFhcVQN2Rjk7NQseDK4x7bCt7G/LwxSZOcWuimF80kxRP
kYimDIf8dWnEee4kOXM4O14WE0wRKJL2S3uZV3pW+IgpNLCesYDOGDfusrn1ThPMCJPIGcu0EDbZ
BdWkDLTXqBxIL6SZ6aYDx4Hz7LBS5x4xLVwgA1yuUx5GFeiL7Q5GJG6Jgbx2VO6SOy0D5FTbxzCs
bofIK7DwgWMFsDQdrLY7Nr2DSuWC6mIuMD/x7Drw9BY6ao5tNFwvjjPfKYWPidfYU7MSdn05q8qz
h77ubjAghcvqhLI0z+GYdahxiG+9yt0VFLuW0g1EZIMcn0yo8IcHeq7p9NDX4rcePfOAGAMDF8CN
PJigsbejmOIqMZGUd7OAO+hEcKSJaX5rXPZaqsHJQzOa63Aqgifgpu7Gnt3Ack2je4komXoPygqH
W2wWdlr3sDPCsKlIWi/uHl0PgoWpD5tMFvJlCLDbI7NdsHlOwRtikOqXE44NlnYVALI2uDkvp2JM
PULhRAlmLTrYsJNIHEq9A6StQapGQi/jsEWtivT82eWdupcabvswPPC3Cx9suYkbdQ8BMj0QCxFR
piIHzmrwVr4aAsAzeVRLbMdusIFD0ZSNdUmRu0ACzhw0iQqvhNe0sY9K14FObBXAqV5Vvzo6s8Mw
Vf0J9hvsYsHZidy3KdOg8IN0kWCsNT67hGB/WrOkm37A9ZswZGnd6ddw1A0KKzPL4H1F8Yk7O3uI
2AkWHgvagSgdYDfeepj6vS9id2MmEp17tfgv1ViUmd0gDQFcx0C1HdOnobe6d1XMztnufZzHcM1O
Kmb9VsyQN+YMbzbc4DCSHsOKxIJ9buA9D6EYL0dD4Vk3LLksp34PtLF39mEqDtGFvdx5wSQO0YK/
F1tjGkrcmashNnBkdxSxDn6P/hL1SHA4TmLFG4Ghb0aiqyZU1WUwzu7DNNZ7xIvtFmYsYID3bNkH
ISnxJhrk6ZNiW8wZFNuqAUuJGeB9ZwzRzC3DQJvfbzzJ+aVXWkVW2kizWuPiCCkKlAsqbH36qnQC
8Ekotp4KI9JSRmGKHoNI4ay9ZFYxuM8LDPjyxmPdhViEgyxsam/swUNJCYJ0a4NqiFWnAY+qA2Rq
v7kMGhAUVTAQqJWteIPtNbRROVfxn4AMxf2iBTnUPHRS15qvB9Q2taiiv3Eyjtqguw/AV7Ay5Gyx
gN0ig5IVxNlOwhOv6VJrnW+aCYLQ0Z7KlLYEKfZEcs9ptjPswhJoawDkKsWl75Y3RW1PGRRRqNux
VmxaT0bYpRaUq/SI5UTrddrNs7oXxGIOtmZQAP1ru5f9IQ7NXbegOsbbmOaEindHNNcYZPcTSSt+
YBpeylzWwan3ZxAKTEjDq5o57cYZULwv48J+bgnKhAbDgZeSzVCEdtadmECDcVAGQolfLF4GleiZ
E5DsiGV+lzj9MA9kug2ztbsFxvlPC63MFmOIwPs2vcg4soe7KnbLDHP7zygYngPuwpkiRnmSlsNO
GJlZMDujJerLwiozbMJ5uJS7xfU3GrI9pC4oU6hHAJPuIr8PknAi477rbSeHwbC3WeRwnnyAMKS+
cZU5dmbOJ1TvEssFFJHHlzMVGfozK0qbji9+J0TmVITnMMfcL24576K4eOCtxkDRgn4xMo7MDP4+
qt2XMphvMe63nTyMLozhKDYgA8+3ntueepw0mO1COVshIx1KgB582vxhrfpVQGi7J4U+KU7iNLIb
5M1MPeIQxo/n3X4O3VeLYuaiqYvEXh1ywC3ucl8zLHt0S8P27E/svNjLi5yqEspX6GcUoCg55heu
2lJgweGo8DbGdS9JYVuQstR+8BT7IhgSxjuEiEXIkdm45yK2qkfft9od6naJV1f8FDCuE4+P0zl2
5Hlig6IIpePpXRNFUBZyOpJJq5svS+nckBg+FgxwpKCkcVpPESLm3vdOMoKcz2ucG1k1B3A3w0Tr
tnOSxUH3q0VDLhtYuZmW9vegDPCgQXw9MZTS2AxyeNObBIqcqwoFR6RnT6ELCUWJ5xBaOtewDWGR
PBbEuQiFgMDDPaIVsbNQj/YHlQ0QXSYhWGCFQ/5UTXfog/63Ms2U1k4Nq2mGZ28huAWT5aBral8L
jkKIYebk4QlMqia7sS+OAQizGvEloLZF3z71NgF93UNUV412u9fzs69cN8evA7GlsvyE1CXGN0Zr
5/iY4zAipCdOULJhTQARpFZbp5z7HTHYaaK5+20H5gB9ZJdOKFxMWs3PaMYtwKQYI/JIxksyD/Kx
cWpgjiGovyyH0l2n/DCeo/W2s62DPUOmRUbML1YcheQZp99yWJNEqCWtg0+Km6WND1aFAFXAZYwg
OIlW2WVgQXhQALpH3A4k7sDPUUexczbi9uDTuWtit8o1bS4sgyxSBLfMt3eW5gcxkFu/o9d25YMj
z2s80Bjmmk0bANzooD+Ml+wI+YxGBIomIAWkbROgso6vqZzUYxgRGB5Qf6NUn6EKRVHilAAv1zBp
jVu+1Y6D4TZsGOQm6uVJ9HaNf4suwgjU8G2tKpkpF08V1tfWZe/iHjssLBwDCp/EsGVQNuXhhB4/
zE/xuyUUTEMMby/h8UzVsn1uW7d6gXn2eFlWvKuhM9N/eiu8YsDMgFhUksSwqLsz83RB+qjZw2O0
fB+4xiYYdHYS2PJ3KVD4Rjbhblre3xNf3XRcASKD6PlZ/Q9F57XcKrKF4SeiihxuAWXJOW3fdO0w
poEmx+bp59PdqTlTHluC7rX+2LX1bmY/eUC/s8Suj3+9bNQ788kfwhTpcVnbIUYhOKZGsxT8XiE+
4ToIMNV3XmLpVR1my5JJMHj6ZheFcfDrarcgU9rV+cxkPzFHyDAASGe0JKf4XoPH20bSqqEDweGa
ncIgnEEyJ/eFLDaB2mUp2I19nwj85qO1IhGvyrhJsgvzNFSy/w7dZUZlGxpXgke2R4/GAFEXHVbL
wT1Wjle/+dVqH/t8ISgmC7CNogqAkRDypQ5GvkMTZEJEE/h7Xv/UMwsJwv1d2C3jq+ryDOm6GbNZ
R2dzWCLuLI2jNbSfQmmegqjqq9240irB3NRrzA3+9LHAHEgrf+GCeY3yvP0GvQqe8kYe2i6iQbzq
aQY8YP0sDmUYZEwY1cLi5sroNFjBVAIfOvrSeNMOFim2nZaZEFi/2m3RyjJPmW3Zme2aAn7Fq2l+
DWq6hLrPkoz0OmlgBusGPbwuvi4/K09v7PfhFzpz1t9leyon/1nM1OasSx5Qrq03xEXGg6khA/D1
f0wQ0rE0qcnIdXluc/wpY/kwUnjemp59yUbjsWvc+hJEQVqMW/ndCz8d5nqs49XgF2q8/zp7eF7c
dr3qaIkddwteI2ms3BPei+4jTYmT+Fh45D9dlsn/gLR/htA7rVtxhO/fVSFN0BIv4daXGLRlVH12
Oe3lrscbR94eT/noJPTqokqlrijLs7elmLMGFdDUnRYx6lSNDfxrpxY6y3lm3UM0b/1zMUWUdQ5k
CC8+YEQQ7kTlnMot33fT7B+aSD6FuX4UXXslbfjdHuXDZJk7zXarq2lnkou/aHO3OUZCfTiETebs
/Dp4N8kG1lF7bkqJrhQA9SiroU8Lppuj8iv3u1tF9BxobfSx7wl4IpdIwLld3sqxDE4mxcT9+jeC
ZeIY9pIIXWbYl9QvT9A5ljlfF7Ke7s/O3q6Ux3rQvdN2nYawWHu/LeMKziysOBct+6eawkSZ6lNV
3avZz1xHsj2wej2WVn6r58JIjDt5mk/9w9DwXnb4jSn8DG526b6IQoGfh7Re9WTxEHz1e66Zh6bW
4wDiKLyVrbV9Em1jVTCvQ3heVPFWKuqhMuumXJuUc/N7GzD9uN7I3Vc+iaBf41lBVpUKC5oVyF8l
pchBD7YThFuftjp8Hhr94JuYsJHaDoi26o+uyPGA33vAQsB2ML+0DNSfnqQe7f5twzXmYkJ1bxCk
3qKGj9eS08lbjdgLO3lQXID83kaS6U2fc4Vx3MKOVGT8LWgIyP4xsbvnVSyVeBgp3iKWKB2BNNJ1
G8pD6PAGSv77hj4Lm069bKt3EVq6fRGShFpMj4rAWluuYdKA/Up2FahOi54X8QLKynviLE88BeCp
i8k10pbpWA64MivrPIkRLGj61dp2mm3y4GJGXj1nIj8Aip4p/q+1YWpv2eDbGRIWPxTV2Poo6uFr
km1SLe2v7c4EZ0tMKHNcsCcsQXWbAxVe+VR326ROngZ1Ew5pZERW7De/nKjX8MJzqEF8oW/rJfgY
LP+PT41XIkvEg6F9q6suXTurTRvlNhcVWXlS9+FfXwT0BQH6CxO3kuPE49DxJpdUiKnKTaPV/rD8
rD6g6bqprrit8H3s/h984OOxM9xDbxZpw18diPISWSQZ5EiF6HPeVQJcNmuPdk/tO6vKQq/Y7E7V
rikHLo1lQcGwoqr68So/Iup8GMN3i/qGz3E0HEKU88j6CXLTKWPwhfzK/zQAarupfrXvp3pBZEOI
ViK2e+NxGljwskZDWvvhKc9g2u+2WWZGdp6d3wkW182ej7NNN5HBg10Z43VxoS5nzt7GU3Hd5unA
RelO9mHi4Ryxo488yXNUgi9N+tAOiI4tt+wfNwZIc3DOWbQm3jJ/rVb5RandpZT+v9ZSfkwJ3aWO
PpcQLXbjDtAfLnpFniTwsXisvIt9/96zkM1Ucj2aZkEuxXckW9rERd4kUcXXYAdPq7+egrKgMo5p
uSE+3av4V8LezIEx811hOgdHuDtf3YmmTiRbpg90WZ/mCCZj6+OBzBiIfVoDsJAQYtEjdvcbPKNI
R2A289YAvweEHgOG+PvDhmmtjbp7wkKPF8o6rMZffMYxgj4yASYWzDH6b1k7yDg6BF1o3cYXBP3I
f6j+l6SbnfepypI2yIByyl8CEwxZS0YUz8GQMK/9KsztgZedYCLciqIKjLTrveGghga+uFXWjrd3
d9cWMwLrfdnbK4fsiLZdkqiR0fDb2maa8ZB6s447E1lOTUxGVdYJ9oWKj7aKwVEfJmd8druvIssT
FuRkoyFPi3UXFUwNXhU+wwj9zu3ldY70OTCHlzXi3PHH5yAfTm2gzuOAFqGBlQEJ1k6e1l2ThI17
nWvEwX7fPszbFu45/lIA9+9htEv2YmXsNntKhHbe3dWzcH8QLvlRoU48kIExXoqpP5FEG4MVPpBB
+kn3sEMLK2IwmdUfYlpGPO9+mgHg/UEVa55I991XVfdj+WTqWyRYwnShxXNc8dSN/eMywAWuDU3b
lU6NNUgGuzs3bfHQTuN8Mgb/5pOwu4NvacjXkgcCM1Ex1Pa/kNdvbwAUFFZRHPrSRqAyt9AOyClo
T7VeRtrQzSHn4bC7ZPSKz5b4Ekd2uzED6A55jGT1MxL30RVh3MAWNAEAVguc+FhmDtNZ52GAqsI7
eYYMhdPodZYgrxswEz9j9uO5UOlqlGHMP48xuP9aDTqUVdjcJvJLzp0zpv4I0ZdP4W7oin2Z97u6
+Ws2zUj+CHrcTNS7hu3n7Cj7wsBMcMuyvpXrdkScAE1Y8ydND5NQUNkcX0hqhxN7m4jDyT34i/uT
R+171Q+P8l6VWI1HOVUc5ZFIGod11ZM+/G3xEQpSWorxIsGA9VZcKnONS3XXf5kBJgSYinZCfHDv
KMyDFmVAwNSYnznlq9b+3bUy3RxoTrjnnoAPXnlAGo8Y/tJHZz/n8m2bs2/TCj/0NJGq0MxQpuuh
KP0fXCYe7qBg14z3eVO9l/Tm6L5Ig0UeDXrnE+DNuKkYyKQx0tuwpk1v7wav+1QqIzhg9fGqEPYy
GWMCnnEZIgw+BFYRreHtTfQZsNmIpmDEcttlPeE37IkE0svwinYubXwTEtfZh5lxDQUqFJBbl697
crtP1nMaEmaXphVaYs3uEcw0rsnbWQRBJiA2E9Vv/8Akm2RseKRqi0PL4yXx/faknXVn0Ynd59u1
tLZDDafu5/3zUjd20tBE6a/WV6Rm47jl4mZmDkXK1o7Im+mZm9PhRvmzusJI1in0Sfpz+OLBn4pw
sx5dZxueOjOKoxUx1mou/Q7uXRPDoxIRdVerH8tDrZ0HXQz7zeRjkPYTnwuH9GjHbQezjfceN+He
4HiamvLvpLzPEkCc8KGBpdD8VCZwpzI0+2D15mmRTlkFV0wT6UdgcddCtCThJg5Vb1WpyIdjAEuY
9DZljaM2rp2wsRZ0w/xnJijotXSCFAMkTTWb+LMQKZ1YqjjA6EePgS/OJDgexsh+8Ift1E7Lzuzl
sfLypAp8bkv0K9KZfnz50gy5la6RyaHrrXHTr9/4t1EYmOOOKTMBqmD3gEsPKcbclghDolrU4yr9
/ML0+rc0rD9iM05c5iR+w8sKrx0vHvcQwscrVpSvOyrPj/3tmNmTaJcP9mRUJsEHtEa989o82JG6
85KF3tPo0B/B7/M83hmcpTRopHbDA6xXnaAQYOrxg73qOE9UEez9LIgB/7wjfSgxCaQPtJqe13GI
N1SsR6fAR8ndquOwEnJPPMjTOozADAwu1AztssZUb2xFRwIJllPWGXnKn1yk0gILq/I9JUfckSEg
e0VWQOFXn9Uwbqg5q3NLllA8eVyRBQcJzt5dWLLtVBHbuleHESoZVXNvhE9IuN63SQcXcu6id8l4
jT+htfUhb9o9OcCnTm/VmyIEr/W8M3aEM15sfmxVsYzqLt8XG5k5XrcWD9MkxYOipgGZRPNLFqNw
46yoH0LH0Mdt4VgEW0ZPYv4tF9RQ3L+JtwU0p5k221BgXlejexBR00I0Bdsvy41ItqqpQYsnPzqS
t2yhQhQD/bpzoi1a2PqpuE50NRSVYFaw9zmIIiVDnF52ueu4J/k/nr3O+Gs69GIE/PHrADnCM3Ew
I9KiHMaf3Ov8tynEkshdIMvpWuZZ/V4EPsoBZ4rupAOzKm95tbobaOb0OI7QpTqavupq+1jGMNWF
z3W0UsPbvRdVF5dSPg96Kl+9IhdPvHbwb+70uRLHPK9LECNGq5l9/b01iMcpFKgygwEhYulCDWX3
raxd0oCZS2TMy+70Z211/+xq1Or58MEWbqYqUl/5HL3SHzXErbIToyc3wrIfR+UdsrJ9BKiPmdT+
5Vr8gYxjLNBeKpS+RZvxu+w4M5UkbYtwhajrbqg+ucpcDIgbDcKLPZ36sL3O+i58tIzf9egUp82S
Z2fuurOfu+XRCdCwgzCQaidfdTNlYAtQdWXBsjU5hy3qJD1dHr8x2V8REovQNLsYTHymu6Ok1VYE
fuq1E9zpVjqJiYToUAd1cEQOk7iD68SZ5kJG7zmtMXOjeZpnW6SL7YkxKTv61mrSWcJpAcLOaxPD
K+fH6Hsb7+3wkEnyMrx+TtzQ4u1orkHl3HqKq0q2zyYjBnhAzO2uzSPTZBJFGCCjaSuuYu3s8zyV
D2Lxd5aQwKRjNu2yqnrTXvcQReuxC/tj1pLfPsMWd1yfOrRODJszS+KCBgzV4053dhdvURCTJHk0
85KcxhW3LKkdu36ePmwPfhNr+sEwxV3Htj6UioO/cP4ZLUVQg1M8alU8wXuazPObOC9l6+2Don+c
GVbiEP6IMZkbWWT9oaSdOPSAE4qhDlI3Gv8h9Uiz3gOORs3wFY4iDfO/i+4VFgDr1+r7Z2TDl340
31qNYVVky6UX/Ved48vTCHKamcj/gO+PMpQaKsQ9Om6pT7UWjKg62tHM1jKMLdlwCS0KinPPfSVN
ZroRFXV1OnA3KT3nGvKCx8iNjzVxQkbmICIzEr8qMABFJL8hP01RoAMGbPVhAyokwQTDKszhY+6t
QxNDMTq7ZQbGoGeZeht3LT6nuQsP3F8gkqZixVIYcEJkIG+9EGgxq2qIbYCaT1CG4ZuvrwCs5yQh
FDHuwPifI0v1R7c2r+WyoWwakRdlP7AwMavmyRbljzkaP0Ot/b9cfdlXGMJtyAaNQlQ4B1+s3E7R
EW0ZbI9MB18ep35q0yjAuTKBJ6Gg6eZQxegzFpBubF1ZsVBu4qLSH7062qOSAuwwHLlnrHoOopVt
vALSWRW7RxcNNGf6nUbCP2bfWagg9fpQrAmiJljFRRGlP4dG4nHNlD29rJtCeGIJ7kQXkn9lWx+8
S7UM5KXAWVlc5MXRnvP97PCcMffvg9Z/mx1AvpaK1y6jwhm2aESOBmRXLMxRCOXSgbrLxC22GbKO
0QHpn58Y2tMpINC3V0qelmjc2ehvQ9R7+54OrYSkFqqyAl02xKX1NG2hXiiMUxnoy0qXzcfcFE9D
GFTf3T3lJwj+69AvvrSqBpjMaLlRbWu/mnm2E0tp31VNKFL7bEDMZJ/rENVoft91pArN/6rQ0yd3
m4oqRpM+Horou3eFixYJS/WAvN67Cyj9i+uuQZAsNgCkrIJiQdxC3NLWCZW0dtPK20Kx91Nk+Y9d
xlPcChUz3RBLIZsLT+AryCxEqO3pBTlo/SW3eorR2sWT1T6QWdylpYnssq18xBZdE7zYMwCgcojd
X+yNzNb2ffXmiDPJeZJdZR9l5P5TZX307lNCvlIlVFdkP7VVmH2CvyELIJ3uol33Vi8DSikugJ2y
BhdOlbf6IEPtnZiJ1MvGuXBY7ilzuqx03BsC1aHfvXYhgl9HEFtbNgHTmbLrdUCPU1f7NvDDs2Vx
IAYE/gl/2lK33uqPZuyK/wqV+w8rhu+kRta+p9Lp4NDNnvQIiN7yJRvfiGmMBfhh5pppTZEPUxWy
pTnKqQ7zBqvExY7oe5H3o3Jw+yMvw3ZD/v5WLWt4ztbgX+BWxj8Tg8JT2a9HJHbBdaD8DjU0cVdu
h057mEKUQhp3CK51t36vndaGUCi9lBPqdZipQJjvtNHMQC8Xp/utPZ44Jvp17wXy1Wu8Sz3kLh+o
GtDbQefQs92V/7mjNf9lDhdno2ePdGpvxzBLplRrGDuAqes6a+9tzaWR9MID2pqtC7l6wa3AeoJS
2tDXwXftt2y1+g8Ol4gu91FeA+IlIa0IQewFfns2ARV+dr6BpISJ3NlhsYfTJd622sl2ufXQKdzP
nXiVcib73RlOgwqeotI55UylJyWMUzS0VzLDnAM6TDvVlfHcKWCrzCxfpWnrN18AhDdjjjLcppPQ
yefPMFiah1D1UMFDVadLzw7SZvZIh8vIJADzXL0O2xYlbSm7pFdEUDR2X13E2rrpQhj2hz+qmzNW
L+3ivBSK229con2nGa6mLfpvVjZPcOsd/KD6O3sult4+XA9usJT0PeSX0Db8C44L82I0UsYQxs4u
qraf3qAAGA4YuVsguvfOMRg2N0ESZzSZnUrdcZC7rYLjIlNpXw+Dn1RymBM0+ePrzNHymKM2vOG0
YB9kPABqL65Zk4f34WYicaSbmoJ4ZmiwUyh8ZgqzVQZAWVM/ZKhNzgaajiNENGeKNB8qb7bjnoDF
HFiXYOziaLIvQ6NYr4U0QJ1GGyypBGVBgGFd280Gw1ZR9GoQP3houa1HVPAnZTXHJmKMGSPCEaSa
/9QtHivHydF7tLz1qH4kktXAcEJ2Y3Cyxc5nrgaU7XIt2CZnaz/C7HJT5D2aUZDcdZ0xAVTr/XSr
CM9PwsnWKQMP0pOGi36ENrksdGvgqsaCIEiJSORAQhNvMlhk5XqoMwwK8KRZtk6SL661pR3ZD/Kx
0AWKgraYwlPT0nDUCcvelYMMh9TzFXrjrgfwWss6YJCnH2bCrv87G7eKPXJGJzkBXafKC/9qXdVP
dIRPh8x01D9DRhercp+M2dmOTW1uLPquAEqr1/O6WE+OnHHOUHuT5CqofxHeT3T8pOw85bEXbSyM
Jjv7EhA1W2kJEJtJvHwXvZuOHPfBCNRA5R+jAMfAvndYmtEQXv1ytF+silxb/E24UFzeQ+Ut6eiW
5ApxourRvWQAa2tXLA/iTk8IywP5hMjnd8+A36wSESX8kXPcVhEU4BzRgZBZ9EOT4JPj+S2KeX0u
/O5Px0B2yUqLPOHS8/vfqCzr09gW0XkehP3S6ch8wpl+rXsdXEtBBbCYeXjcBogLTYcn0bN2U+n8
siFbxi7mI4ud2jrp3DzJsHoweuSdwaJE3NXbyv1RMMvcEUyelKnv7JQV+2yNxU0u9mPU2ru69fdZ
iI631OHvfgywbAnS8Zvpa6zCOsaxt4/W/NG8/zmV0QI4TOe6XrrHyl+8343QZGb0ZGxHdRy1sn+t
iubJ8Pge+okeksWfnuqu/7u5PUYcYUNTm2FPKWZW8pQGH56oEb7ZurvSXpSnSJyjM8lzrAwrVF2T
Y5abZ9P8W3lyIMfbnh4L9IJfJRrKnTnK4SVCjBlzRGcc8/avgrACni60IJVr0wC3eNZRc4hDwteU
FCWT3zkpYd3OLdKElIzGZLJjwdjwJ+JlC7STVhb6cZph3YsP37lbWImTAVmWgYPyDYg2zZR3VkDc
aV0z0rYaL31W3n0qWX0aTOZ/wTjpmPllzQLxWdW5laX2hq5I25MzHDlic9BKPSeRVm1MZsn0aXJo
3ZySbi1vVpSXZPKpsYKzNVsiLodpZ4c6DYMyvBhSJ503j8AIHXqvOsiOyt2gcleO5Kkmbgue71wF
eENMw9W/1nwZiXYJvNsi/BaPTTfCL2u7OpSVeTUCFx2F0yIpivhOcspSVtfB5+L01EchzrL6/ui7
06s1uhsgpwcdkPNMeMaa9tJ+DczismIW8BjnUxHOaC0wFhDGbn7Jkl1rdTYUxMvOXYEWJv/XOrnI
bzF4HL1N7rwoQumCnhKIb3xufSKkwqrcjowFR7EBPZeqyHG+kG3sbd3ejHoojHA8mL4uElDht9Ab
HupaWI855lPcZtdJrC+RlDYU8EwVqxAXgId/dx3n4t/pA8yJ3c9qivCMnpsfGMlnX/TuqWKpi1vP
7UgRdl/KesJJ0gTPbaaql00Z5O8tfYPaVQ+HZZPXbIuiePTL5yB0rM+lLUg59je0CCE8wWkaeEiz
IgO29wzkVIjRxb6pg++Jezryi+o0tEb9OFAWcZNOVO8cQz6KsnZes8FAtybldEW2A/yoa3S3qx64
JxoTem+T1pgWXBUnlOHHVZXAZzRG2+cul3THY+dBuu824fO8NfnZ8vnQ1VD8yYPCYqDLuYb9wOTh
4x/wXGtn+56jDGlF7lrwRPMwocXQ5Gp5+pURYPxwoqx+kncV/TJtX1lUAMyTTYDxRZjJ5KDRYrn/
E67ti2fA8jpEBOGK0Ek4hFM8b4UBigJCNAffnjHt9Wpfq3DE0abUc4SPjUP+xreGvruSR4W4+kBg
cZkGKGhjQKr1XRRNmAZ8na1Zo2B3zQoAqSjRnai9t9pYQ0Exy+KXZRif/qRebOYP/l0sGMH0KImc
Hrw8jepNxKPh/TOmfF+FcL6l/0klECx6fla8zmYFwdVt+oJO81fU65a51v9S7rgLw/oQeK1xmAT9
gSZx5uimROKHfFL1hPlR6XvgRJ3tMeAzQnonjoenINgsLnWGyruLi57pxkkUxgcKvWv3qyRonR15
Qf9z95Dq5Txb/bUtx1uzDFKQ1M1SjMOoOdhr+Oiv3qMnTZJ6jfUgI+hebRE/JbnfiV0S76xMW6JQ
+k+xqW1LH51uW7kR54VMLLA+eh1fm557DpH7y+jjpBqn4Lyq5gFZRAoreDG0+2BwBe2E3RCUt0hQ
O3kTgYkjcHZ9ziyqo2X0QJJTmyCpkzvfjg6dKZ7XzENQsUZXnHf7qUKHE4sefsNzs0Pvq1dCm5No
GPfoLtX73C0ofTZ2DzF7T0iB9g6Wv3BlYEVK9Awqvj1U7dInA/qnO592KmdMRhuKlGDEhzosCtS9
trMDCE9FbPHgvo0smQRsFxLvfKd3JHgAVCJeQ2mzI2KMCdCscIjp8ZDJbm/ou6fdXU/2bExJi9mE
Z1mlIb7ZhyYAsxX6Hge1wvNYxcMwLZyMkfq1VkG8GWzftkJDU3onQuTpXBH2dHA2QHfD5Xmxl53T
DBSAlp1OqFpKCt2SrT2Gx9JszPPqIk2R0VbD7cv5T7eRUqYwd16sfnN+LZ0+2LVA+NGsE5L+ZY+S
TIBndcdu9CZGw+hzdMoZl5D/0JL3dzYB+kyPUAQL/DTmE/2tXb2zqCl6JJYQBfJQo0gmxzUxWCw3
u4Pv6v7jor0Z6CXYO/5mHYFFKsv2uqsemiHjs1gxaJnAD5gqUhelNj4geA+W+6oyMXThLhIBi3qD
mOuE6GP7owmPNcvqyxbeu9yikzVn/dHEUpIXnj7IDuyhp8w6cMcLQN0FJcqeycKHd/a4GlQzcavi
qbNgoO0idNOtqYvT4ue0ZhoQU7on8r2KxAsS5m4/rRUdBLKCO8ZPrPPOSiWV11Ph/inJpLWYEWKn
wzuy5szn8Yi7A0HhihjIUN/YDG8BNQYnQKHy5DGfuqr+Y6z52STl4qqsWRMZ1W63tdFBooEOGQK8
m2NjUA9CMZqkzDEJdOtinr3CS608/wxbhAb2PWFDy+o19NGaZs0tD/2raHHClEgVWYiaqDkYYTky
cKHkavRvj+F3VOalMb3b1GhiZ/Nxj73nMnnwpxYrAjBPtfNHGoLXBuu52W13RCXaT3YFgWhYGo0Z
aGUgplO32Wi2i82+zDMFEcJ6s/Oi3nF0Ja4l3mZ7/LZqq90HdgZiam/pHE7ZrpH6PVupo7eqd7+x
m2d3adbUD9CXAiWGh7kLTvPWlm8sdkiATS0x9dfy0Hmau8manko14rgKIfqmA70ECbrWK1MxGht7
jfw3Ly+aZBmc7GLdD7wgJ54zG6IoNcHEws56zR0+0G75jyrkdueWIWPeKNFHBDOSDO7/AncjeRKr
c6ZQxEM4PPBmr14e7UymH5OpcV9nrrMbZLseZ1hNO9j+y3rDORE/wxfiZ6uZBL46ucB3gAqrvxdB
tKTr7OxUAfIrETBBpOAq1sVR5vNZbtgzzJYyCgcVS+pRJA+B4e11AMI5RXASpZbtBWfxCfX6kDDB
WTss69+zypwn00QZK7Z3LBcqHgyY9lLJlk+DZEKyFibMhyItDQ+IPiBQ15w5jDbgbaQpF21YxyX3
PpBh/Ses/hP+WX6NI2oJyO8fteXrIfTbLjWFeQ0t0bL3eGSa5sbz3JrqIu56eXbnd6Ls+fG+jP4V
JQjbWh2wgKe9xXPkcLCdDGxB6aibG6qZZOhy4Kups9ilWHt1ASsfKtuHuCwOnmn9V9GdmwYKldgg
GxgjZh1IMHWtUeE7oORPKA23xM6BjZq6jK2KxAaqYKuEc2A0dm1d4+PtQxU9waDvQ6OMYlvVHz6L
QOLdifWhHlFZR1J8OwOEnY396DfBcbetW+svww6inU2yE4ZCakdSSdxM2s53yRYnWEH+wgRJ5gq6
i7phIdXcBhF1WpDTSr6XWTBe50gERxaj9jRafpT21fIzReuXkMB7puWIbyxdMEESD+bSeqlRYuOY
2n5Hwuoea/lfvXCfVygEv32L9pPU2KCbwmLit0Cuz6IapNLV7oe1MJsiflVPdaDqq92iA8YPgZCk
G5CkUf43m3namkb4W4kp3TSQTebI2K0a7AotkaGqDs91gMoDE1/B46KXOxHKiD2RQrCr5m2PNhzw
ojFZWn15LR0oIliqn7Ust/96L9p+3PzbCLxP0xvqf2PQHhkQn5RfH+bGVwcP1ciIwKJ69tftjdF4
iy3Jc2nXcMOVRKbqLgjfZ/PsOsFXuzWcM/3n4gxrojbOfBM5nTe51iMUM6dB6ajqMZxqtGdr+LMC
wYLlYrqDbJymEpI8xETM0Bc9FKskvgqSh9yELtHTgt8sWrL8KKYivzTQexDFORP5OO+i2am/gKkQ
6U3mvhn4afSBFEdaQz4Dw+iTEvk9IUvWZ57Zt82z0NKYzlFhfOUfA9hXhv8O6XXXPVyhL65mgd6i
s3+rDl8ErU35cR7wNoJtIchcilADyeqcHnb5bE2ewJmVh2ldzXfhEMWrbr89qXLhM45W6MkauG+r
iJER/yCKGDRadTQwMj04jTO/ZNXWXZhtf6tCIRsWJapc33iSvbivgsWIZCrf/FSVOQ+SqcxgF46b
9yFL/hI7U2jRPEpBQ7tsU+ce6dp01dVTWFqKmYgMNlBKlnP2sqj5sbKKexF89LKKmYQ7jA19DcVC
PG6d5CPjhVUAAarCUN6LiDJq5puxT7fWkDuYRx+tnpU/No3B17eY9T5bbUhKrTvyTPsP9I8HZFR7
O3NrBIw6ijcpGKLQF/MtyvlWR8WGhqzBJeM674QvhlOyWcNydXF2IY3EJBZRdH83QYbT0e+Dl8ad
jVQuI4OTLtj+zZ/yHsHjNiSBmVhm2/ULj4hOLWv47MPpuvozhTmIvD7KxXnchEkQaXdytdw5bc5R
FpgeNtmmvo159E+Gi0NXifwYl235nk3oqwiC4moIECy9Df9zdB7LjeNQFP0iVjGHrSIly7bkbG9Y
bbubmQQBRnz9HM5uFjM9blkEH244r/5KlT4aI6umsd2uxuxf3Ux9Kmn8nclWsa9iq+vuqHt7Lfy8
QDKCfta/dRWioIH+y43kJszuwx2smUB8Tega8OBZFua/mbsFgg6hRHc2xweadwyB2nyc1vZQn4ib
uayRo8k/tGa6bKJ2PhGEdMKDaBcIKurXtShdTFy+PQqyL1M1UX1CrN06RY8p4l/Xsljha97REc+w
O97ECqewSo/tWgzJqHvl1vSyN5/iRG2yP4d+IUnrdIk5WLEmG3V0++rPQKyiixCtphL9vDIM2tQW
yUEnaw5K5h+wtWPFyh3XhWvbwvq9BBgWRz4ChnpeVVBN6MFFXXKe1V82nL4kNtFP2CJVHMFJiCR8
78yiRRVEf4Y5PecWhYfaHnf4yPcUQLvNaBY3uACvE6VHDNvgZk7d+yi9cyHlPVizLfsz4knkxRat
yT3ZDRKdoDy9gSLVXbs8+qgz55Nq+HcbrUW2hpV1WfAqdbOQvYCoVFIBq9Nl53P53ZBbvBQhGf6h
Y+UBRlkAJSbNbG5Mc4Pk3FX62mTqDMvhygtpPTgyYw+oBEkvqCjdl5Tekqjs7ipytrNSXAHtYstA
8ZSAXTqmE2XGysme54KRJMQZVaOEYpftI83ggXm1IcTR7nkVNpjWsjpxR9m1qNIJ2DlaCsfE7++W
paEOuN6TM04H8Ey7qLT2GXWUheWDqYGs3xbfPUJNkPQvFuLUvJDHlbm7xWHF3jetS90R7wMDwYX1
j9fML2aXHA3qSHEX5Qo5tlm2ilAd9O7uHnzPtlwCHRv+4r5WBvMtWUb+RGvJn22s+a+M3LrapJ1j
Pk/KDI+DFb4Igg0Ht4M74eIoEAjYDL3ZchTLPf1V70UKUMFugVgkCsBFtqQkH70UE4cLpM52T8nm
sU/rI8YE+5vaL+FTwxnYxlsgQwgvjshXSwH5f+AfkqjZhp2cduPMSzFSDlN1tpCCNS+VkV8XzfUX
V//OUEUTL45xmCjIFShOxNoZNrV6TlRylJXeKDfnL0ddBqH6Usja+01CAmk8SPjiTrSrYZW1C91v
g+bEYmwhOf1ScMDGWn5TWf6mcwHkIX8wYctv+GvBFhpPjVMe/GDGZtRnnbPXLirj0hdvPABMfHl/
qqrhcfbM59Qq7heg9NvQhpnQGCflqmfadRc0O3vj4CttbLu8qMj2bxTjvmj29bgDVIj0Wrzh9yTT
BzZGWVxZrT+Wkz3ooDoqs/CugW07P76uw7ih503o3i0tb1MxXBRY4QQGMk/JD6fQrdw1AXNKhfZ5
nVO7svcB27Z43f9JEex2gdfkhCIW4qsy+lYkRAt7OtCOgFURzsaRHX7lPhjDfS2jH9dH8Z2wSbeB
KFuC87CGvGpMzuOkvW+zH9+MrvgHXsLbCvr6E8X9iNi3CgrxJ+nzHewTtopRdFCUVwdn2UVDcrLN
jpe+i7bF9z1znV3qe0eP+FI/oRh75cnR/qFM5GeQ8E0Y1llZ9QgoXg0nJ5FgqgWpOC+obrrtxI5t
gM9DPu+MULxZSb+fXfGLzL93fOdel5w7kCIpRhkB2Vss0/E4ujRtPA6CT3ilhDtdsCZGW7cPbUgY
uKR4mqRj7AvnZHptB0My3VpJvUo2BfmqOsixtkg4N4EFAQTJeyXfj2ePhdBb3tDk7Q2U1XkBEODQ
k3evFM+mjZZhnGIlYQzCYJb6vRzSE/HTc+7CUx/Xb5tm+rZ5n0prsp7rhrykAmyeNF6+d7PQ3Ncu
F2fpERcg+iBFv8fhFLsKgmBum1xNNLJ5kLlIcelE6DhZIzZtcKqiwUFsC26TzFw0Cre4iGDqfkWF
1gUqaz+vQ/KYV/rUkVYD4b1Ox6oI6p6gPfWubs4wzwnVGKXNjZo60GnMpumdD5xA0mD8Rqn80rRr
NSnkKMx23GQI3y9b13R2OmzEfWfn0wkXk810R8diILWL56SynseestfS6ZPJKPIyME28IXXdlWEK
UqodZ4KEDrg+bCVnyGNbM+OPXawze9nWBZ655A0ysakEm2SbgwggLS4+qoljSmSk6jEFtJGwAaj7
s0LgJmjSj14iPowVRYENkqOTGQ3vc8KbtkpAJPTkTA3jYRKk+ZrhlFHhVg4qrKIFb8zLweqjp4a8
595L2uFnIc5xpz1UPPoQBOL5uRiazLgIxCEtUbEtwgaSndXcLW38GPvF8ucrWDyMKv1VL8GmzudT
kY5HWnnJizlRcSTnCakB4yzIJQOJQygmIUGVBfJv33MwgMjrcN6kvJieR0lnKMVfUTj2xsynf2XN
kwh1h9bdwWtEuhdish54+WA7JF2c15M8dCy27btyWOFOIa64B0DYcl67XP0JZPkiyQkfc8rAsZev
ymi4hiFmbb+0lMTSLSWocGdqMit51T4vqYELQ7AosZ2I4oO3MXhIjyHeOeWGruhPOKL51g+SCESY
nrbw7p5ak8VzDWugD8gwAuNoXA9V0o2l0ezNgUXNlbINJBhcC935zUuliYC3jHovGe4x2/9SM/81
Jru3d7pMo/ssx/P3GGkPLJ9/DbWDFs2Kpzn02VwRlu2pAUrxVgjDZmaY6VPweXUJ+wSHAmXYVwfC
Dv0DjAoGvyV/IrpYk82N+GD4jraPESHajScT9dwk3c5Pxp/Wmg+ZJnlWm7TMWh06+1AFR6vgttrW
GW/4ZbpElHe6xmvuwMxwvYNCkmJAKX5nNdUC+o7P7I8nQLIExqsgxv4aNbR82t4r73o3H1bwD1f6
vGAzH8U9jOmMuD4LZDx0b6uIkyl1j+OcuIfWE/JuUH4Yk4ATORdVZrO0IrhKKXQfrL4de7YvRgov
yona/q0JQgsUPKI/+nG6I/qLhVc7H6lTguiyf6n0VId5NLKLs+R37tKWKM4c/B3Mj1PaSwAaRXSi
oxlHS97v2flCR7iiJ7mizaLh6sikPntpvynExHWuOxciPUCIUhSpq2yXZry8PbeyX2vy3NDIIvnQ
Mjn7WwqzEAWbyD/OtfQfDRYQzTuyTk4MsVOcPFciNogSOYbkydbWpAElu/XunNmK9pZBvzbAIEDs
SKk4hf86ODlLGsQDItbF8ok4JGXflpvKLIZrqNp4cgsHU59aGYmit3UP3pik0SEgUrHDUiQJ7i6s
48T2Ym+xx75OYkN1Qrh+lsC1QRBk19pZpd7GUiZ9FPW4LkznU2UjQt0hpnb4LbGcUQT8Lq3+zkv3
ybU/+eA+lJOIYnqyXQgS1fKE3OvuA+XHXjL+q2Y2eW3LxijjflGf6AYPhJEJItfBL8v7Yrc2cY0c
vuKjsna0D31yWERAdo3ooz9zoK4JU5ZewA/7utqTtcIT8ZOKc80EQ2AnMcxStQUnep0DsB5V+jG2
82MxWHFOJzyy3dvIqXzHlTaWESYIBz1h0p9yKG5W3YEcay2gZ6DAt13PMJBNTJPYOtfUI4vclXdd
QUW5LN/G0DpyET1znj14hncnydyjzxvZPVe9AyWWlGxhfcpYV7HnXcfrhkVFs1eUBy9HguY+DOaM
wQR5y7nny32qTfM3n+o3vkLsr+tMwJcOAazPoAi8xzIRd0NDPGU71dFnuxgkXQnKTe2kY1kiqswh
9nMxq0sVLueimBBcXOdArukxRC3oAWxsrIb3TFNeBs6UTWoGfHJchQBjQ32EbsfhHCLZOA5GJr8e
mHXj4DxGdk9Lzey59ElRtV/atz6oln66Tn2O7Jn7MzEG/MDetqPLKPu72o2MX29KTnBasT+JvTKu
dWdPYf5bHQTzYmlfNYjITdNjssOholXjJGa4UmjMQ0bVdBRsdF0Pd2auA7Iloda1f+/VhDO9qdrO
VrDVoXocGsVgZ2QQMvuWIH4zfRXd+DIsM6GefPlcUhnIXc0Ko+loj+6YQHdrNJWUoemO5rhKtBoH
fWNqqArMqkDXQpBgN1eQ6lrcusRVUex1ZGbMBhIYDY3y2hngGZFr7pM9z+vElIAlJsRDjc4fuRkH
zzL0ByLyCcd895f0Fr9etQRn6ethwzC3rqxjvyxFEjhne7Qp1r3wCpYO6JBR+5vaC0xjoxtP/A61
2+4NiubNJowKl11uVvfSJX70UY5m+q/30/BSdjYqThN48pDmtXq1MsQm3nTHwmDLb6nYMcdaF+AP
mrOgKBz/RY0hk9wc9m/cXK1xA4poiBvD7G5u2pKMUxN/Z/orvRMC8VNzPJkrSnMiyeK7eRVTMV9L
ZsE2xEMNcPfJqzTbORp4EjuIO7VIs9+xTk+R4QFdy6LsbLnauXm2w6V6qb2qOyfK0v+KpOQN1zr5
j1vxH8H564snZ+Jf0pV0KaCVNevrh+BderOghyDq+znwtT4CP/jh571vkt56DKKyR54lowL1Cdws
mv2ySxAUU8ssLx3C7MFNRi4ya4WuSY0HGzLP8n8blTcluSv3gZ/L3i9NcFtsOXIchBEEj6o7pswz
1caSlrdT0t8PDpwAWs/36TJ8Dk3I/5a52X9uNWuKe48qvAh1DhalWwOrsl15m8QB9Q855TEeeGEa
G7838mw3Z57eBX5g+McpoZtdAVl6p6dKX17R38EqaHbUfZc9YRAixID5khntJjX6uAzm6QKbwbhX
ol5uxYwlghDkb4SV08c2UWkCXxANKomStf2haJ1TKOm19+CZTQwkc8C2KzTCJ8MxC4nGSEoYNqdA
ZILOSkUeKiXNf+q6sqV/3jr1UzfQN0CoNblLodrZA+eZDR4Ymh1KIriCwg8x3eQkiHMQZiG13pyt
gOtakUwsH2y9HVSg8ib9wDs69lB/lD6eKi2e/OoL1bMNO20uaWjx8rSHate6OanJMnoSTTueC2vO
rtOEahdG6QgCAbmqm3x6OnP1Y9vVdPB8stHMRNZxmhhteh7Qs+sTXFdl4eNAVkmFzbBWKifOy2SU
P6Ispg9gGlxRm4pmZYq2l3YMjbMp3qsEoKLFe+DktL0GtcEiSfjerOsmAC+qW90s5actipYBkf/Y
9uZ0P4btm2MG0dXHcYMramK7YDA76b5yfEvtozQLvj08Ezi6AdHjEiwUtcXB30/c6+/bsNFPhKyI
IQxVWrzq0vjbBVkykMU3/bfImYwfK5PRp6H5E1k7BB/A54gZpuZlMNSp15pOKnwvSAfq0Mr6ajoU
I3wWXG2GIKjjPku/uHaIfd2GhAdoFMrKugWrgmEY7dUvmuzMr36TkS2bV3k3CCIu4mSGOn7/koLe
Mv8WlL9hV8OpuM2SjzxP2PkttLkNDc97Rd2OwQJBbCDv64PefbFwzfe1atuTKZ1/ZlJ/BEH+AFHV
OzUpltNmnIMvZxj81dZRJz1PuYJ9EMz7AsUEIbXAF1u9M1L8+wpiCQJd91zaA7OSSj8SuFgbcAR7
oD3JLgr1n8Bng3bPzZ7Lgz/D42FukNWfwHWfRYJzXCvU0cb5UDRtd31THzuhP80CTReETXmr+JZd
RpuLbtqDIGCZ0ymV8puCd34y+pY0WmZerGAkpT49O3UnN9XCGUlN1diYrbGHzkaUblx2g+CkMEYO
/FyuPbIwuoYowwMstr3gs9ig1xGYCaJDRbGWFabkrBwkAKuJglPayLOQEYy7NYKq3Fuek//vJd/u
zrIf6ok0oGFY5ZlaVBxU9pmIyo445XPWtVQ/vGvK5zYIjCtydi9tyqXU7P07ar1s6Z6QBs2Bh7hD
x/A2GFnRcWrJgOF9/Q+g+Olb03gzbXkDc/Xc+j2bB9t+7B4Lr/X39Dj2EjbcD4mV6kNzN+pOzgjJ
5Ijg6k3bqg9DUtHO+LqYGVF9D1k9oh6xdYZ2RnsO3XcDqJjmxGgw1hpbUc914cS2LVgvQblRzDBW
gjGepP8aKH1HBm1veeJutvsTL6ORz7Z4wwADuSvdDzHwlc5Kme2ynJKhlPW9aYvpCYt6eK3S/pQy
Kt53DSVESz1MtQubCOOA3GNJpL/6UET3fILDdA6X4UNhDnF7aKncdOqtG+z+KWOb9y5S9j0t0ZGs
7gCJqmBjvUus+ru0y4WXAddAp7MJXdW/lmsceOrfqR3bW7t0r9Di4SjBad0N3C6hhpA1a+nQ9qX7
NprmK4nOWw4eYRf5HAp0cshywkweHb+DSRQwoSQHrnBHY+FxNjXHtMo9QJcrdHM8eCQgVqxLH/6r
EI9mTJdHnWFXp5Ti/5iajr9TCf0hKvOr84MlrsiU/TOIUGKfFY9zb9C+XIyBuJN7sczqi7LvNzwO
5wgyZOR6bu3LHjYclI+DJ5qclovRHGj+HFjZekYY7nZuV1LCozmCWL3k+9qDSlYR1OP8qPcLoOhR
gsRsyeKnU/meQ+eqrRBOVYZoVIfGq1PT2uDEWR6xCbZiboBDy8BGFoBNeKLiEu3lUrzodoBWZ9dT
PEdeXMna2mrVIMtBpvSQWLau2z414WIeW+6VbpA/TgOyhWGH8iqj8S3sw8ch96nmQg/ESNDHKtB3
IYjTfUTvcdyyGWQ6rSbgkVoz+nQu3DgKxyeZ1e9BY7RURqbV0sJzRjJBzWsGokVL5LwPE5SORjb6
LePlvU8o0wNhTgGVOQIAbtvZb2Viq1MDc44TmU2TbU5fISorLvOtpqSZap09RY2nj1nrVn8Y64AN
wEQ7MfvjCKq0e1QA1SPq7Lyd26SjLWO3VL3AznTze5mE8t2fyIY7tkdU3hjp/6uFKk8Y3js+o79i
DfFOjaSLBLkzSHNs8Vz5iksCnWfoPqCrDNugRKroSnUiGPzOStRHxJYfJGwKBrQJAaAI0P07f8rf
HTFXb0uHCT4J43eqyHwR/T1LQHTouMR5lix8DHMD+5RsX40GDfatwSgnHLsE411iJs8uRzpzJSSx
Nj0ShNr2mddc+oX8NxnhDAMrLIFYOcR8k12xJo9curzkH3DwfAsV1P7nFz1MhOEh9YbwR3D/2ie+
Rwsbd0I+QRhFeF8Z96KwqV1U2Ld1Lo91S1XImumk5RVOJbugl2UrnDH48DqYonYnWFEchO1fepiw
E/LMzZJz79Sozol/Vrqfj1YpGgJKFKxpbosV1Ne5w43LDwd7OuMlEVf6TCqP1Hqg72lmLkyDrvli
MzFMjOe4UlmmAz4m04M/scgTr/FdbVMwLSb/fcip5i9ea19Q6suOe4cyN/0k7q2WP5Pjn6uzmSbg
swxbDpDhupjtUeneRjlOWEjBg9GmcRmhh6eNioFOZXclqAKqd6exNs+5n/KH2osViwCwCaW9GTcJ
d3ei/xkWAZ1VvznlZfrSm2veX4dXvoZXb2ZuXSSYKh3tPKsGICUeq3Z8W1msexh7HBOaaKCyCe7x
M58rDx8y90iOCBsDcCwceRjrUm1J173DrqmQXmTcUww7uLl1G1wmojz3y0eT7/KX7JPgO50c+Ttq
4qeALg9pMn86NpFHwB0X/OziHLU5ZDJTuzvDsvwLaGv4nPhSpEUPi0VgSNHYoO97ydfXAWgQ9Ccm
tjkp6KNCWncJEH4SdxIntK9TbssI7Phyy6osQAY1GaobIGeWdg79Ou/4Fi+jVkx/GO/2niU/nZCF
GxYMOaCUpyI0r/y8zBQoR7D1wm1Yo5vnklV5rRuiCpenJJuCjxEn3i4IuecSeHPPkBbDrLgmMurf
olHR8i2IUuzQecoN+At65wAOH1yfa0A0eMeJRRhmPf7lkPs7AhO1bP81G4nwqRKuU10CMfKmPYy9
8ABJ68EVPd6onX5LFlWFgR5pJ5S7wjIO/dz/5ehL8TWqn1kSuMNd25VjDrMQYXYHlNw4MHbZJ2EX
64fKioGwt4n8G4Vg3yTtbBf9cRNRKA6m4N3TU3rVgu0evJ607q39nOXBrluWB28hcVF46rdLyHg0
5kuWs5Z77AoW2NfwW7rWREGV3BiBQOh3j+0NH5ERvkdU4DYt8JqTWctmM1G9vZTVjCWFEi5J/eDR
ieQ7VdQ/TGKHmmUGrEggaZPiTLcen3Qjh3NbUIAmW03ljiS+7gLSX13lEZsIT8JtKQcuUGb0DK7L
7JADfeKxQyruRDk/NIM/PHip2lkVOxgNa6zvsARpU1l0SnrvJQzZGoPkHmeC8jsYvtp86GfvwZfN
L69MOFNlcjMkFZA2se+FI7qYBDDGD0F587WQy/hcB0R8uhY8RyXGo14JQlDdtoHM64/BJXWQNQhz
OVlGhw0WFFfB4mZmer/kyQnqJYxZeHi5ZGMI+3Ac8I4USch52eTsGD4gVIVV/8K3C4UhGqr9ykDj
gcEpAqAx7OYVFTawHZ5sw98iyE4LyhzYj8E7+EV1tWa3fZ4NxNA+s2FMpT+sXtzJSLxNi3+fZ8L6
cCPvaQmnC6g/gI19+mB5rLdplHXPvhC8sKlrHtGrym2Kg/2U+vaDEfWYqvI+CKvvOcnf3dLFb58c
MpXzu0qY0PoG8acaIuuNeua59DBz4Ki8hpXyDu6gHsDjX+ZAjPfMoPTH8wcWRTxVY3ozpuLdhiqu
bGwbN8luZjvfpQa9fEEezg7Z+MqoFWn1LRb9nK6Ur3CCINuEzoOt3exGsoMJu8ODK/LhO69Xfrgr
vAePUPrJSwK9qxY6jGxMnYBrDEcr6AbgrHwnWit6rcqW3+B0FaT/bc+5J0TwOXKbOAJkRBiFQr1p
YH8E7BYnW8HjNrVES02kVenGDFQlXRjLAdARPHelfAm482/SKAV6DiGQdL25bxIW0lIDYMAwXb7f
CQtqUI7m7TQFuOTwSNeQTFX+iwzt4SiBz0m8q/bBWrLI7py3ifHNypU/KNYpPSsZXRU12804yjFO
1KDSIz1+wrY5EIR3JALMpgixwlLH0vV/Wjv5hht/UBzch8p376nvqZ2C108FNpA8Zd5zR7RFmcOb
SOZTkrTliw7YV+HTeTzzcvs3hBNqAfVIyuJp9hrmqKcL4V/aufbGEBXfMKO5iclhNvEkOWaTl1Oa
d6+z75Vx7mOOJL1CqwdJtTHtMOZiSwTDY3lFHpQ/xPhemBditK/8Dsx//sAlS19FHo5rlVq/hnXN
nci1+KuuSZX2U05IzWNjTEfLQrzjVGCfzWJHLP5U5ex96DYAAyUlegNln+Le8ayOu5AvOH8W7SYf
We3u8znRP6yfZCgbBhN1kzexA7Lp6BPpxhUj24sHvW/DuT9TFiclUwa6gHZtQDGCIzfYfIXNAdOl
pJK6UCdXLStXlhlOfIXCBIWp3LNOWMV2xa4Oj3aZTOw7V1XOQ01t9IBKfet824zLAu/eLwwcNaFI
eHnFZ6Ys1OJyHWDhJm4ovYznOhnkwV9rSLPKclI5gxGczcUA7tOZj2VjssFmdEALjeqOdNe4g7r/
ahvlO7FA3l06CaCmjFB0cd6SwX2GAJjdxGCW0C+jwXgcIRf/AJJiKQeR+z5qn9qhvQBl/KCQdint
Xm2tZVX5mpObFDkhEkKBsde5EDmbogAjwMWbJ77OX3Ew4bj4xZ1o5JdByYmsfDFu83Ek4shGN5Rp
EiE5CMiUn41NS6QhbCoHUT98BKvezGaE2mmjBRRiT/+8sZqfrPDcNz/L5ntDWXEN7eqiUcXO1poP
G+DsQ7cvtyDCJriFxHyyjmcwxEHnjyARogoJJZDDo/fnl8mY7U0orPdgsY4RdZLYjSiuWeBg7iaL
kkxa4PaRySn3ZjI/z5X1USFKHLqORM/ctiwwM8qexdSzKy9Zb6Vnq+5jpNAY7e9P3eUsrWI7imii
Xxtgc10U4SHjO8pyKPvk+KL/mlNwjk4dbGv8BOoIFFc7u7s1vHhIuBEwqlAyWL0SRsOPz366WDXU
kAJrPNke27XzsfHjvCHeHFaMixBf6QakCRvB8UgW0xy3w8Tk7bY0dgb4fYq+rhmdbAOBy3GCVVRw
knrXsZ+D1lf5N8ox9FWnxZ4B4S6jlP7suUY+HJwlzcNYmIm7bJKh2XWdE2wbvdzcNrlkU1a9VK5x
aqUX2yy0gpW11XMqb35hgud0RsK6RKJCbM5qt4Yb9kNk9rusxoqFJJGbn1LrMbaE8dxxCB+sqCUI
7BLsR/EV42n43/mcx/JxrHAsNpZnZ5deyLeJG4G3HRMdvgZNuocsEH6ryoWvV/4LSRlv8STj1tXt
r9/JjtdzOd9ldun8m/rp11BAt6nMLezzUkG4tfuFyk0aDncJkakr5ucPVKKRGJpVxa0safVlfeuy
XKMvLOIEqos+h8hpzokZ+B9NBs82nHjrjKA9DpgXbPJwBvcr6AgFbOgTbKfWjd59f+yfhWWNt0F5
hbWxp3l+bCokd/bAVXeSJWN3iArhowpbvcdRb44Gt0JC8vNdmbMRKG64RlPB7PKnfrCa2A58Co++
3YQhxISmek998VVM9rCz1JL99Ezkf9vEafadyJCScggceFXGNRlS+3dpzbvSHXmLI/qLe/a9u3HH
G+XFj3LzMQeeA+abyebSmWPzdx7n6r4ekJ+Zd7N/VjvTPEns2sPilvmJcAGrOtg3ESXtg1SJ+Rh0
jToYA1vUCCcCsgTQWr+kKjFwLhVtwXVLCkLusk863g7pIPHoJ4A3jdTfVWv+Giz2PTkJ/etJRfQ8
hf5yC2sfTKxZmJeyP0yyQkx0QoLOPCQsLOsJE2Z62GVjWVAx1bDK9bpDgezq3iDnNm/8oEofhjKl
BCBmD9OBk2+Mo1RPV/L709FUFdfrhLodw8xkHQHjeooPj47zHeFHzAFii691SleF+yYwtMYlw9W9
11zzyKsPM2dYMTFEZFCNSHyTJZMUlBPCAOjt8j6tB03VzJruw3H4w79A5pq1X22Egbt4BrgyV/l3
g6a0gqErGYB80WrnpeGIOLq8C1xAG34xHZPJLXPe8vxG921RRW8Nw3VrGf5XIzyHO2Vh7wxpEOUF
b+O4PTGFgeq+MZn5bYDIsuuIRNOq5vu08Vt9zdYIUdfrXbLIf64Nj9zu6vvU+k0cmd5y071wL2r2
fcBP74sPeuTnKJhexwDd2Uzr97RiZ68bDm99PTJ5LHwGcJioUPbss2pyIM+BtKjtN8nDkqdnxydB
QBosPaLZQx1nA1Ofko60zfIJT8+IFTWWWaZEOSb9x6IN2o3OO0/GnbU2LGGDpBfygtO1oHQBGUjf
F0u9AqUYEuqOzI/h01VYKOcCXmfIw5t61J1B1aPvrAgmOnzXbcIr78hYodk2CUoJ9hsrXX1Odwtz
u8x6LnW1JsebsycMsRPNt6vpOXqHisLYTNIqtjPXph0IImICAHHwidWD/ZwwTFziGH1t8kBx9QG3
EWbHCK9nShfeufl0pOxZPMy1S/fGFkwGbCKyTarXPtSRPqtPcBl2oQhPWLmKNg5hoITFGaHoezp3
mToUXod3XCHTSIF53wTtL9c/3n3VcE9T4uIHs3gJ3PQ0+2udhnwdwZ9kEygeEdZO7ODvFCBXogel
3K/GjWy2uKki1n3rsAx5bk6sLpy3TGzWtmqdZdn4CBSbYpluESOLVq65HUvO9wKIWFyU9iMCpILO
7WQUk7LvoJ9/Kg+ble7wM+ddt7dc78MsQMd7oGC3vhOdeyZpUevyZmmtTqlVqye3zb37ohLhURV+
9lyzoY6yjn8rslScyUXSFGjT77ALnwLpnNxpepEGw1OaD9y8Op1fUpO7ycBZAE67f6tholCfDJbd
Gh6b2vbDYt8HcxRre+b8SAMu2nd4GTvYCEeLsKEmA21Yw7wnsMObpsCWVTRIhiaNTSsN6CASABlX
VapKHxflJY/1LAlf1vZLOKCQTlO+QpbEMaUEM+ftdAggxfxYQR1+2hj/qNrydZhcsCjrbQsl3XgQ
XV3fWNNO2rgnySCKYwhT4pjgbXhLgCuqyM4J/7TY6xBYTD+1W+QREWv2mJfVgMCOxljqgTPRDj6W
UStoTAbHIM1se/gJ3IjQgIt9XIXN/Tx71ZOHv7hW6jXzeOZaguI+B6xSrMvpyGHkimwCSmt1sLL8
79RmTxR6XX5+XsEq4CPRGf3ntmqel8xxTkVmj8zk5BcprfVsLKsfFtrfdQKaOGyz9KhQ2gDuIk6k
oetdMpEnQBHI0jas0biaPs3xgQbgEx4wHfO6yHYm3bkTwbINaoYHK3785Q3nxUHjPmd0E1HK8+lj
nLtdN8LstwpriPsypCTVZY4H7WdSj0L3UfYJ07p9WnRvXNoKqks5dXHoAqooAcZcF5tmXDSkLZ0Z
UMl9FhGj4kZx6k25un2hK8N9z94VsnYEfd2Dbxid84QfGf5xvXB5co3QuuP5Estrwcv5EIolw4b3
g18sB3lxRsb9miYwxAFV3CjA4jM4DUuaxH+kndlu5EiWpl+lUddDjHEnG9Nz4QvdXfvikkK6IWIT
933n08/HbEyXRDmciMwCCgVkRsVxM5odMzvnX2q4HV3FaQMMeNCNACUAq0b7sUPkoeQ1jtxfUXr1
BfTsCAi4rhSTLybUEN2UcJklj12KyOoPqAV21HhzMYzrogKK2eoqpcChGXfI+794eikdkioOtkEQ
3o5oKl4E1JApyWRrVe/0WyPJKUIg+ArCljMYF+PfaWL+lj35GAcdmlj20BjcJzxEOQ1AHdT4/Y06
ATtbrYqGtd/WMSxeq91IFgJSLkZ7ydjBxcqC1zLyI7CcuC97NDdCz/0N4WkdsMDfEoCNOyEVdEbc
gbq3AsQP1QyEW0dr7VZ4Kam6eqnm3NRBiGHeCoZ5ZST406QwtZ9xdSyOpm+8w4Xh5Vf4XDgNGG6B
PsSPqm8HXHQy/6DG2k9ADG9c4wpKhDVifCg24DqG6nmdgOoysSr9rcAgx9A21eunEDb50casghdi
gP5s4fcQduXwKY1Qo45zaApTjw/ZbtC8UvkOZ6FENHEwoFHJef/oeuAE1rrsAiPhSv4gGCe0ohqS
lmdY9ZoMWfMSiR6Q60KfaYL34FqNi1NRyig5qSCu2iE88Ke2SJAaP7Uqbdcy0vyU02gojHwfY3hD
wNQ8BGFLe1xAmoQYRg/LrVAlBEOMyI/vtdeaJsW/OAE45hsD6Qso3nSlLHvv5b1FC7iHXKLBtb6W
g1x78SyWIHB0031S3Gw42q0m3YNWDBHp7XDltnuI/jb2IPeoKctXg6C6qEIGLDdxUfLkm3QCruLa
BytUHIXwjKekxJBzNWkfVBtLi9pjUOhIb1IJdLhblkihIRRdrSub6+GmG9qKiixExlFiZQldKR28
nir4Qyat/MQObXsVdrb2Y6j4h9xsbEg7sJauIFmgNZOV/gX4K3U/AlOiKihBIUl9Wqk1+EvViQpN
fevw0MGSSbMPei2uXORywgiJS5BUN16rogdmGzUF1hGSLzzVHApa8pS0yXUmd0fUap41FXdKbQjv
kOY5trZmO37kawCpprZc2DT53WABjzIAaqxyC5UgqKO7TrVdrEnSAZCXte27Ck3WihWlhPYOSIw5
Qd9wUyPnvhiRgkXgVNWH4BVfSToCv0pEowgOozs8CSS/trSYMmQkenp0Mai/tWooPtqr1iboEaeM
Aat1UEHj8L4xTQRAykbRXjMvRI47p4MZsQgu4c4UvItMGsgVrGU6mnZwLYwwenZZUBfumPf5Kgc0
ORVqrCcUwuTLgsN1q/dJk/Kzev1o+OXPIFYpNXseVW83NI8o5x01k62G0yxUgNKNd5ai7ai2Sqtc
C7h8BBgfPdld/SIZ6OhQVVb0ay8YrUs38iErIdQ59ZxvtAAWtRxDuNJlCt4d7guXctA1Kw3nt7cm
zV56Q+rvy0rlwphlafCjy+ruOrd0GkJ4RzVISuTxd6VXpW00sZbjvgAV5ftRjko5z3HkSxCbQXEv
j38jR9lc1G7Bw1ghB+BpUIC8yAW23nprbHW0zQGoUASrIC1MdTQcJ8PmxkxRudQiT9/3CVCzLI4Q
EKrAAkrujWJSxIwCDfyjQc+1da8qeqX7OIOnvSoHz0XmPUrTa6PCGIJalv1O2wZkIeyQvaIjQgR4
ELcJJa0OumSPgBdjaMclze02b34kZrcfPekytLObsApHnAy84FgjUWZvonIS30S9Mtx0FhLrRoZp
aodWRlvIkJZlOX6WfUgAXhlqV6BzQA7rU8NWtFnObnFf1QhcoNJQR4Gqr6AqjhHHdUy3O8yNfA88
15+6gyBnJgcJ2ssYMeFNYE4AiFC7rFRqA1hIjY9ocEg73NVB52X0Cy8MXVJ+9XGgoz9SyVAvxmaQ
9iqmDDsI0eLRUIvu0czh7Vq6B9MJbcBHXvHum8sr6BXoGLdQtW+PsCu5MKltjUgyL2J/YtCMFJV3
ZsMO3zChvNYgE/AKzC44Ao7yoAGoDNCDR9Lv1suS+DY3BR6tYayu6EqzqYKdjZDRwbVHOE9TG14e
NeqXg8fJ3He3HhRxbvcy971WQ5cakImMcCodjpQqCIZVLgXlsN23k8snu4xH85ii5Rv6Wb/CBud+
wgohThFfFFU5ILeaXtKvn4qFvIvigMIlHlO++k7Te2s2vu+MSVSDuW4aHjFK+Fb65nsrhVujip4k
l247yuIXPmcIfOdnbov0B+i4HmpOlx0gv1+Kht5FqcC6U0GxoAp7qbZiLTRS3SoaDbEu8+TSQ+ND
dBQDfR9r8Dx9y+jxbc2kObraJHZAFWAbly4F9zTC9bJG1UC4GYWbamMqfwnseddRY4xbtQZBMxY8
Z6F2+ZdS1JYYCBjXuYYucEZN4ApG4i+lsxJ+Rn2IrEHiu+TKrTuBE2wPhTHuiFccB7AtQUnSBhP8
Kbm4a9J8i1IfC8ormPAgP3ZNr12ESQ4abWiOosektFJhsTRlAo5D846aZb0nnbmBr/6Etk7qIHSx
HUq5RwYsvSxlX3X8BJBKilrVqF66uGStzdbrbrlORhd2ZX+zaxwu3CDwbrB4QpTIQo1YDlqk1RI4
2TreHbtSs8fB6ajk/Waq3kDvUmgtR+hk3EwUPwDTSvv9yRxY2mAYSbnNXmqU26LrBx4b6YHSu4IS
yqisOCBlOkftzyD3+iu5B8kPQvPFysdfii3iW9kMrYukChO6FN7Q3zZau0HiOloJy91aJhKglJx4
b9TGY6OmEG8zPFj8dKyebFO7lTuJtl/caKiEtQMdsrWnoa3aDIYDXbC68037sS2F77Q1a7uHzxLW
2aSLbnn1d4jl3iErDA2iBWqIuVbZ94gxIvsXCvliGNnxORJJq1qmbJ5GCqRWWbrIPYtyrVKgHx1Q
l/YUN35WrC7YRTo6xFGFHy+SEUhhAI+gbdF6GxuQbACATwcCLnXXLVCdtVrRYjHTXr0bdaSI6jJv
qPJQVrf6Mr7UE1RZMkQU7Gg0UaRS3zIqfGhI2ofIja+Durxyszq7y5Ef8QC87DTeBDiMZw41gxwG
OncS3aS9BdINKf+YFs+jUXVUXfNJGKl11RvhoTIgicRe26FiPnsYnR8DqU6dsgi0O5I777UI+gVe
jHlkS6uwblXH5jdRNICWt2fI24r64hrFHRD4XEoVYOO3ZjjkO2Sv0DqPzHsAzCWlG/1GBPHgiDYA
I5GP4XsdZD+jEkVRNOzgHvrpqwbhqi9BjtRo6KzDsnm1q+iGY/USxCxnFSIyiqDSUCbo0UQJTMqs
iYd1mFDoQIq6e9XkWH0aFSNwxtJUDwNv858yYtyrXg2NX1kFf9U2jQtFQXdBTJOQS6tBLuyV2dTw
tdBi31KThKKqZALoEUWuxqXoyiPh3siVCCpFHIBzk/pHX7fjrd/GITXTOvjGLjmCowVHYMPx4Y24
kmrAtpFk+88iU/ZS2sqYp/JbLpBC6/boHXCphV/XgkXipnSfZP43M/ZvzbG+UWiybJTMvmuVvBlW
MeWky1GKfmhFcqg5IsHIAUN+Eml9nZJ4wpVw7UefGtFWKTGQ1dVRctC7wQPGLR5qCnJ3qQqdTctQ
pQ1wjMo7ntZaSpWil61faNQ9getNsLgauaer3D7TEhuX3EdCuL4fZPVbiDDWKGvshCb0sdUaoPQa
xitKUIirj+C4uR+hdANZN8qN7yW2x7yQ5ckHtxug42ZyQnE6ajmetHYvTeWgUr9WVJWyrdI/xQ0O
Q0bx1ha0Dz3UYQGcIDASROWjq7FzzeIJdVcakwbGEDEgLD2nrzLa2A+nsB7RtZgOdnQELPVn5ZrF
c1PW3CxswHQF7TM0AFHXdLHl4960yjH2TuhVXU234GDM8gndfM+t059U4nYJOn5Z2z4admUecMHN
oY16kEpSE3V5LTevyGTvssjB+/m0wVFJpjge8AJzs+C3JUgdkSSgVris51C9rJV4km7FipPMQXMg
foYlO9xaurjzQy27x8fwVQqpNJGEH3AruklL8RP4UQ4pSpI3aqUfI6Dqt5FU+ZgqqBKo6TYdtlKE
ezhUOVAQXXENr6zf4IMRHvROFCvPNG/RKWboMEO2qjcB+7wouarqAbsFZNsj4OX9BjHLW7rY7jbT
Wx2JVKu8HzTQtBUw/6tQGNKtiAtkovsKZF82TCCng9IrU4sJI1zc2NB7IJfIZHYjDTdtm1bHqh+0
FXacD/RVeEyCQlae6phD2+9q/Aly9aqYGD4J79JQ5SUCksLQf/L0rrZ6GV9bioyXlV7TjpfuAhh6
DlcNTtnqh2ebGBkKag1T3rpCaZ8qShI+84d3BtQLJ+XZfxWYbXyrBAHrU+LS8pC1WvigACXe4DJM
CzZ/tbBP64TJ5oOSsBGV7uFq0CgHr4qavQI5dF2X2i+1sOs1FwbBVMVXwDde+sx4rizVWJP4yT90
Np+RLHJBV/TVugAvukGpcfgp/DxFBxILIGDS65pfdolh5LvSU+RbR6ZafKsr4/tgFu0hL03aoHho
btPewNMgKWD81/oh7PRXGdVgytQ23CBcvpEEC64HWPs+58g2mAgWJf4zUjiaOJ2Fj3Iso4OUUMRN
sKyjfziY1UqWsmesBB7NCutQjAHlF5qqrxo9hHVSZCD2ZSO8tsrcgE3P9451Ff13kBdrgUXGTjet
g2UhedRHGrr3Y1Irb5B5IYC1CnCvvkbBLQ7HXy7X91Dj/xVw0/Vc2KI9hke71BDFo1vW7zLPtRb7
E5iYBoyGpnlHO+93L1c8NaJR5JsBZUOuR6ZUb/o0fihV6TfGQtldF1FfMsA6sQQjICUhonHFoeya
S/b0ukW+du9bQe5gs6Y/Rl1VOGjt8TQ3eOkLJNbHsWyDNfhz/aF24+BxwEFgJyWe9mTTvCVZRRJW
aFOvubUgQKI3falj8F2hbLCu00y70IW9bYcU/AxCrvcS3oXXPoYDExVV2jcizy/hinLvTZOSVsXQ
G4/cIt8gItH5kYOG41CEADiop07Vc0nj4mEBMK+lrpP54ikoaHmMd1pV+b8LtNAPg4b2c21YK6gd
R0nBhCwqy0uwkL+zAgpsqCUahfh+5P2a64+dkhoOxToN9bQw3Ga9d6Wl6kUqNUe7r2/SMM+2Q0uZ
w6x1h3CMCvctGkNwC3z9mWqmem9TSrLXIjHoisaD3l8Y7lhvtVALd77Rp/tIgo0v9+qvAfK5A/YR
G6HSz7dUITMu4NktyKrbVKrFrbDoswc4lRmpr1xGTaW+okofTrkjRb8OVbgYRPTY6DZeOFWP+7ee
38EH7n7pHr6+vinzRtYyc9eXvU8jie19o+ESgxwYi9MZrOanp7UPiYTKBFRoSnAhPA4ZPy03RVav
ya1rdjJiS9aw1TyLV7jX4gwax0NjwXjKmv2//uN//9//87P/T+93dpfFk+3Df6RNcpcFaV3917/0
f/1H/t//9PDrv/5laoalqLJsQz3ShCmEbPLvf35/CFKPPyz/L/7CUK6lMYdCu5W+SVAXotXfiKBz
RdJlU9ZVxf4cQTVhnMdIE2/xRK3sa+sHd+s/j8D7XMiaAlNZEbMIchQFZpEouSOJjUrvXmzN578T
QUNvFGIdCPXZLFHIakdZEigYU6DiVsTH2pyPMP0N8++g2LowDGEqhmlN3+nDdwgKzn4uW+62wcmJ
DASIloZYWEZb/+18JNk4EUoTyG+ZiqpruiF/DoWES683IKMckAtb1Ac2+SF3+n2+1e+Bkq4QHd50
L+bC+E5F5duYqmmZttBYaZ+j0k4QWVmPDUKb8F36sDjWpoo3qzxs4xoe2CCXCHzl5gq8S3KbpIgo
J/a9bpt32HquBgHgFc/kVUNx8/r8hHzdAqpgG2gCFLNsApj4/MtyWJMBmaZxaBzStFm3hnCC8Hg+
yNdJh49EBO7keGPZ813gqR4CKWbTOLyfmhs0k+ob/fV8iK9LiBAmvCtTWLYCfvnzOPQqjq1SiMax
JWgeyDWFPL7uRHmwXv5RIFt8DtTRqKLP3DUOTfXI9ojliJcM452lL2PxF33eFJ9GZM/XjFEOAajl
lrfvFTCkFt5h8qZY+j0lmtfUf297cXt+aEsRlc9DyzupaCSpbRyQtMNzOG4i/UfHfXyPZtj5SKdW
HZpEirAA9xvqfNXFaGNkdc2CqN2alj5E5fRdNa7OB5k++WwCZWEgPmnYGmwfY7a0S8kTCk/2xknK
B2qJiLl4qIjo1OBX+rt7cz6YPH2Or9HIKpzrYHnmWzzOu1KHx8/Df43S5ybduAfc5HeZ4zmSsxBr
WmPzWDJkPMUAciir2mxkXQMWiu5042ChZ37jKYdmnGgpFV9AcByxTXKDPz7HVPIl+V9lSjVLVT8v
jTFBfkEJ4PtRpAfuXojrWuhQFrhs/To/uBMb+VMk7XMkOcxs1StxQjUnkRzEpZ5AW67s5yJbSMqn
AuHWgMGQTRPfnCclhN0aIPmcBNA09pECQ2jTvgyFf1UsjEie9s3scymWIazpzNG4A0y/5MPxJg+i
NYpsQNjuexnBTIP9gJ/gnQo2C3XJJxsiNEonYuGTfV3+mmyYps4isW2uBrNFUmgUNCW7j50WNyfR
HXlNT31JZGKjaw3mTVw7NeT4hahfd7aG5ptlmULlxPtyHVEsM6+rjKiGuO+eEvtafzq/Pk4FULgp
THcFwZ1nPpkoR6juNKzQ+AE5iMoiotH4Ap+P8nVxaFS4aNdago1m27P1jq+qbeUaUUaaGyhcbHis
1yDGFmbra8YljK3ohs63Yh/PBmO5WcovmMLk1+LZwMC0p5qBn8MPCm/nR/T1DP4cavopHxah6ncQ
lMHCOSmA6m5fWbv6gYLf+SDyNC+fl7rGAW9NaZCES9f+cxRAPdCzBUu93AA52cgr7y3dc3nZKZto
E++ky/PxTg3KYAJtDpIpa8zOSAvUZ57DMXS80qmPCiZU2HUdzseQv2ZbTTE022bR2Yxonii80hot
zWfmCoxdVr1yld8l8pUY75o7xXfyeiEvfd23vEm5lHFwcUCyeT9P4TAoOhYvjAm6+LpILgya0ZqB
9blCqorNh25qLqBIfX6UJ6ICESYZGhbeiUC3P0d1ew8eqsog5QTjSaDOfzFstV1gVEcZ3bOkTx4o
RP/5SQYzS5MplCmKoXy5+dt+3CB6z3rBZ868bLtfBXC5W17PuvvLekFL4M9HyVdUp21t2F8+JX6e
k30Vo1R21kW1Mw6dg4XJLlzYa19zlC5bmszVhtuoxbx+nswaulLZjYTRjafuDWdOd2HdnwqA+Jpl
kWRVqM2z9MRZnJdYofAky8Lrsk2dwkN/E82H89P1NT2xpabfb8myZXx5LOllwAEfckTSnkIcdPjh
Wd9DuhdXg7WwEKa88DFvcA7bAt6cJtuCZ408O/U7Q0o72qUMCE2H7rlpt0h2dtpPcfyzEc3jTBP7
IQviOw9CQzSx44KXTRDtLeDjUvq+hmYB6hbu+P58wKWBTRnsQ0DRtVjJmARUfWs1Apt3JAXmk+mv
gYFHGymD53o+4vyj/fcQp4u1pZNCtNnia92+7kkhnPu9g+6ePhXML8LvExJYWwg1T7+zUPosaQyQ
bsIM2gsoIMKkcLzhj6GYFbXVBt1ZaeF0OT2X/zMyfZbtJ20yM457iimjvMnUUlpnuagOYZYcKH4q
gCxxClnYAtPC+7ow/x1T+fz9GtJiqaE7D3tFpuLs33LE/cNZnG1mOfLNAVqxhRyFSt61jANNht6B
/9tRzw3dhVn8ay+dG9I05A9L0kbL2hwLnH/kwLvOTYHSoMjgH9Ilo9qKITZ67lEkdmkoA3TPH0ZN
TCIK1a/RRiWn6Ivv5xfs0iqa7UmctBCPCPmsXouIa60+4H18RBrsAbbp6z8LNduNYFlHCQi3u9XB
J1YSgrU2RsCAge5zfanos7AP53c7FFV0yYK57tCt4l247dFi6yrIlZibNvWjH1RP5we3FHD69x+/
K1ZPbh2CDbY0d603ABXS+GYs+wlvQ0cXEgIOnD6tkX8WdpZvFKzfPI8eKxcwz9zUdxbt5vbJlNAj
W9goX97Ys3xjzPIN+KgYvxkP2+NVu0EFcDVe6tvBwV9lb2zPj+pUruHM4yqEKCAv3lmuCVsf8nVD
V03vs43R4NSTRtc1cDaa4BhImgu1ii9vxGloH+PN8kyfdIBhQcM4tAQ1vHlaaLcIc0Nac1F6WNNe
f+OV81qZ+Q4LuXU1Vrd9rwYLM6xMe22eGziCVTzfNF2z5odHKrzUT2IjcyLrxn2nQt89YSptAuX0
HqQX23eG5l42j90TbONJsyAHw3Gf0KyR6l/KzwydtIMHrSXFXF5NnfOf5K9r09cfp5oa6dhWKVd+
XuBughudQLII14nwGj2121j9JeebqDJ2WLc4tqmS0kAaukfk2C5sbXjAk95v3zP12LUq7soWyXTs
qy2JrNiA4jm0enLQ0ABCPDlCgh6J8+8hsnPQmaF41A0qzE3n784P4+TKsv89itk2xX/FyCTQXA5M
mDXtjQOSMz8xC72xveqG6ve38+FOZVdm638mbbY9m6i1K2wn+aLA++54+9vvnvw3UoDMrc3itqFC
uJ5lcHWyLARVGTrZSCuuSn7gw7zGyktb5YhyBMV13sRLG2Y6FeeLQZmu8jbVPVP96yX6IduZNEqB
PtSZU+m0GStEPQLsmuJ9Zdz5iYXDc+EgJI8T9Yts38jdPrf9v3E1UEyFEostm7oxTxG4SVuQtQDZ
1LEFUTZCHqP9G1noY4hZVggVq0FAHyRQDOPnrRQ7tLkHdCwWRvKlPzFln49xpsn+MJm2keY89FAt
7qlBJGV11SYIZHBv1DQQDoXhFG2+8VMki/NIPFUSqckyIEoM6MIgEyZAMwpzpbRISp1fvafy0ccf
NrurKEFlR2nHAwcbVR2eR+NvijFbWL5LQWbLt/GaqqnjMUWdfN3+su01kJfzwzh1NCumbWh0KHRF
m2cuFdMG1AQYhnuf33bFW2Pukp9N/rJY5ZFPj+XfkWbZxWowezVTIokdRqpbeRNuesTPVug4U4OR
1+AhLsa7Px+doaiKxtBovsxHV1OuiLKyAm0mb0oFsdR1Zr0r5j6+l/uFbHZqeJgQmCoOvLYhz9t3
VlUiNJiXhJp81vUUaXb4F7aycA6e+l4fw8z2HQZbQIICcjReEcl92jyX5kZ9VgSiORfn5+70gKj+
8fylADgvFUhy3datxNzFkjP8xhaAHXU+wtexUGLhCa8zYUzZPEJYe+CEDOpJAV5b+BcNfXLRocMV
y3tk+p0RjNf5gF8PONofXJ0oAVpUzcxZMlH8kr9zCmh+y1uQPdEqepWaQ4nRx/lA09H1+Qig6MeC
ExSQTO4rs/sANf0S7DZFA7P4lhR3g9QdQrZX3yMpCFSMmexlfSHmicGp3AhplRJTE/MLEqxdlABx
ene09KY9UsX38nvlJW6P54d2KgwdA1CvTCE1wNnQlBbPs8zuM0f9Fr0FkrFWPbS0f2vdwjF6YnFo
QAcou1Dm+VpAdV3edkPeRyD/sYi78ZC+f5gQIdmx/31+RF/vITrTZaHFprN/v/TH5KJ221hl5/qe
cmhrbo79VeBdwjA8H+dLuRachUaXWaXhbFIEmTfH/DjEwwfvdMdv8q39LcOe7dr4CUsbM9UVKNXo
5XzAE59Kk6n36dNbgU767KWgWAVMP6iPDuZ68R1erqjMrppHJV3IFKfjWCZdYUZlz2EYWpJnUZmA
Ea+MjfKsIAHcb8t7HEDPD+dLCf+v+WMw/z/OtGQ+3AWCxm6CVjAebYe017a/BL20j1dAMrZiX7zY
Cyvw1LogK3E6KljV0jL4HK4wAPzzSk6dERO+fJNU2x4N94Wnw4lMoX0MMrtGlJy97tih1AV+eFXc
2FBN0Z9HveGCfYWe0vkpXIo25fwPM1iHYMuKIeQMvtAdxMB3OB5sy521PR/m69GhfxrUNLMfwmSy
FfQpdidOInY88nOxkxf27FKEeRZqMjwywJg5+XAZWPqzoe1z1APOD+PEutbZr4pqo077FQtgWIOm
cialAOiP7NA4OIbjQXkJl4qVp+LwTJhQLvQajL+evh+mq64wFio0pqt6Dt5GFDBu4zdPX9ikJz69
zquZph71f0XM++TUzuqidUsPr8RHfGtX6lXb/cx6NGx+IUer+s/n5+7E5plmbLpRUjUnjX9eAjoK
CTXSQSEAttWQXmF1+xJkC0M68TjQPwVRPgfplLgGUGpyzHaIOj6F8vvAnaHu6o3IHVG5awmPveFm
9PdGh/uwF0G0SnD0Ba1v+wtrfmnAs2wR5xIPENWgTPItT/fVsXuBGf/P5nSWK8y883sXcUgn/5nD
wwBxiUhbtZRlp79ldneh2cHTZjoOgadMW+/Daow54bumKbBP2np7fw1gn/+6G1jTzWpKFiZeAevz
AzuxAaZ+lAIgXwBCm6/NYEBTeRK1nzrAyESmxn38bMBLW+p+nTpBDJ7E4B3o0GtfamcAvRpfl1Q6
mFvZYVyO79hr83pcGw7eXWuxAL05MS4MILgsEZTZVGbrE+EOtYcaSKEVN5dn3KlCd9s+dC/nZ+/E
zv4UZbbyPE9JhDwNSv3m6hsL++UJArYbgQ5rL2ZzOB9taUyzReiXviSajj1HWyOfJGJ2xot5pAx5
PsypT8WoTETWLAPvq/kVGk8Mj946oxp2zVZ1uDRtzAdzi5zEDkjsXbFwMp6o4OpcLLjZKtxshZhj
sgbYFtTWBqQtu2EnYv3NLmvh2J6uQpLAG0lUMloyaKsYUrIbquJFK+JuIYecqCN+/hGzg1PuInDL
Jm2r3O+/a5gMrlLb/06FENXmMT6oQnoVeNbsbV+j8RE0l3AvtIsm9nfjqCKKa9PZwlKpuETZIbwi
54MEbJCYdcsjUnzXuejgNxtvQyV9a+X0h0BzdwXWBB0Oq74GAw/J0sQL9vynPJEZP83stKI+JJQC
QGkm+RbkOMCP7obbgDtS/FyYO3UpzOx2iFhoUZhla27ppMdXWucrFzDy4tec151Uxv66qdr2W2NH
d2ibGa9CCBSdDW2XW9axxF0HLRiVp4bfIndoGvlLF3WYe0Czw98FB8awGLrnCHMCfHNyALA4XKl6
iaiJp3T7qMWdopLrC6jWF32EA27eIbzKV7wdbfPnqGYPcqXZl40CezYbQ2L/jTnmjvLfUBDe7J/n
OE4KqvPTHCc3trtuqHbABVs6f6bMPzsZpl472A8QNDyjZ0EobBqlwhvGaXlDOO2bEAvf8ESvges9
F67p0UeankfIJbUz0YeicOlYO22b7awrY4U8yRrv9c1Se+hEJvsYbI6X7QUyppnL9c6z13V/VZqO
9Q2TCy98PP9tTk3bh0HN4bJFD9tKHbirFuIexTLpHo328xFOJctPQ5kdNHE35mRLQvS3YKV3zQ7V
wr04BAf4ZsA8h935eCe22qdwsxOnx6RZa9AmcULI7R5sv6v2pvGd80FOPZeJwsk5XSG1L9dit5EG
Vfd5GsVoSYHxeZLVdW2tki5aq5jW3YpgAWV8ekH8O+A07A+JSsSmGcsu93D1m/wy2pfhjfIjKv8Q
IMMj9tOoZtmQ0nyNoTWrLkRu82gZW/X3+Xk7OQrDtpDJE1Q91dkBHZY41ijTtEkUIrPwWcVlQc6v
0nHr1s//LNS08j9MWKfFhYGJANsVFqNhbZrq0kC201RvkiZZWHOn1/iHcc2+jlbhgoFVGcsB+436
NlNvCnNdu8hnHuTrVr5EiwJP6fHZXapELU3o7IvlmjL4CImzf59VvOHNFTw464e2mPymXTNPrxYV
rwkYi1PhvFgtME4aGyNAtPt+WJcHSvIbe91D/lAclJ6cpT7yibRkg2sC9EgZj//MXmidZbZ6g7M7
24uqTWlvul9/vDo+BZglpVJEZQqFP3Ui+27EkhqJVXpwDV4TSwjSEzdgm8rTdNVWqH7OH5s4EXvQ
7VATysL98OwhXoOHy4P0WoUIYSzk2qVYs1FJgdoGGIunTiPfCxkbU8jvukV5N4S7jhdScV8g83N+
Jk9+qg/jm+VbvAc1pWmmlYGV1DPq88G38wFObS6w5hNBZbpx6/MSXiyqwaoHRjUdINPaQ/BvrV5D
0t4A+3UWkT7TLM3WOvGIpZk0Z770SKO2gUMwgXbEblhzu98U62RtPgmH3ugiYuLUteJTtFlKHE0I
0DESokRD9WGL1Mhe3GkrxckcWK5/Xjb8FGyWFG1NCVsjkWj0JpfDs8Db1jzk9wvfa9qc5+ZvlgyV
TDVbw5CAtjijgzoIkKi1sUIjcgPgZLEksBRtlgFr1M/9WKtDpxfPLPsYPR/UkIOd5dtPSD4ML7l4
1930z0/KTxM5u9DXeFcaicZLsw6uinvRXlo/FmZxaRXOLrRqH4xRPlITGy6GNeuCjCtesUtlXWD0
uRBt+iRnPtkcx5w3aAFFtRs6ee+Ud4hfmO/anwP26Pj/e1vNUeeoUhpF1FFwKIIDLqkeurdHaynI
qYvZpyjTtH449m1f6EEWVPD6v/fiVzL4j3EPtGaEfO5eupisaAX1gKC3Fy7SSzM4S4OJ0cYSmJHQ
mYRhUqS60IqmytH/IfGQG9qn4c2yhTFqWdwOVui0yiQttLLEe7Nw01ycwlmSUCMVoTjBUFRcxCDg
KsfKcAJk/GFM1Vt3uGmfzq/16UefW32zhAFaNMc1wQidiQbJjsLruEqc8zGWvs8sTeBhxPM3aEIn
QsBZwl7eVqVnU0RbxWy6wz+LNUsOCOyP+DLkoWNfGuG2f0dcXZTr8zFOXPw+LYRZetD9QE4wXwid
utFVZ8R6HWe82Ec3RE62bSWuchTfV/8opjoDEnpqLSQphnfoT9JpGVrzOcJuTbBDDQZB22yRFzP9
hV8WBm0OSl7Qzb9ghTLfqNRwUmKchNlifVdkz5ZyWSO06+rbvLS3GTIvsfd37oYoskKq1gy65LOl
YrgiMimmQY9BI00gqvzuI45T3Qbq2/n5PHl1+hBotk7UuhxLveWikb9GWCE+6kvAxJOXi6lyDQmB
lji36c/ZUFMbSUY8GlS7g+HMhv/dx5fYvPHyjnfywrI/mTg+RPvr33/Ivfng4itVZKGj35YHdW9x
jTFW4qreVfs/n7iPgWbPA1wSO1sdaTYIcdEeJbxsFr7Mqd31McDsFOlsxA5UieM9CA5JeFB+d+b3
/AaI4/lxLIWZHRoYlNopJs6stO/2S2mxzKlZrxZP3pM36Kl0bOsg7r4yyfO+Mfy2w1i7W2Nw9lys
Ud09GCsQm5tkIy6XmLancu2HcPM8gSNencoKj1JBa+G6ACVK+ff1/NQtxZgtAVUkmHyjues09bgq
vhfBc2M+LRJ4l6LM1oGOoj/1RkYSVhc2cDCIazrqYAt59VQegMWlqjK1aJius10q235mZdPjWvoW
G/fRN6Eu3BpODQOwImIdKHZAkZutM7nQs2SYbqtFvJGjdVDv5OdFFuOpxWwpFmonOoYNdLE+55qA
gr6mtATR3jw0FGkCuusww+Fke/7Ln4pD2Q1epkVN2ZwjVeLByPtMowdo1Vf1I7IIkU+bp08X9ubX
j0KJCnje9ARkQHMskQ44tssQqXFKhIXxI09wBbGXbgpLQWYnQI39qlIIREKkcdwU+k3boUoWPv/p
hH0eyWx5dWOZNrbLxbsvDu1RM66kftscu3QhKZ84bD7G0cXselAJYNidHXp/ZRnA9utsHV0DJqIn
NuyLhQfY11XwOdhs/+el1mXFRGjuSwxsV7iKWtf9E23183M3zc3nGwhhaPwCDUXvhpP086LGvkUt
wsD0ndJA5MSECfJ9kuev/J2c7PVx3yDdez7iySXBiT0BQ0EezktfBepOeIUPSNI2Kr0v074p2r5B
rLU9/LNAs9xWiVix+v7/cXYeu5EjTde+IgL0ZktTTl4t09KGaKOm955X/z/s98c3EqtQhZnFrITp
qGRmRoY5cY6ITJKADJcRxG4ZdI6mT/qFFZ3cqk8rWn1D2K0KqGp1wzMmJFObSGGSGqRhWiG9iOyT
FPf9BfDF6V375xuusiS/awYoFC3Bk2akAr7DK9bpaCdQBZ6+QURiB90lqNRyUY/PyT8Wl139FPqo
aQ5hmkqHNlOfChQpFMC1zfStfa4TEf65SywMxw59OZb/mFv+/snc7BcQ1sUx2tQMXjhTyNS4YKEO
XHUTCuP5pYb3pR1c/v7JXAZNFPJFquEppfkx58gy6vmNUEXJlabmuxxq9f9wuzWRYimoFPqG66Jp
p2j5oLYgdET6A8qd6skQm6mOGD2dvwMnQlYdWqN/DK0uwSQKSIRVzIjrtS1H+/YJJWVb29bvgPa7
O0iSL9g7TnWxx9XWmRDmKV7nFlD0VfGcEfFVMSyLgdM++bCPIhR3NbQ3Sf8g1bIDb5mYbNLktlC3
582fOjbgS/BleDQIJ1ZOU5L7MUA5irAWHzZ91ONjUAMaO2/k1OX7bGT1SSFfVaug1wxPhgW6+RGq
5X4cZ2dcdCK/qYLqJki5nzd56vZ9NrnyMD3j1uMw8RhMoBPuEPophev0HV5HlIHOWzoRSgPD+PQJ
V64FJvscNCkvtgJtquIOL73CDK9hZw9ttq8fkvnR+mOab+qlOuepKwjXFKgSMmHxCPEOQWJRlQVp
b1sLwwbh9a1aIipCIDYiwKA4jIFr3n9Z6z8213E8sryTFvSS4YVNwmikthMRpJHL/GcDy2+bxk9J
VXnElfc6JLI7WFFuu463OIe29sLBPfUoflq9sjq4YRKjqJdSt+7HHsZU1EWEsXR9BXLvC2s+dUE/
W1qd3qKa/b6ummgD/aGGG1dN2JwpmsM8OYm7KGvk1yLupYOVaPoNo4DdtZgP1NHRmV1gjKhtxPmj
OqUP53/Xhe1fxyEdAsb034hDUAqyroLlCXPCq1S/cLxPOohPO7463czz6IwGWJon6ld6uTE7O+2v
L2XvJ+BMf6FMoM5g7KDKsnosIUyPylTnDomhU3+ThwM622Y52Mlvsb6Kym/1DTiO89/v9AFaUPT/
M7l6MKVRNAL0JZFrj+VHITW2ZV/qDgzl5qUDtBzFdSQATuv/LC07+emt7HJfHbOx1dH+LLedcVWM
wpXeX/ctLJ2WpO/a+WEojfca2t5ZE76dX+bJ9+yz9VVCMc1IpoYCHn4Y3oVfo4i4LPo0Lpp3sFCn
7210AUV40tl/Wu3y90+rHYp+MLIltgO9H/b35QxHpbVVymufIdJYUFy9lS5s5ekz+n8f2FilGUVZ
wuU6k5jRG24eu25f3EfNhXtwMpcBnsCnNA260OsoHDED35Dk2fCSaOJym3txqG/Rmj4krWYDs57L
nQirONTyTi0U7pilFzze6Z389AvWjgjB4owZcd9r26KDBFaqXiNZvR+G1A3r4CZQS/3BjxMTvSEQ
J2US5hd+wfF3NvW/xSKGU9VjkhldjBHIKkrDm0ak4ed5YbCGc96p0SNAEuHj/Mk9YQ0kpWUtwCoG
VI+qBygdJrqSWl43t3C+K3A3TiGlnbGcHYhPL9T3LllbXZNutFKS1YoCshC9MYS7lwPUd7RkQgm9
+HN+ZSfOEsxOn5a2uiPhlJcgmgPLi9EVsJHJdQwV6bjIjFs71wIEV/Wnug6GK3maSujyk8cySx0h
Rhzu/C85doJLbQZ/K2sw0xwl6LmCKCbc7oYX+2p3KBvfdP157PdGZygXLtAJU6YEOlZaHC5MAKs1
V6amdUKr656JGrBnoAOwNRoaY+K/JTbj+VCYulcUcCLgU9WVu507GbL6sVc8vIHR2nLlXhrBOg75
li9mmnDQLXS0RzNYPROAnMxJ8/ryholg1zK2VmXa8g8JbgN6cNWHbuIGVFploYu61/lNWxbw5T3B
OtPhzOvxVgLBWb70Jw8b5WGOxmGneHV8nT1Y8XepuZZfy/btP5iBghFoIzWvo3ksc86iSdT5jsO0
N660btMguHavXGrpHEXqrIYjAcpMXcir1lOOkHA2ZTthRq02XbgLFdBz+WM9IdQ3vsGVfuE1PvXx
NIYpF5pWsEvreYGx7uoEzQnF6+/i6M7Y1qMN6Aal8vMf79SqIMgyoaSTlimB1Wmnvv7/zXRW46iD
D8XOHOy1GM4xLU2gMpl/xV08XTgZJ62yW1wyAK9Mc349GWh6ihYqpIon5wMvAFFoVQT3AmwNoZ92
Xt403oDw6IVPeuQ62cElQCZp1qUTg3tZmLai2SrezN6J6PKIHJIYMujBurC+U5u3PMAmVWtEttZP
gqnFzC1brI8wsb83w6vyR/qOpvn5vTu2YohwdoDXX8bC9HXTaooRE2hkrAi/sue2ue9fwGbJl3rq
R1Gh/NXKKoHp9byTEgkrXQAYawhb2enTeleT1DgmmKy6roFFq7A3I/As93sYrqQLh/TIJS8/waCc
Alp1mfhQvh6XfBKrXg6Xn6Db7bTP3lRle/5THr90iwlGIpamqQIOe/nWn3xVWZd5IJWYQLWIERbQ
MTvtBpkLJnMuD7CctKZjBO9oLI559U0rs8xlFBDwJTetizTMRvDCnx3UdAusWNmfX9uJrwfyEfg3
Frlt5iocGwtpzM2hVjx9IvcuhTB19VREyrHtL9VLj28Yj9onU6uNQns8CZjWRxqh7d+meGYg24eJ
yA8l5HuC4NJw2DH5AdGHDqM70+eifoztVGK51bQGJ5kUqZNPyOag99Y3oyso9Ycsh4x8QrfWLbLl
iGvapZY/6xRW4IW5VuscnSn0p85/7OMMcflJFg6VdpLCRPLqIFVW3IaCz0HK0dZAbM+JUv96LHsv
DJorSd5azbSzkLBr/1QItZ03vjjrrw8u7CQih1hcXlymhr8eYiigMmYHG3Y6Ce0pRWF9V6F9V4XP
KOlY0sa/RK917Me/Glwl3dOiryenleIp/rv1vY3QA79T/kDSygc/v7RjEjO+K1PkCJkQZC8x4Ne1
Fe2cG7JQKp6pt5vRfFfyt6nNNr047g3loI/XmrER8j9yeJvp70U/oW1zIWE8dY9gdAdETAaniOt5
0mBSa4I4fkEpuf2TwYTbjwtrPHa1pqlBR8ZMG6gH5vS/rnGUE8kv/VDx/kd3FTrRQdxPGyZetpcG
s6AuODosX42t3AKsjEOJTK/oDUrzgGolEsHCFirmZpMH1QYJawLC6SYaZwbqpaiwZ6v23dGofoeI
RTi5FTttq8VOHiq//ciX9hSjEUX15dwpVfEJYS3fG3It3nVV4Q2V8TpEYoLwOuz2MbXOcMooWEvX
DcJ0EDmF2yaqrs1Ya/eiVXZurgkDQWtsvkwmki5aFe78Jqm9nqSj8EUXpEDtRIEaOIGA8HppSXZq
zYc+i3QnUvVmNwzUvBDh+j6XKKTmQSEdmriEeF/NP4o6fQijZBvU/fus6j4qJwlaizSG7V4SBbSs
meLOEyiEChFxt2Z256BFqCwLNZM5tfo2HqvWgVLPvxsYqLOTdngflDTYpr7YvSI0o6P4kXWgqDqh
QUQaAj6ETWrEv6NISl+jMJ9e86a9Cds2CZxK1Qu7bRQ3KEr1NsnRxNEXgi21Th5bK7qtDYtZ76G+
z6BZxmVVyVZE89tuEvlJUKK23Pl6ss27UWKiJ4l9t+HO306KOV43UrSf8sm8CwuptqVs2IO2ussL
hGSLHN0P2/JRGzCDyNVH3e1yIXdg1PeKdE7eeq0R3bASd0OV3uWqVG87KIFmQ/zRNcnGaJmUi/JU
57eK/k1eaE8hKYhrSn3mtuiQv/p9ibQcSiRbI+x3czg5/Ygil0B3aIdasNsMQWvXcbZNRHgrOxOZ
pqTxnykAeUohaxujq6/r3DK8ulwk5VXKtnMQukHSXmtlZblTK9xmWtXcWUiDZrG60wz66YZwn0QC
R2BSUDha6P7UeGeIxoROhnAz1BWKCwyMtXkl32psXQh4wS6l4MAULT7FH5iPSlK0ATVXUqxX0yqe
o2rydxb/u4M8l21O0Q0Ehs+wWRibLDDRaVRij8Aa+SQz/z4EzdvIUbZTZUycQLQw5/c7pvZRQJOE
rSgKuaslFqKiwl4KWGxLnUQvBV+y/bTVbqNFwldP2gr5LQS1hYxKLqqsjhbO98kcDp5ZLbrZTXtb
T+17XMxvesqnAdT7FBkab7qlHZISyrpoSt1Eij/KXu+3eqoxU1pIz5kQ5M5YGaWbxhlECMTYZh6g
hDIkj3FWO2ydQSQ3I8gm6+iR6t5cULltfMTakhqar7Q/SJ2IipwmhCgiqzUCWtVuyovcJsy4SrNs
RNFP1e6RtDbeFAhb3nKuMfLRSrGTKlSMpBJ5PrAkwmaUUNwLpdSZugTlwM7pxMKdUOzYKdMcdagH
yfJ+gC0YcbFYvVdzaBW08k2cGmkP/Kx1RNon30SaUpHXxR1Cc3ocDge5Hgqn7A0mqKTIgbR3EwjB
3SyngZ0Z0JM1UjMONnpj5nfFb5CuEXF5cvAtq0jiehUhK9o/Nv7jNVLrp0Co7zW/tg4IZ1D+QKh3
aOHhmEJz6xfzt1ynTZupiYtA42FqxUM9GOMVGantj+iZB3Iv2H1t/ulAW+OTPqBn3LWV2EBI4BtO
p5hO1kYOQt74xeiP0Rh3+RjddIyLelbXbrpc/5b1OUAE2Ic3g5BfaWEKNldGCC6TZfJ2g24Ouo3e
aMyuNgZ/8FvV714pjKtAjvdRqGyLhpaOhlx5G9QvWWVMm66v3vSk2RiCytRc5ok9NR2jB/DpCwgJ
0ZDax5JZ34yhFb8ImkAYEVriizzk/iaMo+tOyA4wTEpPmd99FKY5Hay6uRty5P7yuHlBMLF8m1PV
HjsZjVNkzOJ0il/zbrgSqrH8U02V+TrlRr0Lq5T8eeRhgN9Y/I3TrCrbGPzGgWVZCBylyuMbiRld
u4x64Y7mhq36gogiXideFTDzbAc8JQF9eLtUbMWJuKuuEekwx2wrleGjZHbCDii1U7bCn9nMnEpm
pHSE1rEVma7Kx3F0uaqdq3TasMmzENazpogcobT2VlsjD4fekonKU9IxCKy0I6rlKsruESeoFpBk
zYTGmZBvpNL4bKDEZkyGrRASObPKv9/M2TPUNN/gbnZxgVz/8aYMWK4RZy6RDpNPS52QG92Jo+ZU
qfqnVbRDJoyoegd4hkyCjsDSmNQkpLQNpsS52JNkG0auXzV96kVM1zpykh5kJX1Ic5SVNTWiooOi
d4WSEthuaZPmwvRcZz7Km0ijOlJd7SrOsFYHPLZh59CAT22tHlLe0Nwl1UPRF/EaHdXM6XevUkLt
cz++V1tfQ1VYHu1SVA9mKnqWoEx2hahepmrVdlazwhMTDcHjxYlLfFUrNO8hQ3CVXkNsYTAFujJx
rHEzLUgYMyl3KiNW7TbLvgedfodM3i5EeJvvljM1HQrmNjebbTlGm3iahps8m14Mk6UFGURW42A4
YYc2M0hUmxBFd1pJvjEK5acPEWFmQr1sIo3cZS2hioiKtNJNN7NeXhclrT6p4crVYtX+CjUxuxFw
HAagPDfH3Tv1JDuTwUSQOgx7Pezu4ee1iUu8qVMT1Bzi0Al8BEbHuh0hvoASoG8N1l09x03gzan4
R7Wq3zS+ngKQBk3IfKVRB15cCNDBWu2jlLQvOSCPtLRyVA0t14h0mulaD3liHDWeNQjP0iTOdt51
XmiK/TXi14EntvGtZYKXrkOYspGWmJI58uQp35sjgq2SdK8b5JPW+E1Ox3eFRdSmdq13Iv4WLcS+
bZVvWSjaZjxLiINymwYdEfFkIqIaOpOLIQbXVlimjl9q8wbx+RCBokQr3dHyY8TMjZabmvQbtevd
pl36QKbcXdUNVzxrSq+0Wq6vpf1RetmZl6BME3tbyJVrWBNdUczqjSakH4jwKVu11xGBn6Ud43II
fg7jtTUjv5elLwKc/kWqlJTX+p8Qi6ruXBjouoYNfl9CkntbTIn5UDOJ7ht64DHv5MotZJRBKB6m
Ut7T7NjJbfqWDImFDGRnt33T8VOzTWPl2i7Q5Y9Cxm8g7U5kqPyqgnBHKQgRXAMd8xiVuVyZti3Z
RRALO0KE+UFS5/G7YlZ1ZwtoMyKtTTCXDdV9NadIzBpT86GXw55ZL3ELj6xdpuZDP+hbcYQvNaOY
BhvXtu2jDEdWHXJ9Fq+GJPSfkSX+VXcNg4njaNx2hvUkjWXi9EN86ENEY6MgIVRiJInD0RzkKrqB
dNsWp/KBaPwmQr3X6QblLpx0aPgS8aUYhEfVR762D3+MvcnUtf+9iIuDoeVbHzICy5IGYglmCbK+
9MB5bPVOiq96QbsqauEx5RSPIRHIoCvALQnopbQPdhnEkGYa3gvIl17VZVhs/Dy4Che+G4MdjJUM
jU1hEJ0RQsAgqe/KdPTapnRLHx1BQQPipqbXyHs8aKFyRa8C3VlFgFKSwh9cAepGj4fNQmCsBDiv
IhAdgSk2D3LFpYOjc2W0V6iJrvsS91V3hh0Ek8Oo9CFQhdQpQlRox1a9isboV59ESCqyJ7MueFY+
IJ9cyl6upTuQ5r8MbdypCzlBTWzag1OikVndTyqbJMkQ2lgaPLjxt8aU7aYLwm2b6W4JIvhCMntc
uPuaeq1yWQuF4lQNUJBUviP7CcMvMLbuVbyEfTpOWJFloawvImwCvYC8VGs+1bSMotURLYypjuD6
YdvY+b3iEsbsLqStpzLJz3ZWJY+UOBvWzlD1KulJ+J5Ev+BOcXV9ZAOfC/UO0Wy3RXzmvNWTi1uw
uoxXLrO2q1x5YnBOj8dW9rrsD3NRWyG4mYJLw7wnCnV8wk9WVklyoLX5GBiV7FGQ9hQ38gRHusV5
oSFBWfDx/JL+0kl8rd98tbaq30h1WcKhIcqUs3oafHGTv4RhXWy70twGud/sfEnwtDQ0HFUht7Jq
8meE9O4Y4CZeEIpxk/ahXaua70rDfIjxcjB5/apmLfTMTjVtBX2lSGO6O0zE8bpXZwnh3AFl1Qmg
YdXWuHtq4XEV+bt6VqddB8rsvrL07g41cO5G1s2uoMsB/3yduPNQ/qYCBxjCqEhRC+1KrsNsq7bq
bSSkQE2t8mXsSrfXKlRahtKtRH+GARnXmVeljWKGPcNvmyK1K6OvuQkltC9JHQbZRxmZ+lUSTF4V
SXacktpa/UcY1MV1VyOMnc3N6BRa9atOAjdorI0IwdGF3Tiqj1jU0ZDKY/h50ahYbUYz1io69Y3s
ZdqV9b3Kn/uHizzKJ6qFX42sC2gI+vqJjJEx8OTCyeLARSlCII14LoeDKHmW7oXd0/mVHbufr0ZX
7sfPw7LShYJDbejPbfw4Gc1r3MB0HqM8rf/7LuBXZ7f6jlNX9wkTp4pnjIA+aSGgwbTppfFOnW+R
WrhQpDvxRb+aW31RkNBl7MNX7MXX80bbRAf/2npQnNjLnX/NdEJr9bNzWJki6UbuOPZlT1JpjESd
zAgMTGUmtRXSEXE3Db53fucuOb3VzqVNKqZ+YKjIxrtTlFB32fr5JWDMcVH367JWz8ZsTLk4gi/x
Av9VXbQLlOmXkDEIE2vFTVeZGO9+n1/XJZOrF0SRUMkel4d6qpRrXS3vMXEYwn7egSnfh6O6KUPK
gOeNLtuz8rYoVML4T6FcR1ZvZbTIwmok8QahK42EK5MueeP8H04/3gM29oVVi9bV6oxAvdOmVa+o
XmtZV8iC25oeeSLiPbr8Rx0uqfYdNwAWAt5/rK3OR1fjKftmUL2hTV4paUDBCGa1sofZh0us2479
nchvOP8dj93JV6Or89JkXLi6V1VPbciBULJ2yDy/a4Xx3uY1gZjSjReuwfIvrneO1vgCBIFTAfLF
r4ENqWpndAoW/YTXSkezXdI21gwpYXshtjlpSWL3EPEDfreu+Rtq0nayJKlePLWOWU+2qczbjJoh
Q5YXjuPJvftkavUZh6IsJCPVVW9Mmq0cUQDsdUedPbiVETcNNhHJM+f14fzmnVwg5LkLXArs0jqM
Cg1qOUyKSRRdKWOOu6AyDqHphsMlXNrJU/LJ0GrPYD8Myk5LVU8TP+qIDNZOKa+kt+LP8ws6Zq9E
C9b6ZGj13iRZDraA6pOnhP0GTVCXmpRAYBOXb4rQ2kUffIwGBEvDIG5kIR03cy9FoV2G8XUzM/cO
N9IiD1/F+6Tu5Qs4phNtLH7dMo6D3yHTWM9mVaLcgceJZkDIsldl43NIPm03+rSt89zctb75bZq6
l7FVbNlXvMlf1G2nKN/55EqB3FwCZx/vP7GAJDIvTHcNb7gKozU/LckV8bxB3pC1zhtxruH1P0T+
JaTJ8duFJY10RLM001LWjVHQtFXUihNohXqn1vJ1Uj7pgXnh+T9+SMh2FqE0xCKhaF6DdGa/q+ok
TYB4tFvxZRD2JcwT1+G79m8FbeHxpEatK4YCdxvFyNXjkbaonlu+oniBApdL0UJs0XS7oMhK9/x5
PrVBnw0tK/6UxM39XKmtSBInvpjRVnrpXhkoP2/i1M4AQoNjn5lxeApWa8nTipJ4wUcTs+KnOIS7
qRAPNOHOWzl2AH9fJmg0kFbU4O78uhCB0svkawNJ7y/tZ2WMtnzdFK7ffPwHM4tGrgXl0wLq+GrG
R7YkSHTMdAmFxHxk9s30KYvmxX5RRmrFS9DEv1v99TXiLdIZiEGlhs7/GswRxUlpxaBXvKEvaFVM
1L6acVZ/tKnacIvVod/4ik69qVSCMLVbZbg1mtJpAsOTSuGAHMDOF6Obqjbu/FCzh/4Sk+mJL8+1
U9lcC5VWrt7XT5J2dF7LnMb18AdueagWfwj3waVxwxOpMqwOn6ysDmocwO/RVljp6JlCLAq37d54
Rspyo+6CTfZ6fpv/ftXVV5eWcaS/KRqwvNU+CwH08vyNmK2EbEhKGW6kUFTO9CiDnAw6rd5TTdtZ
FYHrOJqFG+nFs5hS8LSVKC02pjigJqdDUEOVS43Q6RDCqz7rk32rJYNDnzi54PuPH3iQkKDP+E+F
CmW9Db1vxZKIbp0nGYzcaIngFpHw1BjTQbWE+k6B3KVMuqcEB7Y5/7FOeEWAb2w/A9RMT61BfrQT
LKVagGKSrr1qcuqEs3yT5n+GgqZrFjh+c2la7MSRW6bCCSiWG4Gswdcj16Fj1YQyAKepto1dMzhS
/iL8CcQf5xd26tB9sbM6dIIqI3ZEWdsTt+ZW9uadf53D1xQ4tSO4lyaoTrhiUMhAJUFS0f39+7Z/
csW5BL2LUvOC8SDbcJa6pT5fR5Z5iLrZO7+w49wEoOknU6vTPcSiYDbTCDYYtWMhzx579RJI/sQW
kfos+GPALEhnrPyx0rZE5iUmgLtuMuY5sjS4DxL1oKmv4VT8l4/HkvCU5FtU7Fbx34DCijhB/c9w
cLyTUhKgfvK0LKI7f0lk+dTKPptaRYC6HtEjUSXqnmrs8Iu2Rm56dIlpD4MOKbLd+b06ca9JmP9Z
2SrF0ydipWCW2au0d+QqYLpfeAusg5pUTp3oj6r+q9UvPXPLAVi5P6IciSEuA0TkkTORCt+fs4pH
J5iqwB2j/DZUMn0/RsWFK/aXQGttyQLFqugacSIThF+vckL5Xp0FvqYZD/lVEETfxKU0Zan3uaxl
zphqL2FT36E40m8Y+PglQG7TF72495MS7j5fcUSZfnKYizvZr66ImSrbDAU446EBss9vxYmvQmzB
mOoC9D0Bmi5yeDoVHN0o/1DLat+amltcHGE+9jrKAuhgSIDSMwMma26atJWKqS/B2fmdvvdDmGJq
5U7UgTa0+4SGWmvGL3FnOFoErD+LUZ6Lf59f6JEr4hfoCiLYMOPIUK6vLq8RiEKlxfi99G0WhEM7
uNNrX3cXXqwLVtZyr7LR+1oHNMkbh+ROrTNHDuMncXyUmMj6D+sBwqADCl/KJKsr21piDqwIS6Ao
yhxoQ2QrH0r7b8lElq+2BGrMdZxIdrUxTgpTAZ5qLlMqv2hmzgTT07fzazlyP3+tkBYwkXAixUOm
A6xJhhV6kc+1nG+jVrntRwJAatqhw1e48FgcnfqVwdUj2GlVlhUmKMzWSg46OuVl/iFU2YUs4biy
ujKzOnPJBKBCrVlXvWB3Si43I7RGsUsakA611jnGMGyF4ndK7QJV10tqBqdWCZcFbFDg54BHLn//
9PoKg9IbMxfNK4PsoxgeolD+MV1qwRy9u6zxs5HlRnwyEvuTYHQ5HRg4638aRfKT1s/503HqTn22
sIqM4qGIaiPgpAe58aKGh0YwbmDRBIsjX7hTx9M/q8WszkWiTLEut5wLU5yG5z5oJSeAl/FG9jtz
V5MQQkwvW+V+gS8lqf6jj9PgD4gZj6IQuI1MTi4N6Z7Yw+VOyNRBqdtR/vj6edMCcCQzC4qHhiNP
CXRs8IMUvnv+E5/YRKws6hAqNQBxnZsjqwrGhgqKlzbZ8ywOD/60OW/h1DpkeBBUVNyAA6/PYhYM
ZFpQg3hBBbdlK9q1nrp++3HeyrI/X15eRaRQJCNvZcoKU1yrrwW+FGCMzokX0fcVfvkxstvvRvVz
erLaC5/sOInFFmUZvhqPvHU0kaCWkjTXYq54hRqZO99CKqkZkp1PH+PGV82rtGziQ6Izqd/oZfSI
u0F4ta2lq0yYXZQyusdZYdJFDnYF4/6GPdTFpWD/xM2R/mp8LYUdiPVWgUg56FYjVXTN8yEFFZoc
msx8jBl8jAf51/kvf2SKjIUMjScWEDaUucvfP7kBSBIGeprq5E23hWa5Sr0R3nTzUkXsaH//WqEc
iGwPpaqj2ltmdX4mS5PXRmCpgJc8hJV2198m2U09/Xse7JW1VQAOSkaTO0IxuvTlddW+Sx1ZGa3X
6lvXN7Y1NzToyodR3Ndgc+Qrw790+Y9rnyZjEcQszLwsoeS6OBeUsBMsaY1XDeK+eTT7wRvhKVEn
fT/9MIW9GSZXEXiMoTGAI412JM6OWrf/lmFn+RXcKQp45Fi4+697OxSAEXtdnEDdRps8V5zkSpqa
fSj1u/IR3djYqi68nMe1iq8m14NafZb16oDunpcZ1Vb8kSqprVOLmg0TZDCIviuzLWxBnXdJCUJe
2SWq6UVx44WRaVcHpYU+JpH3qlx76XsDF975w74+hjiWhZQMBeilDmytnRmN7j5ppEIEsgcWunUE
6YUTu9FNiFwAjs6XBmzX8dFij3FDqqaqwTOwLgRP3SRUgZKInkxbf9JfB7X3GuEuEx8p2196A5dT
/dmHLsZwZ0ugDC32kf4MAimDFVS56PWt6tXdn0Tw9wFyr1Ym2fUY7yJtuk1BVsjBe6mOr6lk7s9/
3VOr/fwDVq6ELmMTmSpfN4P2gwGS2Oni0W4HuXeFNhuccZAv9RyPBvDpiy3CrAvhCqMkDAR9PeKK
ZlXaTC3KayL/e5Alm2Fk2hEUnOSElX/NPPyO5OFaK2TufX4hyP47t/zlk2Ndkyl4asyyEM0qX60L
nemnkaJQmWvjd9wr7Ue/ldG5Kpxc7qt7GcGaGsnB2Zar4qooQjG2R13aF3IB8L74RpRgCYhKW9Ru
aRn94jWnsBfIT2mj1cwQGxn5Y/1rKLLeNiPVgnkIBHI6g7wX59HRE3PyUMQFWNunLsJwmdN2gWUX
RewKwPD1Wp22RV0ywg7SGd7oKDEPVZ5lXlP0T4VvCZJNvf0RqbUA5fdISTZCaSqx0zBYtolj0MGd
PmYXwsKjS7h8NHOZbFoC3KPHLRv7gtwoljy1jGAqlsJb5lbum0kGdimb+IWKWYIRsPzu/PFcv3TL
USGRXCgWKWxRUf26WQbg1SyrIMUZVOgoEEfs5/R1LD9mWbg/b2kdM/3PEkk56xDJnVd+V2lhw1Wj
VvLKJHbjvKVbqzsLFum8maNXBjswbxGTkX4tWd7q8GeW1IFy1kWvaqcrnKo73DRyfqNN6msgtY70
LKfhoZuBnZsQq1X6Nr+FYe3Cj1BO7Kdi0JxeygO8M9ry908RRNfP/hjVkeRps2V9xIH5vQ6C3yE6
RcAyx8LOIyMLnVTP2+0IODzR4mtfR4pbCrd5H/FzewC9VbkRzCTdMl0BqjGtnaaV4NObYs0bGcJw
QrN1MiYQ7GaBkcuAQluA513Vb8Qx+BaUQHuNOveyEMWavLmtTaYwYdJyIH7adeag2EMjlXah+E9p
bn7QJrWFSNqO0q8IfKSrFOpjS9fU1OMHpVfLTW8xG9VZNZjgdNt3EWyc/XeFUSirnH7UshJt4LZV
frZjX7myFv4eUlSGgmlTipMDAeVo113CHNkY0smE6jlo241Vi1emMDN9pefyN1mQ7nn4txo4dxv5
mi3zPNbvgIDCrpUaRpgmSv8UShh77UAR25zS58bs4h9DmQYORPDlTq7NfC+S6ORWH7ogpxUnCFII
LDTBesddRrdDmsNUYUVulIGs02UjPtShVe3axlJvs8Tv992QP/lSUNF5T+bnyQzyLTR1uo3S1H01
mtLByJviRcm7dKMRUjtTYPQPiVA+0511dYm5UkHPbyMZFXdNHH/nevTbKmgp9IGyidPcLWYf1F1o
Xqd+jiRaAOq5r3WvqLRyL2Sqv8nG0FWTeAepwD4ra1ugnuFpFbG3aD4OcHjdWx3DVnZQhxs2+U2P
+miXpSC8z5/iE75BAflGsk0zFaDMKuAO6ioX1HaGwX+Wfou5m9Tjz/5l1C/0bE+Y+XtJljQHmN26
EI2uWNcwLk880Iejk0XWzdQzIIYcEtMB3c/zazp6jhFflGGjkClD0+5cEzg1dVtXc9gTb/8/9s6k
SXIcS9J/pSTPjWwS3Fu66kDSVjczX8y3iAvFI8IDIAkQBMAF5K8ftaqs6cqsmanp2xzmkpIh7m6+
GAjgvaf6KaLYp6ufPg9a7cyjMf+C0/K/2ADg4AzwbSAgDP6JAwjpYM3gEPE2rVU77xxx/gY05ol6
J3YVVfK3X+vfv7v/YJ/q4W/Hq/3Lf+Lf31W/4Gv58Id//uW+/+yug/n8HM4f/X/evvR/fupffv9P
fOVvr1x+DB+/+8dNuj4sj+OnWZ4+7SiGv35P/Ay3z/y//eCfPv/6Ks9L//nnX76rsRtur8Zq1f3y
24cOP/78C7gW//De3V7/tw9ePiS+7vrR/en8YepO/dMXfX7Y4c+/+PRXVII+ilYIc26IdSys+fO3
jyB6GpQYD+MGmqGh+MufOmUG/udfwuDXDFUuzp9bfj1KeLxvVo2/fQi6BA9vF5AlWB1h+Mvff/nf
vQH/9Yb8qRvlg6rBkMQL/2EB4LeD0gNUjThEswOW4T+cQ0MTdTSewwhenQVGjtjVuyxdoC/pbFqq
xWY7ytFBBkP0nkzRDpXtIWwGBKzS9lk00DV3M7DqHZiOjuuTUdFrIOsoD+QyblBFiQ12LVYa7OWH
WCAuR4SVgPdzUlsw59IiIdUnErEQxzLh7tLH2OhBEvuZ9FAAT5ncp1n3ljABda6DOw8ugCuKIjgg
WA8lMTU5ipZ9GtkvIKseOv11VGzO/SEGvi6snuX0G2biv7WAnxU8v/L3S/X3S/4v5/q7UVb9HP6P
n7X7VLc1ZP/4Sb97Jv4feQgoblz//vd19s8PwVwP66cRH92P3z0Ft6/67SnwfsVyRiMqSG+tc4iK
/v4URL8Cmo5JM4RdIHcCjIOP/P0pSH5NMSXBLBgr9FYKY3H+/SmIfsUDACIMSAERtv+Y/neeAjxA
uOj8QzXg+eAyQPcDPBYGJni5PzDPgtoy7deUQgix8vc2BOvVow0Dwj1suMo97dkia1dTTHSARYkn
GuJykjzAjVkd+Ko9xD1mcPz5zF4ydJqvPHBfezuqw1CNPkzrKrtriYBvaemmM0MljUu/bdS5q0mP
IJM4PE+Z2eAOAWMQy2I8ipOdjsioSQ9py+wmJj0KEDr5810UkHE3wk59bAwuJxDFrF9cgkQ5ECpT
e1CZWu7YFER3fuOuXabqs8NX74LEwITZTbhQMcvMO3xybnPbNba07x+hQoAN2XWmTMQ0pbD0crZL
FqjuhQ0gzwxH2GjMArOU4TWCImgwwmpeC/fYwGeX3ybsBctQqg2hDncoIPtjMgzzTrAu2ErMaL7P
wo1blJafxtZ046naQ2RpeLMFZs0xFhh8zgThQmBiTGffMjh4hcZsrgNQ6TBPNJGbmadTD1wtGzDP
s/zd6xbyDdp0wFD6rMVeIIBX9uvl6KwMhzzxHfmywjLzTY5Nssf8vYEiMtbZF9yw26Opl/5qx4CV
SziJ/WRb8dMxtAbbbtq6KhhAmxqX/QSd9IFjkJmUaMPsBrQf96ns+5fZ2LUYTQRUXLAmsM9FOsrD
1k57BQ8YysZawK6UKL8Ye7MeRJuRS1B7dZbHUu0y5QG8oRrIJetAdixfSR3nWihkwCy9Lcco+qmY
ju8wL5tz8IjXx3UKo0faYegU9zI9KDggd6kmZpdl1t5NK7bdMWjjY9xOYPdNrtsns0xzhjcV1QSZ
oWLy2y2aqnSnO0h7HEubMkoRG6wD4j8jIUzQEsG2GAYi1zGOENvWu2S3GO4XNlg7xND2Ozu0ybcZ
WYk5VSrCn054ZeKSt4xKpHcNMZDkSWVRmkKhGbI5PHe2igpUklBSJrUskwrRJmjyJQcJJNaBSz3s
+wxhhfGc7eQ0ea/IC0sBUa8G3NN9/8YlqPhGxCLdDGMMQIlqwnclwLYyA2E6jxjt7qqs4wAY22Us
MGNaVRHaxn/ngq+7pZmm72wKl6JiAcVQF52M0vbOP6Q2ghHQ62q+Y8JU+E80AAaRwKuIzFaRw6le
FbiAIS6dQnY2qhH/u+C9BJ8B+OHN4OZ4zCN4GKlZPVQ93H3rKI+ep3X+2hLfFMIXwcU3051gkyww
ufZ3AYn8+yw01caKhezmWE4b1XMPrl78icC68c9aw2TbdbLfx0gq52hS28jlFnezJO8XMb7qOVvb
vEITc4PJ5zuJByTFTAa8VjTwtlYhWM05te+IRbgfMV4R++27Si0gGmFSveFRHU9Nk4pHyd1rUmXJ
fkQu9iamt9W4YiZ478LmSdSihVUArlZSt+1DNY7QSrVDqnOETI0XDQXPuMnAakVmt9Lta0yd2wfp
PN4PmIF9arQB7hb4eVAtImWmgAWnhlO6mnkBWOhwkqHnyGZmhJ7pOKBJgnEFkGguziASaHVzx7mM
4LBpzU6FFQz84/qNzGY5cwTj/NCJQpxgKKFI7XvLCxfGbmtTGFeRKJB9+pUgZYbX25F2GY6wZwL+
1w5hLnwUeqJ9aUkIvyhMRSbJIzLK+Zii15Pd12oJwEPUY/sGo5F3UWjNNgUSytdHRbpzykxYBimj
BxxlvMqp05UoZquwQpOwe3YqDvuD56EY41ULa2FD3QbnDc9rSY40YbAALhi3DxG2Oyju+7WsJyoA
8SOvYhziu7WVzTMd463M5vTEZkNgyVW0HCiWbqt4s3MQkoNOzmw5kYwdYCofT2zy4pz1Ybij/RCW
WTt9R8GLE2ts5AF+4mzr+xS67AUriLuoLURiM5DTRFPUpoHRKW6mDWyfOyUB5s3C7nvcmi+YSx2S
bHpPhLiEHr/GpIZWkbNm3MYd5Cs5JOcj6kXX74e2/5iqYDmTRbET7sP4YQOU714t7GYMhqAvmGP+
vl+xUzarvSzAjr0DJ8E2TIQSWu6O5gEoTM9tnSxfay1TaNljV+h2hFAfrX+0wVb1BZb192xaLu2c
3acDNigzmR+olcx2QEaiwsaIuGs+b5s2cZeVhGGB9KTpIJBYNySUQy+XPgbCZ5BUz9+6mVRvg+0B
k2+7umTduuLYzrrCznVT1mmGVmDLx/BQ4ZKckyDNnlhF2b0A17QcJ5h7hUDr247taWwZzPQRDmCk
g5JZ7sM6866gO7QfclVNk4uUwbNa19UBMTEaGJnIYbcbxdtSte5oUn/dpTHo/R56oQA/Jep97FUX
lo0Pv06fqPgAxxAs437fb/34BkVZhwAYwcVGPxQX9D4T0nuE6RXTUoIf9T5k7SKKGG7ctFmOc8Kq
VzW5qLmrlRYPrgJOBqTTo6lwiMXKPTLYT64koMluBktny+wQ5QBwJIesrecyHSL+RS91lOXQTpIv
IIz3hy6qXLfxuuiQaJwu2JdRMTRRtMPC9MpGRe4uoi6+bxcMdgsm/P6RuTX56Kh4mPzYQ/9He6uf
c2m7M95iINNhUe4e5hXScnTe36zCE+VSC7v5JBQ8Gg4xUSMTW/RF2caXY/BCK2AfGJoOYP3g6pnk
beiBq4g+DAK0MiLKSPTxO8DEOAf7wNxVnq7OMRX9hYN28GSYdQfftrrkRK/FItOlL1TQ4PTOHPmO
nxF8CMghU5wrU5pcMEj17xhPCbLhwaK24VDQyNBNwCQa1jwOdlyQwM9nKm6kmAzNs1FX6zYb+Y7Y
vturSZ7ntPERdSEyZJWGiSrIxD24BxegDFoY9zfJwFsYAEwLNBEyxr5CHpS2aK8SGPgbpMugxEx+
dBSIjrTLMPoDu2y3snQ9wtdsnpspHXGE+AvNJz91xYzW9sOkST/sRRJHEGHFTbTnTRzoG/TL/wpr
YTsgLRCWa0pkulM1Y9ukSskVzjFsXKqKCSYBcf+6mkZ/MahxvZNIZxRuAVqyV151Lso5kuu3SrCg
KtY6+WrQOEeygKtDClATWDcW5stdFDfpS6jsTxOQn/D9Btc5AyM1vVncOY59mUdDLz+yoB+80hON
3rXRkF1MmIy4gcj0dY1XAkEjYtKOsLzt/JQL3Eg4sPehNbtb73irp3Z9ihosFZ3WK37wqWjGwcB6
aZoUdy3wfJSk4FpEbgA7IF3uIxK/hbhLbl3koa3FEr5ZnWs+U7kCFYQK/TCC5VICdtLuvZHDkE6c
3rtpXV86tw6bSX7VIUUFXXXgDiTNJ1tkc+oy3MTk2tykZztffkk6eL6Tuj6F0XplBgJfwD6mjwY0
naYdzIMVLTvgnvJoQO4UcX8xhn9SlW3SpXtCW/2zE+tT7cLvQUuhX/GS/axWeoJN8XlO54MQyQNc
EhhnLP7BrUBHJB1guFbDTBLy+GBYjLPHMVjIEgqYaoQ7/eyVIuQ7uoj1m2sqjm1zXnBFy4am2UIw
Zp8Wp/1sX9Vq7g8NuG3kUSVDlDwS2KcT3GAfKZxjz2gvB2PO4XTOO7qwR8IsGDSYThcqoaJcXSCv
GBg2gHO5tRz1kB5bK9hmXuf1PouWxcvjzEy45tZVfJfCEx/fQBSsjBiZH2dvRHc2Ex4peWyaJzbi
U9BJgK94OXtzT/Y2a+p92iPOM+cCp6v0Qn4gTJCHZFUx3KKIsLqEYqo/vRBk565Wqqgjoy68YlMR
IF3jAVNLs0HXAVAF56+Q6aJe3I245bja7YSwCf6egmDWOWrJ82k0fBOEAruw7Pm+natuI4AIg5If
b3BUY//B2Rvou2agGF+nzJ0lxqPLXL/HKsQfwnaOHLoFk0Uq452pRlcEo0xaVFiN/9DD/Z43NH0S
NyBFN753UD/jMBmvskafMxlXuY+DymzTVAEyECXHTg7zkQfBsJuNmDCgpycR6odYQ/JrY6bfPGKC
J90ucPDTxpbdQvk5RotxE866A+dFyJ1pEiBVKal2yoNLbcEV/D6pU3rmvqNbLQEkiJAMADBaoh8b
ieW9UnBHRitBC1nceYrqxySa/FM4wNEy96s4VwvgG54HCtsmBkqtRfTkJJ/Wwf0YG+Xv59GDItAn
VIG7dDMd1CPpThEeO4CPrI2Kmrv6JaEzHlnGsicf1KW30YmWbiCrZ/APzp59NmlWo3yQWXh7AZmc
WB3iP23NHmtw3lzh4q6HwjtbS+5jRyCrHxeMAyPFw+6dwaJx8UmI1TYxMp2irk5tyXryblTabKQU
eLcq4R1TX61H+FxQsArMvsHGfNCTSVBGNuxhnatsgx1OPkXROmy5gSZAx31ym3u4b2by17IZgBwt
Fq/XP/peqrdoiMScDw77UM7QYghVrXgxR1Xw6nTq71QTt9dJL2CeJFG0HVYjDqAntee6CZ+xGHD5
GYfFO67EagmhCejIIOFDTDpWNdD4i8L53OD95doCZ4ON5fa78JxUzt3DgZheDetxJ6S1Td8lFsad
ndMB/Y6+PyMXySsgIV+e0zXqi2R05Fu1LkthO1v/RHstfY/JAueZZ93zv6lI6nWAmgGefZ/fni5b
8L4K9kD3+QA2eR8+NLl3/zYmDbhu6EMCaAvhjqcBjFtAgbn0TXxp6rEqEgS24LZQP6LsbC6+85e/
Dff+f/vuX/Wwb/k+//v23UtrPuoOsq+/NcT/2vW+fcXfWneh96ufZTFuTzEqQxiHMBL9WwOb0l8h
6UYXDq68G78jQKf8t9ZdRH/FR7BOMC+GPAntn/9q3YW/BujawcjnwcqFpqD/32nd4XV+17iDcADq
J3QIbzo9jOv/0L/GI1hl0gLPxSq4zAn9rpV5aIJlY4J/JbfCmPuP3fLoFk2Dx833oUBDwxC/8D/O
SyEj0AIpt1OJK7h9pJMFR4m3c0O2FcrZETTENcOhEKUrRp6rSKbNisl1XQjIQE8MpyhFee44nima
1k+C1OE5NWHX5EApqTrPgoZgdGaScV8bHqzokqHOOgZ10+kr4YoCohbq5QjqnfTu+zi8EW3EsECW
g89BS1zM6qMOVgU8W+td63FB6djAk/lioq4Fr8ZfQ7vLhGtfwlZpeJ4ST6+bimI7z/V6o8RZAbZh
sfQ1ukn4aHTADXWhZcW8JXoBqzAZJJRs2KJ3nkrGDzaK8OjzFHdF4IyIGi2Yj0x31fjgtX6vHgTs
VgjA9BDbUdKwmtVhRjvfHNHjZHEBsrxazjj716yYu4BNJ9jg6h8jIqWzfdLPNeA82OgpJpHhgP7I
2GRhX6DdEme4Ks46Luuew8SwGJ+Ig8R5/irWQCJpINDTHcFo+jxb9F63ocAYdjuxRmNyUKFk81/I
qrHLsyaM5RP25iG7byjR/VurcZAeqLOD80GGjDvwgTsXoyU2mBnKDF/NHvsWdIOICpcA6lK2CLAb
TxUwi16pB4XExAkzYBC70IbMncZbUYyYk/CigbpGHEfK0/Cjwy9kXy1PVAbWk+SvadpWwQ9fU8Re
WBAoVFTgNuPH1xRKMPXqMzkC/qMhwShppitvjzbfiqVjqhnfQIgxGLe+NDbbc15N83kep9rDPUoL
iJFdx4eiEaurylmh3IQcUXsm24eofdDqoigs5F0lBVmPnaqj6mFt3XSrufsGrb5hmZf1abaDTdqi
g4uQHUd/WPyNGh0gj3nazml3hVQgqQ6xnnh7DRJF0iMsrtQBDI8OYt7UPR4NKDXn292wDdlWuQFI
0PSv/0/jpenyBiEyUWlWH6V8No8r4v88ZWhOYpLWBzOOnGyM1sjIQIYfA9g7onO2tYICNtYujCEO
K2v1AXcjLzwMKII+cG/Q9AHwJj2XLeXdU2o82+4XXg3jSSaxDnIzCB7ky6j978glbk51K8b2qw8V
fF8AP7KgM+FqzTa9WML3GSuZ58DPfo4xgJ9geZm9057EHXmhcOl1DLmMGSI00XibOlwaAKMQzcSu
0xxFUbGms35D3W/PUxKZnQezFikRtgkzIrRFw2n2kbao3Q1Dwib1Q0eevcRk1NDZpQI4n6D+6Cxu
eFiXKkZJQiMSlbBWoIVAkuYHm1qzZQgPBdCtrve111e4oa4V4INynfeKEPkU9tO8Y6MKnkNBPYSb
dMh1RFF98czQfe/iAJiaGD3Esoqxo+0UpEDHNJkXrCdVvcRVcGGJpEU41clmTqr1zqIxcjY1QJZA
AKY+OG1Zds6WGm9wVXc5YiRxwWFRWFZLM5Mi4aZ95RpNVC/UcZv7sSQ/KudFhYCA2BQqnflLwKgq
dVubkrA2uTIIYS4Zm79EWo0QE7jHYE5DtLLMC5GjXwp0HAvd+N2bqFddaBuatwr6sZMKerHHEgLb
t20pApBU05aRXTV6G3w5Ix3YNJ/JbMMDcpwx8NAI4QMpUa/s0fNlE+XE46rwegoDhqvaYWMzah8F
Yqk+BhBY19Iy/3PxPOsVXibxh4N2Cbw7HZFzjcNi6+i0WEyKzIpwa013oEnyr5RizLAV/bJeFrGw
I0dBDpbCiEZlHQcIgVFwIuoaAOKvC6MZAKeoSYZ8pSw8s7W5YR0QiUVyUckZuU7Wjqeg0um9UMxI
JLMZ78OwrMlyEF7H9ECzeciKkGH4+4KNHoDxMbHDlxnajOzZYovnm0bb5udEWmQMVdNAD2ZFKQkR
zkTnMqbrWF8k0Oz06HeYyy5xvJpXtCY5/AcaySt43hJrwDbr06qIloZosGPDbHqJlGzMfsIdgpdz
H5F+Y1ZbL9/Q+AV8Gz4X/trQsDlXnPMAcye4YLc6QTdkR6CVE/CZhm1SdDILOqDzgCPmdDXJxQae
JXmIC4soaEj6+pB1DQ/vtJjA0OH+EIEpxSp+MLUOwzd0kZn+imoQlLXK70y0wROS4aI+deq1iyuN
PVommEVjrI3WeaKrKsAe1Irv6PoS94NiZ1CfI0YOoEFFs2HR0evjqCmBYelHjMOA6c3V0AP1PM40
DQ4eTITh1SRSAg6XtTFcvFXSPKsaQMHnYZpktOYRSlnoIqBBPnP8ykgDwewCVa/D/AA04FVOuzod
pQ/RUCqv2mfpefBX9OSGapaffQoaJ057IU/WI+wTqLbObZBWb96US/hJ+pRewYzD440k+XWTmAwl
NTi5c1p4gSDPBODlXSKMe+yTBO64fgFSL3Zt++p7c4VvKlEa9I2Iz8iAXe4nPEdf20F3F2Ga4HHw
kJfkODb0XE7NiN630roIsrEtRscBkbQINbKGrWUQDSDkhiIcf+h2Gi4w09V7MVrnlbSWwyN+0SEp
a5KFOxnNHd/EcwtI7LygIMoUxkm3eazs0CLsAGkTtfcFmYs9IkCCLNuSsYdQq4vQGtg4kDq7Oz77
U7xDJ6OKy26o/LBAOEklrxhliNfEAFDpax7eJ4J+dYvqhzz2pCxlPFV24xE5PFQWCXARreINoLLR
Ht8s2Y2pkD97jZFVAYFmjX1opCeccel9FS8GyC90YkfEgAEeizjEROzjNgwJPIVIJkGCns52De/n
N1A9eFjaZpzUHmkAscGscEqWcsYiO7gYQRXQRqzhpSdpcsrEmjb7PmL2u8nQ8sVm7+27KV2eGxvD
gB0k3XvmfHC+MWaArSNd/dJAyFGsC7qNw1rr18ah31HDPvsQtzH4rGnGKy9vXIJ3ekUP6BPLyW50
myVDPmGgePLSBaMcX9LgLljQOtKa+T8Hk0SHWaQD2Lm9BwfJItUR1LT0LrnJrhsjaiAUqwiMzdnZ
o1y77Es/iplsxqibN2ui3AYJKqQ/RhARVrnAn+JY+83XeZj9/VqTG4cZ2+OOYHC0ncfA3xPwo149
OqEeDBN7aDlRxwmNlFO91Pa+Nm6rQ+ShRlTFW2rUcuwRmGWhyKqNhABvqO0dXnbvUbQN8yg09kii
JvhaB+CeFzLo9d4f7fjFG0YMcHpC1H2ITA+O2UfflgFdwsemGzHub9CRe7BBUwHxiVHflcfVJR7A
JW2tDs5TP3EAfOdZBfsKl38PmOo+Oixj1+/a7NbAEQ6YZIssvoLwBEFb0QSOHeZjcKMuC5R9YISS
t8744ctQyaUAyJzthzCRD6IJxl0PUPxppQqKQSfCJ8RnmX2CMKsHajog50jSXVmdiYeM455R9n5G
c1HH/ELJgiEe97JhD5tL96qBJzqqpgc3LWH6pe4WSBsm7MBDMZhpqdDal/WtbUluTd7bwZNhep5P
qyeehgBE7lLjL4Ajhyzms9cpOlFt3FfVxQsRw3sAFVUO6BhOYLmPy/TSB1be1zIJtooC7JeHZKGP
DjwDnXOApF4Zut67NIPmutQx5sk5hn7001M8246LP/AHiiutyoMKELsEw7lrsuJdmNqmv1sSinJn
oFrfQYmUbbAuaAl8RgpQVdrcJYnG86fqw1Qt9wD3PTGMYE+pxO7RahIWiGwFNz4KbFFxg31xWX50
BNbgHJ4XNuXCtiGaY4Ao75fVnDIQ+wCe57IuTTuSTdrfhKRuwaA+kZY8iDlNd8abvYuXRWpL5vYd
88LmlHmN98HQaH8YKKtPyZQ1H0sM47HB/KApUrDUP9F8AToMTZazy9pqr8A2fMQ1C+6WjgKmTtFT
fZySWhkQcD1+hBcuxpJ0mIEueALeMb+p7girwJ9tOgN9PropBy8b18K2QDtXAnCXBchaPOXaAyc3
4mf88MjS9B3UFabJwErzw+Ws20Ek+2ZoxcVA+gIjizD6u6iq6tQAxLrXGKvVOZmm8Up1hn1OuRDI
cMDWgyClYBVn2c6EBEavWUL5ADBV0BVB03YcCthJg3jVNh9RuNDzjFsCBoCz8m1JZ3D7N2MtMSZe
tQSKnaRX20eD3BDn7Fu3oIG0mV2g6wLhn+oAkNxYxjN0Z8xDMIrxBIzEq1H32lgD2OM8tx9jpUBb
xAQX800w2eUj1tM6A1LcLd9Q7QA2zNwylFmk0w/ho5BG4cvqKV+RGHGmOLcebGXQ+0UaKUPTPvAA
r237lG5xGiOvwPUj+2ggXJjKEO85WGGd90Mx9MlLJQPMTcaYKihDqDN5gAWqtp1d7F0WO3DC165X
E0bedBgLdIfJR+93bkFOxNwjVHp04b3t9figcXOkRUrsgHnfDBCsSuFUn9KoPiQwDDwMDuMrRNph
2jZ2SYKp1BqKD4nMmEuIB92VHYq6b5HyqmOoVn9AhzZ1FQTLy/yc4HRBdzAAJ7KAhrXqizRmFnB/
NHPONeXmqAcvQfOa8+Up6ebebk2K8wd6FyJL5ei8n9HLuPaewuCzT8LzMnsoKqowZluXNRXGZZOk
98QjNy176+2VsEithsQRjNBWPCfan8p64fXzisMz24TRfB+noJiP2ToV2H7dlotMlUMtJkSWpViM
I/SKYGTgArGxU7tcxW2wtiGKYI6OtDuDkWvNwClOXYhzYgYK38CWhn2qWkb3jipP7DKCSmfq06Ro
GintNmJNcMQiRx1GKvOuwmWyuw7Xmt3AaivfsHJJXUw3v1sJnDgoUw26PGOBy6q45T8MHxC7ENzy
wNDbMnQ0IHOc0MLZctlDeLKGDFzqYcBsKO0lfsCui5dcBhISDkJs9MQwscUYCidE2QfCSy40jREg
isrXfR9T0DVpQ7Njy1TzUSc1cgNsBtpXggkmAqyH8awGDhEZ95Ajc5vW7VtJ8FsGzOGBl/OMbInZ
VdCl4fZhv7ka+MydRqu13oFfv6Y72Uf+AyRNDp2MGTCIxxiOqhTa93iFAiZYQvijleo9qGFiBuYB
rhxQn+Dirj3MpWcJ3T3ndXXsuEWhzRJV7zrZpk8ZegCAsjVqfljxR/oyxJq9OqnrxzhYx6chxjZ0
MMQ222WJqzMBVnAnmRc/4SdPYlzJh+ETjsnloe4C/1VD34kQh0bmYUzaC4+1l9fhLeAkSVnu1fIB
RefG+jAD1tSq3AbTq1ULbpb+TwyWv2JriEokXuy0pA4SCYPOgEF1SLw6LHinYR5I+BUZB7pArswL
r4OrWWBc1SaJy2kwdrNWWZhnss3jeHpyQR1AkMXllizzlTX0WmHy5vVhvWEm2ita3d++e5iaIqbT
NTBhvhCGZIN+Lzw8Z164td76NcZbj+DNFc9YA0sdRTKZwIaNYfQLUH1l1Ms7nzvcQcml8aYrb+Qp
Zt1H6tpvYFPvmOJojvABaPb+YRrjsQgJXgv1+bFP0mUbh8MZZ4G56yZ+GT3vO7gQL+iXaQgSIY2Q
1c6R7oJLwpalBhMvY3+Q0EPQhA/rOKwCtEO6cjMvTd60cWn8ZodhNDuvIH5XYfstgayGDO6EeE08
ZkSeNWZ958rHvGsK5PcwcDucVxsy0J+4xiKrowHuFsWUn0Nc/q01SGGPV1tWHoKQlC1l2n4zuikt
DV5se0trs6AWkgk3lAV8Cv7WNGx3q7itUTFMEAgvHju7xS32cU2nM8Q4mygNTqB37BvWgN8c9T8q
j35B36ot0TFFxkdXtRtUJgVp3alSYwmy5AEqcszT8UZSu68JcGj+/ISGU4lbQB5DeiOR2WINf/YN
P0fC/z5F/i2p5gKh/lBietjeqO1bwsKuoFAI2nHMEM+RHBNXTdg6Qd2HMm9I6jvolja19l6gaj36
sj87Nl10R0/+unxG6n+wdx5bjitben4i3AUgYKcg6Jne5wQrK7MSNuADJp6+P95Wq82gJU20NND0
1DE8JBCx92/9XzmORDnpV1E4Ty0Gyogb6nFtE4675cWlSsIsh8Mq1KMh9I108na/cER7Ij+Udv5t
NvV2NbOHOe8fB8P+KBxCyjrHLaO2He8WsQSInFCcFH2yc1LjMkm6ng0nP8vRfnXD+sDCeJ5EuU1N
wWLVf9WjyDakOPb7zDbOZRluSfi/n1ymoSQ9YJOyKNhx2DnmnaIkYWjMd615IuyrStQknSL07Dhn
DJZjSVTyEm4TUvkwsMZjIcL7GQkUaenoWOIyKY/YvPp9MK7tzg+6uNYtPLRgBUw0fQsTXieAsYBr
1jZPnFrGNqm9Gw6LautquFq3Xcn8Sz/LxfymlIPhzRJ2VJq+vxFTsZuUa0ZJT1njNOZ/21C817N7
09TVSB47RTJh8lOAhJEtNqDi7YLkqeUqiXVYEQma91iAiiKuGvuhc5qGxxILT65Dnn2kINI5mdre
ThZzhKHlrslRagyaM6aEbVVFejfl48XneWzW/sZAoLYxxv5YT91b65n7Sk0LQM5b49gbxK73OSnn
EYDmHf0pHy6upKhLyGBp7fTIgkmZtHusBn7PCUFPkVivHI4XrcWlMagXssfljCr+5Bl1vVcVQDoh
/921+sE8ydRa9nOQBlvDI+etqfqHoGaNKkz50kJajmOa3s1lBzlfBtkDkMV7sJh/it59b1nRwdid
givVtvSdlYqHZqLIbK08ouZnn9Vrrv4AorEhwJ8bKdGtbfBlY0R8dn3mn00xIVQtbJGUlyWd2/mq
NEtuBXP0dgny4q4ueOiG3BAHShkpPJmqKhwixb8/i6/ajs9Qp47eVMSEj1HloSuL6z4fq02JlXNl
Z1i7iaa4roxmRGax5w8dOxwFN+ZSRfWwXJhvN5UTLvyo+Xc4GGAz7WyUe0fr4D1QWfpY68L2DiMF
bkhtM4PTSZdpcU5niFJUX22+4H2SsLt1mqSMWY3ekHEwUUJRWrEnV4vYctaTuLnOg+li9Ef0SpS5
LBRPblukhhKcv6dfpvPGs6KIS0aybxc7zrKw3dmdz8GLjqx5betFoZxGn/pMF9l4XylneeQWCRxs
wK6+TEvb7k0rR08kAl/flWZY3cmqdH6CJdC/9uKvb0y33WZCrULJhtM8OwA8KSk1O9Tu1ka41Y2X
iyBaMfltOzH/ZA3HrTSK9z7I3SOtvCc9I71cbfVHZcVHsbKFuGWwQZV2GwzFUafLsXT0F6U5G7qk
jpYCgpTFDjZljXzX+At+55ALOtRxSN/WouoXCOazDvnOhvFZwCjsDISq0UK2KZWWtw38xk6uxrlz
gmdegRntO6r6LFyOQTifVI9fsNTOMausF/pZ2O3dDZU/n3Ve7uCZ2cPGX7pg9ykOcL9d3y1PPQUI
dansdvlakm2LMV0EEyEzeAx7a6u5eDLdv40s57m2fttl/Eta/Z9i8ANQdGtLU8ybpdJHdOOXpFX7
dEy/7LU9C9s+VLRTQYA8EAYWhUG9cWxCEG3/s6ps4FG/+4V4/E2bjnlyibO2vTiIvg+TuZ5Eoo+4
K49Nq25np6F0pT8NSU5DibeBYqWchtavNQS+Cq3XXj85Vh4naEIW6o3FWAoUFZLGJsaVZDVBeKhV
8RJUlcIIIwipa+1LvsVjsPwVGkRejp99k897pFBLJB1KK9TYnUudvKTSeA/HbtrXDs2nVhvU/MDL
rddmP6Ho6Ghiyos8Z2V0KcS54666r3TIjuFQ2zX/isx+JBr6pRZD+b3MtYqSEXAN7MI7ynl6XZV5
Tas0Fh7CNYAZzMONsaaE/PT98ADkHkbc1092qWj00WimXVNdWuU0u7LKy1trbs8Ji81OD4To90kn
Pngv89NkptmpqBHVAUrhV6COxRwnsXOtIX9a/FbubAyYtVWCIFbfbuaT80Hh1hrnrvGgNNpOoWXM
ynzsnOm4YNI7yMAyXkDB7+VS1QTrrh6EKRMqwmX6NqIaLV1MU9yMkm2YL3VPy1xVea8YGchH8zKE
O+GLy4oaIh9r/Khb+w8h/eWBDjfrHdN0gxqPYaBB5mmuYVwo853lC5TWMlDj+sG4XTq4hCGYBqbp
6htlHM5BQazEph394LpfT/edWchDpn1TxXSg6XezsDQsV77cUZiUnERfGX9zi0KlDjMvevyp2E9w
U5uhsb8ohOLZSWZx48NHHBG0BT9LT60ap/dpqIP8uffba8MokmfLC34GD8kK/ycCHHiDHGeFzhl7
4MxpOfTg9/dyVsYO62i34WHcZsgbb8rFfXDbfgabWYw4WLSLqDDMd8uqX5R2t/TXzzfEsr/5pXlM
w1STE1rGoKRfdpkzhdW7wkYzjKf5FQ0m3Uk2gf6Az1lkl/43McgPdA1t+UDzLjS7Jc7Tpn/Pcp2e
VauQpKNSgHlaf3kNYOtcHDFFMY4PQc/b4KIL55v1iu0aEqS5eCrZqbyxn+Cj+L1gnM5QEd37gmU9
2Th+6f627rxeVrNZtxhRurOD+p6k3HDF8cyZ5QeLi9Rs4GFbYZUWoq1PxMdRBeE7BPU383QyFAfB
tVx5g+QVVs0ll6NEdD6pm6BqcaXV+mDktruvq6LlVqv7TRjW/l0lx0cF2XnsaiuLGVTSyEaSd4NW
+24er/NhJr9nnw1Gglrv+tYWm5lXNaJ/B18KZ2tkGyFMQZrclom+GZz8J0v7hoocT9wblsLeUgy7
yRTuluqLQ2t09ckF9WF7gy4Ra7cLRxCRqWiDCDv0S98W+lp7k28tp90yrvMZkKJVx7XkBJ4bbmAF
Uod+djb3GY1bezMYgMo7u0ZVZbDNjz/+umY7g4T8Yy7pulH2+L0Mot2lAGzncSxq6E/PMOMmE9WR
HNOvsfbv/VRquTFl9hQaC2py0qDu8BPm+9LgPAHPb98bnyoReo+3BoPthZ+CEo0cJjNoZBoNlaVO
BjCdXHp5M/UAMQ0MQUAjx1SXtI+YL9Kr5Y1KpnbfTKV/XtDmRlNrv41mZ2980ZzSisK0qcqXnTRr
/yDRb25zmznVGerkYGmXpql84IqHKMDgJGQfe163tyb1q+2MimJ3LHYZiLYfedKbT51J9xl9SVXE
K8BYElzrt6RjH5O+Tm+cdT06QSN2q1vF4zx7N2qthqfSCD58s6/3dlN3pxSzMwd5DyDaO7e1nzgR
U+MNVFG3NWVys44r5MuIi8Aalwq/hoaAMzKKp/sEGwkg8UZ7S+1Ec1ro0zx0xV52YbHLZzenvBCb
TmZlT2WTXLJi+JsX3nShDrgm6aaCHE0MnBHRWhq46e3BYqErpihBPBDZLOVcQLl909nGSwYUss3n
uj0grgf3M1SNrWHIhs/AUse+MB9Jpg4hltCrk6M18JHRxyBty8YTN4s9AaaWh6CU/D6ya5gDuUhm
4ISPeiUilzVz3VoVcwSryiZbUpf9EiUFMK293GeyMf42Dl8k6nnnaU7lPhmCJx3677Jtv8HbjBvq
zYtY5+EtZWpLCgbsB+dgtWHS5RLah2bo67/oDLZNjuAnapOp++mn0NsPS7pC0SfJgWvnmTZPJG1r
L99hUv3YgJg6htovWUOHO2G1641CQehskuuvbfuc6GBoXJLZsDeEOb+PpRxPs/KrV7rCrJ2bjP3b
Uvvmvu9n5kZ0l48Os0uGwzAQ92Ool2MRgrWdFGz8LtM5VrGmbtSGCnrJhCghUoDjuQ4zr3ldRLpS
ciqKh3Vsr3F3cA3sL68UWdGwtfTdBnqwnSD+amAae5rOpp3gmmiv9ay4m27z6XqDBLB992NgFmvU
ktvJ23WVWtuICE8A9aCxoYvsJDbWDsZ6MhB21oNrgiVX/vjXMVUDS8iwzZjx1w3ZD8aanFbHAi3N
aOegiKeIvZALMJnqAxOqhTWGottl8TQpN8WjO1pvolluKOEsngXadi2LX+xPL6tfxWHRP7ghjHAz
jesRKdCz52Zu7AwckLDB93YmzzwJ5zDlslqNcYjbeuT9TsmO6IJnAyloPVzdmQ1cbKe+msx6cM0U
Osyb4qDj4Q+HFM9Na5+BXTWzXnYS8NCUXXrNcSDE4KqAvmXqP/sj3LOb5aeyQnScW21NpsVA+ta1
YZbq0Cy8TwxtnrLUz29drmR67BpVvKR+27Lv1oh+N2je/QNxMNOHqlW/mzPpo4wdE+MoBq8+6rGY
48JYzZdUJQtiVGSuKl7TpUSgEi4QuVbKzRewP71zO1l/g8YoH7o89/dVZhNVhYlhZT/vaTOzqwEd
kTeOZoLTqL9ap2v3h2gh8AuZf/jDbLy5sAPYeijIjDGrst2Q6Lmf3NQ79H2Hgil1LQrT7MFFVF6K
Sn7WCsLxTDYEVd0dsmMMMLORJ7iPzK50YlM03a4USdY8Nq5lU5NXrPO1Hq+ovQs+SqrWDdHOrwZm
ISsiYDz9VKkItqTt5E9jdmWFEIq79O6aGtwa/5xSG+HrYteXvcmIjMyjhHBzVavPVJfkD0brlGeN
IO1XrL73Nk/B3EQWDW2PjbSaHXeb+SjrJrtNut6Ou2YsvrWwpyNf03BeKwo3Q2fWZwuoxNmNbpr8
uJWLVjrw22Vg8V3Cw6QZ3+JAG+cEkDqif1HvIBjBkq1kwJCEECcKDbe8Ss+me4ASvhgscGOEqg0d
OGWi5yrM/DuL0JmdEbg07rWjvkK7vtVtKt0kBIF0RnBwCUEa6A9158OKED7dCqPONyTsGai7dPtm
WrNEcVevqB6mTWhcc8ybLmUJ9dQ7/RXyqXEMX1+ypqa1eRjmqCOnhIvBh1P3DB6aqGEQI6rDcYuP
oSTmCeK44gUU9WdJD8xKfayJBMLB7oN8h2MvxSHkLS/0ATZzNFdhiIVvJR5rWxttSG1qjXbX8ozq
Np2zIYvkWlo/lNeWlzbob3OXBGVQPZ1sZkgOi98lF29uV85/gmoAQgpK8zm3MtfcBKqnFNDxZ5jV
lebWPaogSnzb3LSflh7tCWAx/O8mAXvpdvgqpuIyjR1poqPnpJEoJv3eIYSS+yL0JA0lVT3FvtWz
HCSLhWRHDC1iMgeQc8OHpioNjP7gsOntp6wqmblpTd3aZZ8d6Nq57v2LTBkxO5VfVF67D+EVAqAK
i0Qg5cpzC9weYDYKxXfbZX16UPOMnFmUX+5sVnFvJwgIHUrPZKJpz4Z55aCuquYQtka5LUIV8hMj
KmlmnlHmDU5rUg11aRasLWAnpmMO9FRjTit3tW+0T0UeiFtvrtbbsG5tHZmNhv1kddrklr08gvNw
muqWhysyJ+md8iA3bwvbGC7o+OzTOHr5zmyvFSqUOu+9mSybNhjvzKQpOD/r/N4Kc+firEuAfs0t
npVXO3R6ejUhYKhbW1XOEgqdOU33y7JB8vrXcjlcrbnJrgWSxt2sHAvFxFzd2TpYvxx66a6N2VDS
QZC01qYnH3UX4H70eOpS85QXVOBmVb9aO8IiROSKNejjdZghw0LfLegaMME/Xb5Ji4JmvHl1pj+H
Fp/KxjDs8nGg3pvC9XYE7C7swqi2PHlgZq6d58wNuqE4KU9R0K2rXf2Go+f+bZOiWHe4NMgwNK31
hclFMUmzbOL3etaCwD3b7zoWimk4+57y95Nuu9t2NKorsOiHTzJZ3nNGJYhq34ENqHUd1V5B4Txf
4nTHnpzc4Rked3AtK8YzpJ6RgO+rya0i2Wxuwr9qEN2NyMPpPrP8ut9bQ6cvyJzRUHRug50aB3rU
FbZNz7sHvzN5oKxEhjBv24uTZbsVou3qbm4D9YqIy09e04Hk8m0ehtURftXoYdQ5qN/c6xWej50d
yQH+5DxNBY61tPBCHt0puGkm+I8D3BL9tH0HljasSXUrehEY+9HwGSelNMNiX7M3A5pqux6Ae9vw
wi2DJW2tZIITzqK3yQWSw5dnLJPigHS8bchy+rPA+eNuVCs1nZ1l57FSCwkfmdOeqPxF6jiXjpBb
p/avPcF9bWzbYlico40RCx/87GC1V81KECEF2SeES9VH7wFfVlTOH+CALGh/2ANkPMv84zgYw8UY
VNuUrpBdlvDfhe/ov1KfNudx6A8p0HITTazTuFh1/euWyKfNzPoUfmt5hzrXbNdFHzyytyUIfM1q
BxUjdyurDu9Z5uiFlsByOVIAK6KJVKXNlCf0E4/ki9+zFwALq2mNXdEiHNZWihYIf3N69IhDgXms
fYakafhGc/IWIv/c51oke6BmgPBV4L7PRnFoXMVFoq8AjfSvXJyN788FegKCWnwrdnN/OFR1acuo
tEfNFVAn0/uQBsiTBU3ktuAQzNqsO9i1k+5N0tXgarDAqEgRbvSUV5JXZ1pCa59j43aRMIcEFYi8
S3imG5fcltrJ+sc5NyZ+jxlTLnkr4/ruEombbLBhhRO7wIxkjXyb2r1ch0lNigN4cERTYWpF00pS
Rr4pOAaS+zQLAuOew8WbyKvghrvGI9TecGr0yiAHew9HLhIK6GOc6B61smMx3CSNjbvKKTj/6Y5v
5sd5nmp7UxphXLLF04y7EPcUIDHf9p6iAJq2In2yu6o9dsVqVPeZZq8/zg1Wkl3DZX7GA5itB1Sq
XA+klUznQmSNf8hmhRDYU24CPdg0sAETq/o1lCtIHwqdzuVDbxtOcCINRLOuk4AR9XVuXgMyfZOY
aagvtQnsoW0eUw+yOZpIzzt3RWY+KTftjmbZDWu0OmE179uubaK8LTgsK+ygUbUU6gGmlSyxIq13
qgtaSjUJR4gr1xvIHFvEMOxhq1oKn4J/huuwFkt4jmwsb71e8tc7q1PD3s2IOIqm2bGmZ9rJWUFU
YWFf5MSfJR24fkFCj5LivTALp3+aoHBN1FudFZKdIXo8X26R6g/iitQDYlz1DsraJZtxSBfzHVCB
b9h2dblLkgm0HUN+y+buFGRy2Cp38h0myhCSdpp7Cn87aOLiPmRKLS+IAFG5J+uADnwZLEHRCn5V
72nusNEuR82XFR45d931hnIrD00zo1Rl/fZTllTHMpCufJSJbWGQGk1v5yRl4+/IKWHdquCXLrR+
htbRyMhyONIyLnAijMtyRqE+7GmwZc1c5+CZFat98CbDVuAWco05uWy5r2krvQPIa7eUfC/ZJpsG
GCU5Zh9hOcMy436lLPwKyPfwfmbx04WteHHFDEA2NRlBLXWfYRcHb3tkq0yJMGCjRNuNcO9tWHOc
+XW4LHKTeiU+WGQM3slty+C+0TiOITrolxaN+bRKzz3KBlJmT0EKy6BaR/ukFqQvm7YN9ZMqTUB0
2/WL77oMu22ZdQVdxriH1ZaacwfpbGaFm95x6ItG23BeRdNuQ/6VFoxgU6iDN/aooVQbFoTUcQk8
paCe0yZFzv5QrF1zF3jWxU5MQ5zLBrnULkm9VWA/QWhb2nj+ke8JcjekPanjXBAnpzkS5CTwHovM
0BUi5dW1zwTbOHeTLbdT2pMukzfW1k+m9akcSP84ckN+IngufmTV94jAgSr8wuvHuGMw16ew1qM6
IDzBMU4YQcFKGs9pl31xoK9/U14kHNruaqlt3Vodu5qld8Tyw2+WXmZwVltqOMDJ6XNHdG95B8Ck
ItNeyuzdqcog31mjX7zU1CQVMV8jVmuCNbrfaenWd6fL5LLzZ6AN09DTDvFGy1NYNEF9N3RD0+9b
YncS7JN+etFJnp3qOuzfq7DyDsFAAkvk9fZg7gpD0X89QFmSXyMrH0Y0XxNmB/pyceaNL6IFaEaM
HO4XG9UbN3Np5R+OCgLuT9IkYJ59l+oWkDocHu41LRIqzyv2QZBbcThV3Z3vDN2/pnv+f3vc/8oe
5/636VavX2P+TcwbQZHrf/LIXf+x/xny5rj/DPE1A8fxibL6N48c8W+OQ2pTaLuuR8wb/rR/S7ey
/kEjl0PeNe44C576P2S8Xf+IiDf+fvxm6J2C/xOLnPNfmq9ti1hhG9pcWCjxCcy/euj+Q8rn2Bp2
iqLOiq5BJL16yJ2HZPxKyFvwx3ioD6u595cnDqoiPNyBgjyG+Z0t0m2S2YwxgKiy3QmysIyQlbh/
rrtX0b66DM7zi6lvs+4esiku9iH1ysWy95LNGjx4zfc1L2G5+Mmjaz390574f+1B/X8xYc3/by2a
T3/7P/nXf3r6rv/Avz59tvgHdzJ6S8tFkf6vT9L/iBgM/hFY9O/wJ9eQV57Nf3/8vH8QUB+KwAuB
HK5VB//u0LT/QVIhhTH8mQj+ad78t+i3/42IQZ7c/+zRJL7QMnmGLYswc5OP8l+ePzUqdB4JFoFZ
zd0NfDY5AXgIyB01iVrwnO5Qp8uC9twd1Y/XGf5DZyz+XyMF+iurebjrXETT1TL2X0Ne9n9momY2
zZrIWMNb3C8VoUZNb5WfJAL8VO2sKtZuOkmnbHR52Mtum0hP7YnQhEz2yzm2NaUtZID5N8XcgtUF
CmmZagbSDZJyLz3dHgRGmHv4eTrQ0nqOBXazk/RM8SwHpCllOwdfeVYFEaF1ZBsg3+qKMACOmeuj
DEl4WWRGVHlrOp/oBMZtnyvzgegdLtJJ+Je8HQbkIIQ3x+TLkQSULbfwoIAnGrdYDdzIDYLcpjSe
ws5PvoOGUT7Q/fiZrfDsRUo0QY1oYJ/TV+4HeXmVbSz1cVAMhn01fJVE6ETaI5yL0Y+4lRZ7wWxr
0IAwR4hjjvW77FmVsFGh0qfxkAAOx+eVzfBrIG0XGMqUf+F3OJIl6++qahwubl8JyWcjNIZMmtZ7
kHhDu3hI2pKUdNEyaXeE6a5TcJ4d4yUlwp5CUy4wKfzXmvH+AMJTHYorNeWy/dMWuqoL5I260730
+MA+CA31ESRjbY1cOG99sdB3mqL4agJlbNbcHuM6FcVjXwMtzQ6L/pCHpHckZYxjoHhNIA5efAvh
ekySt6F2spuRnKk2SfMIm/soWTDwzUaBx56FiWjIAKcbXxtxS8TswyCTXkf5DPG4R3lBLkPa2MNt
FRKLXkAz7ngw3SipvEunmjLcBeUyvPfkY9UxTUf8z/flWHw0qaXnyEuYLPYjEXAXWTvhn7YT1hHu
TMZFP7jPS+bXFVlDbkhkT7g8aWEhUhuCD63k1G9nIwAc1D3sFuvj0yyNrohIgCux+dfj2elaQFF7
KjbazdQ5M6U+Z6lcLmOyJCpaA5Hd1pj2UTg2uKGF60EhhaRoljHa9w1aiv4LsQFU2CwQpmxKZHb0
uC7jQ9dbpE0PUsfOnCTHHh3/dpVLcirkoIDXEyXZprP0ZZ766uxgAVWooki8wksWvsgSos627avt
0Vniwh0hLEPyd3xsPXZHGF7f9PqZKIe6we9pVvemCcSPHmL1zSgDWO6jwmmS7SyEcXF4+t9cS8pP
OiDmPWMcsSG1C40w83W1sbPo9NJcHzaN868mNWcKvoPZcv/U1jJX0UQ4jt5Y1lIeBs9/Q6HU7nss
t+BIzWiwUmdVjZ2abLM0cpuaXb5ZSqIaEfC0r7lcfUTEg7hT5N3Z/CebGjE4lDrImjO4p06Q8Dc6
GHuAz2n8mJfWeK0DtPIoJ61v3fQFWSjiB51P/5y1th1iEG3lvnPlKdTUNZvSS99GtwEJmcvxpwnt
5MGQk/HMvJeMG9zz4Z8JKPE3XWbrvhndlRjulECsIDVu3Wz2LzJlKjeXYpl3teI73axaAUnrRb+R
uBHeYqZs36pG/rr/jPIHNgQRUOYPlGxPpLWLMdBJ18MYgkeHgxojZabyXuS9+JxZVd4daKs+lop0
jtiy/ZGwua7+oqV4iUx/QoAHnNi8d36J7VVMWzxD9bFOpYs2oB3x4mPYuymvztgW18yp4c0eNtWc
JdtU+di4FEFREJhWGVUEM35Kr+ruzasHVqdl8FZlKUZlqpCJMqrKyYRbMzI76soePepUyF3hFZlP
ho1ffE7K70CQk4BwM3uAvMtF9rNUPSdV0Rq/1VyZv9l6jSdEYGC0vv3W2H79F9gWx4U1F+Q4afe5
suvxVBHlOW8y2XuPORs8VJYnHKJ0FgQxUTNUlbVxqubW8gFhItNwm3UzXkmEqEcxEV1F1Ze8msXR
D3rrpsk4HeN2td2FZm4Lv0JSwad6CBbNzIyFrswXlY7khbThsGB+KtMvTVIUZoR27e68Gplwg0gd
WMX3KsQ0ZnaXj/X8PWER/3BTB7bEGD2TTxLUxjFXlJRhCAunt9Tp+DRjUXXHosmOCTHeTW9yeoEv
OvEi1/6cm7Pz0TlJcodYImONn8l/8kIDoqAO0ttE2O82kU6nNVXmljCX6S1RRC4OWHl+EzwVW28k
qIxOnpeVI7jbVrjRbsze7TGcDzCVgJZRF5rqUed0qaAiWbYwk+M2H8b3tGvdzars7obAwV+/F8YG
iN/bzMgW4WDy6uJ4vG5qXbuTv2L6IUIdatqG+APvw2VYT+FwQeI2A81R02EaSUO3FwLnmJ/X2eS2
Oz70qsV41Gsf4MAqg+ea43sbuH59GDLgkbzy/CcuP0SsqcqqJxlmai/MJL/qSj/FID7sXlYvxogg
lzpUO7IM9kN0+PJj8MPgT55b1qsybPERko2+CWYtH0JF5M/qSDhVfPuM26NCsUTClpVi0qvHrD4u
TVLu0CM6D22/rHEzDQ0rPuJI5qPXPkmT3ZikjyJPGb0r9afPcdcKg/l8mile59o4WBgKIiSk6z4V
k3g3Vc9lkED1Cp3UZx4sRh4R4jeCWMJZCUCBd0jLj8xB8QYlPV5fi05/LpNVxFNizM+4JVVMypq+
lQ2CHgKvkgfT1O7DlOQfU+//YqQAN3WESr4SFLWvg0DugLapv8gKwRtETXvXEl16Kstx2bgkzsZE
RHq7WU/rd2n0YBeyVdxEPaJ8lOcBCbheOrY3PVGFh5XyEQ6KwXjURovz0VftVvMTbUQ2iSMJChZt
Q0FL9ladIBsYEjL20iVPlm1hyP7dnBpjKxPa5HqB883W3aw2jCzoluewUU+ZuXo7aK6XsBusCuCQ
MKyEKXCPo1OU8QRYdS6Xut11aZbvjYqjmjoQ8KCYLAj/c5o5VDMGiTsgBnSFpUV6fkXUmQxHeQi7
mWgNtws3V9sUmorumEE3HWbhuafaFhlkf5nBFk7ubzoFxom0uPxkca7fGK7h/A52SZCs1vPXUEzh
J3GU3a1dqeR1zTVpG6UyAbet2b4B0SYROJePg2UDQxoTYdewdMkpw4uOE7BZVczRQlx3WxAYNxQV
oU55BTwpn3DoSR01pSn/eqOatrXPZcItYJ2YH+q/Sg/Estq992Sj+olsbJp/tdHBXmDxIDZX9i7t
u3aFajENUN9a0/qBLiffZaO97EofdfJgpWcp7OLcur0RT6Sr3IEZZpeW2fULm7h7a5ii4+ReLJoF
0kbvHKcMdt2UdLt2zsqXobOPTTmWR1RZ/qFDILgZiqE7pllfH+YF9jkc52y75AMfIK0550JsS/fK
z7Ntb1vDDdGUX15VwnDqNis3nhq8cxZO05tdXGuChqnC+qurh9ny++PCYBMT5d/s1aDbnSzr38qd
vb2JGToHYmk5DpKOFHzwmm2qsVFAq550WF+4+KoNyqfxRmdZcO58H/dPujgDTF62TilGzAu35JWW
LtZNrVG6+mu5B4czsW+v8mswTsg+yVjK5vnWSsxwk6dTCl4VEqJQDNlE/YYXMlTXCWy6TAj8aAlo
aSeMdJFR4ziMrHImmdAzeeptx7/Dxl7uKbBIN4WjNL+km8/ZbTXIrsOiBn9x6s2FpL1xcGexwTLN
z1IVzTegRcBioEqsI75VHlN8jdB1S7AXXt4fytGybmtlp7cT3ibzGoOSvvv0d98lOsEbgqLsX8i7
kuXGkST7K7x1t9kgG/tyaTNx1UalUmSmKnWBgSISALGRWEgCbWM2l/mIOc+pD3Ob49zyT+ZL5gUo
ZDFAJqUkojura1RmZUVKFQh4RHj48vy5OkCM+Wa1AiXWKntCvF5DjC5Y46IEqdV78H9qOQou1egm
hdRwOfL8dWzqwkfsIkdGHWuoeiAiLdGzRiWRsZ5WuAAFo65C2YBLIEKSSpdQR9BFNDsbS0uwnXYD
w8uRwF2AEwUm/sMWSfztkDcL6SoJy2Lkg0nybstj7w1TUzAnvs+574Fb575kap5ckQz4LFgZ2Vjz
SwTdo5WRIOMNEJUMI/m9uYzRlnsBrmAAD1ZozOqAAAfkD2h3UnSjlEPdAARXoCOR6tyhfHABdmsH
SaKe6ivkUCZ8OEqVwh9rpQjY18pE6lNU18jmomkjLvBYjNbosAROnSGoCL74RpKiiai51K43W8f8
YoDwvsc74Cfu8e5icbU0OUAsQf3lgOkXyi3mQT7Hmb1lIIi91VpeY0cBp+2mG/AXF458p8gLsPqB
5tADyNOxNykKQ2B+xwNRcbIZCLVB6O3z8JBx1zy5of9UFptV30fzJ6Xra76A40rA/gucFlRopNI4
FVcoDis/5CIuky6wXj7Ug++b256XGEbeX26kdBJwgGg4RRqAqE9yo6ekQDoflCrQOIgOgA2al6er
GIU2ATrjwWdO8ys5Kj/7IeozusjCF9fmWs3vlm4qgT4PV0B36UooInIdDNQNkYdGbZaKGlsTIfe+
Fq5+0RSEdVMDmUQTUpU3ANYVyQZ8I7wUXptywV3qOhy8EsUZDwAZGc8genPgjLlFjKKDsLjZqn78
gfc0bjtAGzvw7Jr8IkPmmRfTXpnzIhA34J8Al1PCDeISbB/QeSt3mGXYPgvJA6QAsNKrUFyWcAe5
a/SOch/L0PwMYBjQfivZuVx4EfceEAnzqgQn9hUI5ArgznT1Bvx+/HWxSJG9Q2rVGS+X2Oawx0hn
tWhBSGDRVqUUQ1DlgU++z2uwO1EodRkuYad6Wpb3k/U6A8t5htacOSrEtZULhzwtB/pWSwcemN36
QLGtvd7G8bfDNQc+cFQpAb8fKjC6wMq5mEZaCi4WM/5sCiApNXOvvJezdTwoxSJBA6wCbIj+2h2B
z8F/DyMl+kUHYcJdutKfUDEBCCDHbUCuEAwRiF98DDJ9A2ZvIbtaCS53C1vXAgP6cuiZevTsbIBu
Bd+O/r5wXBmM0WtnBCfH2XUw+/8cE0TYTlZJB6rvU7fdoM3Emmo98u1/eokNCu80JDlJewUBjexU
0kjwhb2Nf4d+L/iGlzRRQlUo1X5EVDWNhAcl8B9W/1PdeGE3HiqqeF2TecL59gOxQQTJD2KDCHJL
aA6OLu+8DI65RmwaZqUcyiAvdGAxPJU6Kof6uiuBfAwUtt6I59Zan1+lY3UbRh9EYRVtuoBTrBE6
QBxFAqwZJPrkxgjKRYyCJRnkTLLgKF1FBW8Q75gFCBpNp8dnK1RYhKVUoNzL3a6mZaaalwjXld4Q
SOGV1NM9bjFVUc2gw8oZLSV+e4X4hv9ejEELDuzDAuSza/Myz4V8AuZpbexEnDEVNg5A54sk+uCD
1eIGoStkiuJEBaca7/T1zXoz5Ff58i5EaBRZOlB0rbbGL6g1fUyyzRSRGgGNidGPW0XsBM5MlF0m
uSKhBmYtg/DDFFbTcMXrc+DW+vIatRtcmeP+znwOYFVfAOVsMheE7KmIN3eqhGsSVZcewDkpniiv
rQDgkIkCQoQeksUIxiBVOHK3qfroOnE09EThyXBR45kaiHAu4tSZiMg8Lro+boieGelwOOBOjZB/
BiggcOJfPMTePpURIjoIEyKMyklpX46FeGCYIsq1ZLe8FEKYX4EbgpfAdyQ7J5aziYz4hEdtEpo3
qEnwwdFFsDBt0QDCBOqlrwNB3NUNH40M8jAfilKuIkIZqugAg8YvUPHpIEGMsRvCIARfxgTleCQT
ey9F0YdA9T4I4vqTATexXyykbVcwoQzDbfaYCqWtIkrDrxE6XQEHx2lB2tckBSRtJoo4V6viAdTP
C6CxUmkG2oHVIFzDRo6IIl4RleyhAGxcKCskz8HBIV6ry82g0KPNlUFUuckV/iCM0nlMVDwsoPwK
+G1gDMkFIInaZ3SWdx/z0oAPgEuCI9cFnFCjmyy1Mag73RnaDALHs0KBSSrk0l2OThU8uW5KcvEY
CTcxJY8bpIpZyl24IR8cgM37Ksr4bSkv36dlNF9s06cSG2BowBx+VMFT3Oek2BkBBSnNkIXN4f7A
gAAlEjZohurd1BCWSPlzaLEsCRaw/kuYotK2Ly/F9zkHTlaAGoTLtZZJDwa5P4E3t9c+2FH8KLg2
V6Vvq/n2UVRQ11Mu49WAmDRZupanMULUPTSRsgmb7wqJfDmT8yEyvuIndGAMr0RJ2tyu1sAkhomA
2xwW9SAPFoqFQij4L2IB9IuLFh9wTZ8dPuSfVirBL/LSHNE8kGcT8wAMWzcrzuU+iUsunCswIJaI
JFxl8Dq66lKRcBEXHzcZ7w8lt5gkeTReEusDrebIHa19zkTUwqHKHwT/AJ/31saKQwUr9yEj8ZGN
rvl3PsiJ0YmAWDNRAVMPbBbObaIE8CsRWdz28gxtBTyA4dcphyIrXVwmj0sePDIop+ZuBE8pR36e
T7gwn5bbLUAj4BbwuI+KqN3JRgnEqKYBQ4FsHMLWS9CNJVrUS2IePCkgJu5JhfOAMOH7FFi5wSaL
roA+FnuK4sqPa8cXUYG30pHvdp9kA6Y2tMWNBsaWKw90zQOT26Yz9HJC5W0i+gi7m/NAQ59JhNRR
SRrGYMJOTTDgIsRyueELyw34cRJlHzMIFt0TpHLkRGgYwCPFt5IDA0RCyON5fAyKinjubFC042IV
E1eGOeoan7kCkQh+U4DdZikoOExb1PfKfKnficSWFUNOufMXYHAowR+PrKD4BZGJuWNmUMULUlCh
c77Yl+SFegmUX3hb8AaoARwiWR7UNGjYLoxCfyGNeLDU35QmapiXjsKNUh5YaWOxWABLloMvDQgG
oLFW3ih11ivCeLscJptiC68JLcxCPhxvDeUXdJvawMjz7VAj0fQQnCoO2r4oSp70YXEat2gnFTw6
CE9PC0MGFnqzMQYLBNFGAKYt78TFhr8EzBEQR1NUATVygitcjVCUYJIDjnOLcr7cMP2eJCTZA+JX
CuYAeNJCB3AkdAL3lkvLxc2iyPW7NTi/uwsBLbkdL0Cl39a9NsGH2TUjyR1tnDidofgbtRcbF6F7
CVx4fbj/qBCH1XQpKUCNCq76xYPfiwhVkXSVAHRIiaEhdbIK/C8ACql9ZZV8URDduRQ2ygfJ0R9N
wwfpTQrG7zLRNyMU1CmDleI7vViMfRhxWnyZAXXfE0WwfcAJ0/tlirK/fAuCXjH2njSJFDnJyr2a
Ae0KbESoIxQG0m3tcgnDv5smKd/3PN68ytSU+8VFwV8PRMVqV0eFxg342B/1cuUNcxM6uusLxZbQ
DfkZihMWHEBDW7DprwwcBFn0t6NwbaD7mMSB8CcqwvCKE1cFOAdMd4zmQiiDkDcG4jccImtQIQIK
tQR3hv6uWX8h+/lgJa3Rpm7tpOh640aXHiAgQ2O50VCKvUTTUFMzhygjD3s5SrO7IC27E1RFn4oS
AosRuNW7qm7KNyiB+cKn7vYZCMhrWd0sHpQ1aJcVFKjr5krdtS/8h9mtVAO9v0NLsZcXIT2/Bs2u
e7vefug0R35btZibxuf9UW1DHh/ohZj4FRiHjuQ2ZSlXM6qaBJ4aIAC8A3ll9PKT1XeqKANrRlAa
AfDxL98DwgHwBIlrGC8/+3CF41M+bEv4PfmweHWj7asrwjtk5tFpHLZ+9UNLQODB2czrvEaa/pKf
HVhhb2+c93ZvkdKptbOrHUkIqwXC1dxu9aV3CuJdChA8395xbxMAyCPAV+IhhW+/xvN+QyIQBSxa
OxFgmYEG4VUgRqofyHRPBBwkpMgSQSv9VmUgtD0IsvYOrijQNAQPs/fugvwODdDQbxD+QfXz2zsB
RhPF9qP6TzLeqTr43TWFfndOe4e+uoCjGYgjVD+7jfamvf+GP/p2jcBtDObVBeLZ6V5311f/oNah
hwO8aA+iIrC1Nf5btKL6U3Kj7AbfaRLy+S/PMbRKhC+qw733C9LXdu9j/Gxb0St/87zfVnbX6XNv
hFp77M/lRV6Hb3L0HesvLz07sZJntxhUGvHlrXctai++JMAv7mPHNFmsP9Z36ssr7ymQk0NGGZ5G
YJH1OJUOBh6h/nzmuGkD5AbIWLsRB8CTLKnWBgKvVM0NKkGdN8070qW3cxHaTcHC6SL9p39dYtJY
+AdFm6fAsQUNOSDa1lIQE9I++NicJUEyEHVrM+f35CTQMwYTgw7iQaQNZJBbKICqQGe0ecY9TExE
pRpPAdgW2lpSRNjpmgGymQMp5ah5eGnrnL5xd2PPAEhIbW1VBxBS1PEEAV3tdFXiES2lX+eMB43t
NF7GmRXSD9NghiAgis4ZvKDBP1cP99Q5D7OQKLXRsXs3bXJgNUSNyD8w+2DbaoJI7LrWb9VDO+zZ
DDuic2dnrl21BYbof32sjng02gCjXwdMFh4XTgWkps7jwfsdU4vfrK9DZUkblj/++73ZEmVZq9l9
RU1fBpSi/2e4FAIH2ova4zCdvrv2bzw5FxEIxahBT53HNw4K8vR0Y0XUsKQJTdvJdu3Io1u9w9xt
PSigNtHcqweq7A4Gw/Zca74/5uENtndi3ijXB3uZzwLvuRN/6eCcdoAjc6hUkgyDsq08+nYYPyek
gqLz+vMY7MAeOqoncUyt68lL4Y3C6oHVKYkpNaYA595WPD0MgNu+s7PRom8yqkcm+0c5ddW8dfrW
0u58spM5ZQoRO7/tG/QX3gymBbXj0Y299bgDp1hm9TBEDCqDyQ5A7pHF0HtBZ4SKfZvSKSoDnQIg
f5bQw1Z1Gt+73N64fIMMMO0lra41BqdzimM/ssJGaYl+YA7mvxpRb5zxyJrRh1BnsHwjt3ENHBrF
Z8z0YCMgulFvvNo/+PFhe1//O7M78z9crcEcSp06gcXldWNHBbV7j3hKPz7pW2/WtAqEQ1/xjHFh
6IJ7sJYqOc5AHtQfzxcy5tuQgszgsh1bc8ux0mcrqWe4mzAD/TC2AGLL6O1w0vp943EbW4G1oXRw
VWZlt9Q7GLYxKINTPMZF+vxMbwaFiWxzaN+mIyqwuIzGcUm05CqnV05lsNnuPBji1D5jodirUen7
QtCU+jHnH7jdrcl1vTS18nq46nQcxhB+XE08wMyfU1pNJC0W2+7iiV08u3YQ2JT5JvIMVu8lqnIQ
YUPxJIt5R7ZjBfVARMyiwOBqmiBYmFidWztuNP0UGJgUkzg8iF4JDFT9JJ9blFVfNSJtuzWmMe3y
iBID03Xy9T/jzjQOv/6tg/3cuU++/lf07NFRSOBd6nU9/zROczSgoE85AeS1PjBTKyqbelSUGOzo
j87BASfV6m1XsQvKZy+yOkOQ3NajVaeFYBrbDo4gutcwkEWFgZAHCGogz0Ddr8DXtZ/w04FBD1J9
BsN64cyabagbUFQZCGKnQw/Pt8ZAa3S9pDOFZUQpUUSj24vjYlbY1NppIkrcJXD9IhCtIkp8JGKf
N9yonxfURFG/8Gvf5XPDmvvzJ1oMqbT9rwbE+qwzeVQItf5N/eWpXFPXQhMKOlBHEt1tjzV6GIOC
tx6HaAsWNujIKq3OJEu85f7IAs/gVrlCKw5qUBa36lWaWDZ1OAQWwsVcV9RcRaH+eP5tdx0nDRMA
fa7bD3uTbywvq8epbFkW+uHWnlkRHQJBoq1+zPlSeB82tgELFfwByTXaCTlM1zWVF/IfQH6dOrkT
K597nYvEal6fJ5Nnb/R4JwXCeLU4q8teZHDIPkZeZs+rOXcGoYfAdcNpEBlceI92mnW6VuRT02cR
5v1shzalJFD1UT/k/C13F3ew6f6QdgJYb/VwlcZkoddGyBhFnUk+mwOsjYQ6dRTRXImFWoahPOtc
pWT+lMonUCdBMxjI6GKWd8Z5Su3Il9EZbMu/Pgwmg4dPg/6/dsjmsRMIrLn/kTXmZZg2gqiLqgGq
n9fTHscu6xNXOMOkqkjClfXtf675cSID+9OgNg5C1NjHtI5mYH1flGCAsrwFPTAD9+YigcqgNSkD
6wrazQmsuZ26+/pCZCCIcWFFIX1ZEbhuW3Ow6+bNRWOg6UHvENFegsRgrshxzuI5vWYs3OhJ4nVu
cS1RSoxF+B8HnE7fs/DLL5Gu7tyQf00uHuoNUJlvLGKGV9Ec0bFGcEWAz9R6p2FkeunA2NZ+1Gtr
SasGtHhvPyoIcZ2ibKozeLnth95h6G7iRrZUkBiIeBdRODI2gyN9Aw/Pdw9FwuBc31o0wECQGESo
x9azFR8cEYWBlNE4EWifxl5mERlD1mnurWnDG4U47fccyZIVzTPNAldwZy/pOL2gMVi6eyuxnu3g
qOGqMxnfPzBVBIPB2b4HjttbLgGwoKzt0/DCt/p9KDK2llAb9XaofD+Bwe6YupbX9HBEFrbF1Fp4
h5JGuLB+hfNds6nlIWdWj1OJgoWFMUVAnZiFTTWHAtn6WefP+WM5s4+IgxRctLXiPnl2FllhPVAl
Dxaq7j0803jducqA7lt2/twZAEQUZ/nLydx/HLq08wxe5OWBN3lkpS5i2H/u1P/pHXsoiB0Y2BCT
JeIdQXFM34A6mIXtM/bm88DuDKyU9vKraPT3Vx9a5Ftd06mA04vUJq7nA1UdQWrf/nPn/O+vFIoV
AK5mEJGrbhULC5R4wf/+23+kvlVYnVFSAEWCGVwCCBVa9apR+hCgfjAHMghhTj2AE7lbEhnYf0Ow
ThtojVZ/df6JndhwCvx6u6d/7nsWuMQyvNUHgF0tKudGqodEjcFD+7E/jyHAqeXDjfRCyisxNFUG
SL79q91YuQd+1nqgnf+AwA1IU+rvzpfbvcUFHvfsehaXpnk93t4zGKz9BJ72kZEZ6KBbC11zGmYN
KQ4Es2H9wO+J5ucFlgRSg/Q7DCwdLbhS+Fc30E9ciarO6ne4FAESO7TX8+oqvJ4ruUC8AaCc+mAR
HfHqKXvDqKSYjJ4rqZBta2Z17cDxctrMYuBQgjwXgq0wM5d2UtpOvG7EjUQGZj4mbzUyv4dFhj+e
7EKjSweFT9QKSgym27dJuJO6oFjkdK4SiIHO5rBAMw7SrFmjh5rb1huuV9rkFq0HIqeDBZpxiOZw
DSFoDC7OoZXE9jEr+mQd3xtt3GFiRc+UmUd4L9qe6JE3QxlKIwnMIhQwypGsSu2iniJZOoNBZHJk
J8hJ0sOykENi27R0Xzd2XlfD4HAC1IvavoAH1SL5nhH1+riXOWIhCSUEgQXw9ApRp8a5AOVD+/le
ZVZAz5awdrTdu9d20thgaGrGYFg4kIDr0/l0gcUNdGtl68ZuYJG+ufUyN2+aJgKLSsEJGtGhZQi9
gVlUB9560OuZHcFxbSC8WGSIbvOtjUxZntAOEotA0zgO5pBJvcsql05hoNYQU7eapREMjghCFBk9
WRbxou+UdwssgJtID20sWlewuJrRv6ip2FigP+5BCJE3oPoC4WNpq9seEDtqOBsii+o0cqKbaX9g
MtpPGOEIaM3Ei6igkMjC65gsGzDQivCorYQnoEGdWcm8fnVylEWRwWU32dhz+vIQWaAgJxsvAxak
uY1FFlfeR58gbSnjEoQXtWTOt1NeUHU3SN3MY9ptZAEvON2gr20JHPhbbNThJPSGZuHVfK+pW8sZ
I9Rtk5r+MZ0YQnM4FnDZXd4eWWUbAImGSQDcO4PL6hSndUvRfP13cm6OuWaaLAk66K0A4dcVQmv9
emnxzwut7WiGfn+htR7Ku+n6Pxb5mRF8ugM/n8XlPLa3XsNYI40/W99I0MFZ554U6dlVMGxMCk/B
RVcPXV1Rr4d+X/cfX/TyJDuAOZNGkW3f4xu3xRGeLKS+Thkb6RuDId+ohurZVoY4GO1B1HfqCt+N
/xMPcPX+bQ/w/vzJ5fz3Kb+x0TmvYRLU0j7fIujFgBZ0HhoEcizAQ4OgM7GCtYVwej1Nsim0U9vt
jbttBPIQOwSGaH/gQ8q7vFHl9fo5BJRxTjjH9sdFoq3+eL6Y7yDgxHJyasbCyaP3RlncQ1XTKVnh
9bDe/oYdvBSH/WPw5qD02OmEf4ozd5HkM3rJ2m+FC8gbG6G6ULpWMkM5dT1odZ/UH87fbCD/yr2A
Ph0scFlktjjO9OlgYGcS8hsUF2IbU0OzwM3eWWt0uLGOQHVYwFt7FpqERcesWBahrV5j75F2zW1N
ATQZQ6UzzRbKIgJVj3ucOIsFZBTGY9MmZREwwlUyh0mX06QALDg0LlHM6NUrtjOHpPrj+Wf7Gqek
sX4Ci1I4hIpIDXyTWIUFtRpCqVlKiC6y+vUrabAos7tHUiuLiflCBwVYlMNNKuv/xsuytNLVd/ba
o/UTC3zh7im3+TPtwaMdSi2s8/fKFNE/b27Nq+lP4xloW+tBq5uGRQqFAFR38ulhX8bpMWWIJp31
c89/mZ2gPnnIucIpI8EDQpW40woH+GYW5FNdcBh5qdv5hDZt3lEljzq/9u/1cXLyCQys5S5SGQ3m
M5GFFY4O4aSkoRZBtaVY4A0nFm1ziRoDH3hCXPkBUDjI/+b0MWYBYNjtThhImfv1b4EdUgkThUXK
tnqBsYUn0LFsEF2wKJzYvcDuFuj8cYdt+NP+0kpgCH7VAPl5foVYEXO3dSrgIf5qYYF/Pv/Vg/xZ
hawEONbkcWKRH0L4+Esc+EcsYxXxaYRtDFVF20PSZ+F1xsift+470vTf4bonDtmJdLUmC+R/F5Vi
DdADi2xEN7FKmtyHBYFXD/VLVMiLBUi/Fwdxk2mVRW3K4Bm+BB3sYhGFHsLxeXYJTW6Dc5VFdn9o
Bf53MzEMrLZRjipxKr4hnKS2f2PQa4ISD4S9qK0hsAD1kUo/BGeo61vQlfoiPN98vbeTvB6lcn9e
V6qvhys/JnlzsiKLE/IJedYSmQ5q4dAmoH6B74nh510Dx7pc/A4vhV0CB5wjVhhTi8PCwuwCydkM
RjJwcCZE3cZHHSgW5evdOF/b2REzhgV3VC8mLu0fb2zkXiLnT8ecWxauZpXKJ1wyBLADfXnsOSxA
bb04rg0+ygUizaB/tXtJq5w9w/eNKvnaShAfObIOLGixht7Cq6dItCeLou4hUEGEVmoOmjiSdq2Q
Gt5zcsg2cTKD+UbxvNzigL0VB2wWLNJAXRTnJUekrzOIOb7MvSJzILuUBF+Qxdg1niJEJTSXE4vr
EmFZCp7EggXt0ga67EVE1TuMn/sIjQT1d9SRQHOqesN977Z7/X6+jDd7xlU9XnX9s4gd1hGqisgk
6lTNnzpTRFo9VEXTJgwL2N917AIfDE1+kcUBTVXIojifgNJINuXBtr9QomLhSNygtnSG0A89MIOz
0XMTFOcjc3Xk7Aksyo7urSAsQBJ9KHQW0JCxRajaGxExtNes5XT+3r+zN52eFRwBp7FA7N15DQZ4
Fs09PlkRgAW0mc4i9ngHIdOjsrhRiICfbIAg6OIxgOfaL969lz0jZnzUaEPTNQYPsJZIgZNXOGz/
IrCp+A6avPgMFDrssxSV2MeZYFgAUHZh2Es7QLLzXzoXKZIdqQeVS65cpHMQvo46YDPo5ZFL2f/o
hdd+UaaxD5+P2qkiCxN9Cn4ierYsku/THIDxxmQZ7MxHLC/sWCLwYZ6B9qOWa5XfYJGDf4SpduS2
EFlY4QeOociCmwFsIagBObyCUKjAAjbeIxxFJJFb65t9kSvIO2hgOpAUwwAUS1Zerz75iWGII20w
24Yh9t+GXMenwYX7fz14QXbtNfClJvNDv39xEMkpONaDkxr4ZZonsikHjRn35/36W+5MbxId/tal
uJ7AKVqakR0jl0udaBb0XQ952uAyE1mQvUy//g+6KRT2/mkA4Lz++D3TbF+S9Qr/Y7B9x9ql1stS
rdXffV8ce3fWu/9Yr9bf31seaw37G3vLVxb7RU8+B3D7//J/AAAA//8=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2">
  <a:schemeClr val="accent2"/>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5.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4.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6</xdr:col>
      <xdr:colOff>215347</xdr:colOff>
      <xdr:row>0</xdr:row>
      <xdr:rowOff>0</xdr:rowOff>
    </xdr:from>
    <xdr:to>
      <xdr:col>23</xdr:col>
      <xdr:colOff>257175</xdr:colOff>
      <xdr:row>3</xdr:row>
      <xdr:rowOff>91108</xdr:rowOff>
    </xdr:to>
    <xdr:sp macro="" textlink="">
      <xdr:nvSpPr>
        <xdr:cNvPr id="4" name="TITLE TEXT">
          <a:extLst>
            <a:ext uri="{FF2B5EF4-FFF2-40B4-BE49-F238E27FC236}">
              <a16:creationId xmlns:a16="http://schemas.microsoft.com/office/drawing/2014/main" id="{64573A09-B621-9968-252C-19EC733F59DC}"/>
            </a:ext>
          </a:extLst>
        </xdr:cNvPr>
        <xdr:cNvSpPr txBox="1"/>
      </xdr:nvSpPr>
      <xdr:spPr>
        <a:xfrm>
          <a:off x="3872947" y="0"/>
          <a:ext cx="10405028" cy="576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rPr>
            <a:t>SPORT CLIMBING DASHBOARD  -  ASCENTS</a:t>
          </a:r>
          <a:r>
            <a:rPr lang="en-US" sz="3200" b="1" baseline="0">
              <a:solidFill>
                <a:schemeClr val="bg1"/>
              </a:solidFill>
            </a:rPr>
            <a:t> ABOVE 7A</a:t>
          </a:r>
          <a:r>
            <a:rPr lang="en-US" sz="3200" b="1">
              <a:solidFill>
                <a:schemeClr val="bg1"/>
              </a:solidFill>
            </a:rPr>
            <a:t> </a:t>
          </a:r>
        </a:p>
      </xdr:txBody>
    </xdr:sp>
    <xdr:clientData/>
  </xdr:twoCellAnchor>
  <xdr:twoCellAnchor>
    <xdr:from>
      <xdr:col>1</xdr:col>
      <xdr:colOff>85725</xdr:colOff>
      <xdr:row>51</xdr:row>
      <xdr:rowOff>9524</xdr:rowOff>
    </xdr:from>
    <xdr:to>
      <xdr:col>26</xdr:col>
      <xdr:colOff>190500</xdr:colOff>
      <xdr:row>74</xdr:row>
      <xdr:rowOff>19050</xdr:rowOff>
    </xdr:to>
    <xdr:sp macro="" textlink="">
      <xdr:nvSpPr>
        <xdr:cNvPr id="23" name="SHAPE SLICERS">
          <a:extLst>
            <a:ext uri="{FF2B5EF4-FFF2-40B4-BE49-F238E27FC236}">
              <a16:creationId xmlns:a16="http://schemas.microsoft.com/office/drawing/2014/main" id="{F19EB346-DAF3-4604-A6A9-388F3150803B}"/>
            </a:ext>
          </a:extLst>
        </xdr:cNvPr>
        <xdr:cNvSpPr/>
      </xdr:nvSpPr>
      <xdr:spPr bwMode="auto">
        <a:xfrm>
          <a:off x="485775" y="7296149"/>
          <a:ext cx="15344775" cy="3733801"/>
        </a:xfrm>
        <a:prstGeom prst="roundRect">
          <a:avLst>
            <a:gd name="adj" fmla="val 3171"/>
          </a:avLst>
        </a:prstGeom>
        <a:solidFill>
          <a:schemeClr val="accent3">
            <a:lumMod val="75000"/>
            <a:alpha val="70000"/>
          </a:scheme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SLICERS</a:t>
          </a:r>
        </a:p>
      </xdr:txBody>
    </xdr:sp>
    <xdr:clientData/>
  </xdr:twoCellAnchor>
  <xdr:twoCellAnchor editAs="oneCell">
    <xdr:from>
      <xdr:col>1</xdr:col>
      <xdr:colOff>257177</xdr:colOff>
      <xdr:row>53</xdr:row>
      <xdr:rowOff>95250</xdr:rowOff>
    </xdr:from>
    <xdr:to>
      <xdr:col>3</xdr:col>
      <xdr:colOff>137797</xdr:colOff>
      <xdr:row>62</xdr:row>
      <xdr:rowOff>20955</xdr:rowOff>
    </xdr:to>
    <mc:AlternateContent xmlns:mc="http://schemas.openxmlformats.org/markup-compatibility/2006" xmlns:a14="http://schemas.microsoft.com/office/drawing/2010/main">
      <mc:Choice Requires="a14">
        <xdr:graphicFrame macro="">
          <xdr:nvGraphicFramePr>
            <xdr:cNvPr id="10" name="SLICER - GRADE">
              <a:extLst>
                <a:ext uri="{FF2B5EF4-FFF2-40B4-BE49-F238E27FC236}">
                  <a16:creationId xmlns:a16="http://schemas.microsoft.com/office/drawing/2014/main" id="{85130E2B-67A8-422B-AC5D-9EDA832CAD1B}"/>
                </a:ext>
              </a:extLst>
            </xdr:cNvPr>
            <xdr:cNvGraphicFramePr/>
          </xdr:nvGraphicFramePr>
          <xdr:xfrm>
            <a:off x="0" y="0"/>
            <a:ext cx="0" cy="0"/>
          </xdr:xfrm>
          <a:graphic>
            <a:graphicData uri="http://schemas.microsoft.com/office/drawing/2010/slicer">
              <sle:slicer xmlns:sle="http://schemas.microsoft.com/office/drawing/2010/slicer" name="SLICER - GRADE"/>
            </a:graphicData>
          </a:graphic>
        </xdr:graphicFrame>
      </mc:Choice>
      <mc:Fallback xmlns="">
        <xdr:sp macro="" textlink="">
          <xdr:nvSpPr>
            <xdr:cNvPr id="0" name=""/>
            <xdr:cNvSpPr>
              <a:spLocks noTextEdit="1"/>
            </xdr:cNvSpPr>
          </xdr:nvSpPr>
          <xdr:spPr>
            <a:xfrm>
              <a:off x="657227" y="7705725"/>
              <a:ext cx="109728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333375</xdr:colOff>
      <xdr:row>53</xdr:row>
      <xdr:rowOff>114300</xdr:rowOff>
    </xdr:from>
    <xdr:to>
      <xdr:col>11</xdr:col>
      <xdr:colOff>172085</xdr:colOff>
      <xdr:row>62</xdr:row>
      <xdr:rowOff>19685</xdr:rowOff>
    </xdr:to>
    <mc:AlternateContent xmlns:mc="http://schemas.openxmlformats.org/markup-compatibility/2006" xmlns:a14="http://schemas.microsoft.com/office/drawing/2010/main">
      <mc:Choice Requires="a14">
        <xdr:graphicFrame macro="">
          <xdr:nvGraphicFramePr>
            <xdr:cNvPr id="12" name="SLICER -YEAR">
              <a:extLst>
                <a:ext uri="{FF2B5EF4-FFF2-40B4-BE49-F238E27FC236}">
                  <a16:creationId xmlns:a16="http://schemas.microsoft.com/office/drawing/2014/main" id="{B1F5F930-BF2F-4ED6-8ACE-31E8C5A8A241}"/>
                </a:ext>
              </a:extLst>
            </xdr:cNvPr>
            <xdr:cNvGraphicFramePr/>
          </xdr:nvGraphicFramePr>
          <xdr:xfrm>
            <a:off x="0" y="0"/>
            <a:ext cx="0" cy="0"/>
          </xdr:xfrm>
          <a:graphic>
            <a:graphicData uri="http://schemas.microsoft.com/office/drawing/2010/slicer">
              <sle:slicer xmlns:sle="http://schemas.microsoft.com/office/drawing/2010/slicer" name="SLICER -YEAR"/>
            </a:graphicData>
          </a:graphic>
        </xdr:graphicFrame>
      </mc:Choice>
      <mc:Fallback xmlns="">
        <xdr:sp macro="" textlink="">
          <xdr:nvSpPr>
            <xdr:cNvPr id="0" name=""/>
            <xdr:cNvSpPr>
              <a:spLocks noTextEdit="1"/>
            </xdr:cNvSpPr>
          </xdr:nvSpPr>
          <xdr:spPr>
            <a:xfrm>
              <a:off x="4391025" y="7724775"/>
              <a:ext cx="22860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190501</xdr:colOff>
      <xdr:row>53</xdr:row>
      <xdr:rowOff>104775</xdr:rowOff>
    </xdr:from>
    <xdr:to>
      <xdr:col>7</xdr:col>
      <xdr:colOff>288290</xdr:colOff>
      <xdr:row>62</xdr:row>
      <xdr:rowOff>21590</xdr:rowOff>
    </xdr:to>
    <mc:AlternateContent xmlns:mc="http://schemas.openxmlformats.org/markup-compatibility/2006" xmlns:a14="http://schemas.microsoft.com/office/drawing/2010/main">
      <mc:Choice Requires="a14">
        <xdr:graphicFrame macro="">
          <xdr:nvGraphicFramePr>
            <xdr:cNvPr id="8" name="SLICER - TRIES">
              <a:extLst>
                <a:ext uri="{FF2B5EF4-FFF2-40B4-BE49-F238E27FC236}">
                  <a16:creationId xmlns:a16="http://schemas.microsoft.com/office/drawing/2014/main" id="{6BBBFC27-8631-4E61-8737-10FF091236E4}"/>
                </a:ext>
              </a:extLst>
            </xdr:cNvPr>
            <xdr:cNvGraphicFramePr/>
          </xdr:nvGraphicFramePr>
          <xdr:xfrm>
            <a:off x="0" y="0"/>
            <a:ext cx="0" cy="0"/>
          </xdr:xfrm>
          <a:graphic>
            <a:graphicData uri="http://schemas.microsoft.com/office/drawing/2010/slicer">
              <sle:slicer xmlns:sle="http://schemas.microsoft.com/office/drawing/2010/slicer" name="SLICER - TRIES"/>
            </a:graphicData>
          </a:graphic>
        </xdr:graphicFrame>
      </mc:Choice>
      <mc:Fallback xmlns="">
        <xdr:sp macro="" textlink="">
          <xdr:nvSpPr>
            <xdr:cNvPr id="0" name=""/>
            <xdr:cNvSpPr>
              <a:spLocks noTextEdit="1"/>
            </xdr:cNvSpPr>
          </xdr:nvSpPr>
          <xdr:spPr>
            <a:xfrm>
              <a:off x="1809751" y="7715250"/>
              <a:ext cx="2533649"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238124</xdr:colOff>
      <xdr:row>53</xdr:row>
      <xdr:rowOff>123825</xdr:rowOff>
    </xdr:from>
    <xdr:to>
      <xdr:col>13</xdr:col>
      <xdr:colOff>573404</xdr:colOff>
      <xdr:row>62</xdr:row>
      <xdr:rowOff>38100</xdr:rowOff>
    </xdr:to>
    <mc:AlternateContent xmlns:mc="http://schemas.openxmlformats.org/markup-compatibility/2006" xmlns:a14="http://schemas.microsoft.com/office/drawing/2010/main">
      <mc:Choice Requires="a14">
        <xdr:graphicFrame macro="">
          <xdr:nvGraphicFramePr>
            <xdr:cNvPr id="18" name="SLICER - MONTH">
              <a:extLst>
                <a:ext uri="{FF2B5EF4-FFF2-40B4-BE49-F238E27FC236}">
                  <a16:creationId xmlns:a16="http://schemas.microsoft.com/office/drawing/2014/main" id="{1D5167AA-C6C7-B360-097D-800D0660F2D0}"/>
                </a:ext>
              </a:extLst>
            </xdr:cNvPr>
            <xdr:cNvGraphicFramePr/>
          </xdr:nvGraphicFramePr>
          <xdr:xfrm>
            <a:off x="0" y="0"/>
            <a:ext cx="0" cy="0"/>
          </xdr:xfrm>
          <a:graphic>
            <a:graphicData uri="http://schemas.microsoft.com/office/drawing/2010/slicer">
              <sle:slicer xmlns:sle="http://schemas.microsoft.com/office/drawing/2010/slicer" name="SLICER - MONTH"/>
            </a:graphicData>
          </a:graphic>
        </xdr:graphicFrame>
      </mc:Choice>
      <mc:Fallback xmlns="">
        <xdr:sp macro="" textlink="">
          <xdr:nvSpPr>
            <xdr:cNvPr id="0" name=""/>
            <xdr:cNvSpPr>
              <a:spLocks noTextEdit="1"/>
            </xdr:cNvSpPr>
          </xdr:nvSpPr>
          <xdr:spPr>
            <a:xfrm>
              <a:off x="6734174" y="7734300"/>
              <a:ext cx="155448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19050</xdr:colOff>
      <xdr:row>53</xdr:row>
      <xdr:rowOff>123825</xdr:rowOff>
    </xdr:from>
    <xdr:to>
      <xdr:col>17</xdr:col>
      <xdr:colOff>21590</xdr:colOff>
      <xdr:row>62</xdr:row>
      <xdr:rowOff>38100</xdr:rowOff>
    </xdr:to>
    <mc:AlternateContent xmlns:mc="http://schemas.openxmlformats.org/markup-compatibility/2006" xmlns:a14="http://schemas.microsoft.com/office/drawing/2010/main">
      <mc:Choice Requires="a14">
        <xdr:graphicFrame macro="">
          <xdr:nvGraphicFramePr>
            <xdr:cNvPr id="2" name="SLICER - HEIGHT RANGE">
              <a:extLst>
                <a:ext uri="{FF2B5EF4-FFF2-40B4-BE49-F238E27FC236}">
                  <a16:creationId xmlns:a16="http://schemas.microsoft.com/office/drawing/2014/main" id="{86F51416-C7D8-B16C-23B8-43D078F846D3}"/>
                </a:ext>
              </a:extLst>
            </xdr:cNvPr>
            <xdr:cNvGraphicFramePr/>
          </xdr:nvGraphicFramePr>
          <xdr:xfrm>
            <a:off x="0" y="0"/>
            <a:ext cx="0" cy="0"/>
          </xdr:xfrm>
          <a:graphic>
            <a:graphicData uri="http://schemas.microsoft.com/office/drawing/2010/slicer">
              <sle:slicer xmlns:sle="http://schemas.microsoft.com/office/drawing/2010/slicer" name="SLICER - HEIGHT RANGE"/>
            </a:graphicData>
          </a:graphic>
        </xdr:graphicFrame>
      </mc:Choice>
      <mc:Fallback xmlns="">
        <xdr:sp macro="" textlink="">
          <xdr:nvSpPr>
            <xdr:cNvPr id="0" name=""/>
            <xdr:cNvSpPr>
              <a:spLocks noTextEdit="1"/>
            </xdr:cNvSpPr>
          </xdr:nvSpPr>
          <xdr:spPr>
            <a:xfrm>
              <a:off x="8343900" y="7734300"/>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533400</xdr:colOff>
      <xdr:row>53</xdr:row>
      <xdr:rowOff>123826</xdr:rowOff>
    </xdr:from>
    <xdr:to>
      <xdr:col>17</xdr:col>
      <xdr:colOff>19685</xdr:colOff>
      <xdr:row>62</xdr:row>
      <xdr:rowOff>38101</xdr:rowOff>
    </xdr:to>
    <mc:AlternateContent xmlns:mc="http://schemas.openxmlformats.org/markup-compatibility/2006" xmlns:a14="http://schemas.microsoft.com/office/drawing/2010/main">
      <mc:Choice Requires="a14">
        <xdr:graphicFrame macro="">
          <xdr:nvGraphicFramePr>
            <xdr:cNvPr id="14" name="SLICER - HEIGHT" hidden="1">
              <a:extLst>
                <a:ext uri="{FF2B5EF4-FFF2-40B4-BE49-F238E27FC236}">
                  <a16:creationId xmlns:a16="http://schemas.microsoft.com/office/drawing/2014/main" id="{8E4E9217-EC51-4756-B3ED-C5FF362B2900}"/>
                </a:ext>
              </a:extLst>
            </xdr:cNvPr>
            <xdr:cNvGraphicFramePr/>
          </xdr:nvGraphicFramePr>
          <xdr:xfrm>
            <a:off x="0" y="0"/>
            <a:ext cx="0" cy="0"/>
          </xdr:xfrm>
          <a:graphic>
            <a:graphicData uri="http://schemas.microsoft.com/office/drawing/2010/slicer">
              <sle:slicer xmlns:sle="http://schemas.microsoft.com/office/drawing/2010/slicer" name="SLICER - HEIGHT"/>
            </a:graphicData>
          </a:graphic>
        </xdr:graphicFrame>
      </mc:Choice>
      <mc:Fallback xmlns="">
        <xdr:sp macro="" textlink="">
          <xdr:nvSpPr>
            <xdr:cNvPr id="0" name=""/>
            <xdr:cNvSpPr>
              <a:spLocks noTextEdit="1"/>
            </xdr:cNvSpPr>
          </xdr:nvSpPr>
          <xdr:spPr>
            <a:xfrm>
              <a:off x="8248650" y="7734301"/>
              <a:ext cx="1933575"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104775</xdr:colOff>
      <xdr:row>53</xdr:row>
      <xdr:rowOff>133350</xdr:rowOff>
    </xdr:from>
    <xdr:to>
      <xdr:col>26</xdr:col>
      <xdr:colOff>59688</xdr:colOff>
      <xdr:row>73</xdr:row>
      <xdr:rowOff>21590</xdr:rowOff>
    </xdr:to>
    <mc:AlternateContent xmlns:mc="http://schemas.openxmlformats.org/markup-compatibility/2006" xmlns:a14="http://schemas.microsoft.com/office/drawing/2010/main">
      <mc:Choice Requires="a14">
        <xdr:graphicFrame macro="">
          <xdr:nvGraphicFramePr>
            <xdr:cNvPr id="7" name="SLICER - PARTNER">
              <a:extLst>
                <a:ext uri="{FF2B5EF4-FFF2-40B4-BE49-F238E27FC236}">
                  <a16:creationId xmlns:a16="http://schemas.microsoft.com/office/drawing/2014/main" id="{EEA71A99-160A-4EBA-98ED-5A0B8B5920FE}"/>
                </a:ext>
              </a:extLst>
            </xdr:cNvPr>
            <xdr:cNvGraphicFramePr/>
          </xdr:nvGraphicFramePr>
          <xdr:xfrm>
            <a:off x="0" y="0"/>
            <a:ext cx="0" cy="0"/>
          </xdr:xfrm>
          <a:graphic>
            <a:graphicData uri="http://schemas.microsoft.com/office/drawing/2010/slicer">
              <sle:slicer xmlns:sle="http://schemas.microsoft.com/office/drawing/2010/slicer" name="SLICER - PARTNER"/>
            </a:graphicData>
          </a:graphic>
        </xdr:graphicFrame>
      </mc:Choice>
      <mc:Fallback xmlns="">
        <xdr:sp macro="" textlink="">
          <xdr:nvSpPr>
            <xdr:cNvPr id="0" name=""/>
            <xdr:cNvSpPr>
              <a:spLocks noTextEdit="1"/>
            </xdr:cNvSpPr>
          </xdr:nvSpPr>
          <xdr:spPr>
            <a:xfrm>
              <a:off x="10258425" y="7743825"/>
              <a:ext cx="5438773" cy="3108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257174</xdr:colOff>
      <xdr:row>62</xdr:row>
      <xdr:rowOff>152401</xdr:rowOff>
    </xdr:from>
    <xdr:to>
      <xdr:col>17</xdr:col>
      <xdr:colOff>38100</xdr:colOff>
      <xdr:row>73</xdr:row>
      <xdr:rowOff>21590</xdr:rowOff>
    </xdr:to>
    <mc:AlternateContent xmlns:mc="http://schemas.openxmlformats.org/markup-compatibility/2006" xmlns:a14="http://schemas.microsoft.com/office/drawing/2010/main">
      <mc:Choice Requires="a14">
        <xdr:graphicFrame macro="">
          <xdr:nvGraphicFramePr>
            <xdr:cNvPr id="11" name="SLICER - CRAG">
              <a:extLst>
                <a:ext uri="{FF2B5EF4-FFF2-40B4-BE49-F238E27FC236}">
                  <a16:creationId xmlns:a16="http://schemas.microsoft.com/office/drawing/2014/main" id="{8126757E-8BF2-467C-8FC0-9001F583447B}"/>
                </a:ext>
              </a:extLst>
            </xdr:cNvPr>
            <xdr:cNvGraphicFramePr/>
          </xdr:nvGraphicFramePr>
          <xdr:xfrm>
            <a:off x="0" y="0"/>
            <a:ext cx="0" cy="0"/>
          </xdr:xfrm>
          <a:graphic>
            <a:graphicData uri="http://schemas.microsoft.com/office/drawing/2010/slicer">
              <sle:slicer xmlns:sle="http://schemas.microsoft.com/office/drawing/2010/slicer" name="SLICER - CRAG"/>
            </a:graphicData>
          </a:graphic>
        </xdr:graphicFrame>
      </mc:Choice>
      <mc:Fallback xmlns="">
        <xdr:sp macro="" textlink="">
          <xdr:nvSpPr>
            <xdr:cNvPr id="0" name=""/>
            <xdr:cNvSpPr>
              <a:spLocks noTextEdit="1"/>
            </xdr:cNvSpPr>
          </xdr:nvSpPr>
          <xdr:spPr>
            <a:xfrm>
              <a:off x="657224" y="9220201"/>
              <a:ext cx="9534526" cy="1647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133350</xdr:colOff>
      <xdr:row>12</xdr:row>
      <xdr:rowOff>85725</xdr:rowOff>
    </xdr:from>
    <xdr:to>
      <xdr:col>6</xdr:col>
      <xdr:colOff>194310</xdr:colOff>
      <xdr:row>49</xdr:row>
      <xdr:rowOff>38100</xdr:rowOff>
    </xdr:to>
    <xdr:sp macro="" textlink="">
      <xdr:nvSpPr>
        <xdr:cNvPr id="20" name="SHAPE GRADES">
          <a:extLst>
            <a:ext uri="{FF2B5EF4-FFF2-40B4-BE49-F238E27FC236}">
              <a16:creationId xmlns:a16="http://schemas.microsoft.com/office/drawing/2014/main" id="{4186994B-3A1C-4C2E-AF03-01D9F5AB0BE3}"/>
            </a:ext>
          </a:extLst>
        </xdr:cNvPr>
        <xdr:cNvSpPr/>
      </xdr:nvSpPr>
      <xdr:spPr bwMode="auto">
        <a:xfrm>
          <a:off x="742950" y="1219200"/>
          <a:ext cx="3108960" cy="5943600"/>
        </a:xfrm>
        <a:prstGeom prst="roundRect">
          <a:avLst>
            <a:gd name="adj" fmla="val 3873"/>
          </a:avLst>
        </a:prstGeom>
        <a:solidFill>
          <a:schemeClr val="accent5">
            <a:lumMod val="75000"/>
            <a:alpha val="70000"/>
          </a:scheme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GRADES</a:t>
          </a:r>
          <a:r>
            <a:rPr lang="en-US" sz="2400" b="1" baseline="0">
              <a:solidFill>
                <a:schemeClr val="bg1"/>
              </a:solidFill>
            </a:rPr>
            <a:t> &amp; ATTEMPTS</a:t>
          </a:r>
          <a:endParaRPr lang="en-US" sz="2400" b="1">
            <a:solidFill>
              <a:schemeClr val="bg1"/>
            </a:solidFill>
          </a:endParaRPr>
        </a:p>
      </xdr:txBody>
    </xdr:sp>
    <xdr:clientData/>
  </xdr:twoCellAnchor>
  <xdr:twoCellAnchor>
    <xdr:from>
      <xdr:col>1</xdr:col>
      <xdr:colOff>304800</xdr:colOff>
      <xdr:row>27</xdr:row>
      <xdr:rowOff>38100</xdr:rowOff>
    </xdr:from>
    <xdr:to>
      <xdr:col>6</xdr:col>
      <xdr:colOff>0</xdr:colOff>
      <xdr:row>37</xdr:row>
      <xdr:rowOff>64770</xdr:rowOff>
    </xdr:to>
    <xdr:graphicFrame macro="">
      <xdr:nvGraphicFramePr>
        <xdr:cNvPr id="16" name="% OF FLASH, OS, RP - AREA">
          <a:extLst>
            <a:ext uri="{FF2B5EF4-FFF2-40B4-BE49-F238E27FC236}">
              <a16:creationId xmlns:a16="http://schemas.microsoft.com/office/drawing/2014/main" id="{1DCA95E9-B5A4-4C67-BA0F-1E3D063C9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304800</xdr:colOff>
      <xdr:row>27</xdr:row>
      <xdr:rowOff>38100</xdr:rowOff>
    </xdr:from>
    <xdr:to>
      <xdr:col>6</xdr:col>
      <xdr:colOff>0</xdr:colOff>
      <xdr:row>37</xdr:row>
      <xdr:rowOff>64770</xdr:rowOff>
    </xdr:to>
    <xdr:graphicFrame macro="">
      <xdr:nvGraphicFramePr>
        <xdr:cNvPr id="25" name="% OF FLASH, OS, RP - COL" hidden="1">
          <a:extLst>
            <a:ext uri="{FF2B5EF4-FFF2-40B4-BE49-F238E27FC236}">
              <a16:creationId xmlns:a16="http://schemas.microsoft.com/office/drawing/2014/main" id="{B5A2D451-ADC2-41B2-97BD-0A54CD433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304799</xdr:colOff>
      <xdr:row>38</xdr:row>
      <xdr:rowOff>47625</xdr:rowOff>
    </xdr:from>
    <xdr:to>
      <xdr:col>5</xdr:col>
      <xdr:colOff>609599</xdr:colOff>
      <xdr:row>48</xdr:row>
      <xdr:rowOff>74295</xdr:rowOff>
    </xdr:to>
    <xdr:graphicFrame macro="">
      <xdr:nvGraphicFramePr>
        <xdr:cNvPr id="24" name="AVG TRIES PER ASCENT">
          <a:extLst>
            <a:ext uri="{FF2B5EF4-FFF2-40B4-BE49-F238E27FC236}">
              <a16:creationId xmlns:a16="http://schemas.microsoft.com/office/drawing/2014/main" id="{4C8CA6BD-6034-47A5-B7A9-5D4AAB1FB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314325</xdr:colOff>
      <xdr:row>16</xdr:row>
      <xdr:rowOff>38100</xdr:rowOff>
    </xdr:from>
    <xdr:to>
      <xdr:col>6</xdr:col>
      <xdr:colOff>9525</xdr:colOff>
      <xdr:row>26</xdr:row>
      <xdr:rowOff>64770</xdr:rowOff>
    </xdr:to>
    <xdr:graphicFrame macro="">
      <xdr:nvGraphicFramePr>
        <xdr:cNvPr id="17" name="GRADES - BARS">
          <a:extLst>
            <a:ext uri="{FF2B5EF4-FFF2-40B4-BE49-F238E27FC236}">
              <a16:creationId xmlns:a16="http://schemas.microsoft.com/office/drawing/2014/main" id="{87814E02-32E1-42CE-81AF-47DD15DD9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295275</xdr:colOff>
      <xdr:row>15</xdr:row>
      <xdr:rowOff>104775</xdr:rowOff>
    </xdr:from>
    <xdr:to>
      <xdr:col>5</xdr:col>
      <xdr:colOff>600075</xdr:colOff>
      <xdr:row>26</xdr:row>
      <xdr:rowOff>76200</xdr:rowOff>
    </xdr:to>
    <xdr:graphicFrame macro="">
      <xdr:nvGraphicFramePr>
        <xdr:cNvPr id="3" name="GRADES - PIE" hidden="1">
          <a:extLst>
            <a:ext uri="{FF2B5EF4-FFF2-40B4-BE49-F238E27FC236}">
              <a16:creationId xmlns:a16="http://schemas.microsoft.com/office/drawing/2014/main" id="{756429E7-F27A-46FC-B3BB-239F03A37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304800</xdr:colOff>
      <xdr:row>15</xdr:row>
      <xdr:rowOff>95250</xdr:rowOff>
    </xdr:from>
    <xdr:to>
      <xdr:col>6</xdr:col>
      <xdr:colOff>0</xdr:colOff>
      <xdr:row>26</xdr:row>
      <xdr:rowOff>66675</xdr:rowOff>
    </xdr:to>
    <xdr:graphicFrame macro="">
      <xdr:nvGraphicFramePr>
        <xdr:cNvPr id="6" name="GRADES - PYRAMID" hidden="1">
          <a:extLst>
            <a:ext uri="{FF2B5EF4-FFF2-40B4-BE49-F238E27FC236}">
              <a16:creationId xmlns:a16="http://schemas.microsoft.com/office/drawing/2014/main" id="{2104439C-A11B-451C-9452-1E55A401E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314326</xdr:colOff>
      <xdr:row>33</xdr:row>
      <xdr:rowOff>19050</xdr:rowOff>
    </xdr:from>
    <xdr:to>
      <xdr:col>6</xdr:col>
      <xdr:colOff>9526</xdr:colOff>
      <xdr:row>48</xdr:row>
      <xdr:rowOff>59055</xdr:rowOff>
    </xdr:to>
    <xdr:graphicFrame macro="">
      <xdr:nvGraphicFramePr>
        <xdr:cNvPr id="32" name="NUMBER OF TRIES - HIST" hidden="1">
          <a:extLst>
            <a:ext uri="{FF2B5EF4-FFF2-40B4-BE49-F238E27FC236}">
              <a16:creationId xmlns:a16="http://schemas.microsoft.com/office/drawing/2014/main" id="{823E08BB-3398-4FEA-9102-2EDCE7B10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400050</xdr:colOff>
      <xdr:row>12</xdr:row>
      <xdr:rowOff>76200</xdr:rowOff>
    </xdr:from>
    <xdr:to>
      <xdr:col>13</xdr:col>
      <xdr:colOff>64770</xdr:colOff>
      <xdr:row>49</xdr:row>
      <xdr:rowOff>28575</xdr:rowOff>
    </xdr:to>
    <xdr:sp macro="" textlink="">
      <xdr:nvSpPr>
        <xdr:cNvPr id="19" name="SHAPE TIME">
          <a:extLst>
            <a:ext uri="{FF2B5EF4-FFF2-40B4-BE49-F238E27FC236}">
              <a16:creationId xmlns:a16="http://schemas.microsoft.com/office/drawing/2014/main" id="{B9EA52CF-D35B-4A8C-A24C-94760A17BAE8}"/>
            </a:ext>
          </a:extLst>
        </xdr:cNvPr>
        <xdr:cNvSpPr/>
      </xdr:nvSpPr>
      <xdr:spPr bwMode="auto">
        <a:xfrm>
          <a:off x="4057650" y="1209675"/>
          <a:ext cx="3931920" cy="5943600"/>
        </a:xfrm>
        <a:prstGeom prst="roundRect">
          <a:avLst>
            <a:gd name="adj" fmla="val 2940"/>
          </a:avLst>
        </a:prstGeom>
        <a:solidFill>
          <a:schemeClr val="accent6">
            <a:lumMod val="75000"/>
            <a:alpha val="70000"/>
          </a:scheme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TIME FEATURES</a:t>
          </a:r>
        </a:p>
      </xdr:txBody>
    </xdr:sp>
    <xdr:clientData/>
  </xdr:twoCellAnchor>
  <xdr:twoCellAnchor>
    <xdr:from>
      <xdr:col>6</xdr:col>
      <xdr:colOff>523873</xdr:colOff>
      <xdr:row>33</xdr:row>
      <xdr:rowOff>76200</xdr:rowOff>
    </xdr:from>
    <xdr:to>
      <xdr:col>12</xdr:col>
      <xdr:colOff>523873</xdr:colOff>
      <xdr:row>48</xdr:row>
      <xdr:rowOff>87630</xdr:rowOff>
    </xdr:to>
    <xdr:graphicFrame macro="">
      <xdr:nvGraphicFramePr>
        <xdr:cNvPr id="34" name="MONTHS - HIST">
          <a:extLst>
            <a:ext uri="{FF2B5EF4-FFF2-40B4-BE49-F238E27FC236}">
              <a16:creationId xmlns:a16="http://schemas.microsoft.com/office/drawing/2014/main" id="{67AAF358-4A88-4EF2-90B9-DA57A6DB8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533400</xdr:colOff>
      <xdr:row>15</xdr:row>
      <xdr:rowOff>95250</xdr:rowOff>
    </xdr:from>
    <xdr:to>
      <xdr:col>12</xdr:col>
      <xdr:colOff>533400</xdr:colOff>
      <xdr:row>32</xdr:row>
      <xdr:rowOff>85725</xdr:rowOff>
    </xdr:to>
    <xdr:graphicFrame macro="">
      <xdr:nvGraphicFramePr>
        <xdr:cNvPr id="33" name="YEARS - HIST">
          <a:extLst>
            <a:ext uri="{FF2B5EF4-FFF2-40B4-BE49-F238E27FC236}">
              <a16:creationId xmlns:a16="http://schemas.microsoft.com/office/drawing/2014/main" id="{59939449-3C2B-4B87-BA75-EA818BFDC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285749</xdr:colOff>
      <xdr:row>12</xdr:row>
      <xdr:rowOff>85724</xdr:rowOff>
    </xdr:from>
    <xdr:to>
      <xdr:col>26</xdr:col>
      <xdr:colOff>133349</xdr:colOff>
      <xdr:row>26</xdr:row>
      <xdr:rowOff>13334</xdr:rowOff>
    </xdr:to>
    <xdr:sp macro="" textlink="">
      <xdr:nvSpPr>
        <xdr:cNvPr id="22" name="SHAPE HABITS">
          <a:extLst>
            <a:ext uri="{FF2B5EF4-FFF2-40B4-BE49-F238E27FC236}">
              <a16:creationId xmlns:a16="http://schemas.microsoft.com/office/drawing/2014/main" id="{6A219843-E070-4387-A839-FC9093BEB3BA}"/>
            </a:ext>
          </a:extLst>
        </xdr:cNvPr>
        <xdr:cNvSpPr/>
      </xdr:nvSpPr>
      <xdr:spPr bwMode="auto">
        <a:xfrm>
          <a:off x="8210549" y="1219199"/>
          <a:ext cx="7772400" cy="2194560"/>
        </a:xfrm>
        <a:prstGeom prst="roundRect">
          <a:avLst>
            <a:gd name="adj" fmla="val 4907"/>
          </a:avLst>
        </a:prstGeom>
        <a:solidFill>
          <a:srgbClr val="7030A0">
            <a:alpha val="70000"/>
          </a:srgb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HABITS </a:t>
          </a:r>
          <a:r>
            <a:rPr lang="en-US" sz="2400" b="1" baseline="0">
              <a:solidFill>
                <a:schemeClr val="bg1"/>
              </a:solidFill>
            </a:rPr>
            <a:t>&amp; PREFERENCES</a:t>
          </a:r>
          <a:endParaRPr lang="en-US" sz="2400" b="1">
            <a:solidFill>
              <a:schemeClr val="bg1"/>
            </a:solidFill>
          </a:endParaRPr>
        </a:p>
      </xdr:txBody>
    </xdr:sp>
    <xdr:clientData/>
  </xdr:twoCellAnchor>
  <xdr:twoCellAnchor>
    <xdr:from>
      <xdr:col>13</xdr:col>
      <xdr:colOff>390525</xdr:colOff>
      <xdr:row>15</xdr:row>
      <xdr:rowOff>38100</xdr:rowOff>
    </xdr:from>
    <xdr:to>
      <xdr:col>17</xdr:col>
      <xdr:colOff>329565</xdr:colOff>
      <xdr:row>25</xdr:row>
      <xdr:rowOff>64770</xdr:rowOff>
    </xdr:to>
    <xdr:graphicFrame macro="">
      <xdr:nvGraphicFramePr>
        <xdr:cNvPr id="5" name="ASCENT PER HEIGHT - BARS">
          <a:extLst>
            <a:ext uri="{FF2B5EF4-FFF2-40B4-BE49-F238E27FC236}">
              <a16:creationId xmlns:a16="http://schemas.microsoft.com/office/drawing/2014/main" id="{7BF2E903-E3E5-4578-9079-37D29AF46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447674</xdr:colOff>
      <xdr:row>15</xdr:row>
      <xdr:rowOff>38100</xdr:rowOff>
    </xdr:from>
    <xdr:to>
      <xdr:col>22</xdr:col>
      <xdr:colOff>325754</xdr:colOff>
      <xdr:row>25</xdr:row>
      <xdr:rowOff>64770</xdr:rowOff>
    </xdr:to>
    <xdr:graphicFrame macro="">
      <xdr:nvGraphicFramePr>
        <xdr:cNvPr id="31" name="PARTNERS - HIST">
          <a:extLst>
            <a:ext uri="{FF2B5EF4-FFF2-40B4-BE49-F238E27FC236}">
              <a16:creationId xmlns:a16="http://schemas.microsoft.com/office/drawing/2014/main" id="{F118D34E-3889-49DE-824E-67ABA808A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285751</xdr:colOff>
      <xdr:row>27</xdr:row>
      <xdr:rowOff>19049</xdr:rowOff>
    </xdr:from>
    <xdr:to>
      <xdr:col>26</xdr:col>
      <xdr:colOff>133351</xdr:colOff>
      <xdr:row>49</xdr:row>
      <xdr:rowOff>9524</xdr:rowOff>
    </xdr:to>
    <xdr:sp macro="" textlink="">
      <xdr:nvSpPr>
        <xdr:cNvPr id="21" name="SHAPES COUNTRIES">
          <a:extLst>
            <a:ext uri="{FF2B5EF4-FFF2-40B4-BE49-F238E27FC236}">
              <a16:creationId xmlns:a16="http://schemas.microsoft.com/office/drawing/2014/main" id="{07C4E6F5-191C-4AF6-9B80-6B9082440F2C}"/>
            </a:ext>
          </a:extLst>
        </xdr:cNvPr>
        <xdr:cNvSpPr/>
      </xdr:nvSpPr>
      <xdr:spPr bwMode="auto">
        <a:xfrm>
          <a:off x="8210551" y="3581399"/>
          <a:ext cx="7772400" cy="3552825"/>
        </a:xfrm>
        <a:prstGeom prst="roundRect">
          <a:avLst>
            <a:gd name="adj" fmla="val 3171"/>
          </a:avLst>
        </a:prstGeom>
        <a:solidFill>
          <a:srgbClr val="C00000">
            <a:alpha val="70000"/>
          </a:srgb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                                                         COUNTRIES &amp; PLACES</a:t>
          </a:r>
        </a:p>
      </xdr:txBody>
    </xdr:sp>
    <xdr:clientData/>
  </xdr:twoCellAnchor>
  <xdr:twoCellAnchor>
    <xdr:from>
      <xdr:col>20</xdr:col>
      <xdr:colOff>180975</xdr:colOff>
      <xdr:row>30</xdr:row>
      <xdr:rowOff>28575</xdr:rowOff>
    </xdr:from>
    <xdr:to>
      <xdr:col>25</xdr:col>
      <xdr:colOff>607695</xdr:colOff>
      <xdr:row>48</xdr:row>
      <xdr:rowOff>66675</xdr:rowOff>
    </xdr:to>
    <xdr:graphicFrame macro="">
      <xdr:nvGraphicFramePr>
        <xdr:cNvPr id="13" name="FAVORITE CRAGS - PIE">
          <a:extLst>
            <a:ext uri="{FF2B5EF4-FFF2-40B4-BE49-F238E27FC236}">
              <a16:creationId xmlns:a16="http://schemas.microsoft.com/office/drawing/2014/main" id="{82DF5BF3-B8EA-4AA1-BF34-978CB8C39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180975</xdr:colOff>
      <xdr:row>30</xdr:row>
      <xdr:rowOff>133350</xdr:rowOff>
    </xdr:from>
    <xdr:to>
      <xdr:col>25</xdr:col>
      <xdr:colOff>607695</xdr:colOff>
      <xdr:row>47</xdr:row>
      <xdr:rowOff>114300</xdr:rowOff>
    </xdr:to>
    <xdr:graphicFrame macro="">
      <xdr:nvGraphicFramePr>
        <xdr:cNvPr id="15" name="FAVORITE CRAGS - HIST" hidden="1">
          <a:extLst>
            <a:ext uri="{FF2B5EF4-FFF2-40B4-BE49-F238E27FC236}">
              <a16:creationId xmlns:a16="http://schemas.microsoft.com/office/drawing/2014/main" id="{FDF1097C-CD6C-47CC-9371-19C2EB82F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409575</xdr:colOff>
      <xdr:row>27</xdr:row>
      <xdr:rowOff>123824</xdr:rowOff>
    </xdr:from>
    <xdr:to>
      <xdr:col>20</xdr:col>
      <xdr:colOff>57150</xdr:colOff>
      <xdr:row>48</xdr:row>
      <xdr:rowOff>66674</xdr:rowOff>
    </xdr:to>
    <mc:AlternateContent xmlns:mc="http://schemas.openxmlformats.org/markup-compatibility/2006">
      <mc:Choice xmlns:cx4="http://schemas.microsoft.com/office/drawing/2016/5/10/chartex" Requires="cx4">
        <xdr:graphicFrame macro="">
          <xdr:nvGraphicFramePr>
            <xdr:cNvPr id="9" name="MAP">
              <a:extLst>
                <a:ext uri="{FF2B5EF4-FFF2-40B4-BE49-F238E27FC236}">
                  <a16:creationId xmlns:a16="http://schemas.microsoft.com/office/drawing/2014/main" id="{75DD9675-E223-4B75-9C97-33ECB09BC0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8508365" y="4445634"/>
              <a:ext cx="4133215" cy="3299460"/>
            </a:xfrm>
            <a:prstGeom prst="rect">
              <a:avLst/>
            </a:prstGeom>
            <a:solidFill>
              <a:prstClr val="white"/>
            </a:solidFill>
            <a:ln w="1">
              <a:solidFill>
                <a:prstClr val="green"/>
              </a:solidFill>
            </a:ln>
          </xdr:spPr>
          <xdr:txBody>
            <a:bodyPr vertOverflow="clip" horzOverflow="clip"/>
            <a:lstStyle/>
            <a:p>
              <a:r>
                <a:rPr lang="en-AT"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552450</xdr:colOff>
      <xdr:row>29</xdr:row>
      <xdr:rowOff>114300</xdr:rowOff>
    </xdr:from>
    <xdr:to>
      <xdr:col>19</xdr:col>
      <xdr:colOff>66675</xdr:colOff>
      <xdr:row>46</xdr:row>
      <xdr:rowOff>104775</xdr:rowOff>
    </xdr:to>
    <xdr:graphicFrame macro="">
      <xdr:nvGraphicFramePr>
        <xdr:cNvPr id="30" name="COUNTRIES - PIE" hidden="1">
          <a:extLst>
            <a:ext uri="{FF2B5EF4-FFF2-40B4-BE49-F238E27FC236}">
              <a16:creationId xmlns:a16="http://schemas.microsoft.com/office/drawing/2014/main" id="{CAF06053-0CF7-4605-AA0B-CBCD580B0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438148</xdr:colOff>
      <xdr:row>15</xdr:row>
      <xdr:rowOff>38100</xdr:rowOff>
    </xdr:from>
    <xdr:to>
      <xdr:col>26</xdr:col>
      <xdr:colOff>11428</xdr:colOff>
      <xdr:row>25</xdr:row>
      <xdr:rowOff>64770</xdr:rowOff>
    </xdr:to>
    <xdr:graphicFrame macro="">
      <xdr:nvGraphicFramePr>
        <xdr:cNvPr id="27" name="PARTNERS - HIST">
          <a:extLst>
            <a:ext uri="{FF2B5EF4-FFF2-40B4-BE49-F238E27FC236}">
              <a16:creationId xmlns:a16="http://schemas.microsoft.com/office/drawing/2014/main" id="{549408C3-21FF-48CB-89A2-8637AA5C0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134618</xdr:colOff>
      <xdr:row>4</xdr:row>
      <xdr:rowOff>111759</xdr:rowOff>
    </xdr:from>
    <xdr:to>
      <xdr:col>26</xdr:col>
      <xdr:colOff>116618</xdr:colOff>
      <xdr:row>11</xdr:row>
      <xdr:rowOff>135890</xdr:rowOff>
    </xdr:to>
    <xdr:sp macro="" textlink="">
      <xdr:nvSpPr>
        <xdr:cNvPr id="26" name="SHAPE HABITS">
          <a:extLst>
            <a:ext uri="{FF2B5EF4-FFF2-40B4-BE49-F238E27FC236}">
              <a16:creationId xmlns:a16="http://schemas.microsoft.com/office/drawing/2014/main" id="{0E4E3B13-F091-4684-A4FF-71A9886B8DC9}"/>
            </a:ext>
          </a:extLst>
        </xdr:cNvPr>
        <xdr:cNvSpPr/>
      </xdr:nvSpPr>
      <xdr:spPr bwMode="auto">
        <a:xfrm>
          <a:off x="553718" y="751839"/>
          <a:ext cx="15984000" cy="1144271"/>
        </a:xfrm>
        <a:prstGeom prst="roundRect">
          <a:avLst>
            <a:gd name="adj" fmla="val 10240"/>
          </a:avLst>
        </a:prstGeom>
        <a:solidFill>
          <a:srgbClr val="002060">
            <a:alpha val="70000"/>
          </a:srgbClr>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2400" b="1">
              <a:solidFill>
                <a:schemeClr val="bg1"/>
              </a:solidFill>
            </a:rPr>
            <a:t>OVERVIEW</a:t>
          </a:r>
        </a:p>
      </xdr:txBody>
    </xdr:sp>
    <xdr:clientData/>
  </xdr:twoCellAnchor>
  <xdr:twoCellAnchor>
    <xdr:from>
      <xdr:col>15</xdr:col>
      <xdr:colOff>534669</xdr:colOff>
      <xdr:row>6</xdr:row>
      <xdr:rowOff>158115</xdr:rowOff>
    </xdr:from>
    <xdr:to>
      <xdr:col>20</xdr:col>
      <xdr:colOff>215539</xdr:colOff>
      <xdr:row>10</xdr:row>
      <xdr:rowOff>139365</xdr:rowOff>
    </xdr:to>
    <xdr:grpSp>
      <xdr:nvGrpSpPr>
        <xdr:cNvPr id="48" name="Group 47">
          <a:extLst>
            <a:ext uri="{FF2B5EF4-FFF2-40B4-BE49-F238E27FC236}">
              <a16:creationId xmlns:a16="http://schemas.microsoft.com/office/drawing/2014/main" id="{37293C6A-1963-D0A0-B9C6-A7298B7E5FF6}"/>
            </a:ext>
          </a:extLst>
        </xdr:cNvPr>
        <xdr:cNvGrpSpPr/>
      </xdr:nvGrpSpPr>
      <xdr:grpSpPr>
        <a:xfrm>
          <a:off x="9950339" y="1113542"/>
          <a:ext cx="2891982" cy="613544"/>
          <a:chOff x="759459" y="1182371"/>
          <a:chExt cx="2880000" cy="641650"/>
        </a:xfrm>
      </xdr:grpSpPr>
      <xdr:sp macro="" textlink="">
        <xdr:nvSpPr>
          <xdr:cNvPr id="28" name="SHAPE HABITS">
            <a:extLst>
              <a:ext uri="{FF2B5EF4-FFF2-40B4-BE49-F238E27FC236}">
                <a16:creationId xmlns:a16="http://schemas.microsoft.com/office/drawing/2014/main" id="{52712B81-AE6B-40AD-9E5D-BB13513D3159}"/>
              </a:ext>
            </a:extLst>
          </xdr:cNvPr>
          <xdr:cNvSpPr/>
        </xdr:nvSpPr>
        <xdr:spPr bwMode="auto">
          <a:xfrm>
            <a:off x="759459" y="1182371"/>
            <a:ext cx="2880000" cy="641650"/>
          </a:xfrm>
          <a:prstGeom prst="roundRect">
            <a:avLst>
              <a:gd name="adj" fmla="val 25597"/>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1600" b="0">
                <a:solidFill>
                  <a:schemeClr val="tx1">
                    <a:lumMod val="75000"/>
                    <a:lumOff val="25000"/>
                  </a:schemeClr>
                </a:solidFill>
              </a:rPr>
              <a:t>TOTAL ASCENTS</a:t>
            </a:r>
          </a:p>
        </xdr:txBody>
      </xdr:sp>
      <xdr:sp macro="" textlink="'PIVOTS &amp; CALCULATIONS'!C11">
        <xdr:nvSpPr>
          <xdr:cNvPr id="40" name="Deliveries_On_Time_Percentage">
            <a:extLst>
              <a:ext uri="{FF2B5EF4-FFF2-40B4-BE49-F238E27FC236}">
                <a16:creationId xmlns:a16="http://schemas.microsoft.com/office/drawing/2014/main" id="{95F9E798-6F63-487A-BBEE-BCAA190BCA0A}"/>
              </a:ext>
            </a:extLst>
          </xdr:cNvPr>
          <xdr:cNvSpPr txBox="1"/>
        </xdr:nvSpPr>
        <xdr:spPr>
          <a:xfrm>
            <a:off x="1795779" y="1463041"/>
            <a:ext cx="703581" cy="353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42ACE1-B0BF-4360-8CBB-3E4C534F6505}" type="TxLink">
              <a:rPr lang="en-US" sz="1600" b="0" i="0" u="none" strike="noStrike">
                <a:solidFill>
                  <a:schemeClr val="tx1">
                    <a:lumMod val="75000"/>
                    <a:lumOff val="25000"/>
                  </a:schemeClr>
                </a:solidFill>
                <a:latin typeface="Arial"/>
                <a:cs typeface="Arial"/>
              </a:rPr>
              <a:pPr algn="ctr"/>
              <a:t>209</a:t>
            </a:fld>
            <a:endParaRPr lang="en-AT" sz="1600">
              <a:solidFill>
                <a:schemeClr val="tx1">
                  <a:lumMod val="75000"/>
                  <a:lumOff val="25000"/>
                </a:schemeClr>
              </a:solidFill>
            </a:endParaRPr>
          </a:p>
        </xdr:txBody>
      </xdr:sp>
    </xdr:grpSp>
    <xdr:clientData/>
  </xdr:twoCellAnchor>
  <xdr:twoCellAnchor>
    <xdr:from>
      <xdr:col>7</xdr:col>
      <xdr:colOff>154939</xdr:colOff>
      <xdr:row>6</xdr:row>
      <xdr:rowOff>137795</xdr:rowOff>
    </xdr:from>
    <xdr:to>
      <xdr:col>11</xdr:col>
      <xdr:colOff>484779</xdr:colOff>
      <xdr:row>10</xdr:row>
      <xdr:rowOff>159685</xdr:rowOff>
    </xdr:to>
    <xdr:grpSp>
      <xdr:nvGrpSpPr>
        <xdr:cNvPr id="51" name="Group 50">
          <a:extLst>
            <a:ext uri="{FF2B5EF4-FFF2-40B4-BE49-F238E27FC236}">
              <a16:creationId xmlns:a16="http://schemas.microsoft.com/office/drawing/2014/main" id="{7CE8CB25-7B2E-1920-5D18-A03EE82A7E59}"/>
            </a:ext>
          </a:extLst>
        </xdr:cNvPr>
        <xdr:cNvGrpSpPr/>
      </xdr:nvGrpSpPr>
      <xdr:grpSpPr>
        <a:xfrm>
          <a:off x="4428765" y="1089412"/>
          <a:ext cx="2898222" cy="661804"/>
          <a:chOff x="4419898" y="1091901"/>
          <a:chExt cx="2896286" cy="658758"/>
        </a:xfrm>
      </xdr:grpSpPr>
      <xdr:sp macro="" textlink="">
        <xdr:nvSpPr>
          <xdr:cNvPr id="29" name="SHAPE HABITS">
            <a:extLst>
              <a:ext uri="{FF2B5EF4-FFF2-40B4-BE49-F238E27FC236}">
                <a16:creationId xmlns:a16="http://schemas.microsoft.com/office/drawing/2014/main" id="{94ED0401-46C2-4F86-ADC7-7CB6570468FB}"/>
              </a:ext>
            </a:extLst>
          </xdr:cNvPr>
          <xdr:cNvSpPr/>
        </xdr:nvSpPr>
        <xdr:spPr bwMode="auto">
          <a:xfrm>
            <a:off x="4419898" y="1091901"/>
            <a:ext cx="2896286" cy="658758"/>
          </a:xfrm>
          <a:prstGeom prst="roundRect">
            <a:avLst>
              <a:gd name="adj" fmla="val 25597"/>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1600" b="0">
                <a:solidFill>
                  <a:schemeClr val="bg2">
                    <a:lumMod val="25000"/>
                  </a:schemeClr>
                </a:solidFill>
              </a:rPr>
              <a:t>MAX GRADE</a:t>
            </a:r>
          </a:p>
        </xdr:txBody>
      </xdr:sp>
      <xdr:sp macro="" textlink="'PIVOTS &amp; CALCULATIONS'!C10">
        <xdr:nvSpPr>
          <xdr:cNvPr id="42" name="Deliveries_On_Time_Percentage">
            <a:extLst>
              <a:ext uri="{FF2B5EF4-FFF2-40B4-BE49-F238E27FC236}">
                <a16:creationId xmlns:a16="http://schemas.microsoft.com/office/drawing/2014/main" id="{3CA69702-99B7-4FFC-B18C-92F2D9BC98C1}"/>
              </a:ext>
            </a:extLst>
          </xdr:cNvPr>
          <xdr:cNvSpPr txBox="1"/>
        </xdr:nvSpPr>
        <xdr:spPr>
          <a:xfrm>
            <a:off x="5523497" y="1396177"/>
            <a:ext cx="704732" cy="341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588175-9500-46F4-866A-194828A5A4DE}" type="TxLink">
              <a:rPr lang="en-US" sz="1600" b="0" i="0" u="none" strike="noStrike">
                <a:solidFill>
                  <a:schemeClr val="bg2">
                    <a:lumMod val="25000"/>
                  </a:schemeClr>
                </a:solidFill>
                <a:latin typeface="Arial"/>
                <a:cs typeface="Arial"/>
              </a:rPr>
              <a:pPr algn="ctr"/>
              <a:t>7c+</a:t>
            </a:fld>
            <a:endParaRPr lang="en-AT" sz="3200" b="0">
              <a:solidFill>
                <a:schemeClr val="bg2">
                  <a:lumMod val="25000"/>
                </a:schemeClr>
              </a:solidFill>
            </a:endParaRPr>
          </a:p>
        </xdr:txBody>
      </xdr:sp>
    </xdr:grpSp>
    <xdr:clientData/>
  </xdr:twoCellAnchor>
  <xdr:twoCellAnchor>
    <xdr:from>
      <xdr:col>1</xdr:col>
      <xdr:colOff>472438</xdr:colOff>
      <xdr:row>6</xdr:row>
      <xdr:rowOff>138430</xdr:rowOff>
    </xdr:from>
    <xdr:to>
      <xdr:col>6</xdr:col>
      <xdr:colOff>143148</xdr:colOff>
      <xdr:row>10</xdr:row>
      <xdr:rowOff>159050</xdr:rowOff>
    </xdr:to>
    <xdr:grpSp>
      <xdr:nvGrpSpPr>
        <xdr:cNvPr id="50" name="Group 49">
          <a:extLst>
            <a:ext uri="{FF2B5EF4-FFF2-40B4-BE49-F238E27FC236}">
              <a16:creationId xmlns:a16="http://schemas.microsoft.com/office/drawing/2014/main" id="{C75AD514-EF63-2C4B-350F-3E11DC143B7E}"/>
            </a:ext>
          </a:extLst>
        </xdr:cNvPr>
        <xdr:cNvGrpSpPr/>
      </xdr:nvGrpSpPr>
      <xdr:grpSpPr>
        <a:xfrm>
          <a:off x="892421" y="1090047"/>
          <a:ext cx="2880553" cy="660534"/>
          <a:chOff x="9781538" y="1121409"/>
          <a:chExt cx="2883810" cy="649270"/>
        </a:xfrm>
      </xdr:grpSpPr>
      <xdr:sp macro="" textlink="">
        <xdr:nvSpPr>
          <xdr:cNvPr id="35" name="SHAPE HABITS">
            <a:extLst>
              <a:ext uri="{FF2B5EF4-FFF2-40B4-BE49-F238E27FC236}">
                <a16:creationId xmlns:a16="http://schemas.microsoft.com/office/drawing/2014/main" id="{16E7FDD9-F263-43A3-9852-4404FD6A95C0}"/>
              </a:ext>
            </a:extLst>
          </xdr:cNvPr>
          <xdr:cNvSpPr/>
        </xdr:nvSpPr>
        <xdr:spPr bwMode="auto">
          <a:xfrm>
            <a:off x="9781538" y="1121409"/>
            <a:ext cx="2883810" cy="649270"/>
          </a:xfrm>
          <a:prstGeom prst="roundRect">
            <a:avLst>
              <a:gd name="adj" fmla="val 25597"/>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1600" b="0">
                <a:solidFill>
                  <a:schemeClr val="bg2">
                    <a:lumMod val="25000"/>
                  </a:schemeClr>
                </a:solidFill>
              </a:rPr>
              <a:t>CLIMBS SINCE</a:t>
            </a:r>
          </a:p>
        </xdr:txBody>
      </xdr:sp>
      <xdr:sp macro="" textlink="">
        <xdr:nvSpPr>
          <xdr:cNvPr id="43" name="Deliveries_On_Time_Percentage">
            <a:extLst>
              <a:ext uri="{FF2B5EF4-FFF2-40B4-BE49-F238E27FC236}">
                <a16:creationId xmlns:a16="http://schemas.microsoft.com/office/drawing/2014/main" id="{6EFA204F-A37F-447E-9F6B-54002194BC14}"/>
              </a:ext>
            </a:extLst>
          </xdr:cNvPr>
          <xdr:cNvSpPr txBox="1"/>
        </xdr:nvSpPr>
        <xdr:spPr>
          <a:xfrm>
            <a:off x="10835638" y="1384151"/>
            <a:ext cx="715011" cy="343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bg2">
                    <a:lumMod val="25000"/>
                  </a:schemeClr>
                </a:solidFill>
                <a:latin typeface="Arial"/>
                <a:cs typeface="Arial"/>
              </a:rPr>
              <a:t>2006</a:t>
            </a:r>
          </a:p>
        </xdr:txBody>
      </xdr:sp>
    </xdr:grpSp>
    <xdr:clientData/>
  </xdr:twoCellAnchor>
  <xdr:twoCellAnchor>
    <xdr:from>
      <xdr:col>21</xdr:col>
      <xdr:colOff>104140</xdr:colOff>
      <xdr:row>6</xdr:row>
      <xdr:rowOff>139700</xdr:rowOff>
    </xdr:from>
    <xdr:to>
      <xdr:col>25</xdr:col>
      <xdr:colOff>428900</xdr:colOff>
      <xdr:row>10</xdr:row>
      <xdr:rowOff>157780</xdr:rowOff>
    </xdr:to>
    <xdr:grpSp>
      <xdr:nvGrpSpPr>
        <xdr:cNvPr id="46" name="Group 45">
          <a:extLst>
            <a:ext uri="{FF2B5EF4-FFF2-40B4-BE49-F238E27FC236}">
              <a16:creationId xmlns:a16="http://schemas.microsoft.com/office/drawing/2014/main" id="{F5810111-831B-FCC2-7BAC-1E579B817213}"/>
            </a:ext>
          </a:extLst>
        </xdr:cNvPr>
        <xdr:cNvGrpSpPr/>
      </xdr:nvGrpSpPr>
      <xdr:grpSpPr>
        <a:xfrm>
          <a:off x="13373652" y="1091317"/>
          <a:ext cx="2900762" cy="657994"/>
          <a:chOff x="13233400" y="1097280"/>
          <a:chExt cx="2872380" cy="640080"/>
        </a:xfrm>
      </xdr:grpSpPr>
      <xdr:sp macro="" textlink="">
        <xdr:nvSpPr>
          <xdr:cNvPr id="39" name="SHAPE HABITS">
            <a:extLst>
              <a:ext uri="{FF2B5EF4-FFF2-40B4-BE49-F238E27FC236}">
                <a16:creationId xmlns:a16="http://schemas.microsoft.com/office/drawing/2014/main" id="{55AE7093-AB1F-4921-B8A9-C628554FFDA0}"/>
              </a:ext>
            </a:extLst>
          </xdr:cNvPr>
          <xdr:cNvSpPr/>
        </xdr:nvSpPr>
        <xdr:spPr bwMode="auto">
          <a:xfrm>
            <a:off x="13233400" y="1097280"/>
            <a:ext cx="2872380" cy="640080"/>
          </a:xfrm>
          <a:prstGeom prst="roundRect">
            <a:avLst>
              <a:gd name="adj" fmla="val 25597"/>
            </a:avLst>
          </a:prstGeom>
          <a:solidFill>
            <a:srgbClr val="FFFFFF"/>
          </a:solidFill>
          <a:ln w="9525" cap="flat" cmpd="sng" algn="ctr">
            <a:noFill/>
            <a:prstDash val="solid"/>
            <a:round/>
            <a:headEnd type="none" w="med" len="med"/>
            <a:tailEnd type="none" w="med" len="med"/>
          </a:ln>
          <a:effectLst/>
        </xdr:spPr>
        <xdr:txBody>
          <a:bodyPr vertOverflow="clip" wrap="square" lIns="18288" tIns="0" rIns="0" bIns="0" rtlCol="0" anchor="t" upright="1"/>
          <a:lstStyle/>
          <a:p>
            <a:pPr algn="ctr"/>
            <a:r>
              <a:rPr lang="en-US" sz="1600" b="0">
                <a:solidFill>
                  <a:schemeClr val="bg2">
                    <a:lumMod val="25000"/>
                  </a:schemeClr>
                </a:solidFill>
              </a:rPr>
              <a:t>BEST YEAR</a:t>
            </a:r>
          </a:p>
        </xdr:txBody>
      </xdr:sp>
      <xdr:sp macro="" textlink="'PIVOTS &amp; CALCULATIONS'!E24">
        <xdr:nvSpPr>
          <xdr:cNvPr id="45" name="Deliveries_On_Time_Percentage">
            <a:extLst>
              <a:ext uri="{FF2B5EF4-FFF2-40B4-BE49-F238E27FC236}">
                <a16:creationId xmlns:a16="http://schemas.microsoft.com/office/drawing/2014/main" id="{901BA56E-316E-47A6-B338-CADA060428D7}"/>
              </a:ext>
            </a:extLst>
          </xdr:cNvPr>
          <xdr:cNvSpPr txBox="1"/>
        </xdr:nvSpPr>
        <xdr:spPr>
          <a:xfrm>
            <a:off x="14338298" y="1377949"/>
            <a:ext cx="711201" cy="335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5D56B6-D45D-41BA-9AFF-F783715ACF3D}" type="TxLink">
              <a:rPr lang="en-US" sz="1600" b="0" i="0" u="none" strike="noStrike">
                <a:solidFill>
                  <a:schemeClr val="bg2">
                    <a:lumMod val="25000"/>
                  </a:schemeClr>
                </a:solidFill>
                <a:latin typeface="Arial"/>
                <a:cs typeface="Arial"/>
              </a:rPr>
              <a:pPr algn="ctr"/>
              <a:t>2025</a:t>
            </a:fld>
            <a:endParaRPr lang="en-AT" sz="3200">
              <a:solidFill>
                <a:schemeClr val="bg2">
                  <a:lumMod val="25000"/>
                </a:schemeClr>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26</xdr:col>
      <xdr:colOff>9525</xdr:colOff>
      <xdr:row>5</xdr:row>
      <xdr:rowOff>0</xdr:rowOff>
    </xdr:from>
    <xdr:to>
      <xdr:col>34</xdr:col>
      <xdr:colOff>0</xdr:colOff>
      <xdr:row>21</xdr:row>
      <xdr:rowOff>152400</xdr:rowOff>
    </xdr:to>
    <xdr:graphicFrame macro="">
      <xdr:nvGraphicFramePr>
        <xdr:cNvPr id="8" name="Chart 7">
          <a:extLst>
            <a:ext uri="{FF2B5EF4-FFF2-40B4-BE49-F238E27FC236}">
              <a16:creationId xmlns:a16="http://schemas.microsoft.com/office/drawing/2014/main" id="{4CB546D5-B378-48F0-B363-DA14B4875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0</xdr:colOff>
      <xdr:row>41</xdr:row>
      <xdr:rowOff>0</xdr:rowOff>
    </xdr:from>
    <xdr:to>
      <xdr:col>33</xdr:col>
      <xdr:colOff>266700</xdr:colOff>
      <xdr:row>58</xdr:row>
      <xdr:rowOff>152400</xdr:rowOff>
    </xdr:to>
    <xdr:graphicFrame macro="">
      <xdr:nvGraphicFramePr>
        <xdr:cNvPr id="4" name="Chart 3">
          <a:extLst>
            <a:ext uri="{FF2B5EF4-FFF2-40B4-BE49-F238E27FC236}">
              <a16:creationId xmlns:a16="http://schemas.microsoft.com/office/drawing/2014/main" id="{C749AC46-861C-4309-AF02-9FF85FDEC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édéric Malharin" refreshedDate="45768.983715856484" createdVersion="8" refreshedVersion="8" minRefreshableVersion="3" recordCount="185" xr:uid="{070E175E-4867-4CA3-9136-27CE1997D5E4}">
  <cacheSource type="worksheet">
    <worksheetSource name="SportClimbing"/>
  </cacheSource>
  <cacheFields count="17">
    <cacheField name="Date" numFmtId="168">
      <sharedItems containsSemiMixedTypes="0" containsNonDate="0" containsDate="1" containsString="0" minDate="2006-07-15T00:00:00" maxDate="2025-04-22T00:00:00"/>
    </cacheField>
    <cacheField name="Date_filter" numFmtId="168">
      <sharedItems/>
    </cacheField>
    <cacheField name="Day" numFmtId="0">
      <sharedItems containsSemiMixedTypes="0" containsString="0" containsNumber="1" containsInteger="1" minValue="1" maxValue="31"/>
    </cacheField>
    <cacheField name="Month" numFmtId="0">
      <sharedItems count="12">
        <s v="Jul"/>
        <s v="Apr"/>
        <s v="May"/>
        <s v="Aug"/>
        <s v="Nov"/>
        <s v="Dec"/>
        <s v="Jan"/>
        <s v="Feb"/>
        <s v="Mar"/>
        <s v="Jun"/>
        <s v="Sep"/>
        <s v="Oct"/>
      </sharedItems>
    </cacheField>
    <cacheField name="Year" numFmtId="0">
      <sharedItems containsSemiMixedTypes="0" containsString="0" containsNumber="1" containsInteger="1" minValue="2006" maxValue="2025" count="16">
        <n v="2006"/>
        <n v="2007"/>
        <n v="2008"/>
        <n v="2011"/>
        <n v="2012"/>
        <n v="2013"/>
        <n v="2016"/>
        <n v="2017"/>
        <n v="2018"/>
        <n v="2019"/>
        <n v="2020"/>
        <n v="2021"/>
        <n v="2022"/>
        <n v="2023"/>
        <n v="2024"/>
        <n v="2025"/>
      </sharedItems>
    </cacheField>
    <cacheField name="Route name" numFmtId="0">
      <sharedItems/>
    </cacheField>
    <cacheField name="Grade" numFmtId="0">
      <sharedItems/>
    </cacheField>
    <cacheField name="Country" numFmtId="0">
      <sharedItems/>
    </cacheField>
    <cacheField name="Crag" numFmtId="0">
      <sharedItems/>
    </cacheField>
    <cacheField name="Sector" numFmtId="0">
      <sharedItems/>
    </cacheField>
    <cacheField name="Height (m)" numFmtId="0">
      <sharedItems containsSemiMixedTypes="0" containsString="0" containsNumber="1" containsInteger="1" minValue="8" maxValue="40"/>
    </cacheField>
    <cacheField name="Height range (m)" numFmtId="0">
      <sharedItems/>
    </cacheField>
    <cacheField name="Belayer" numFmtId="0">
      <sharedItems/>
    </cacheField>
    <cacheField name="Total number of tries" numFmtId="0">
      <sharedItems containsMixedTypes="1" containsNumber="1" containsInteger="1" minValue="1" maxValue="50"/>
    </cacheField>
    <cacheField name="Tries num. only excl. outliers" numFmtId="0">
      <sharedItems containsString="0" containsBlank="1" containsNumber="1" containsInteger="1" minValue="1" maxValue="24"/>
    </cacheField>
    <cacheField name="onsight/flash/redpoint" numFmtId="0">
      <sharedItems/>
    </cacheField>
    <cacheField name="Score" numFmtId="0">
      <sharedItems containsSemiMixedTypes="0" containsString="0" containsNumber="1" containsInteger="1" minValue="10" maxValue="8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5961.907489120371" backgroundQuery="1" createdVersion="8" refreshedVersion="8" minRefreshableVersion="3" recordCount="0" supportSubquery="1" supportAdvancedDrill="1" xr:uid="{1F882D17-6359-4C52-A0EF-F535B1A5BB4A}">
  <cacheSource type="external" connectionId="1"/>
  <cacheFields count="9">
    <cacheField name="[Measures].[Count of Belayer]" caption="Count of Belayer" numFmtId="0" hierarchy="27" level="32767"/>
    <cacheField name="[Years].[YEARS].[YEARS]" caption="YEARS" numFmtId="0" hierarchy="21" level="1">
      <sharedItems containsSemiMixedTypes="0" containsString="0" containsNumber="1" containsInteger="1" minValue="2006" maxValue="2025" count="20">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Years].[YEARS].&amp;[2006]"/>
            <x15:cachedUniqueName index="1" name="[Years].[YEARS].&amp;[2007]"/>
            <x15:cachedUniqueName index="2" name="[Years].[YEARS].&amp;[2008]"/>
            <x15:cachedUniqueName index="3" name="[Years].[YEARS].&amp;[2009]"/>
            <x15:cachedUniqueName index="4" name="[Years].[YEARS].&amp;[2010]"/>
            <x15:cachedUniqueName index="5" name="[Years].[YEARS].&amp;[2011]"/>
            <x15:cachedUniqueName index="6" name="[Years].[YEARS].&amp;[2012]"/>
            <x15:cachedUniqueName index="7" name="[Years].[YEARS].&amp;[2013]"/>
            <x15:cachedUniqueName index="8" name="[Years].[YEARS].&amp;[2014]"/>
            <x15:cachedUniqueName index="9" name="[Years].[YEARS].&amp;[2015]"/>
            <x15:cachedUniqueName index="10" name="[Years].[YEARS].&amp;[2016]"/>
            <x15:cachedUniqueName index="11" name="[Years].[YEARS].&amp;[2017]"/>
            <x15:cachedUniqueName index="12" name="[Years].[YEARS].&amp;[2018]"/>
            <x15:cachedUniqueName index="13" name="[Years].[YEARS].&amp;[2019]"/>
            <x15:cachedUniqueName index="14" name="[Years].[YEARS].&amp;[2020]"/>
            <x15:cachedUniqueName index="15" name="[Years].[YEARS].&amp;[2021]"/>
            <x15:cachedUniqueName index="16" name="[Years].[YEARS].&amp;[2022]"/>
            <x15:cachedUniqueName index="17" name="[Years].[YEARS].&amp;[2023]"/>
            <x15:cachedUniqueName index="18" name="[Years].[YEARS].&amp;[2024]"/>
            <x15:cachedUniqueName index="19" name="[Years].[YEARS].&amp;[2025]"/>
          </x15:cachedUniqueNames>
        </ext>
      </extLst>
    </cacheField>
    <cacheField name="[SportClimbing].[Total number of tries].[Total number of tries]" caption="Total number of tries" numFmtId="0" hierarchy="17" level="1">
      <sharedItems containsSemiMixedTypes="0" containsNonDate="0" containsString="0"/>
    </cacheField>
    <cacheField name="[SportClimbing].[Grade].[Grade]" caption="Grade" numFmtId="0" hierarchy="10" level="1">
      <sharedItems containsSemiMixedTypes="0" containsNonDate="0" containsString="0"/>
    </cacheField>
    <cacheField name="[SportClimbing].[Crag].[Crag]" caption="Crag" numFmtId="0" hierarchy="12" level="1">
      <sharedItems containsSemiMixedTypes="0" containsNonDate="0" containsString="0"/>
    </cacheField>
    <cacheField name="[SportClimbing].[Belayer].[Belayer]" caption="Belayer" numFmtId="0" hierarchy="16"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3"/>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4"/>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5"/>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2"/>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1"/>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5961.907490972226" backgroundQuery="1" createdVersion="8" refreshedVersion="8" minRefreshableVersion="3" recordCount="0" supportSubquery="1" supportAdvancedDrill="1" xr:uid="{DBD749E6-8D70-41D8-A8CC-84C599EC1F06}">
  <cacheSource type="external" connectionId="1"/>
  <cacheFields count="10">
    <cacheField name="[Measures].[Count of Belayer]" caption="Count of Belayer" numFmtId="0" hierarchy="27" level="32767"/>
    <cacheField name="[SportClimbing].[Month].[Month]" caption="Month" numFmtId="0" hierarchy="7" level="1">
      <sharedItems count="12">
        <s v="Apr"/>
        <s v="Aug"/>
        <s v="Dec"/>
        <s v="Feb"/>
        <s v="Jan"/>
        <s v="Jul"/>
        <s v="Jun"/>
        <s v="Mar"/>
        <s v="May"/>
        <s v="Nov"/>
        <s v="Oct"/>
        <s v="Sep"/>
      </sharedItems>
    </cacheField>
    <cacheField name="[MONTHS].[MONTHS 2].[MONTHS 2]" caption="MONTHS 2" numFmtId="0" hierarchy="2" level="1">
      <sharedItems count="12">
        <s v="Jan"/>
        <s v="Feb"/>
        <s v="Mar"/>
        <s v="Apr"/>
        <s v="May"/>
        <s v="Jun"/>
        <s v="Jul"/>
        <s v="Aug"/>
        <s v="Sep"/>
        <s v="Oct"/>
        <s v="Nov"/>
        <s v="Dec"/>
      </sharedItems>
    </cacheField>
    <cacheField name="[Years].[YEARS].[YEARS]" caption="YEARS" numFmtId="0" hierarchy="21"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Grade].[Grade]" caption="Grade" numFmtId="0" hierarchy="10" level="1">
      <sharedItems containsSemiMixedTypes="0" containsNonDate="0" containsString="0"/>
    </cacheField>
    <cacheField name="[SportClimbing].[Crag].[Crag]" caption="Crag" numFmtId="0" hierarchy="12" level="1">
      <sharedItems containsSemiMixedTypes="0" containsNonDate="0" containsString="0"/>
    </cacheField>
    <cacheField name="[SportClimbing].[Belayer].[Belayer]" caption="Belayer" numFmtId="0" hierarchy="16" level="1">
      <sharedItems containsSemiMixedTypes="0" containsNonDate="0" containsString="0"/>
    </cacheField>
    <cacheField name="[SportClimbing].[Height (m)].[Height (m)]" caption="Height (m)" numFmtId="0" hierarchy="14"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2"/>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2" memberValueDatatype="130" unbalanced="0">
      <fieldsUsage count="2">
        <fieldUsage x="-1"/>
        <fieldUsage x="1"/>
      </fieldsUsage>
    </cacheHierarchy>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5"/>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6"/>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8"/>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9"/>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7"/>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4"/>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3"/>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5961.907492939812" backgroundQuery="1" createdVersion="8" refreshedVersion="8" minRefreshableVersion="3" recordCount="0" supportSubquery="1" supportAdvancedDrill="1" xr:uid="{7CC608A1-3AC3-47C8-874D-083349D65011}">
  <cacheSource type="external" connectionId="1"/>
  <cacheFields count="9">
    <cacheField name="[SportClimbing].[Crag].[Crag]" caption="Crag" numFmtId="0" hierarchy="12" level="1">
      <sharedItems count="46">
        <s v="Achleiten"/>
        <s v="Ailefroide"/>
        <s v="Arboli"/>
        <s v="Arbolí"/>
        <s v="Arco"/>
        <s v="Atlantida"/>
        <s v="Berglsteinersee"/>
        <s v="Bichlersee"/>
        <s v="Can Paulet"/>
        <s v="Carol"/>
        <s v="Cavallers"/>
        <s v="Chulilla"/>
        <s v="Collegats"/>
        <s v="Dent de la Rancune"/>
        <s v="Etxauri"/>
        <s v="Fenda de Arrabida"/>
        <s v="Font Soleia"/>
        <s v="Garraf"/>
        <s v="Gelida"/>
        <s v="Gorges de la Cesse"/>
        <s v="Gorges du Tarn"/>
        <s v="Grau dels matxos"/>
        <s v="Hundepension"/>
        <s v="Le Coupeau"/>
        <s v="Le Fayet"/>
        <s v="Mallorca"/>
        <s v="Margalef"/>
        <s v="Martinswand"/>
        <s v="Marxuquera"/>
        <s v="Masriudoms"/>
        <s v="Montserrat norte"/>
        <s v="Montserrat sur"/>
        <s v="Ötztal"/>
        <s v="Penyes Aragonesas (Castellón)"/>
        <s v="Roc d'Anglars"/>
        <s v="Roc de la Lluna"/>
        <s v="Rodellar"/>
        <s v="Sadernes"/>
        <s v="Sautens"/>
        <s v="Silz"/>
        <s v="Siurana"/>
        <s v="Starkenbach"/>
        <s v="Unterinn"/>
        <s v="Zillertal - Astholz"/>
        <s v="Zillertal - Ewige Jagdgründe"/>
        <s v="Zillertal -Monkey Island"/>
      </sharedItems>
    </cacheField>
    <cacheField name="[Measures].[Count of Belayer]" caption="Count of Belayer" numFmtId="0" hierarchy="27" level="32767"/>
    <cacheField name="[Years].[YEARS].[YEARS]" caption="YEARS" numFmtId="0" hierarchy="21"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Grade].[Grade]" caption="Grade" numFmtId="0" hierarchy="10" level="1">
      <sharedItems containsSemiMixedTypes="0" containsNonDate="0" containsString="0"/>
    </cacheField>
    <cacheField name="[SportClimbing].[Belayer].[Belayer]" caption="Belayer" numFmtId="0" hierarchy="16"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4"/>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0"/>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5"/>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2"/>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5961.907494675928" backgroundQuery="1" createdVersion="8" refreshedVersion="8" minRefreshableVersion="3" recordCount="0" supportSubquery="1" supportAdvancedDrill="1" xr:uid="{20807ACE-EF13-49B7-9C50-6151DA6E539D}">
  <cacheSource type="external" connectionId="1"/>
  <cacheFields count="10">
    <cacheField name="[SportClimbing].[Country].[Country]" caption="Country" numFmtId="0" hierarchy="11" level="1">
      <sharedItems count="6">
        <s v="Austria"/>
        <s v="France"/>
        <s v="Germany"/>
        <s v="Italy"/>
        <s v="Portugal"/>
        <s v="Spain"/>
      </sharedItems>
    </cacheField>
    <cacheField name="[Measures].[Count of Belayer]" caption="Count of Belayer" numFmtId="0" hierarchy="27" level="32767"/>
    <cacheField name="[Years].[YEARS].[YEARS]" caption="YEARS" numFmtId="0" hierarchy="21"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Grade].[Grade]" caption="Grade" numFmtId="0" hierarchy="10" level="1">
      <sharedItems containsSemiMixedTypes="0" containsNonDate="0" containsString="0"/>
    </cacheField>
    <cacheField name="[SportClimbing].[Crag].[Crag]" caption="Crag" numFmtId="0" hierarchy="12" level="1">
      <sharedItems containsSemiMixedTypes="0" containsNonDate="0" containsString="0"/>
    </cacheField>
    <cacheField name="[SportClimbing].[Belayer].[Belayer]" caption="Belayer" numFmtId="0" hierarchy="16"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8"/>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4"/>
      </fieldsUsage>
    </cacheHierarchy>
    <cacheHierarchy uniqueName="[SportClimbing].[Country]" caption="Country" attribute="1" defaultMemberUniqueName="[SportClimbing].[Country].[All]" allUniqueName="[SportClimbing].[Country].[All]" dimensionUniqueName="[SportClimbing]" displayFolder="" count="2" memberValueDatatype="130" unbalanced="0">
      <fieldsUsage count="2">
        <fieldUsage x="-1"/>
        <fieldUsage x="0"/>
      </fieldsUsage>
    </cacheHierarchy>
    <cacheHierarchy uniqueName="[SportClimbing].[Crag]" caption="Crag" attribute="1" defaultMemberUniqueName="[SportClimbing].[Crag].[All]" allUniqueName="[SportClimbing].[Crag].[All]" dimensionUniqueName="[SportClimbing]" displayFolder="" count="2" memberValueDatatype="130" unbalanced="0">
      <fieldsUsage count="2">
        <fieldUsage x="-1"/>
        <fieldUsage x="5"/>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7"/>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9"/>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6"/>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2"/>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5961.907496412037" backgroundQuery="1" createdVersion="8" refreshedVersion="8" minRefreshableVersion="3" recordCount="0" supportSubquery="1" supportAdvancedDrill="1" xr:uid="{0C738BFB-A475-4821-BAAC-6F97E7E0D64B}">
  <cacheSource type="external" connectionId="1"/>
  <cacheFields count="9">
    <cacheField name="[SportClimbing].[Total number of tries].[Total number of tries]" caption="Total number of tries" numFmtId="0" hierarchy="17" level="1">
      <sharedItems count="15">
        <s v="1"/>
        <s v="10"/>
        <s v="12"/>
        <s v="14"/>
        <s v="2"/>
        <s v="24"/>
        <s v="3"/>
        <s v="4"/>
        <s v="40"/>
        <s v="5"/>
        <s v="6"/>
        <s v="7"/>
        <s v="8"/>
        <s v="flash"/>
        <s v="onsight"/>
      </sharedItems>
    </cacheField>
    <cacheField name="[Measures].[Count of Belayer]" caption="Count of Belayer" numFmtId="0" hierarchy="27" level="32767"/>
    <cacheField name="[Years].[YEARS].[YEARS]" caption="YEARS" numFmtId="0" hierarchy="21" level="1">
      <sharedItems containsSemiMixedTypes="0" containsNonDate="0" containsString="0"/>
    </cacheField>
    <cacheField name="[SportClimbing].[Grade].[Grade]" caption="Grade" numFmtId="0" hierarchy="10" level="1">
      <sharedItems containsSemiMixedTypes="0" containsNonDate="0" containsString="0"/>
    </cacheField>
    <cacheField name="[SportClimbing].[Crag].[Crag]" caption="Crag" numFmtId="0" hierarchy="12" level="1">
      <sharedItems containsSemiMixedTypes="0" containsNonDate="0" containsString="0"/>
    </cacheField>
    <cacheField name="[SportClimbing].[Belayer].[Belayer]" caption="Belayer" numFmtId="0" hierarchy="16"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3"/>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4"/>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5"/>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0"/>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2"/>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5961.907497916669" backgroundQuery="1" createdVersion="8" refreshedVersion="8" minRefreshableVersion="3" recordCount="0" supportSubquery="1" supportAdvancedDrill="1" xr:uid="{6C96952E-A342-429B-9021-FABFA00C7C2D}">
  <cacheSource type="external" connectionId="1"/>
  <cacheFields count="9">
    <cacheField name="[SportClimbing].[Grade].[Grade]" caption="Grade" numFmtId="0" hierarchy="10" level="1">
      <sharedItems count="6">
        <s v="7a"/>
        <s v="7a+"/>
        <s v="7b"/>
        <s v="7b+"/>
        <s v="7c"/>
        <s v="7c+"/>
      </sharedItems>
    </cacheField>
    <cacheField name="[Measures].[Count of Belayer]" caption="Count of Belayer" numFmtId="0" hierarchy="27" level="32767"/>
    <cacheField name="[Years].[YEARS].[YEARS]" caption="YEARS" numFmtId="0" hierarchy="21"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Crag].[Crag]" caption="Crag" numFmtId="0" hierarchy="12" level="1">
      <sharedItems containsSemiMixedTypes="0" containsNonDate="0" containsString="0"/>
    </cacheField>
    <cacheField name="[SportClimbing].[Belayer].[Belayer]" caption="Belayer" numFmtId="0" hierarchy="16"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0"/>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4"/>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5"/>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2"/>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5961.907499884263" backgroundQuery="1" createdVersion="8" refreshedVersion="8" minRefreshableVersion="3" recordCount="0" supportSubquery="1" supportAdvancedDrill="1" xr:uid="{0B67CAF8-2EDA-4687-8EF0-53C89B0BC7A4}">
  <cacheSource type="external" connectionId="1"/>
  <cacheFields count="9">
    <cacheField name="[Measures].[Count of Belayer]" caption="Count of Belayer" numFmtId="0" hierarchy="27" level="32767"/>
    <cacheField name="[SportClimbing].[Height range (m)].[Height range (m)]" caption="Height range (m)" numFmtId="0" hierarchy="15" level="1">
      <sharedItems count="7">
        <s v="0-10"/>
        <s v="11-15"/>
        <s v="16-20"/>
        <s v="21-25"/>
        <s v="26-30"/>
        <s v="31-35"/>
        <s v="35+"/>
      </sharedItems>
    </cacheField>
    <cacheField name="[Years].[YEARS].[YEARS]" caption="YEARS" numFmtId="0" hierarchy="21"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Grade].[Grade]" caption="Grade" numFmtId="0" hierarchy="10" level="1">
      <sharedItems containsSemiMixedTypes="0" containsNonDate="0" containsString="0"/>
    </cacheField>
    <cacheField name="[SportClimbing].[Crag].[Crag]" caption="Crag" numFmtId="0" hierarchy="12" level="1">
      <sharedItems containsSemiMixedTypes="0" containsNonDate="0" containsString="0"/>
    </cacheField>
    <cacheField name="[SportClimbing].[Belayer].[Belayer]" caption="Belayer" numFmtId="0" hierarchy="16"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8"/>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4"/>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5"/>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7"/>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1"/>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6"/>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2"/>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5961.907501504633" backgroundQuery="1" createdVersion="8" refreshedVersion="8" minRefreshableVersion="3" recordCount="0" supportSubquery="1" supportAdvancedDrill="1" xr:uid="{6CE7B693-E357-4194-90F1-A409FAD4A27C}">
  <cacheSource type="external" connectionId="1"/>
  <cacheFields count="10">
    <cacheField name="[SportClimbing].[onsight/flash/redpoint].[onsight/flash/redpoint]" caption="onsight/flash/redpoint" numFmtId="0" hierarchy="19" level="1">
      <sharedItems count="3">
        <s v="flash"/>
        <s v="onsight"/>
        <s v="redpoint"/>
      </sharedItems>
    </cacheField>
    <cacheField name="[Measures].[Count of Belayer]" caption="Count of Belayer" numFmtId="0" hierarchy="27" level="32767"/>
    <cacheField name="[Years].[YEARS].[YEARS]" caption="YEARS" numFmtId="0" hierarchy="21"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Grade].[Grade]" caption="Grade" numFmtId="0" hierarchy="10" level="1">
      <sharedItems containsSemiMixedTypes="0" containsNonDate="0" containsString="0"/>
    </cacheField>
    <cacheField name="[SportClimbing].[Crag].[Crag]" caption="Crag" numFmtId="0" hierarchy="12" level="1">
      <sharedItems containsSemiMixedTypes="0" containsNonDate="0" containsString="0"/>
    </cacheField>
    <cacheField name="[SportClimbing].[Belayer].[Belayer]" caption="Belayer" numFmtId="0" hierarchy="16"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8"/>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4"/>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5"/>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7"/>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9"/>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6"/>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2" memberValueDatatype="130" unbalanced="0">
      <fieldsUsage count="2">
        <fieldUsage x="-1"/>
        <fieldUsage x="0"/>
      </fieldsUsage>
    </cacheHierarchy>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2"/>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5961.907503472219" backgroundQuery="1" createdVersion="8" refreshedVersion="8" minRefreshableVersion="3" recordCount="0" supportSubquery="1" supportAdvancedDrill="1" xr:uid="{34AAC4AA-AF88-4AD6-8649-5C38E4221176}">
  <cacheSource type="external" connectionId="1"/>
  <cacheFields count="9">
    <cacheField name="[SportClimbing].[Grade].[Grade]" caption="Grade" numFmtId="0" hierarchy="10" level="1">
      <sharedItems count="6">
        <s v="7a"/>
        <s v="7a+"/>
        <s v="7b"/>
        <s v="7b+"/>
        <s v="7c"/>
        <s v="7c+"/>
      </sharedItems>
    </cacheField>
    <cacheField name="[Measures].[Average of Tries num. only excl. outliers]" caption="Average of Tries num. only excl. outliers" numFmtId="0" hierarchy="29" level="32767"/>
    <cacheField name="[Years].[YEARS].[YEARS]" caption="YEARS" numFmtId="0" hierarchy="21"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Crag].[Crag]" caption="Crag" numFmtId="0" hierarchy="12" level="1">
      <sharedItems containsSemiMixedTypes="0" containsNonDate="0" containsString="0"/>
    </cacheField>
    <cacheField name="[SportClimbing].[Belayer].[Belayer]" caption="Belayer" numFmtId="0" hierarchy="16"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0"/>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4"/>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5"/>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2"/>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hidden="1">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5961.907505208335" backgroundQuery="1" createdVersion="8" refreshedVersion="8" minRefreshableVersion="3" recordCount="0" supportSubquery="1" supportAdvancedDrill="1" xr:uid="{C068A6E9-1389-452E-8C87-0945917E55BE}">
  <cacheSource type="external" connectionId="1"/>
  <cacheFields count="9">
    <cacheField name="[SportClimbing].[Grade].[Grade]" caption="Grade" numFmtId="0" hierarchy="10" level="1">
      <sharedItems count="6">
        <s v="7a"/>
        <s v="7a+"/>
        <s v="7b"/>
        <s v="7b+"/>
        <s v="7c"/>
        <s v="7c+"/>
      </sharedItems>
    </cacheField>
    <cacheField name="[Measures].[Count of Belayer]" caption="Count of Belayer" numFmtId="0" hierarchy="27" level="32767"/>
    <cacheField name="[SportClimbing].[onsight/flash/redpoint].[onsight/flash/redpoint]" caption="onsight/flash/redpoint" numFmtId="0" hierarchy="19" level="1">
      <sharedItems count="3">
        <s v="flash"/>
        <s v="onsight"/>
        <s v="redpoint"/>
      </sharedItems>
    </cacheField>
    <cacheField name="[Years].[YEARS].[YEARS]" caption="YEARS" numFmtId="0" hierarchy="21"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Crag].[Crag]" caption="Crag" numFmtId="0" hierarchy="12" level="1">
      <sharedItems containsSemiMixedTypes="0" containsNonDate="0" containsString="0"/>
    </cacheField>
    <cacheField name="[SportClimbing].[Belayer].[Belayer]" caption="Belayer" numFmtId="0" hierarchy="16"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0"/>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5"/>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0" memberValueDatatype="20" unbalanced="0"/>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6"/>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4"/>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2" memberValueDatatype="130" unbalanced="0">
      <fieldsUsage count="2">
        <fieldUsage x="-1"/>
        <fieldUsage x="2"/>
      </fieldsUsage>
    </cacheHierarchy>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3"/>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5961.907507291668" backgroundQuery="1" createdVersion="8" refreshedVersion="8" minRefreshableVersion="3" recordCount="0" supportSubquery="1" supportAdvancedDrill="1" xr:uid="{57DE6C56-EBC5-4343-B032-5865A7A552CE}">
  <cacheSource type="external" connectionId="1"/>
  <cacheFields count="9">
    <cacheField name="[SportClimbing].[Belayer].[Belayer]" caption="Belayer" numFmtId="0" hierarchy="16" level="1">
      <sharedItems count="10">
        <s v="Angel"/>
        <s v="Chris Awe"/>
        <s v="Chrissi"/>
        <s v="Christian"/>
        <s v="Gustavo"/>
        <s v="Guy"/>
        <s v="Kathy"/>
        <s v="Lena"/>
        <s v="Tibor"/>
        <s v="Yoel"/>
      </sharedItems>
    </cacheField>
    <cacheField name="[Measures].[Count of Belayer]" caption="Count of Belayer" numFmtId="0" hierarchy="27" level="32767"/>
    <cacheField name="[Years].[YEARS].[YEARS]" caption="YEARS" numFmtId="0" hierarchy="21" level="1">
      <sharedItems containsSemiMixedTypes="0" containsNonDate="0" containsString="0"/>
    </cacheField>
    <cacheField name="[SportClimbing].[Total number of tries].[Total number of tries]" caption="Total number of tries" numFmtId="0" hierarchy="17" level="1">
      <sharedItems containsSemiMixedTypes="0" containsNonDate="0" containsString="0"/>
    </cacheField>
    <cacheField name="[SportClimbing].[Grade].[Grade]" caption="Grade" numFmtId="0" hierarchy="10" level="1">
      <sharedItems containsSemiMixedTypes="0" containsNonDate="0" containsString="0"/>
    </cacheField>
    <cacheField name="[SportClimbing].[Crag].[Crag]" caption="Crag" numFmtId="0" hierarchy="12" level="1">
      <sharedItems containsSemiMixedTypes="0" containsNonDate="0" containsString="0"/>
    </cacheField>
    <cacheField name="[SportClimbing].[Height (m)].[Height (m)]" caption="Height (m)" numFmtId="0" hierarchy="14" level="1">
      <sharedItems containsSemiMixedTypes="0" containsNonDate="0" containsString="0"/>
    </cacheField>
    <cacheField name="[MONTHS].[MONTHS 2].[MONTHS 2]" caption="MONTHS 2" numFmtId="0" hierarchy="2" level="1">
      <sharedItems containsSemiMixedTypes="0" containsNonDate="0" containsString="0"/>
    </cacheField>
    <cacheField name="[SportClimbing].[Height range (m)].[Height range (m)]" caption="Height range (m)" numFmtId="0" hierarchy="1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fieldsUsage count="2">
        <fieldUsage x="-1"/>
        <fieldUsage x="7"/>
      </fieldsUsage>
    </cacheHierarchy>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4"/>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fieldsUsage count="2">
        <fieldUsage x="-1"/>
        <fieldUsage x="5"/>
      </fieldsUsage>
    </cacheHierarchy>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fieldsUsage count="2">
        <fieldUsage x="-1"/>
        <fieldUsage x="6"/>
      </fieldsUsage>
    </cacheHierarchy>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8"/>
      </fieldsUsage>
    </cacheHierarchy>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0"/>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fieldsUsage count="2">
        <fieldUsage x="-1"/>
        <fieldUsage x="3"/>
      </fieldsUsage>
    </cacheHierarchy>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2"/>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5961.907520601853" backgroundQuery="1" createdVersion="8" refreshedVersion="8" minRefreshableVersion="3" recordCount="0" supportSubquery="1" supportAdvancedDrill="1" xr:uid="{49DF5B5D-AF05-473C-8F40-6AF8625638AF}">
  <cacheSource type="external" connectionId="1"/>
  <cacheFields count="2">
    <cacheField name="[SportClimbing].[Belayer].[Belayer]" caption="Belayer" numFmtId="0" hierarchy="16" level="1">
      <sharedItems count="10">
        <s v="Chris Awe"/>
        <s v="Chrissi"/>
        <s v="Christian"/>
        <s v="Gustavo"/>
        <s v="Guy"/>
        <s v="Kathy"/>
        <s v="Lena"/>
        <s v="Patrick"/>
        <s v="Tibor"/>
        <s v="Yoel"/>
      </sharedItems>
    </cacheField>
    <cacheField name="[Measures].[Sum of Score]" caption="Sum of Score" numFmtId="0" hierarchy="32" level="32767"/>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0" memberValueDatatype="130" unbalanced="0"/>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0" memberValueDatatype="130" unbalanced="0"/>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0" memberValueDatatype="20" unbalanced="0"/>
    <cacheHierarchy uniqueName="[SportClimbing].[Height range (m)]" caption="Height range (m)" attribute="1" defaultMemberUniqueName="[SportClimbing].[Height range (m)].[All]" allUniqueName="[SportClimbing].[Height range (m)].[All]" dimensionUniqueName="[SportClimbing]" displayFolder="" count="0" memberValueDatatype="130" unbalanced="0"/>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0"/>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0" memberValueDatatype="130" unbalanced="0"/>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0" memberValueDatatype="20" unbalanced="0"/>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hidden="1">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5961.907521990739" backgroundQuery="1" createdVersion="8" refreshedVersion="8" minRefreshableVersion="3" recordCount="0" supportSubquery="1" supportAdvancedDrill="1" xr:uid="{41CBC2E3-029F-4CDD-BB4A-12EE1AD892B8}">
  <cacheSource type="external" connectionId="1"/>
  <cacheFields count="4">
    <cacheField name="[SportClimbing].[Belayer].[Belayer]" caption="Belayer" numFmtId="0" hierarchy="16" level="1">
      <sharedItems count="5">
        <s v="Chrissi"/>
        <s v="Christian"/>
        <s v="Francesco"/>
        <s v="Luca"/>
        <s v="Tibor"/>
      </sharedItems>
    </cacheField>
    <cacheField name="[Measures].[Count of Belayer]" caption="Count of Belayer" numFmtId="0" hierarchy="27" level="32767"/>
    <cacheField name="[SportClimbing].[Year].[Year]" caption="Year" numFmtId="0" hierarchy="8" level="1">
      <sharedItems containsSemiMixedTypes="0" containsNonDate="0" containsString="0"/>
    </cacheField>
    <cacheField name="[SportClimbing].[Date_filter].[Date_filter]" caption="Date_filter" numFmtId="0" hierarchy="5" level="1">
      <sharedItems containsSemiMixedTypes="0" containsNonDate="0" containsString="0"/>
    </cacheField>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2" memberValueDatatype="11" unbalanced="0">
      <fieldsUsage count="2">
        <fieldUsage x="-1"/>
        <fieldUsage x="3"/>
      </fieldsUsage>
    </cacheHierarchy>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2" memberValueDatatype="20" unbalanced="0">
      <fieldsUsage count="2">
        <fieldUsage x="-1"/>
        <fieldUsage x="2"/>
      </fieldsUsage>
    </cacheHierarchy>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0" memberValueDatatype="130" unbalanced="0"/>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0" memberValueDatatype="130" unbalanced="0"/>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0" memberValueDatatype="20" unbalanced="0"/>
    <cacheHierarchy uniqueName="[SportClimbing].[Height range (m)]" caption="Height range (m)" attribute="1" defaultMemberUniqueName="[SportClimbing].[Height range (m)].[All]" allUniqueName="[SportClimbing].[Height range (m)].[All]" dimensionUniqueName="[SportClimbing]" displayFolder="" count="0" memberValueDatatype="130" unbalanced="0"/>
    <cacheHierarchy uniqueName="[SportClimbing].[Belayer]" caption="Belayer" attribute="1" defaultMemberUniqueName="[SportClimbing].[Belayer].[All]" allUniqueName="[SportClimbing].[Belayer].[All]" dimensionUniqueName="[SportClimbing]" displayFolder="" count="2" memberValueDatatype="130" unbalanced="0">
      <fieldsUsage count="2">
        <fieldUsage x="-1"/>
        <fieldUsage x="0"/>
      </fieldsUsage>
    </cacheHierarchy>
    <cacheHierarchy uniqueName="[SportClimbing].[Total number of tries]" caption="Total number of tries" attribute="1" defaultMemberUniqueName="[SportClimbing].[Total number of tries].[All]" allUniqueName="[SportClimbing].[Total number of tries].[All]" dimensionUniqueName="[SportClimbing]" displayFolder="" count="0" memberValueDatatype="130" unbalanced="0"/>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0" memberValueDatatype="20" unbalanced="0"/>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5961.907523495371" backgroundQuery="1" createdVersion="8" refreshedVersion="8" minRefreshableVersion="3" recordCount="0" supportSubquery="1" supportAdvancedDrill="1" xr:uid="{A18BB18B-4740-4999-ABAD-92E25A0ECD2E}">
  <cacheSource type="external" connectionId="1"/>
  <cacheFields count="3">
    <cacheField name="[SportClimbing].[Height range (m)].[Height range (m)]" caption="Height range (m)" numFmtId="0" hierarchy="15" level="1">
      <sharedItems count="7">
        <s v="0-10"/>
        <s v="11-15"/>
        <s v="16-20"/>
        <s v="21-25"/>
        <s v="26-30"/>
        <s v="31-35"/>
        <s v="35+"/>
      </sharedItems>
    </cacheField>
    <cacheField name="[SportClimbing].[Grade].[Grade]" caption="Grade" numFmtId="0" hierarchy="10" level="1">
      <sharedItems count="6">
        <s v="7a"/>
        <s v="7a+"/>
        <s v="7b"/>
        <s v="7b+"/>
        <s v="7c"/>
        <s v="7c+"/>
      </sharedItems>
    </cacheField>
    <cacheField name="[Measures].[Average of Tries num. only excl. outliers]" caption="Average of Tries num. only excl. outliers" numFmtId="0" hierarchy="29" level="32767"/>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fieldsUsage count="2">
        <fieldUsage x="-1"/>
        <fieldUsage x="1"/>
      </fieldsUsage>
    </cacheHierarchy>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0" memberValueDatatype="130" unbalanced="0"/>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0" memberValueDatatype="20" unbalanced="0"/>
    <cacheHierarchy uniqueName="[SportClimbing].[Height range (m)]" caption="Height range (m)" attribute="1" defaultMemberUniqueName="[SportClimbing].[Height range (m)].[All]" allUniqueName="[SportClimbing].[Height range (m)].[All]" dimensionUniqueName="[SportClimbing]" displayFolder="" count="2" memberValueDatatype="130" unbalanced="0">
      <fieldsUsage count="2">
        <fieldUsage x="-1"/>
        <fieldUsage x="0"/>
      </fieldsUsage>
    </cacheHierarchy>
    <cacheHierarchy uniqueName="[SportClimbing].[Belayer]" caption="Belayer" attribute="1" defaultMemberUniqueName="[SportClimbing].[Belayer].[All]" allUniqueName="[SportClimbing].[Belayer].[All]" dimensionUniqueName="[SportClimbing]" displayFolder="" count="0" memberValueDatatype="130" unbalanced="0"/>
    <cacheHierarchy uniqueName="[SportClimbing].[Total number of tries]" caption="Total number of tries" attribute="1" defaultMemberUniqueName="[SportClimbing].[Total number of tries].[All]" allUniqueName="[SportClimbing].[Total number of tries].[All]" dimensionUniqueName="[SportClimbing]" displayFolder="" count="0" memberValueDatatype="130" unbalanced="0"/>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0" memberValueDatatype="20" unbalanced="0"/>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hidden="1">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5961.90752523148" backgroundQuery="1" createdVersion="8" refreshedVersion="8" minRefreshableVersion="3" recordCount="0" supportSubquery="1" supportAdvancedDrill="1" xr:uid="{638DF3FE-A928-4EFE-A314-2A11BEC7CB37}">
  <cacheSource type="external" connectionId="1"/>
  <cacheFields count="2">
    <cacheField name="[Years].[YEARS].[YEARS]" caption="YEARS" numFmtId="0" hierarchy="21" level="1">
      <sharedItems containsSemiMixedTypes="0" containsString="0" containsNumber="1" containsInteger="1" minValue="2006" maxValue="2025" count="20">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Years].[YEARS].&amp;[2006]"/>
            <x15:cachedUniqueName index="1" name="[Years].[YEARS].&amp;[2007]"/>
            <x15:cachedUniqueName index="2" name="[Years].[YEARS].&amp;[2008]"/>
            <x15:cachedUniqueName index="3" name="[Years].[YEARS].&amp;[2009]"/>
            <x15:cachedUniqueName index="4" name="[Years].[YEARS].&amp;[2010]"/>
            <x15:cachedUniqueName index="5" name="[Years].[YEARS].&amp;[2011]"/>
            <x15:cachedUniqueName index="6" name="[Years].[YEARS].&amp;[2012]"/>
            <x15:cachedUniqueName index="7" name="[Years].[YEARS].&amp;[2013]"/>
            <x15:cachedUniqueName index="8" name="[Years].[YEARS].&amp;[2014]"/>
            <x15:cachedUniqueName index="9" name="[Years].[YEARS].&amp;[2015]"/>
            <x15:cachedUniqueName index="10" name="[Years].[YEARS].&amp;[2016]"/>
            <x15:cachedUniqueName index="11" name="[Years].[YEARS].&amp;[2017]"/>
            <x15:cachedUniqueName index="12" name="[Years].[YEARS].&amp;[2018]"/>
            <x15:cachedUniqueName index="13" name="[Years].[YEARS].&amp;[2019]"/>
            <x15:cachedUniqueName index="14" name="[Years].[YEARS].&amp;[2020]"/>
            <x15:cachedUniqueName index="15" name="[Years].[YEARS].&amp;[2021]"/>
            <x15:cachedUniqueName index="16" name="[Years].[YEARS].&amp;[2022]"/>
            <x15:cachedUniqueName index="17" name="[Years].[YEARS].&amp;[2023]"/>
            <x15:cachedUniqueName index="18" name="[Years].[YEARS].&amp;[2024]"/>
            <x15:cachedUniqueName index="19" name="[Years].[YEARS].&amp;[2025]"/>
          </x15:cachedUniqueNames>
        </ext>
      </extLst>
    </cacheField>
    <cacheField name="[Measures].[Sum of Score]" caption="Sum of Score" numFmtId="0" hierarchy="32" level="32767"/>
  </cacheFields>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0"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0" memberValueDatatype="130" unbalanced="0"/>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0" memberValueDatatype="130" unbalanced="0"/>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0" memberValueDatatype="20" unbalanced="0"/>
    <cacheHierarchy uniqueName="[SportClimbing].[Height range (m)]" caption="Height range (m)" attribute="1" defaultMemberUniqueName="[SportClimbing].[Height range (m)].[All]" allUniqueName="[SportClimbing].[Height range (m)].[All]" dimensionUniqueName="[SportClimbing]" displayFolder="" count="0" memberValueDatatype="130" unbalanced="0"/>
    <cacheHierarchy uniqueName="[SportClimbing].[Belayer]" caption="Belayer" attribute="1" defaultMemberUniqueName="[SportClimbing].[Belayer].[All]" allUniqueName="[SportClimbing].[Belayer].[All]" dimensionUniqueName="[SportClimbing]" displayFolder="" count="0" memberValueDatatype="130" unbalanced="0"/>
    <cacheHierarchy uniqueName="[SportClimbing].[Total number of tries]" caption="Total number of tries" attribute="1" defaultMemberUniqueName="[SportClimbing].[Total number of tries].[All]" allUniqueName="[SportClimbing].[Total number of tries].[All]" dimensionUniqueName="[SportClimbing]" displayFolder="" count="0" memberValueDatatype="130" unbalanced="0"/>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fieldsUsage count="2">
        <fieldUsage x="-1"/>
        <fieldUsage x="0"/>
      </fieldsUsage>
    </cacheHierarchy>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hidden="1">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5">
    <dimension name="GRADES" uniqueName="[GRADES]" caption="GRADES"/>
    <dimension measure="1" name="Measures" uniqueName="[Measures]" caption="Measures"/>
    <dimension name="MONTHS" uniqueName="[MONTHS]" caption="MONTHS"/>
    <dimension name="SportClimbing" uniqueName="[SportClimbing]" caption="SportClimbing"/>
    <dimension name="Years" uniqueName="[Years]" caption="Years"/>
  </dimensions>
  <measureGroups count="4">
    <measureGroup name="GRADES" caption="GRADES"/>
    <measureGroup name="MONTHS" caption="MONTHS"/>
    <measureGroup name="SportClimbing" caption="SportClimbing"/>
    <measureGroup name="Years" caption="Year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 refreshedDate="45961.907487500001" backgroundQuery="1" createdVersion="3" refreshedVersion="8" minRefreshableVersion="3" recordCount="0" supportSubquery="1" supportAdvancedDrill="1" xr:uid="{83BD39F1-4B09-407A-9459-DDB5D0A27490}">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GRADES].[GRADES]" caption="GRADES" attribute="1" defaultMemberUniqueName="[GRADES].[GRADES].[All]" allUniqueName="[GRADES].[GRADES].[All]" dimensionUniqueName="[GRADES]" displayFolder="" count="0" memberValueDatatype="130" unbalanced="0"/>
    <cacheHierarchy uniqueName="[MONTHS].[MONTHS 1]" caption="MONTHS 1" attribute="1" defaultMemberUniqueName="[MONTHS].[MONTHS 1].[All]" allUniqueName="[MONTHS].[MONTHS 1].[All]" dimensionUniqueName="[MONTHS]" displayFolder="" count="0" memberValueDatatype="130" unbalanced="0"/>
    <cacheHierarchy uniqueName="[MONTHS].[MONTHS 2]" caption="MONTHS 2" attribute="1" defaultMemberUniqueName="[MONTHS].[MONTHS 2].[All]" allUniqueName="[MONTHS].[MONTHS 2].[All]" dimensionUniqueName="[MONTHS]" displayFolder="" count="2" memberValueDatatype="130" unbalanced="0"/>
    <cacheHierarchy uniqueName="[MONTHS].[MONTHS 3]" caption="MONTHS 3" attribute="1" defaultMemberUniqueName="[MONTHS].[MONTHS 3].[All]" allUniqueName="[MONTHS].[MONTHS 3].[All]" dimensionUniqueName="[MONTHS]" displayFolder="" count="0" memberValueDatatype="20" unbalanced="0"/>
    <cacheHierarchy uniqueName="[SportClimbing].[Date]" caption="Date" attribute="1" time="1" defaultMemberUniqueName="[SportClimbing].[Date].[All]" allUniqueName="[SportClimbing].[Date].[All]" dimensionUniqueName="[SportClimbing]" displayFolder="" count="0" memberValueDatatype="7" unbalanced="0"/>
    <cacheHierarchy uniqueName="[SportClimbing].[Date_filter]" caption="Date_filter" attribute="1" defaultMemberUniqueName="[SportClimbing].[Date_filter].[All]" allUniqueName="[SportClimbing].[Date_filter].[All]" dimensionUniqueName="[SportClimbing]" displayFolder="" count="0" memberValueDatatype="11" unbalanced="0"/>
    <cacheHierarchy uniqueName="[SportClimbing].[Day]" caption="Day" attribute="1" defaultMemberUniqueName="[SportClimbing].[Day].[All]" allUniqueName="[SportClimbing].[Day].[All]" dimensionUniqueName="[SportClimbing]" displayFolder="" count="0" memberValueDatatype="20" unbalanced="0"/>
    <cacheHierarchy uniqueName="[SportClimbing].[Month]" caption="Month" attribute="1" defaultMemberUniqueName="[SportClimbing].[Month].[All]" allUniqueName="[SportClimbing].[Month].[All]" dimensionUniqueName="[SportClimbing]" displayFolder="" count="0" memberValueDatatype="130" unbalanced="0"/>
    <cacheHierarchy uniqueName="[SportClimbing].[Year]" caption="Year" attribute="1" defaultMemberUniqueName="[SportClimbing].[Year].[All]" allUniqueName="[SportClimbing].[Year].[All]" dimensionUniqueName="[SportClimbing]" displayFolder="" count="0" memberValueDatatype="20" unbalanced="0"/>
    <cacheHierarchy uniqueName="[SportClimbing].[Route name]" caption="Route name" attribute="1" defaultMemberUniqueName="[SportClimbing].[Route name].[All]" allUniqueName="[SportClimbing].[Route name].[All]" dimensionUniqueName="[SportClimbing]" displayFolder="" count="0" memberValueDatatype="130" unbalanced="0"/>
    <cacheHierarchy uniqueName="[SportClimbing].[Grade]" caption="Grade" attribute="1" defaultMemberUniqueName="[SportClimbing].[Grade].[All]" allUniqueName="[SportClimbing].[Grade].[All]" dimensionUniqueName="[SportClimbing]" displayFolder="" count="2" memberValueDatatype="130" unbalanced="0"/>
    <cacheHierarchy uniqueName="[SportClimbing].[Country]" caption="Country" attribute="1" defaultMemberUniqueName="[SportClimbing].[Country].[All]" allUniqueName="[SportClimbing].[Country].[All]" dimensionUniqueName="[SportClimbing]" displayFolder="" count="0" memberValueDatatype="130" unbalanced="0"/>
    <cacheHierarchy uniqueName="[SportClimbing].[Crag]" caption="Crag" attribute="1" defaultMemberUniqueName="[SportClimbing].[Crag].[All]" allUniqueName="[SportClimbing].[Crag].[All]" dimensionUniqueName="[SportClimbing]" displayFolder="" count="2" memberValueDatatype="130" unbalanced="0"/>
    <cacheHierarchy uniqueName="[SportClimbing].[Sector]" caption="Sector" attribute="1" defaultMemberUniqueName="[SportClimbing].[Sector].[All]" allUniqueName="[SportClimbing].[Sector].[All]" dimensionUniqueName="[SportClimbing]" displayFolder="" count="0" memberValueDatatype="130" unbalanced="0"/>
    <cacheHierarchy uniqueName="[SportClimbing].[Height (m)]" caption="Height (m)" attribute="1" defaultMemberUniqueName="[SportClimbing].[Height (m)].[All]" allUniqueName="[SportClimbing].[Height (m)].[All]" dimensionUniqueName="[SportClimbing]" displayFolder="" count="2" memberValueDatatype="20" unbalanced="0"/>
    <cacheHierarchy uniqueName="[SportClimbing].[Height range (m)]" caption="Height range (m)" attribute="1" defaultMemberUniqueName="[SportClimbing].[Height range (m)].[All]" allUniqueName="[SportClimbing].[Height range (m)].[All]" dimensionUniqueName="[SportClimbing]" displayFolder="" count="2" memberValueDatatype="130" unbalanced="0"/>
    <cacheHierarchy uniqueName="[SportClimbing].[Belayer]" caption="Belayer" attribute="1" defaultMemberUniqueName="[SportClimbing].[Belayer].[All]" allUniqueName="[SportClimbing].[Belayer].[All]" dimensionUniqueName="[SportClimbing]" displayFolder="" count="2" memberValueDatatype="130" unbalanced="0"/>
    <cacheHierarchy uniqueName="[SportClimbing].[Total number of tries]" caption="Total number of tries" attribute="1" defaultMemberUniqueName="[SportClimbing].[Total number of tries].[All]" allUniqueName="[SportClimbing].[Total number of tries].[All]" dimensionUniqueName="[SportClimbing]" displayFolder="" count="2" memberValueDatatype="130" unbalanced="0"/>
    <cacheHierarchy uniqueName="[SportClimbing].[Tries num. only excl. outliers]" caption="Tries num. only excl. outliers" attribute="1" defaultMemberUniqueName="[SportClimbing].[Tries num. only excl. outliers].[All]" allUniqueName="[SportClimbing].[Tries num. only excl. outliers].[All]" dimensionUniqueName="[SportClimbing]" displayFolder="" count="0" memberValueDatatype="20" unbalanced="0"/>
    <cacheHierarchy uniqueName="[SportClimbing].[onsight/flash/redpoint]" caption="onsight/flash/redpoint" attribute="1" defaultMemberUniqueName="[SportClimbing].[onsight/flash/redpoint].[All]" allUniqueName="[SportClimbing].[onsight/flash/redpoint].[All]" dimensionUniqueName="[SportClimbing]" displayFolder="" count="0" memberValueDatatype="130" unbalanced="0"/>
    <cacheHierarchy uniqueName="[SportClimbing].[Score]" caption="Score" attribute="1" defaultMemberUniqueName="[SportClimbing].[Score].[All]" allUniqueName="[SportClimbing].[Score].[All]" dimensionUniqueName="[SportClimbing]" displayFolder="" count="0" memberValueDatatype="20" unbalanced="0"/>
    <cacheHierarchy uniqueName="[Years].[YEARS]" caption="YEARS" attribute="1" defaultMemberUniqueName="[Years].[YEARS].[All]" allUniqueName="[Years].[YEARS].[All]" dimensionUniqueName="[Years]" displayFolder="" count="2" memberValueDatatype="20" unbalanced="0"/>
    <cacheHierarchy uniqueName="[Measures].[__XL_Count SportClimbing]" caption="__XL_Count SportClimbing" measure="1" displayFolder="" measureGroup="SportClimbing" count="0" hidden="1"/>
    <cacheHierarchy uniqueName="[Measures].[__XL_Count Years]" caption="__XL_Count Years" measure="1" displayFolder="" measureGroup="Years" count="0" hidden="1"/>
    <cacheHierarchy uniqueName="[Measures].[__XL_Count MONTHS]" caption="__XL_Count MONTHS" measure="1" displayFolder="" measureGroup="MONTHS" count="0" hidden="1"/>
    <cacheHierarchy uniqueName="[Measures].[__XL_Count GRADES]" caption="__XL_Count GRADES" measure="1" displayFolder="" measureGroup="GRADES" count="0" hidden="1"/>
    <cacheHierarchy uniqueName="[Measures].[__No measures defined]" caption="__No measures defined" measure="1" displayFolder="" count="0" hidden="1"/>
    <cacheHierarchy uniqueName="[Measures].[Count of Belayer]" caption="Count of Belayer" measure="1" displayFolder="" measureGroup="SportClimbing" count="0" hidden="1">
      <extLst>
        <ext xmlns:x15="http://schemas.microsoft.com/office/spreadsheetml/2010/11/main" uri="{B97F6D7D-B522-45F9-BDA1-12C45D357490}">
          <x15:cacheHierarchy aggregatedColumn="16"/>
        </ext>
      </extLst>
    </cacheHierarchy>
    <cacheHierarchy uniqueName="[Measures].[Sum of Tries num. only excl. outliers]" caption="Sum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Average of Tries num. only excl. outliers]" caption="Average of Tries num. only excl. outliers" measure="1" displayFolder="" measureGroup="SportClimbing" count="0" hidden="1">
      <extLst>
        <ext xmlns:x15="http://schemas.microsoft.com/office/spreadsheetml/2010/11/main" uri="{B97F6D7D-B522-45F9-BDA1-12C45D357490}">
          <x15:cacheHierarchy aggregatedColumn="18"/>
        </ext>
      </extLst>
    </cacheHierarchy>
    <cacheHierarchy uniqueName="[Measures].[Count of onsight/flash/redpoint]" caption="Count of onsight/flash/redpoint" measure="1" displayFolder="" measureGroup="SportClimbing"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SportClimbing" count="0" hidden="1">
      <extLst>
        <ext xmlns:x15="http://schemas.microsoft.com/office/spreadsheetml/2010/11/main" uri="{B97F6D7D-B522-45F9-BDA1-12C45D357490}">
          <x15:cacheHierarchy aggregatedColumn="8"/>
        </ext>
      </extLst>
    </cacheHierarchy>
    <cacheHierarchy uniqueName="[Measures].[Sum of Score]" caption="Sum of Score" measure="1" displayFolder="" measureGroup="SportClimbing"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44229240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5">
  <r>
    <d v="2006-07-15T00:00:00"/>
    <b v="0"/>
    <n v="15"/>
    <x v="0"/>
    <x v="0"/>
    <s v="Mégaboule"/>
    <s v="7a"/>
    <s v="France"/>
    <s v="Roc d'Anglars"/>
    <s v="Révélations"/>
    <n v="15"/>
    <s v="11-15"/>
    <s v="Guhlm"/>
    <n v="7"/>
    <n v="7"/>
    <s v="redpoint"/>
    <n v="10"/>
  </r>
  <r>
    <d v="2007-07-22T00:00:00"/>
    <b v="0"/>
    <n v="22"/>
    <x v="0"/>
    <x v="1"/>
    <s v="Clin d'oeil à la Lune"/>
    <s v="7a"/>
    <s v="France"/>
    <s v="Roc d'Anglars"/>
    <s v="Révélations"/>
    <n v="25"/>
    <s v="21-25"/>
    <s v="Thomas Bur"/>
    <n v="4"/>
    <n v="4"/>
    <s v="redpoint"/>
    <n v="10"/>
  </r>
  <r>
    <d v="2008-04-19T00:00:00"/>
    <b v="0"/>
    <n v="19"/>
    <x v="1"/>
    <x v="2"/>
    <s v="Sex Machine"/>
    <s v="7a"/>
    <s v="France"/>
    <s v="Gorges de la Cesse"/>
    <s v="Cassiopée"/>
    <n v="25"/>
    <s v="21-25"/>
    <s v="Guhlm"/>
    <s v="flash"/>
    <n v="1"/>
    <s v="flash"/>
    <n v="10"/>
  </r>
  <r>
    <d v="2008-05-03T00:00:00"/>
    <b v="0"/>
    <n v="3"/>
    <x v="2"/>
    <x v="2"/>
    <s v="Bamboleiro"/>
    <s v="7a"/>
    <s v="France"/>
    <s v="Carol"/>
    <s v="Gauche"/>
    <n v="18"/>
    <s v="16-20"/>
    <s v="Teddy"/>
    <n v="2"/>
    <n v="2"/>
    <s v="redpoint"/>
    <n v="10"/>
  </r>
  <r>
    <d v="2011-08-06T00:00:00"/>
    <b v="0"/>
    <n v="6"/>
    <x v="3"/>
    <x v="3"/>
    <s v="Lola"/>
    <s v="7a"/>
    <s v="Spain"/>
    <s v="Rodellar"/>
    <s v="Pared de la Virgen"/>
    <n v="20"/>
    <s v="16-20"/>
    <s v="Shyamal"/>
    <n v="2"/>
    <n v="2"/>
    <s v="redpoint"/>
    <n v="10"/>
  </r>
  <r>
    <d v="2012-04-08T00:00:00"/>
    <b v="0"/>
    <n v="8"/>
    <x v="1"/>
    <x v="4"/>
    <s v="Manara Clic"/>
    <s v="7a"/>
    <s v="Spain"/>
    <s v="Roc de la Lluna"/>
    <s v="Sud"/>
    <n v="20"/>
    <s v="16-20"/>
    <s v="Patrick"/>
    <n v="2"/>
    <n v="2"/>
    <s v="redpoint"/>
    <n v="10"/>
  </r>
  <r>
    <d v="2012-11-21T00:00:00"/>
    <b v="0"/>
    <n v="21"/>
    <x v="4"/>
    <x v="4"/>
    <s v="De socials un 10"/>
    <s v="7a+"/>
    <s v="Spain"/>
    <s v="Gelida"/>
    <s v="Centre"/>
    <n v="25"/>
    <s v="21-25"/>
    <s v="David Valls"/>
    <n v="4"/>
    <n v="4"/>
    <s v="redpoint"/>
    <n v="15"/>
  </r>
  <r>
    <d v="2012-12-21T00:00:00"/>
    <b v="0"/>
    <n v="21"/>
    <x v="5"/>
    <x v="4"/>
    <s v="KA NO"/>
    <s v="7a+"/>
    <s v="Spain"/>
    <s v="Gelida"/>
    <s v="Centre"/>
    <n v="25"/>
    <s v="21-25"/>
    <s v="Patrick"/>
    <s v="flash"/>
    <n v="1"/>
    <s v="flash"/>
    <n v="15"/>
  </r>
  <r>
    <d v="2013-01-21T00:00:00"/>
    <b v="0"/>
    <n v="21"/>
    <x v="6"/>
    <x v="5"/>
    <s v="Amor suprem"/>
    <s v="7b"/>
    <s v="Spain"/>
    <s v="Gelida"/>
    <s v="Centre"/>
    <n v="25"/>
    <s v="21-25"/>
    <s v="Patrick"/>
    <n v="7"/>
    <n v="7"/>
    <s v="redpoint"/>
    <n v="25"/>
  </r>
  <r>
    <d v="2013-02-01T00:00:00"/>
    <b v="0"/>
    <n v="1"/>
    <x v="7"/>
    <x v="5"/>
    <s v="nº28"/>
    <s v="7a"/>
    <s v="Spain"/>
    <s v="Gelida"/>
    <s v="Centre"/>
    <n v="18"/>
    <s v="16-20"/>
    <s v="Andres Villarroel"/>
    <s v="onsight"/>
    <n v="1"/>
    <s v="onsight"/>
    <n v="10"/>
  </r>
  <r>
    <d v="2013-02-05T00:00:00"/>
    <b v="0"/>
    <n v="5"/>
    <x v="7"/>
    <x v="5"/>
    <s v="Neska polita"/>
    <s v="7a"/>
    <s v="Spain"/>
    <s v="Garraf"/>
    <s v="Mala Dona"/>
    <n v="12"/>
    <s v="11-15"/>
    <s v="Byron"/>
    <n v="12"/>
    <n v="12"/>
    <s v="redpoint"/>
    <n v="10"/>
  </r>
  <r>
    <d v="2013-02-09T00:00:00"/>
    <b v="0"/>
    <n v="9"/>
    <x v="7"/>
    <x v="5"/>
    <s v="Las Garretes del Garraf"/>
    <s v="7b+"/>
    <s v="Spain"/>
    <s v="Garraf"/>
    <s v="Mala Dona"/>
    <n v="25"/>
    <s v="21-25"/>
    <s v="Byron"/>
    <n v="2"/>
    <n v="2"/>
    <s v="redpoint"/>
    <n v="40"/>
  </r>
  <r>
    <d v="2013-02-26T00:00:00"/>
    <b v="0"/>
    <n v="26"/>
    <x v="7"/>
    <x v="5"/>
    <s v="Xapes Negres"/>
    <s v="7a+"/>
    <s v="Spain"/>
    <s v="Gelida"/>
    <s v="Centre"/>
    <n v="20"/>
    <s v="16-20"/>
    <s v="Marc Ros"/>
    <s v="flash"/>
    <n v="1"/>
    <s v="flash"/>
    <n v="15"/>
  </r>
  <r>
    <d v="2013-02-26T00:00:00"/>
    <b v="0"/>
    <n v="26"/>
    <x v="7"/>
    <x v="5"/>
    <s v="nº26"/>
    <s v="7a"/>
    <s v="Spain"/>
    <s v="Gelida"/>
    <s v="Centre"/>
    <n v="20"/>
    <s v="16-20"/>
    <s v="David Valls"/>
    <s v="onsight"/>
    <n v="1"/>
    <s v="onsight"/>
    <n v="10"/>
  </r>
  <r>
    <d v="2013-03-09T00:00:00"/>
    <b v="0"/>
    <n v="9"/>
    <x v="8"/>
    <x v="5"/>
    <s v="Merda de la serra"/>
    <s v="7a+"/>
    <s v="Spain"/>
    <s v="Gelida"/>
    <s v="Centre"/>
    <n v="20"/>
    <s v="16-20"/>
    <s v="Dave"/>
    <n v="2"/>
    <n v="2"/>
    <s v="redpoint"/>
    <n v="15"/>
  </r>
  <r>
    <d v="2013-03-09T00:00:00"/>
    <b v="0"/>
    <n v="9"/>
    <x v="8"/>
    <x v="5"/>
    <s v="Dos peluts i un destí"/>
    <s v="7a"/>
    <s v="Spain"/>
    <s v="Gelida"/>
    <s v="Centre"/>
    <n v="20"/>
    <s v="16-20"/>
    <s v="Dave"/>
    <n v="2"/>
    <n v="2"/>
    <s v="redpoint"/>
    <n v="10"/>
  </r>
  <r>
    <d v="2013-03-21T00:00:00"/>
    <b v="0"/>
    <n v="21"/>
    <x v="8"/>
    <x v="5"/>
    <s v="Simply Extrem"/>
    <s v="7b+"/>
    <s v="Spain"/>
    <s v="Garraf"/>
    <s v="Mala Dona"/>
    <n v="18"/>
    <s v="16-20"/>
    <s v="Byron"/>
    <n v="8"/>
    <n v="8"/>
    <s v="redpoint"/>
    <n v="40"/>
  </r>
  <r>
    <d v="2013-04-10T00:00:00"/>
    <b v="0"/>
    <n v="10"/>
    <x v="1"/>
    <x v="5"/>
    <s v="Garroma"/>
    <s v="7b+"/>
    <s v="Spain"/>
    <s v="Garraf"/>
    <s v="Mala Dona"/>
    <n v="25"/>
    <s v="21-25"/>
    <s v="Juan"/>
    <n v="14"/>
    <n v="14"/>
    <s v="redpoint"/>
    <n v="40"/>
  </r>
  <r>
    <d v="2013-04-13T00:00:00"/>
    <b v="0"/>
    <n v="13"/>
    <x v="1"/>
    <x v="5"/>
    <s v="Brigadistak"/>
    <s v="7a"/>
    <s v="Spain"/>
    <s v="Siurana"/>
    <s v="Siuranella Este"/>
    <n v="30"/>
    <s v="26-30"/>
    <s v="Gabo"/>
    <s v="onsight"/>
    <n v="1"/>
    <s v="onsight"/>
    <n v="10"/>
  </r>
  <r>
    <d v="2013-04-13T00:00:00"/>
    <b v="0"/>
    <n v="13"/>
    <x v="1"/>
    <x v="5"/>
    <s v="Lo dejé to blanco"/>
    <s v="7a"/>
    <s v="Spain"/>
    <s v="Siurana"/>
    <s v="Siuranella Este"/>
    <n v="30"/>
    <s v="26-30"/>
    <s v="Daniel Perez"/>
    <s v="onsight"/>
    <n v="1"/>
    <s v="onsight"/>
    <n v="10"/>
  </r>
  <r>
    <d v="2013-04-13T00:00:00"/>
    <b v="0"/>
    <n v="13"/>
    <x v="1"/>
    <x v="5"/>
    <s v="Lo més negre"/>
    <s v="7a"/>
    <s v="Spain"/>
    <s v="Siurana"/>
    <s v="Siuranella Este"/>
    <n v="25"/>
    <s v="21-25"/>
    <s v="Patrick"/>
    <n v="2"/>
    <n v="2"/>
    <s v="redpoint"/>
    <n v="10"/>
  </r>
  <r>
    <d v="2013-04-17T00:00:00"/>
    <b v="0"/>
    <n v="17"/>
    <x v="1"/>
    <x v="5"/>
    <s v="Calma Tensa"/>
    <s v="7b+"/>
    <s v="Spain"/>
    <s v="Gelida"/>
    <s v="Centre"/>
    <n v="20"/>
    <s v="16-20"/>
    <s v="Patrick"/>
    <n v="2"/>
    <n v="2"/>
    <s v="redpoint"/>
    <n v="40"/>
  </r>
  <r>
    <d v="2013-05-04T00:00:00"/>
    <b v="0"/>
    <n v="4"/>
    <x v="2"/>
    <x v="5"/>
    <s v="Imperatriz Esmeralda"/>
    <s v="7b+"/>
    <s v="Spain"/>
    <s v="Font Soleia"/>
    <s v="Paret Gran"/>
    <n v="22"/>
    <s v="21-25"/>
    <s v="Juan"/>
    <n v="10"/>
    <n v="10"/>
    <s v="redpoint"/>
    <n v="40"/>
  </r>
  <r>
    <d v="2013-05-29T00:00:00"/>
    <b v="0"/>
    <n v="29"/>
    <x v="2"/>
    <x v="5"/>
    <s v="Súbete a mi piel"/>
    <s v="7a"/>
    <s v="Spain"/>
    <s v="Font Soleia"/>
    <s v="Paret Gran"/>
    <n v="18"/>
    <s v="16-20"/>
    <s v="Juan"/>
    <n v="2"/>
    <n v="2"/>
    <s v="redpoint"/>
    <n v="10"/>
  </r>
  <r>
    <d v="2016-06-13T00:00:00"/>
    <b v="0"/>
    <n v="13"/>
    <x v="9"/>
    <x v="6"/>
    <s v="Josuai Lama"/>
    <s v="7a"/>
    <s v="Spain"/>
    <s v="Garraf"/>
    <s v="Cova dels Bombers"/>
    <n v="15"/>
    <s v="11-15"/>
    <s v="Hervé"/>
    <n v="2"/>
    <n v="2"/>
    <s v="redpoint"/>
    <n v="10"/>
  </r>
  <r>
    <d v="2016-11-12T00:00:00"/>
    <b v="0"/>
    <n v="12"/>
    <x v="4"/>
    <x v="6"/>
    <s v="Sugopy"/>
    <s v="7a"/>
    <s v="Spain"/>
    <s v="Siurana"/>
    <s v="Grau dels Masets Esquerra"/>
    <n v="25"/>
    <s v="21-25"/>
    <s v="Martyn"/>
    <s v="flash"/>
    <n v="1"/>
    <s v="flash"/>
    <n v="10"/>
  </r>
  <r>
    <d v="2017-04-02T00:00:00"/>
    <b v="0"/>
    <n v="2"/>
    <x v="1"/>
    <x v="7"/>
    <s v="Se m'apaga la baldufa"/>
    <s v="7a"/>
    <s v="Spain"/>
    <s v="Siurana"/>
    <s v="Esperó Primavera"/>
    <n v="20"/>
    <s v="16-20"/>
    <s v="Henry"/>
    <n v="2"/>
    <n v="2"/>
    <s v="redpoint"/>
    <n v="10"/>
  </r>
  <r>
    <d v="2017-04-13T00:00:00"/>
    <b v="0"/>
    <n v="13"/>
    <x v="1"/>
    <x v="7"/>
    <s v="Juan y Fran se nos van"/>
    <s v="7a+"/>
    <s v="Spain"/>
    <s v="Rodellar"/>
    <s v="Las ventanas"/>
    <n v="20"/>
    <s v="16-20"/>
    <s v="Yoel"/>
    <n v="3"/>
    <n v="3"/>
    <s v="redpoint"/>
    <n v="15"/>
  </r>
  <r>
    <d v="2017-04-15T00:00:00"/>
    <b v="0"/>
    <n v="15"/>
    <x v="1"/>
    <x v="7"/>
    <s v="Pasaba por aquí"/>
    <s v="7a"/>
    <s v="Spain"/>
    <s v="Rodellar"/>
    <s v="El Callejón"/>
    <n v="25"/>
    <s v="21-25"/>
    <s v="Gustavo"/>
    <n v="8"/>
    <n v="8"/>
    <s v="redpoint"/>
    <n v="10"/>
  </r>
  <r>
    <d v="2017-05-19T00:00:00"/>
    <b v="0"/>
    <n v="19"/>
    <x v="2"/>
    <x v="7"/>
    <s v="Good feeling"/>
    <s v="7a"/>
    <s v="Spain"/>
    <s v="Montserrat sur"/>
    <s v="Cova de l'Arcada"/>
    <n v="32"/>
    <s v="31-35"/>
    <s v="Andres Villarroel"/>
    <s v="onsight"/>
    <n v="1"/>
    <s v="onsight"/>
    <n v="10"/>
  </r>
  <r>
    <d v="2017-06-07T00:00:00"/>
    <b v="0"/>
    <n v="7"/>
    <x v="9"/>
    <x v="7"/>
    <s v="Viagraman"/>
    <s v="7a"/>
    <s v="Spain"/>
    <s v="Siurana"/>
    <s v="El Pati"/>
    <n v="25"/>
    <s v="21-25"/>
    <s v="Yoel"/>
    <n v="3"/>
    <n v="3"/>
    <s v="redpoint"/>
    <n v="10"/>
  </r>
  <r>
    <d v="2017-06-20T00:00:00"/>
    <b v="0"/>
    <n v="20"/>
    <x v="9"/>
    <x v="7"/>
    <s v="Performance"/>
    <s v="7a"/>
    <s v="Spain"/>
    <s v="Font Soleia"/>
    <s v="El Gruyere"/>
    <n v="25"/>
    <s v="21-25"/>
    <s v="Will"/>
    <s v="onsight"/>
    <n v="1"/>
    <s v="onsight"/>
    <n v="10"/>
  </r>
  <r>
    <d v="2017-06-20T00:00:00"/>
    <b v="0"/>
    <n v="20"/>
    <x v="9"/>
    <x v="7"/>
    <s v="Requiem"/>
    <s v="7a+"/>
    <s v="Spain"/>
    <s v="Font Soleia"/>
    <s v="El Gruyere"/>
    <n v="25"/>
    <s v="21-25"/>
    <s v="Will"/>
    <s v="onsight"/>
    <n v="1"/>
    <s v="onsight"/>
    <n v="15"/>
  </r>
  <r>
    <d v="2017-07-08T00:00:00"/>
    <b v="0"/>
    <n v="8"/>
    <x v="0"/>
    <x v="7"/>
    <s v="Fleck"/>
    <s v="7b"/>
    <s v="Spain"/>
    <s v="Collegats"/>
    <s v="La Pedrera"/>
    <n v="35"/>
    <s v="31-35"/>
    <s v="Yoel"/>
    <n v="2"/>
    <n v="2"/>
    <s v="redpoint"/>
    <n v="25"/>
  </r>
  <r>
    <d v="2017-08-12T00:00:00"/>
    <b v="0"/>
    <n v="12"/>
    <x v="3"/>
    <x v="7"/>
    <s v="Beso de Cobra"/>
    <s v="7a"/>
    <s v="Spain"/>
    <s v="Siurana"/>
    <s v="L'aparador"/>
    <n v="30"/>
    <s v="26-30"/>
    <s v="Tieme"/>
    <s v="onsight"/>
    <n v="1"/>
    <s v="onsight"/>
    <n v="10"/>
  </r>
  <r>
    <d v="2017-09-02T00:00:00"/>
    <b v="0"/>
    <n v="2"/>
    <x v="10"/>
    <x v="7"/>
    <s v="Crit de Panic"/>
    <s v="7a"/>
    <s v="Spain"/>
    <s v="Sadernes"/>
    <s v="Cova del Bisbe"/>
    <n v="25"/>
    <s v="21-25"/>
    <s v="Gustavo"/>
    <n v="3"/>
    <n v="3"/>
    <s v="redpoint"/>
    <n v="10"/>
  </r>
  <r>
    <d v="2017-09-13T00:00:00"/>
    <b v="0"/>
    <n v="13"/>
    <x v="10"/>
    <x v="7"/>
    <s v="Attack of the Spindly Killer Fish"/>
    <s v="7a+"/>
    <s v="Spain"/>
    <s v="Mallorca"/>
    <s v="Cala Sa Nau"/>
    <n v="10"/>
    <s v="0-10"/>
    <s v="water solo"/>
    <s v="onsight"/>
    <n v="1"/>
    <s v="onsight"/>
    <n v="15"/>
  </r>
  <r>
    <d v="2017-09-13T00:00:00"/>
    <b v="0"/>
    <n v="13"/>
    <x v="10"/>
    <x v="7"/>
    <s v="Rich Bitch"/>
    <s v="7a"/>
    <s v="Spain"/>
    <s v="Mallorca"/>
    <s v="Cala Mitjana"/>
    <n v="10"/>
    <s v="0-10"/>
    <s v="water solo"/>
    <s v="onsight"/>
    <n v="1"/>
    <s v="onsight"/>
    <n v="10"/>
  </r>
  <r>
    <d v="2017-09-13T00:00:00"/>
    <b v="0"/>
    <n v="13"/>
    <x v="10"/>
    <x v="7"/>
    <s v="Balsa Boys"/>
    <s v="7a+"/>
    <s v="Spain"/>
    <s v="Mallorca"/>
    <s v="Cala Mitjana"/>
    <n v="12"/>
    <s v="11-15"/>
    <s v="water solo"/>
    <n v="2"/>
    <n v="2"/>
    <s v="redpoint"/>
    <n v="15"/>
  </r>
  <r>
    <d v="2017-09-23T00:00:00"/>
    <b v="0"/>
    <n v="23"/>
    <x v="10"/>
    <x v="7"/>
    <s v="Brego"/>
    <s v="7a+"/>
    <s v="Spain"/>
    <s v="Font Soleia"/>
    <s v="El Gruyere"/>
    <n v="25"/>
    <s v="21-25"/>
    <s v="Guy"/>
    <s v="onsight"/>
    <n v="1"/>
    <s v="onsight"/>
    <n v="15"/>
  </r>
  <r>
    <d v="2017-09-25T00:00:00"/>
    <b v="0"/>
    <n v="25"/>
    <x v="10"/>
    <x v="7"/>
    <s v="Cetaci"/>
    <s v="7a+"/>
    <s v="Spain"/>
    <s v="Garraf"/>
    <s v="Cova dels Bombers"/>
    <n v="20"/>
    <s v="16-20"/>
    <s v="Guy"/>
    <n v="5"/>
    <n v="5"/>
    <s v="redpoint"/>
    <n v="15"/>
  </r>
  <r>
    <d v="2017-10-14T00:00:00"/>
    <b v="0"/>
    <n v="14"/>
    <x v="11"/>
    <x v="7"/>
    <s v="Huir para vivir"/>
    <s v="7a+"/>
    <s v="Spain"/>
    <s v="Siurana"/>
    <s v="Siuranella Este"/>
    <n v="30"/>
    <s v="26-30"/>
    <s v="Gustavo"/>
    <n v="3"/>
    <n v="3"/>
    <s v="redpoint"/>
    <n v="15"/>
  </r>
  <r>
    <d v="2017-10-15T00:00:00"/>
    <b v="0"/>
    <n v="15"/>
    <x v="11"/>
    <x v="7"/>
    <s v="Rauxa"/>
    <s v="7a+"/>
    <s v="Spain"/>
    <s v="Siurana"/>
    <s v="L'aparador"/>
    <n v="25"/>
    <s v="21-25"/>
    <s v="Shyamal"/>
    <n v="2"/>
    <n v="2"/>
    <s v="redpoint"/>
    <n v="15"/>
  </r>
  <r>
    <d v="2017-10-21T00:00:00"/>
    <b v="0"/>
    <n v="21"/>
    <x v="11"/>
    <x v="7"/>
    <s v="Jeketepeke"/>
    <s v="7a+"/>
    <s v="Spain"/>
    <s v="Siurana"/>
    <s v="El Cargol"/>
    <n v="25"/>
    <s v="21-25"/>
    <s v="Henry"/>
    <s v="onsight"/>
    <n v="1"/>
    <s v="onsight"/>
    <n v="15"/>
  </r>
  <r>
    <d v="2017-10-21T00:00:00"/>
    <b v="0"/>
    <n v="21"/>
    <x v="11"/>
    <x v="7"/>
    <s v="La panxa del bou"/>
    <s v="7a+"/>
    <s v="Spain"/>
    <s v="Siurana"/>
    <s v="Siuranella Este"/>
    <n v="28"/>
    <s v="26-30"/>
    <s v="Henry"/>
    <n v="3"/>
    <n v="3"/>
    <s v="redpoint"/>
    <n v="15"/>
  </r>
  <r>
    <d v="2017-10-22T00:00:00"/>
    <b v="0"/>
    <n v="22"/>
    <x v="11"/>
    <x v="7"/>
    <s v="Cojón prieto"/>
    <s v="7a"/>
    <s v="Spain"/>
    <s v="Siurana"/>
    <s v="L'Herbolari"/>
    <n v="30"/>
    <s v="26-30"/>
    <s v="Henry"/>
    <s v="onsight"/>
    <n v="1"/>
    <s v="onsight"/>
    <n v="10"/>
  </r>
  <r>
    <d v="2017-10-28T00:00:00"/>
    <b v="0"/>
    <n v="28"/>
    <x v="11"/>
    <x v="7"/>
    <s v="Cingles"/>
    <s v="7a"/>
    <s v="Spain"/>
    <s v="Grau dels matxos"/>
    <s v="page 4"/>
    <n v="25"/>
    <s v="21-25"/>
    <s v="Guy"/>
    <n v="2"/>
    <n v="2"/>
    <s v="redpoint"/>
    <n v="10"/>
  </r>
  <r>
    <d v="2017-10-28T00:00:00"/>
    <b v="0"/>
    <n v="28"/>
    <x v="11"/>
    <x v="7"/>
    <s v="Piano Piano"/>
    <s v="7a"/>
    <s v="Spain"/>
    <s v="Grau dels matxos"/>
    <s v="page 5"/>
    <n v="25"/>
    <s v="21-25"/>
    <s v="Guy"/>
    <n v="4"/>
    <n v="4"/>
    <s v="redpoint"/>
    <n v="10"/>
  </r>
  <r>
    <d v="2017-11-04T00:00:00"/>
    <b v="0"/>
    <n v="4"/>
    <x v="4"/>
    <x v="7"/>
    <s v="No ho sé"/>
    <s v="7b"/>
    <s v="Spain"/>
    <s v="Gelida"/>
    <s v="Centre"/>
    <n v="25"/>
    <s v="21-25"/>
    <s v="Angel"/>
    <n v="6"/>
    <n v="6"/>
    <s v="redpoint"/>
    <n v="25"/>
  </r>
  <r>
    <d v="2017-12-08T00:00:00"/>
    <b v="0"/>
    <n v="8"/>
    <x v="5"/>
    <x v="7"/>
    <s v="Little Ted"/>
    <s v="7a+"/>
    <s v="Spain"/>
    <s v="Siurana"/>
    <s v="Grau dels Masets Baix"/>
    <n v="25"/>
    <s v="21-25"/>
    <s v="Yoel"/>
    <n v="2"/>
    <n v="2"/>
    <s v="redpoint"/>
    <n v="15"/>
  </r>
  <r>
    <d v="2017-12-09T00:00:00"/>
    <b v="0"/>
    <n v="9"/>
    <x v="5"/>
    <x v="7"/>
    <s v="No m'enganyis mes"/>
    <s v="7a"/>
    <s v="Spain"/>
    <s v="Arbolí"/>
    <s v="Can Simiro"/>
    <n v="20"/>
    <s v="16-20"/>
    <s v="Dave"/>
    <s v="flash"/>
    <n v="1"/>
    <s v="flash"/>
    <n v="10"/>
  </r>
  <r>
    <d v="2017-12-10T00:00:00"/>
    <b v="0"/>
    <n v="10"/>
    <x v="5"/>
    <x v="7"/>
    <s v="Prendre la tête"/>
    <s v="7a+"/>
    <s v="Spain"/>
    <s v="Siurana"/>
    <s v="Can Gans Dionis"/>
    <n v="20"/>
    <s v="16-20"/>
    <s v="Karla Mexicana"/>
    <n v="3"/>
    <n v="3"/>
    <s v="redpoint"/>
    <n v="15"/>
  </r>
  <r>
    <d v="2017-12-16T00:00:00"/>
    <b v="0"/>
    <n v="16"/>
    <x v="5"/>
    <x v="7"/>
    <s v="Mystiflower"/>
    <s v="7a"/>
    <s v="Spain"/>
    <s v="Arbolí"/>
    <s v="El Dard"/>
    <n v="30"/>
    <s v="26-30"/>
    <s v="Pelu"/>
    <s v="onsight"/>
    <n v="1"/>
    <s v="onsight"/>
    <n v="10"/>
  </r>
  <r>
    <d v="2017-12-17T00:00:00"/>
    <b v="0"/>
    <n v="17"/>
    <x v="5"/>
    <x v="7"/>
    <s v="Mr Krek"/>
    <s v="7b"/>
    <s v="Spain"/>
    <s v="Arbolí"/>
    <s v="El Dard"/>
    <n v="30"/>
    <s v="26-30"/>
    <s v="Pelu"/>
    <n v="2"/>
    <n v="2"/>
    <s v="redpoint"/>
    <n v="25"/>
  </r>
  <r>
    <d v="2017-12-30T00:00:00"/>
    <b v="0"/>
    <n v="30"/>
    <x v="5"/>
    <x v="7"/>
    <s v="Anys Bionics"/>
    <s v="7b+"/>
    <s v="Spain"/>
    <s v="Siurana"/>
    <s v="El Salt de la Reina Mora"/>
    <n v="38"/>
    <s v="35+"/>
    <s v="Yoel"/>
    <s v="onsight"/>
    <n v="1"/>
    <s v="onsight"/>
    <n v="40"/>
  </r>
  <r>
    <d v="2017-12-31T00:00:00"/>
    <b v="0"/>
    <n v="31"/>
    <x v="5"/>
    <x v="7"/>
    <s v="Salmo veintitrés"/>
    <s v="7a"/>
    <s v="Spain"/>
    <s v="Arbolí"/>
    <s v="El Falcó"/>
    <n v="20"/>
    <s v="16-20"/>
    <s v="Yoel"/>
    <s v="onsight"/>
    <n v="1"/>
    <s v="onsight"/>
    <n v="10"/>
  </r>
  <r>
    <d v="2017-12-31T00:00:00"/>
    <b v="0"/>
    <n v="31"/>
    <x v="5"/>
    <x v="7"/>
    <s v="?"/>
    <s v="7a+"/>
    <s v="Spain"/>
    <s v="Arbolí"/>
    <s v="El Falcó"/>
    <n v="25"/>
    <s v="21-25"/>
    <s v="Yoel"/>
    <n v="2"/>
    <n v="2"/>
    <s v="redpoint"/>
    <n v="15"/>
  </r>
  <r>
    <d v="2018-01-05T00:00:00"/>
    <b v="0"/>
    <n v="5"/>
    <x v="6"/>
    <x v="8"/>
    <s v="Fotut Futur"/>
    <s v="7b"/>
    <s v="Spain"/>
    <s v="Garraf"/>
    <s v="Mala Dona"/>
    <n v="20"/>
    <s v="16-20"/>
    <s v="Lena"/>
    <n v="2"/>
    <n v="2"/>
    <s v="redpoint"/>
    <n v="25"/>
  </r>
  <r>
    <d v="2018-01-27T00:00:00"/>
    <b v="0"/>
    <n v="27"/>
    <x v="6"/>
    <x v="8"/>
    <s v="Megatrix"/>
    <s v="7b+"/>
    <s v="Spain"/>
    <s v="Gelida"/>
    <s v="Centre"/>
    <n v="25"/>
    <s v="21-25"/>
    <s v="Yoel"/>
    <n v="10"/>
    <n v="10"/>
    <s v="redpoint"/>
    <n v="40"/>
  </r>
  <r>
    <d v="2018-02-03T00:00:00"/>
    <b v="0"/>
    <n v="3"/>
    <x v="7"/>
    <x v="8"/>
    <s v="Qui s'ha mort"/>
    <s v="7b"/>
    <s v="Spain"/>
    <s v="Can Paulet"/>
    <s v="Esquerra"/>
    <n v="12"/>
    <s v="11-15"/>
    <s v="Yoel"/>
    <n v="3"/>
    <n v="3"/>
    <s v="redpoint"/>
    <n v="25"/>
  </r>
  <r>
    <d v="2018-02-22T00:00:00"/>
    <b v="0"/>
    <n v="22"/>
    <x v="7"/>
    <x v="8"/>
    <s v="Dale duro negro"/>
    <s v="7b"/>
    <s v="Spain"/>
    <s v="Chulilla"/>
    <s v="Sex shop"/>
    <n v="32"/>
    <s v="31-35"/>
    <s v="Lena"/>
    <s v="flash"/>
    <n v="1"/>
    <s v="flash"/>
    <n v="25"/>
  </r>
  <r>
    <d v="2018-02-23T00:00:00"/>
    <b v="0"/>
    <n v="23"/>
    <x v="7"/>
    <x v="8"/>
    <s v="Los caminantes"/>
    <s v="7b"/>
    <s v="Spain"/>
    <s v="Chulilla"/>
    <s v="Chorreras"/>
    <n v="32"/>
    <s v="31-35"/>
    <s v="Lena"/>
    <n v="2"/>
    <n v="2"/>
    <s v="redpoint"/>
    <n v="25"/>
  </r>
  <r>
    <d v="2018-02-24T00:00:00"/>
    <b v="0"/>
    <n v="24"/>
    <x v="7"/>
    <x v="8"/>
    <s v="?"/>
    <s v="7a"/>
    <s v="Spain"/>
    <s v="Chulilla"/>
    <s v="Oasis"/>
    <n v="32"/>
    <s v="31-35"/>
    <s v="Lena"/>
    <s v="onsight"/>
    <n v="1"/>
    <s v="onsight"/>
    <n v="10"/>
  </r>
  <r>
    <d v="2018-03-18T00:00:00"/>
    <b v="0"/>
    <n v="18"/>
    <x v="8"/>
    <x v="8"/>
    <s v="Baby sitter"/>
    <s v="7a"/>
    <s v="Spain"/>
    <s v="Margalef"/>
    <s v="La Mainadera"/>
    <n v="18"/>
    <s v="16-20"/>
    <s v="Kathy"/>
    <n v="2"/>
    <n v="2"/>
    <s v="redpoint"/>
    <n v="10"/>
  </r>
  <r>
    <d v="2018-03-30T00:00:00"/>
    <b v="0"/>
    <n v="30"/>
    <x v="8"/>
    <x v="8"/>
    <s v="Curriculo vaginal"/>
    <s v="7c"/>
    <s v="Spain"/>
    <s v="Chulilla"/>
    <s v="Sex shop"/>
    <n v="20"/>
    <s v="16-20"/>
    <s v="Guy"/>
    <n v="5"/>
    <n v="5"/>
    <s v="redpoint"/>
    <n v="60"/>
  </r>
  <r>
    <d v="2018-03-31T00:00:00"/>
    <b v="0"/>
    <n v="31"/>
    <x v="8"/>
    <x v="8"/>
    <s v="Zikrutiña mientras puedas"/>
    <s v="7a+"/>
    <s v="Spain"/>
    <s v="Chulilla"/>
    <s v="Muro de lamentaciones"/>
    <n v="18"/>
    <s v="16-20"/>
    <s v="Guy"/>
    <n v="2"/>
    <n v="2"/>
    <s v="redpoint"/>
    <n v="15"/>
  </r>
  <r>
    <d v="2018-04-01T00:00:00"/>
    <b v="0"/>
    <n v="1"/>
    <x v="1"/>
    <x v="8"/>
    <s v="?"/>
    <s v="7b+"/>
    <s v="Spain"/>
    <s v="Chulilla"/>
    <s v="Masters"/>
    <n v="30"/>
    <s v="26-30"/>
    <s v="Kathy"/>
    <n v="2"/>
    <n v="2"/>
    <s v="redpoint"/>
    <n v="40"/>
  </r>
  <r>
    <d v="2018-04-02T00:00:00"/>
    <b v="0"/>
    <n v="2"/>
    <x v="1"/>
    <x v="8"/>
    <s v="?"/>
    <s v="7b"/>
    <s v="Spain"/>
    <s v="Chulilla"/>
    <s v="Fantasía"/>
    <n v="30"/>
    <s v="26-30"/>
    <s v="Guy"/>
    <n v="4"/>
    <n v="4"/>
    <s v="redpoint"/>
    <n v="25"/>
  </r>
  <r>
    <d v="2018-04-18T00:00:00"/>
    <b v="0"/>
    <n v="18"/>
    <x v="1"/>
    <x v="8"/>
    <s v="Desvariant"/>
    <s v="7b"/>
    <s v="Spain"/>
    <s v="Arbolí"/>
    <s v="L'Obaga del Falcó"/>
    <n v="25"/>
    <s v="21-25"/>
    <s v="Ulises"/>
    <n v="2"/>
    <n v="2"/>
    <s v="redpoint"/>
    <n v="25"/>
  </r>
  <r>
    <d v="2018-04-20T00:00:00"/>
    <b v="0"/>
    <n v="20"/>
    <x v="1"/>
    <x v="8"/>
    <s v="Ay Mamita"/>
    <s v="7a"/>
    <s v="Spain"/>
    <s v="Siurana"/>
    <s v="El Pati"/>
    <n v="35"/>
    <s v="31-35"/>
    <s v="Kat"/>
    <s v="onsight"/>
    <n v="1"/>
    <s v="onsight"/>
    <n v="10"/>
  </r>
  <r>
    <d v="2018-04-22T00:00:00"/>
    <b v="0"/>
    <n v="22"/>
    <x v="1"/>
    <x v="8"/>
    <s v="Bindelef"/>
    <s v="7a+"/>
    <s v="Spain"/>
    <s v="Siurana"/>
    <s v="Can Codolar"/>
    <n v="35"/>
    <s v="31-35"/>
    <s v="Henry"/>
    <s v="onsight"/>
    <n v="1"/>
    <s v="onsight"/>
    <n v="15"/>
  </r>
  <r>
    <d v="2018-04-28T00:00:00"/>
    <b v="0"/>
    <n v="28"/>
    <x v="1"/>
    <x v="8"/>
    <s v="La mía"/>
    <s v="7a"/>
    <s v="Spain"/>
    <s v="Margalef"/>
    <s v="Culample 4"/>
    <n v="25"/>
    <s v="21-25"/>
    <s v="Kathy"/>
    <s v="onsight"/>
    <n v="1"/>
    <s v="onsight"/>
    <n v="10"/>
  </r>
  <r>
    <d v="2018-04-28T00:00:00"/>
    <b v="0"/>
    <n v="28"/>
    <x v="1"/>
    <x v="8"/>
    <s v="El Charlatán"/>
    <s v="7a+"/>
    <s v="Spain"/>
    <s v="Margalef"/>
    <s v="Culample 4"/>
    <n v="25"/>
    <s v="21-25"/>
    <s v="Kathy"/>
    <n v="2"/>
    <n v="2"/>
    <s v="redpoint"/>
    <n v="15"/>
  </r>
  <r>
    <d v="2018-04-29T00:00:00"/>
    <b v="0"/>
    <n v="29"/>
    <x v="1"/>
    <x v="8"/>
    <s v="La forum de les postures"/>
    <s v="7a"/>
    <s v="Spain"/>
    <s v="Margalef"/>
    <s v="Cabernet"/>
    <n v="30"/>
    <s v="26-30"/>
    <s v="Ulises"/>
    <s v="onsight"/>
    <n v="1"/>
    <s v="onsight"/>
    <n v="10"/>
  </r>
  <r>
    <d v="2018-04-29T00:00:00"/>
    <b v="0"/>
    <n v="29"/>
    <x v="1"/>
    <x v="8"/>
    <s v="Mar de fons"/>
    <s v="7b"/>
    <s v="Spain"/>
    <s v="Margalef"/>
    <s v="Cabernet"/>
    <n v="10"/>
    <s v="0-10"/>
    <s v="Kathy"/>
    <n v="3"/>
    <n v="3"/>
    <s v="redpoint"/>
    <n v="25"/>
  </r>
  <r>
    <d v="2018-05-26T00:00:00"/>
    <b v="0"/>
    <n v="26"/>
    <x v="2"/>
    <x v="8"/>
    <s v="Ladilla"/>
    <s v="7a"/>
    <s v="Spain"/>
    <s v="Sadernes"/>
    <s v="Castell s'Espasa dret"/>
    <n v="25"/>
    <s v="21-25"/>
    <s v="Gustavo"/>
    <s v="onsight"/>
    <n v="1"/>
    <s v="onsight"/>
    <n v="10"/>
  </r>
  <r>
    <d v="2018-05-26T00:00:00"/>
    <b v="0"/>
    <n v="26"/>
    <x v="2"/>
    <x v="8"/>
    <s v="Calendra"/>
    <s v="7a+"/>
    <s v="Spain"/>
    <s v="Sadernes"/>
    <s v="Castell s'Espasa dret"/>
    <n v="25"/>
    <s v="21-25"/>
    <s v="Gustavo"/>
    <s v="onsight"/>
    <n v="1"/>
    <s v="onsight"/>
    <n v="15"/>
  </r>
  <r>
    <d v="2018-06-10T00:00:00"/>
    <b v="0"/>
    <n v="10"/>
    <x v="9"/>
    <x v="8"/>
    <s v="Esgraons al cel"/>
    <s v="7a+"/>
    <s v="Spain"/>
    <s v="Montserrat norte"/>
    <s v="El prohibitivo"/>
    <n v="12"/>
    <s v="11-15"/>
    <s v="Kathy"/>
    <s v="flash"/>
    <n v="1"/>
    <s v="flash"/>
    <n v="15"/>
  </r>
  <r>
    <d v="2018-06-24T00:00:00"/>
    <b v="0"/>
    <n v="24"/>
    <x v="9"/>
    <x v="8"/>
    <s v="Menganos"/>
    <s v="7a+"/>
    <s v="Spain"/>
    <s v="Montserrat sur"/>
    <s v="La Piula"/>
    <n v="25"/>
    <s v="21-25"/>
    <s v="Kathy"/>
    <n v="2"/>
    <n v="2"/>
    <s v="redpoint"/>
    <n v="15"/>
  </r>
  <r>
    <d v="2018-09-10T00:00:00"/>
    <b v="0"/>
    <n v="10"/>
    <x v="10"/>
    <x v="8"/>
    <s v="Bisexual"/>
    <s v="7a"/>
    <s v="Spain"/>
    <s v="Mallorca"/>
    <s v="Cala Varques - Metrosexual"/>
    <n v="12"/>
    <s v="11-15"/>
    <s v="water solo"/>
    <n v="2"/>
    <n v="2"/>
    <s v="redpoint"/>
    <n v="10"/>
  </r>
  <r>
    <d v="2018-11-03T00:00:00"/>
    <b v="0"/>
    <n v="3"/>
    <x v="4"/>
    <x v="8"/>
    <s v="Salmoneti a contra corrent"/>
    <s v="7a"/>
    <s v="Spain"/>
    <s v="Siurana"/>
    <s v="Corral nou"/>
    <n v="22"/>
    <s v="21-25"/>
    <s v="Angel"/>
    <s v="onsight"/>
    <n v="1"/>
    <s v="onsight"/>
    <n v="10"/>
  </r>
  <r>
    <d v="2018-11-03T00:00:00"/>
    <b v="0"/>
    <n v="3"/>
    <x v="4"/>
    <x v="8"/>
    <s v="Bocadillo de calamares en el km 0"/>
    <s v="7a+"/>
    <s v="Spain"/>
    <s v="Siurana"/>
    <s v="Corral nou"/>
    <n v="25"/>
    <s v="21-25"/>
    <s v="Angel"/>
    <n v="2"/>
    <n v="2"/>
    <s v="redpoint"/>
    <n v="15"/>
  </r>
  <r>
    <d v="2019-04-05T00:00:00"/>
    <b v="0"/>
    <n v="5"/>
    <x v="1"/>
    <x v="9"/>
    <s v="Fisuterapia"/>
    <s v="7a"/>
    <s v="Spain"/>
    <s v="Siurana"/>
    <s v="Herbolari"/>
    <n v="30"/>
    <s v="26-30"/>
    <s v="Guy"/>
    <n v="2"/>
    <n v="2"/>
    <s v="redpoint"/>
    <n v="10"/>
  </r>
  <r>
    <d v="2019-04-06T00:00:00"/>
    <b v="0"/>
    <n v="6"/>
    <x v="1"/>
    <x v="9"/>
    <s v="Cargol treu banya"/>
    <s v="7a"/>
    <s v="Spain"/>
    <s v="Siurana"/>
    <s v="L'Olla"/>
    <n v="13"/>
    <s v="11-15"/>
    <s v="Guy"/>
    <n v="2"/>
    <n v="2"/>
    <s v="redpoint"/>
    <n v="10"/>
  </r>
  <r>
    <d v="2019-04-14T00:00:00"/>
    <b v="0"/>
    <n v="14"/>
    <x v="1"/>
    <x v="9"/>
    <s v="Café del mar"/>
    <s v="7a+"/>
    <s v="Spain"/>
    <s v="Montserrat norte"/>
    <s v="El Casot"/>
    <n v="25"/>
    <s v="21-25"/>
    <s v="Gustavo"/>
    <s v="flash"/>
    <n v="1"/>
    <s v="flash"/>
    <n v="15"/>
  </r>
  <r>
    <d v="2019-09-22T00:00:00"/>
    <b v="0"/>
    <n v="22"/>
    <x v="10"/>
    <x v="9"/>
    <s v="Jihad"/>
    <s v="7a+"/>
    <s v="Spain"/>
    <s v="Montserrat norte"/>
    <s v="Cova de l'os"/>
    <n v="20"/>
    <s v="16-20"/>
    <s v="Antonin"/>
    <n v="2"/>
    <n v="2"/>
    <s v="redpoint"/>
    <n v="15"/>
  </r>
  <r>
    <d v="2019-11-01T00:00:00"/>
    <b v="0"/>
    <n v="1"/>
    <x v="4"/>
    <x v="9"/>
    <s v="La Siberiana"/>
    <s v="7b"/>
    <s v="Spain"/>
    <s v="Siurana"/>
    <s v="Can Codolar"/>
    <n v="30"/>
    <s v="26-30"/>
    <s v="Guy"/>
    <n v="3"/>
    <n v="3"/>
    <s v="redpoint"/>
    <n v="25"/>
  </r>
  <r>
    <d v="2019-11-02T00:00:00"/>
    <b v="0"/>
    <n v="2"/>
    <x v="4"/>
    <x v="9"/>
    <s v="Tikis Mikis"/>
    <s v="7a"/>
    <s v="Spain"/>
    <s v="Siurana"/>
    <s v="Siuranella Centre"/>
    <n v="30"/>
    <s v="26-30"/>
    <s v="Gustavo"/>
    <n v="2"/>
    <n v="2"/>
    <s v="redpoint"/>
    <n v="10"/>
  </r>
  <r>
    <d v="2019-11-16T00:00:00"/>
    <b v="0"/>
    <n v="16"/>
    <x v="4"/>
    <x v="9"/>
    <s v="El ultimo poeta"/>
    <s v="7b"/>
    <s v="Spain"/>
    <s v="Margalef"/>
    <s v="La Mainadera"/>
    <n v="20"/>
    <s v="16-20"/>
    <s v="Inti"/>
    <n v="2"/>
    <n v="2"/>
    <s v="redpoint"/>
    <n v="25"/>
  </r>
  <r>
    <d v="2020-08-24T00:00:00"/>
    <b v="0"/>
    <n v="24"/>
    <x v="3"/>
    <x v="10"/>
    <s v="Cop de roc"/>
    <s v="7a+"/>
    <s v="Spain"/>
    <s v="Siurana"/>
    <s v="Can Codolar"/>
    <n v="35"/>
    <s v="31-35"/>
    <s v="Laila"/>
    <n v="2"/>
    <n v="2"/>
    <s v="redpoint"/>
    <n v="15"/>
  </r>
  <r>
    <d v="2020-08-27T00:00:00"/>
    <b v="0"/>
    <n v="27"/>
    <x v="3"/>
    <x v="10"/>
    <s v="Avui si que no m'enganyes"/>
    <s v="7b"/>
    <s v="Spain"/>
    <s v="Siurana"/>
    <s v="Siuranella Este"/>
    <n v="22"/>
    <s v="21-25"/>
    <s v="Inti"/>
    <n v="6"/>
    <n v="6"/>
    <s v="redpoint"/>
    <n v="25"/>
  </r>
  <r>
    <d v="2020-09-20T00:00:00"/>
    <b v="0"/>
    <n v="20"/>
    <x v="10"/>
    <x v="10"/>
    <s v="No name num 93"/>
    <s v="7a+"/>
    <s v="Spain"/>
    <s v="Grau dels matxos"/>
    <s v="page 4"/>
    <n v="25"/>
    <s v="21-25"/>
    <s v="Guy"/>
    <s v="flash"/>
    <n v="1"/>
    <s v="flash"/>
    <n v="15"/>
  </r>
  <r>
    <d v="2020-09-24T00:00:00"/>
    <b v="0"/>
    <n v="24"/>
    <x v="10"/>
    <x v="10"/>
    <s v="El Trapella num 90"/>
    <s v="7b+"/>
    <s v="Spain"/>
    <s v="Grau dels matxos"/>
    <s v="page 4"/>
    <n v="25"/>
    <s v="21-25"/>
    <s v="Guy"/>
    <n v="4"/>
    <n v="4"/>
    <s v="redpoint"/>
    <n v="40"/>
  </r>
  <r>
    <d v="2020-09-24T00:00:00"/>
    <b v="0"/>
    <n v="24"/>
    <x v="10"/>
    <x v="10"/>
    <s v="El Drac"/>
    <s v="7a"/>
    <s v="Spain"/>
    <s v="Grau dels matxos"/>
    <s v="page 4"/>
    <n v="25"/>
    <s v="21-25"/>
    <s v="Gabo"/>
    <s v="flash"/>
    <n v="1"/>
    <s v="flash"/>
    <n v="10"/>
  </r>
  <r>
    <d v="2020-09-26T00:00:00"/>
    <b v="0"/>
    <n v="26"/>
    <x v="10"/>
    <x v="10"/>
    <s v="Pota de bou"/>
    <s v="7a+"/>
    <s v="Spain"/>
    <s v="Grau dels matxos"/>
    <s v="page 6"/>
    <n v="25"/>
    <s v="21-25"/>
    <s v="Kat"/>
    <s v="onsight"/>
    <n v="1"/>
    <s v="onsight"/>
    <n v="15"/>
  </r>
  <r>
    <d v="2020-10-17T00:00:00"/>
    <b v="0"/>
    <n v="17"/>
    <x v="11"/>
    <x v="10"/>
    <s v="Ni me n'entero"/>
    <s v="7a"/>
    <s v="Spain"/>
    <s v="Siurana"/>
    <s v="Ca la Isabel"/>
    <n v="20"/>
    <s v="16-20"/>
    <s v="Guy"/>
    <s v="onsight"/>
    <n v="1"/>
    <s v="onsight"/>
    <n v="10"/>
  </r>
  <r>
    <d v="2020-10-18T00:00:00"/>
    <b v="0"/>
    <n v="18"/>
    <x v="11"/>
    <x v="10"/>
    <s v="ACDC"/>
    <s v="7b+"/>
    <s v="Spain"/>
    <s v="Siurana"/>
    <s v="Ca l'Onassis"/>
    <n v="28"/>
    <s v="26-30"/>
    <s v="Gustavo"/>
    <n v="4"/>
    <n v="4"/>
    <s v="redpoint"/>
    <n v="40"/>
  </r>
  <r>
    <d v="2020-10-24T00:00:00"/>
    <b v="0"/>
    <n v="24"/>
    <x v="11"/>
    <x v="10"/>
    <s v="?"/>
    <s v="7a"/>
    <s v="Spain"/>
    <s v="Siurana"/>
    <s v="Siuranella Este"/>
    <n v="30"/>
    <s v="26-30"/>
    <s v="Inti"/>
    <n v="2"/>
    <n v="2"/>
    <s v="redpoint"/>
    <n v="10"/>
  </r>
  <r>
    <d v="2020-10-25T00:00:00"/>
    <b v="0"/>
    <n v="25"/>
    <x v="11"/>
    <x v="10"/>
    <s v="No hi ha pa per tant xoriço"/>
    <s v="7a"/>
    <s v="Spain"/>
    <s v="Siurana"/>
    <s v="Grau dels Masets Baix"/>
    <n v="30"/>
    <s v="26-30"/>
    <s v="Kat"/>
    <s v="onsight"/>
    <n v="1"/>
    <s v="onsight"/>
    <n v="10"/>
  </r>
  <r>
    <d v="2021-04-22T00:00:00"/>
    <b v="0"/>
    <n v="22"/>
    <x v="1"/>
    <x v="11"/>
    <s v="Remulo y romo"/>
    <s v="7a"/>
    <s v="Spain"/>
    <s v="Siurana"/>
    <s v="Can Melafots"/>
    <n v="18"/>
    <s v="16-20"/>
    <s v="Lydia"/>
    <s v="onsight"/>
    <n v="1"/>
    <s v="onsight"/>
    <n v="10"/>
  </r>
  <r>
    <d v="2021-04-23T00:00:00"/>
    <b v="0"/>
    <n v="23"/>
    <x v="1"/>
    <x v="11"/>
    <s v="La Morena de Montsant"/>
    <s v="7a+"/>
    <s v="Spain"/>
    <s v="Siurana"/>
    <s v="El Cargol"/>
    <n v="40"/>
    <s v="35+"/>
    <s v="Bernardo"/>
    <s v="onsight"/>
    <n v="1"/>
    <s v="onsight"/>
    <n v="15"/>
  </r>
  <r>
    <d v="2021-04-24T00:00:00"/>
    <b v="0"/>
    <n v="24"/>
    <x v="1"/>
    <x v="11"/>
    <s v="Pako pintxo"/>
    <s v="7a"/>
    <s v="Spain"/>
    <s v="Siurana"/>
    <s v="Ca l'Orro"/>
    <n v="15"/>
    <s v="11-15"/>
    <s v="Bernardo"/>
    <n v="2"/>
    <n v="2"/>
    <s v="redpoint"/>
    <n v="10"/>
  </r>
  <r>
    <d v="2021-05-06T00:00:00"/>
    <b v="0"/>
    <n v="6"/>
    <x v="2"/>
    <x v="11"/>
    <s v="Clone Club"/>
    <s v="7a"/>
    <s v="Spain"/>
    <s v="Grau dels matxos"/>
    <s v="page 6"/>
    <n v="20"/>
    <s v="16-20"/>
    <s v="Guy"/>
    <s v="onsight"/>
    <n v="1"/>
    <s v="onsight"/>
    <n v="10"/>
  </r>
  <r>
    <d v="2021-05-14T00:00:00"/>
    <b v="0"/>
    <n v="14"/>
    <x v="2"/>
    <x v="11"/>
    <s v="La Transformació"/>
    <s v="7a"/>
    <s v="Spain"/>
    <s v="Siurana"/>
    <s v="Grau dels Masets Esquerra"/>
    <n v="25"/>
    <s v="21-25"/>
    <s v="Bernardo"/>
    <n v="4"/>
    <n v="4"/>
    <s v="redpoint"/>
    <n v="10"/>
  </r>
  <r>
    <d v="2021-05-19T00:00:00"/>
    <b v="0"/>
    <n v="19"/>
    <x v="2"/>
    <x v="11"/>
    <s v="Alpha"/>
    <s v="7a"/>
    <s v="Spain"/>
    <s v="Grau dels matxos"/>
    <s v="page 3"/>
    <n v="20"/>
    <s v="16-20"/>
    <s v="Bernardo"/>
    <s v="flash"/>
    <n v="1"/>
    <s v="flash"/>
    <n v="10"/>
  </r>
  <r>
    <d v="2021-05-20T00:00:00"/>
    <b v="0"/>
    <n v="20"/>
    <x v="2"/>
    <x v="11"/>
    <s v="Mainada de plafó"/>
    <s v="7b"/>
    <s v="Spain"/>
    <s v="Grau dels matxos"/>
    <s v="page 2"/>
    <n v="20"/>
    <s v="16-20"/>
    <s v="Guy"/>
    <n v="5"/>
    <n v="5"/>
    <s v="redpoint"/>
    <n v="25"/>
  </r>
  <r>
    <d v="2021-05-27T00:00:00"/>
    <b v="0"/>
    <n v="27"/>
    <x v="2"/>
    <x v="11"/>
    <s v="No pasarán"/>
    <s v="7b"/>
    <s v="Spain"/>
    <s v="Grau dels matxos"/>
    <s v="page 2"/>
    <n v="16"/>
    <s v="16-20"/>
    <s v="Guy"/>
    <n v="6"/>
    <n v="6"/>
    <s v="redpoint"/>
    <n v="25"/>
  </r>
  <r>
    <d v="2021-05-29T00:00:00"/>
    <b v="0"/>
    <n v="29"/>
    <x v="2"/>
    <x v="11"/>
    <s v="Semen up"/>
    <s v="7a"/>
    <s v="Spain"/>
    <s v="Siurana"/>
    <s v="Siuranella Este"/>
    <n v="20"/>
    <s v="16-20"/>
    <s v="Angel"/>
    <s v="onsight"/>
    <n v="1"/>
    <s v="onsight"/>
    <n v="10"/>
  </r>
  <r>
    <d v="2021-05-30T00:00:00"/>
    <b v="0"/>
    <n v="30"/>
    <x v="2"/>
    <x v="11"/>
    <s v="Daniel Taupin"/>
    <s v="7a+"/>
    <s v="Spain"/>
    <s v="Siurana"/>
    <s v="L'aparador"/>
    <n v="25"/>
    <s v="21-25"/>
    <s v="Angel"/>
    <n v="2"/>
    <n v="2"/>
    <s v="redpoint"/>
    <n v="15"/>
  </r>
  <r>
    <d v="2021-06-02T00:00:00"/>
    <b v="0"/>
    <n v="2"/>
    <x v="9"/>
    <x v="11"/>
    <s v="Tsunami"/>
    <s v="7a+"/>
    <s v="Spain"/>
    <s v="Grau dels matxos"/>
    <s v="El Sunyer"/>
    <n v="18"/>
    <s v="16-20"/>
    <s v="Guy"/>
    <s v="onsight"/>
    <n v="1"/>
    <s v="onsight"/>
    <n v="15"/>
  </r>
  <r>
    <d v="2021-06-02T00:00:00"/>
    <b v="0"/>
    <n v="2"/>
    <x v="9"/>
    <x v="11"/>
    <s v="El Nas"/>
    <s v="7a"/>
    <s v="Spain"/>
    <s v="Grau dels matxos"/>
    <s v="El Sunyer"/>
    <n v="18"/>
    <s v="16-20"/>
    <s v="Guy"/>
    <n v="2"/>
    <n v="2"/>
    <s v="redpoint"/>
    <n v="10"/>
  </r>
  <r>
    <d v="2021-06-13T00:00:00"/>
    <b v="0"/>
    <n v="13"/>
    <x v="9"/>
    <x v="11"/>
    <s v="Bous i Esquellets"/>
    <s v="7c"/>
    <s v="Spain"/>
    <s v="Grau dels matxos"/>
    <s v="El Sunyer"/>
    <n v="22"/>
    <s v="21-25"/>
    <s v="Sean"/>
    <n v="7"/>
    <n v="7"/>
    <s v="redpoint"/>
    <n v="60"/>
  </r>
  <r>
    <d v="2021-06-20T00:00:00"/>
    <b v="0"/>
    <n v="20"/>
    <x v="9"/>
    <x v="11"/>
    <s v="Las orelles del llop"/>
    <s v="7a+"/>
    <s v="Spain"/>
    <s v="Grau dels matxos"/>
    <s v="El Sunyer"/>
    <n v="18"/>
    <s v="16-20"/>
    <s v="Lydia"/>
    <s v="onsight"/>
    <n v="1"/>
    <s v="onsight"/>
    <n v="15"/>
  </r>
  <r>
    <d v="2021-06-20T00:00:00"/>
    <b v="0"/>
    <n v="20"/>
    <x v="9"/>
    <x v="11"/>
    <s v="Emboirats"/>
    <s v="7b"/>
    <s v="Spain"/>
    <s v="Grau dels matxos"/>
    <s v="El Sunyer"/>
    <n v="18"/>
    <s v="16-20"/>
    <s v="Lydia"/>
    <s v="onsight"/>
    <n v="1"/>
    <s v="onsight"/>
    <n v="25"/>
  </r>
  <r>
    <d v="2021-06-24T00:00:00"/>
    <b v="0"/>
    <n v="24"/>
    <x v="9"/>
    <x v="11"/>
    <s v="Tiramilles"/>
    <s v="7a+"/>
    <s v="Spain"/>
    <s v="Grau dels matxos"/>
    <s v="El Sunyer"/>
    <n v="18"/>
    <s v="16-20"/>
    <s v="Guy"/>
    <n v="2"/>
    <n v="2"/>
    <s v="redpoint"/>
    <n v="15"/>
  </r>
  <r>
    <d v="2021-11-14T00:00:00"/>
    <b v="0"/>
    <n v="14"/>
    <x v="4"/>
    <x v="11"/>
    <s v="Sac de Gemecs"/>
    <s v="7a"/>
    <s v="Spain"/>
    <s v="Siurana"/>
    <s v="Grau dels Masets Baix"/>
    <n v="25"/>
    <s v="21-25"/>
    <s v="Lydia"/>
    <s v="onsight"/>
    <n v="1"/>
    <s v="onsight"/>
    <n v="10"/>
  </r>
  <r>
    <d v="2022-01-30T00:00:00"/>
    <b v="0"/>
    <n v="30"/>
    <x v="6"/>
    <x v="12"/>
    <s v="Ventolera Cosmica"/>
    <s v="7c+"/>
    <s v="Spain"/>
    <s v="Gelida"/>
    <s v="Centre"/>
    <n v="20"/>
    <s v="16-20"/>
    <s v="Guy"/>
    <n v="50"/>
    <m/>
    <s v="redpoint"/>
    <n v="80"/>
  </r>
  <r>
    <d v="2022-02-10T00:00:00"/>
    <b v="0"/>
    <n v="10"/>
    <x v="7"/>
    <x v="12"/>
    <s v="LSD"/>
    <s v="7a"/>
    <s v="Spain"/>
    <s v="Penyes Aragonesas (Castellón)"/>
    <s v="La ciudad perdida de Muchapicha"/>
    <n v="15"/>
    <s v="11-15"/>
    <s v="Lena"/>
    <s v="onsight"/>
    <n v="1"/>
    <s v="onsight"/>
    <n v="10"/>
  </r>
  <r>
    <d v="2022-02-11T00:00:00"/>
    <b v="0"/>
    <n v="11"/>
    <x v="7"/>
    <x v="12"/>
    <s v="Blue agave"/>
    <s v="7a"/>
    <s v="Spain"/>
    <s v="Chulilla"/>
    <s v="Muro de lamentaciones"/>
    <n v="35"/>
    <s v="31-35"/>
    <s v="Lena"/>
    <s v="flash"/>
    <n v="1"/>
    <s v="flash"/>
    <n v="10"/>
  </r>
  <r>
    <d v="2022-02-12T00:00:00"/>
    <b v="0"/>
    <n v="12"/>
    <x v="7"/>
    <x v="12"/>
    <s v="Dumbo love"/>
    <s v="7a"/>
    <s v="Spain"/>
    <s v="Chulilla"/>
    <s v="Tierra de Nadie"/>
    <n v="20"/>
    <s v="16-20"/>
    <s v="Lena"/>
    <s v="onsight"/>
    <n v="1"/>
    <s v="onsight"/>
    <n v="10"/>
  </r>
  <r>
    <d v="2022-02-13T00:00:00"/>
    <b v="0"/>
    <n v="13"/>
    <x v="7"/>
    <x v="12"/>
    <s v="El Magnate del tomate"/>
    <s v="7a+"/>
    <s v="Spain"/>
    <s v="Chulilla"/>
    <s v="Chorreras"/>
    <n v="35"/>
    <s v="31-35"/>
    <s v="Donald"/>
    <s v="onsight"/>
    <n v="1"/>
    <s v="onsight"/>
    <n v="15"/>
  </r>
  <r>
    <d v="2022-03-17T00:00:00"/>
    <b v="0"/>
    <n v="17"/>
    <x v="8"/>
    <x v="12"/>
    <s v="SPUF"/>
    <s v="7a"/>
    <s v="Portugal"/>
    <s v="Fenda de Arrabida"/>
    <s v="Carallon"/>
    <n v="20"/>
    <s v="16-20"/>
    <s v="Vittorio"/>
    <s v="onsight"/>
    <n v="1"/>
    <s v="onsight"/>
    <n v="10"/>
  </r>
  <r>
    <d v="2022-05-25T00:00:00"/>
    <b v="0"/>
    <n v="25"/>
    <x v="2"/>
    <x v="12"/>
    <s v="Revelhao"/>
    <s v="7a"/>
    <s v="Portugal"/>
    <s v="Atlantida"/>
    <s v="Gaivotas"/>
    <n v="23"/>
    <s v="21-25"/>
    <s v="Alexandre Marques"/>
    <n v="3"/>
    <n v="3"/>
    <s v="redpoint"/>
    <n v="10"/>
  </r>
  <r>
    <d v="2022-06-10T00:00:00"/>
    <b v="0"/>
    <n v="10"/>
    <x v="9"/>
    <x v="12"/>
    <s v="Arseniac"/>
    <s v="7a"/>
    <s v="Spain"/>
    <s v="Arbolí"/>
    <s v="L'Obaga"/>
    <n v="23"/>
    <s v="21-25"/>
    <s v="Kathy"/>
    <s v="onsight"/>
    <n v="1"/>
    <s v="onsight"/>
    <n v="10"/>
  </r>
  <r>
    <d v="2022-06-17T00:00:00"/>
    <b v="0"/>
    <n v="17"/>
    <x v="9"/>
    <x v="12"/>
    <s v="?"/>
    <s v="7a+"/>
    <s v="Spain"/>
    <s v="Cavallers"/>
    <s v="Kaos"/>
    <n v="15"/>
    <s v="11-15"/>
    <s v="Kathy"/>
    <n v="3"/>
    <n v="3"/>
    <s v="redpoint"/>
    <n v="15"/>
  </r>
  <r>
    <d v="2022-07-16T00:00:00"/>
    <b v="0"/>
    <n v="16"/>
    <x v="0"/>
    <x v="12"/>
    <s v="L'âge de cristal"/>
    <s v="7a"/>
    <s v="France"/>
    <s v="Le Fayet"/>
    <s v="Thermes"/>
    <n v="16"/>
    <s v="16-20"/>
    <s v="Kati Golovina"/>
    <n v="2"/>
    <n v="2"/>
    <s v="redpoint"/>
    <n v="10"/>
  </r>
  <r>
    <d v="2022-07-23T00:00:00"/>
    <b v="0"/>
    <n v="23"/>
    <x v="0"/>
    <x v="12"/>
    <s v="La Haine"/>
    <s v="7a+"/>
    <s v="France"/>
    <s v="Le Coupeau"/>
    <s v="Right"/>
    <n v="16"/>
    <s v="16-20"/>
    <s v="Chris Knight"/>
    <n v="2"/>
    <n v="2"/>
    <s v="redpoint"/>
    <n v="15"/>
  </r>
  <r>
    <d v="2022-07-24T00:00:00"/>
    <b v="0"/>
    <n v="24"/>
    <x v="0"/>
    <x v="12"/>
    <s v="Doigts de fée pour un cœur de lion"/>
    <s v="7a+"/>
    <s v="France"/>
    <s v="Le Coupeau"/>
    <s v="Left"/>
    <n v="16"/>
    <s v="16-20"/>
    <s v="Chris Knight"/>
    <n v="2"/>
    <n v="2"/>
    <s v="redpoint"/>
    <n v="15"/>
  </r>
  <r>
    <d v="2022-09-04T00:00:00"/>
    <b v="0"/>
    <n v="4"/>
    <x v="10"/>
    <x v="12"/>
    <s v="Combat des chefs"/>
    <s v="7a+"/>
    <s v="France"/>
    <s v="Roc d'Anglars"/>
    <s v="Plan Plan"/>
    <n v="27"/>
    <s v="26-30"/>
    <s v="Teddy"/>
    <n v="5"/>
    <n v="5"/>
    <s v="redpoint"/>
    <n v="15"/>
  </r>
  <r>
    <d v="2022-10-08T00:00:00"/>
    <b v="0"/>
    <n v="8"/>
    <x v="11"/>
    <x v="12"/>
    <s v="Schuh des Manitou "/>
    <s v="7a"/>
    <s v="Austria"/>
    <s v="Zillertal - Ewige Jagdgründe"/>
    <s v="Wam"/>
    <n v="20"/>
    <s v="16-20"/>
    <s v="Juman"/>
    <s v="onsight"/>
    <n v="1"/>
    <s v="onsight"/>
    <n v="10"/>
  </r>
  <r>
    <d v="2022-10-08T00:00:00"/>
    <b v="0"/>
    <n v="8"/>
    <x v="11"/>
    <x v="12"/>
    <s v="Maracuja"/>
    <s v="7a"/>
    <s v="Austria"/>
    <s v="Zillertal - Ewige Jagdgründe"/>
    <s v="Wig"/>
    <n v="18"/>
    <s v="16-20"/>
    <s v="Juman"/>
    <s v="onsight"/>
    <n v="1"/>
    <s v="onsight"/>
    <n v="10"/>
  </r>
  <r>
    <d v="2022-11-01T00:00:00"/>
    <b v="0"/>
    <n v="1"/>
    <x v="4"/>
    <x v="12"/>
    <s v="It's Easy"/>
    <s v="7a+"/>
    <s v="Austria"/>
    <s v="Martinswand"/>
    <s v="Dschungelbuch Hauptteil"/>
    <n v="15"/>
    <s v="11-15"/>
    <s v="Chris Awe"/>
    <n v="3"/>
    <n v="3"/>
    <s v="redpoint"/>
    <n v="15"/>
  </r>
  <r>
    <d v="2022-11-05T00:00:00"/>
    <b v="0"/>
    <n v="5"/>
    <x v="4"/>
    <x v="12"/>
    <s v="Kotitscha"/>
    <s v="7a"/>
    <s v="Austria"/>
    <s v="Martinswand"/>
    <s v="Dschungelbuch Hauptteil"/>
    <n v="20"/>
    <s v="16-20"/>
    <s v="Chris Awe"/>
    <s v="onsight"/>
    <n v="1"/>
    <s v="onsight"/>
    <n v="10"/>
  </r>
  <r>
    <d v="2022-11-12T00:00:00"/>
    <b v="0"/>
    <n v="12"/>
    <x v="4"/>
    <x v="12"/>
    <s v="Blitzaktion"/>
    <s v="7a"/>
    <s v="Austria"/>
    <s v="Ötztal"/>
    <s v="Engelswand"/>
    <n v="12"/>
    <s v="11-15"/>
    <s v="Chris Awe"/>
    <n v="2"/>
    <n v="2"/>
    <s v="redpoint"/>
    <n v="10"/>
  </r>
  <r>
    <d v="2022-11-19T00:00:00"/>
    <b v="0"/>
    <n v="19"/>
    <x v="4"/>
    <x v="12"/>
    <s v="Blockparty"/>
    <s v="7a"/>
    <s v="Italy"/>
    <s v="Unterinn"/>
    <s v="Unterinn"/>
    <n v="10"/>
    <s v="0-10"/>
    <s v="Chris Awe"/>
    <n v="4"/>
    <n v="4"/>
    <s v="redpoint"/>
    <n v="10"/>
  </r>
  <r>
    <d v="2023-02-06T00:00:00"/>
    <b v="0"/>
    <n v="6"/>
    <x v="7"/>
    <x v="13"/>
    <s v="?"/>
    <s v="7a"/>
    <s v="Spain"/>
    <s v="Siurana"/>
    <s v="L'Herbolari"/>
    <n v="15"/>
    <s v="11-15"/>
    <s v="Lena"/>
    <n v="2"/>
    <n v="2"/>
    <s v="redpoint"/>
    <n v="10"/>
  </r>
  <r>
    <d v="2023-02-09T00:00:00"/>
    <b v="0"/>
    <n v="9"/>
    <x v="7"/>
    <x v="13"/>
    <s v="L'esquitx"/>
    <s v="7a"/>
    <s v="Spain"/>
    <s v="Siurana"/>
    <s v="Can Toni Gros"/>
    <n v="18"/>
    <s v="16-20"/>
    <s v="Chris Awe"/>
    <s v="flash"/>
    <n v="1"/>
    <s v="flash"/>
    <n v="10"/>
  </r>
  <r>
    <d v="2023-02-09T00:00:00"/>
    <b v="0"/>
    <n v="9"/>
    <x v="7"/>
    <x v="13"/>
    <s v="Jugant amb foc"/>
    <s v="7a"/>
    <s v="Spain"/>
    <s v="Siurana"/>
    <s v="Can Toni Gros"/>
    <n v="25"/>
    <s v="21-25"/>
    <s v="Juman"/>
    <n v="2"/>
    <n v="2"/>
    <s v="redpoint"/>
    <n v="10"/>
  </r>
  <r>
    <d v="2023-02-10T00:00:00"/>
    <b v="0"/>
    <n v="10"/>
    <x v="7"/>
    <x v="13"/>
    <s v="Kun"/>
    <s v="7a"/>
    <s v="Spain"/>
    <s v="Siurana"/>
    <s v="Siuranella Centre"/>
    <n v="28"/>
    <s v="26-30"/>
    <s v="Juman"/>
    <s v="flash"/>
    <n v="1"/>
    <s v="flash"/>
    <n v="10"/>
  </r>
  <r>
    <d v="2023-02-10T00:00:00"/>
    <b v="0"/>
    <n v="10"/>
    <x v="7"/>
    <x v="13"/>
    <s v="Mort de gana"/>
    <s v="7a"/>
    <s v="Spain"/>
    <s v="Siurana"/>
    <s v="Siuranella Centre"/>
    <n v="20"/>
    <s v="16-20"/>
    <s v="Lena"/>
    <n v="2"/>
    <n v="2"/>
    <s v="redpoint"/>
    <n v="10"/>
  </r>
  <r>
    <d v="2023-02-11T00:00:00"/>
    <b v="0"/>
    <n v="11"/>
    <x v="7"/>
    <x v="13"/>
    <s v="Enganyapardals"/>
    <s v="7a"/>
    <s v="Spain"/>
    <s v="Siurana"/>
    <s v="Siuranella Centre"/>
    <n v="28"/>
    <s v="26-30"/>
    <s v="Juman"/>
    <s v="onsight"/>
    <n v="1"/>
    <s v="onsight"/>
    <n v="10"/>
  </r>
  <r>
    <d v="2023-02-19T00:00:00"/>
    <b v="0"/>
    <n v="19"/>
    <x v="7"/>
    <x v="13"/>
    <s v="Fumanchu"/>
    <s v="7a+"/>
    <s v="Spain"/>
    <s v="Siurana"/>
    <s v="Négociée"/>
    <n v="18"/>
    <s v="16-20"/>
    <s v="Lena"/>
    <n v="2"/>
    <n v="2"/>
    <s v="redpoint"/>
    <n v="15"/>
  </r>
  <r>
    <d v="2023-02-19T00:00:00"/>
    <b v="0"/>
    <n v="19"/>
    <x v="7"/>
    <x v="13"/>
    <s v="Permagel"/>
    <s v="7a"/>
    <s v="Spain"/>
    <s v="Siurana"/>
    <s v="Siuranella Este"/>
    <n v="25"/>
    <s v="21-25"/>
    <s v="Chris Awe"/>
    <n v="2"/>
    <n v="2"/>
    <s v="redpoint"/>
    <n v="10"/>
  </r>
  <r>
    <d v="2023-02-22T00:00:00"/>
    <b v="0"/>
    <n v="22"/>
    <x v="7"/>
    <x v="13"/>
    <s v="L'os"/>
    <s v="7a"/>
    <s v="Spain"/>
    <s v="Marxuquera"/>
    <s v="Potente"/>
    <n v="18"/>
    <s v="16-20"/>
    <s v="Natasha"/>
    <s v="onsight"/>
    <n v="1"/>
    <s v="onsight"/>
    <n v="10"/>
  </r>
  <r>
    <d v="2023-02-26T00:00:00"/>
    <b v="0"/>
    <n v="26"/>
    <x v="7"/>
    <x v="13"/>
    <s v="Mikel"/>
    <s v="7a"/>
    <s v="Spain"/>
    <s v="Chulilla"/>
    <s v="Cherales Grande"/>
    <n v="30"/>
    <s v="26-30"/>
    <s v="Bernardo"/>
    <s v="onsight"/>
    <n v="1"/>
    <s v="onsight"/>
    <n v="10"/>
  </r>
  <r>
    <d v="2023-02-26T00:00:00"/>
    <b v="0"/>
    <n v="26"/>
    <x v="7"/>
    <x v="13"/>
    <s v="Y un cacau más"/>
    <s v="7a"/>
    <s v="Spain"/>
    <s v="Chulilla"/>
    <s v="Cherales Grande"/>
    <n v="25"/>
    <s v="21-25"/>
    <s v="Lena"/>
    <s v="flash"/>
    <n v="1"/>
    <s v="flash"/>
    <n v="10"/>
  </r>
  <r>
    <d v="2023-02-27T00:00:00"/>
    <b v="0"/>
    <n v="27"/>
    <x v="7"/>
    <x v="13"/>
    <s v="Hijos de Caín"/>
    <s v="7a"/>
    <s v="Spain"/>
    <s v="Chulilla"/>
    <s v="Perros"/>
    <n v="16"/>
    <s v="16-20"/>
    <s v="Klaus Charfreitag"/>
    <s v="onsight"/>
    <n v="1"/>
    <s v="onsight"/>
    <n v="10"/>
  </r>
  <r>
    <d v="2023-03-24T00:00:00"/>
    <b v="0"/>
    <n v="24"/>
    <x v="8"/>
    <x v="13"/>
    <s v="Wunderbare Welt der Schwerkraft "/>
    <s v="7a"/>
    <s v="Austria"/>
    <s v="Martinswand"/>
    <s v="Wunderbare Welt"/>
    <n v="22"/>
    <s v="21-25"/>
    <s v="Tibor"/>
    <s v="flash"/>
    <n v="1"/>
    <s v="flash"/>
    <n v="10"/>
  </r>
  <r>
    <d v="2023-05-27T00:00:00"/>
    <b v="0"/>
    <n v="27"/>
    <x v="2"/>
    <x v="13"/>
    <s v="Secret Garden"/>
    <s v="7a"/>
    <s v="Austria"/>
    <s v="Berglsteinersee"/>
    <s v="Secret Garden"/>
    <n v="15"/>
    <s v="11-15"/>
    <s v="Chris Awe"/>
    <n v="2"/>
    <n v="2"/>
    <s v="redpoint"/>
    <n v="10"/>
  </r>
  <r>
    <d v="2023-06-17T00:00:00"/>
    <b v="0"/>
    <n v="17"/>
    <x v="9"/>
    <x v="13"/>
    <s v="Bold Man"/>
    <s v="7a"/>
    <s v="Austria"/>
    <s v="Hundepension"/>
    <s v="Knappenwand"/>
    <n v="18"/>
    <s v="16-20"/>
    <s v="Chris Awe"/>
    <n v="2"/>
    <n v="2"/>
    <s v="redpoint"/>
    <n v="10"/>
  </r>
  <r>
    <d v="2023-07-03T00:00:00"/>
    <b v="0"/>
    <n v="3"/>
    <x v="0"/>
    <x v="13"/>
    <s v="Verschneidung links"/>
    <s v="7a"/>
    <s v="Austria"/>
    <s v="Zillertal - Astholz"/>
    <s v="Astholz"/>
    <n v="20"/>
    <s v="16-20"/>
    <s v="Asier"/>
    <n v="2"/>
    <n v="2"/>
    <s v="redpoint"/>
    <n v="10"/>
  </r>
  <r>
    <d v="2023-07-03T00:00:00"/>
    <b v="0"/>
    <n v="3"/>
    <x v="0"/>
    <x v="13"/>
    <s v="Gebi Crack"/>
    <s v="7a"/>
    <s v="Austria"/>
    <s v="Zillertal - Astholz"/>
    <s v="Astholz"/>
    <n v="10"/>
    <s v="0-10"/>
    <s v="Asier"/>
    <n v="2"/>
    <n v="2"/>
    <s v="redpoint"/>
    <n v="10"/>
  </r>
  <r>
    <d v="2023-07-03T00:00:00"/>
    <b v="0"/>
    <n v="3"/>
    <x v="0"/>
    <x v="13"/>
    <s v="Was nicht passt wird passend gemacht"/>
    <s v="7a"/>
    <s v="Austria"/>
    <s v="Zillertal - Astholz"/>
    <s v="Astholz"/>
    <n v="20"/>
    <s v="16-20"/>
    <s v="Asier"/>
    <n v="2"/>
    <n v="2"/>
    <s v="redpoint"/>
    <n v="10"/>
  </r>
  <r>
    <d v="2023-09-17T00:00:00"/>
    <b v="0"/>
    <n v="17"/>
    <x v="10"/>
    <x v="13"/>
    <s v="Dödl up"/>
    <s v="7a"/>
    <s v="Austria"/>
    <s v="Hundepension"/>
    <s v="Knappenwand"/>
    <n v="12"/>
    <s v="11-15"/>
    <s v="Tibor"/>
    <n v="3"/>
    <n v="3"/>
    <s v="redpoint"/>
    <n v="10"/>
  </r>
  <r>
    <d v="2023-10-28T00:00:00"/>
    <b v="0"/>
    <n v="28"/>
    <x v="11"/>
    <x v="13"/>
    <s v="Hokus Pokus"/>
    <s v="7a"/>
    <s v="Austria"/>
    <s v="Ötztal"/>
    <s v="Ötz"/>
    <n v="18"/>
    <s v="16-20"/>
    <s v="Betka"/>
    <n v="2"/>
    <n v="2"/>
    <s v="redpoint"/>
    <n v="10"/>
  </r>
  <r>
    <d v="2023-11-04T00:00:00"/>
    <b v="0"/>
    <n v="4"/>
    <x v="4"/>
    <x v="13"/>
    <s v="Tiramisu"/>
    <s v="7a"/>
    <s v="Austria"/>
    <s v="Starkenbach"/>
    <s v="Herbstwind"/>
    <n v="15"/>
    <s v="11-15"/>
    <s v="Betka"/>
    <n v="2"/>
    <n v="2"/>
    <s v="redpoint"/>
    <n v="10"/>
  </r>
  <r>
    <d v="2023-11-04T00:00:00"/>
    <b v="0"/>
    <n v="4"/>
    <x v="4"/>
    <x v="13"/>
    <s v="Türkischer Kaffee"/>
    <s v="7a"/>
    <s v="Austria"/>
    <s v="Starkenbach"/>
    <s v="Herbstwind"/>
    <n v="10"/>
    <s v="0-10"/>
    <s v="Betka"/>
    <n v="3"/>
    <n v="3"/>
    <s v="redpoint"/>
    <n v="10"/>
  </r>
  <r>
    <d v="2024-01-28T00:00:00"/>
    <b v="0"/>
    <n v="28"/>
    <x v="6"/>
    <x v="14"/>
    <s v="Vecchia Roma"/>
    <s v="7a"/>
    <s v="Austria"/>
    <s v="Martinswand"/>
    <s v="Wunderbare Welt"/>
    <n v="22"/>
    <s v="21-25"/>
    <s v="Tibor"/>
    <n v="6"/>
    <n v="6"/>
    <s v="redpoint"/>
    <n v="10"/>
  </r>
  <r>
    <d v="2024-03-10T00:00:00"/>
    <b v="0"/>
    <n v="10"/>
    <x v="8"/>
    <x v="14"/>
    <s v="Mister Inzing"/>
    <s v="7a+"/>
    <s v="Austria"/>
    <s v="Martinswand"/>
    <s v="Dschungelbuch Hauptteil"/>
    <n v="22"/>
    <s v="21-25"/>
    <s v="Chris Awe"/>
    <n v="2"/>
    <n v="2"/>
    <s v="redpoint"/>
    <n v="15"/>
  </r>
  <r>
    <d v="2024-03-20T00:00:00"/>
    <b v="0"/>
    <n v="20"/>
    <x v="8"/>
    <x v="14"/>
    <s v="Der keusche Josef aus dem Zillertal"/>
    <s v="7a"/>
    <s v="Austria"/>
    <s v="Martinswand"/>
    <s v="Wunderbare Welt"/>
    <n v="24"/>
    <s v="21-25"/>
    <s v="Tibor"/>
    <s v="flash"/>
    <n v="1"/>
    <s v="flash"/>
    <n v="10"/>
  </r>
  <r>
    <d v="2024-04-09T00:00:00"/>
    <b v="0"/>
    <n v="9"/>
    <x v="1"/>
    <x v="14"/>
    <s v="Viva die Fichte"/>
    <s v="7a"/>
    <s v="Austria"/>
    <s v="Martinswand"/>
    <s v="Wunderbare Welt"/>
    <n v="18"/>
    <s v="16-20"/>
    <s v="Tibor"/>
    <n v="3"/>
    <n v="3"/>
    <s v="redpoint"/>
    <n v="10"/>
  </r>
  <r>
    <d v="2024-04-09T00:00:00"/>
    <b v="0"/>
    <n v="9"/>
    <x v="1"/>
    <x v="14"/>
    <s v="Die Null im Kondom"/>
    <s v="7a"/>
    <s v="Austria"/>
    <s v="Martinswand"/>
    <s v="Wunderbare Welt"/>
    <n v="20"/>
    <s v="16-20"/>
    <s v="Tibor"/>
    <n v="2"/>
    <n v="2"/>
    <s v="redpoint"/>
    <n v="10"/>
  </r>
  <r>
    <d v="2024-05-01T00:00:00"/>
    <b v="1"/>
    <n v="1"/>
    <x v="2"/>
    <x v="14"/>
    <s v="Glasierte Leiste"/>
    <s v="7a+"/>
    <s v="Germany"/>
    <s v="Bichlersee"/>
    <s v="Bichlersee"/>
    <n v="22"/>
    <s v="21-25"/>
    <s v="Nadine"/>
    <n v="2"/>
    <n v="2"/>
    <s v="redpoint"/>
    <n v="15"/>
  </r>
  <r>
    <d v="2024-09-21T00:00:00"/>
    <b v="1"/>
    <n v="21"/>
    <x v="10"/>
    <x v="14"/>
    <s v="Little Lenny"/>
    <s v="7b"/>
    <s v="Austria"/>
    <s v="Silz"/>
    <s v="Guanacho"/>
    <n v="20"/>
    <s v="16-20"/>
    <s v="Christian"/>
    <n v="5"/>
    <n v="5"/>
    <s v="redpoint"/>
    <n v="25"/>
  </r>
  <r>
    <d v="2024-09-22T00:00:00"/>
    <b v="1"/>
    <n v="22"/>
    <x v="10"/>
    <x v="14"/>
    <s v="Sisyphos"/>
    <s v="7a+"/>
    <s v="Austria"/>
    <s v="Silz"/>
    <s v="Guanacho"/>
    <n v="12"/>
    <s v="11-15"/>
    <s v="Tibor"/>
    <s v="onsight"/>
    <n v="1"/>
    <s v="onsight"/>
    <n v="15"/>
  </r>
  <r>
    <d v="2024-09-22T00:00:00"/>
    <b v="1"/>
    <n v="22"/>
    <x v="10"/>
    <x v="14"/>
    <s v="Grissini Kombo"/>
    <s v="7a"/>
    <s v="Austria"/>
    <s v="Silz"/>
    <s v="Guanacho"/>
    <n v="20"/>
    <s v="16-20"/>
    <s v="Tibor"/>
    <n v="3"/>
    <n v="3"/>
    <s v="redpoint"/>
    <n v="10"/>
  </r>
  <r>
    <d v="2024-10-06T00:00:00"/>
    <b v="1"/>
    <n v="6"/>
    <x v="11"/>
    <x v="14"/>
    <s v="Mei ... was bringts ma?"/>
    <s v="7a+"/>
    <s v="Austria"/>
    <s v="Silz"/>
    <s v="Guanacho"/>
    <n v="20"/>
    <s v="16-20"/>
    <s v="Christian"/>
    <n v="4"/>
    <n v="4"/>
    <s v="redpoint"/>
    <n v="15"/>
  </r>
  <r>
    <d v="2024-11-17T00:00:00"/>
    <b v="1"/>
    <n v="17"/>
    <x v="4"/>
    <x v="14"/>
    <s v="Miss Easy"/>
    <s v="7c"/>
    <s v="Austria"/>
    <s v="Martinswand"/>
    <s v="Dschungelbuch Hauptteil"/>
    <n v="18"/>
    <s v="16-20"/>
    <s v="Christian"/>
    <n v="24"/>
    <n v="24"/>
    <s v="redpoint"/>
    <n v="60"/>
  </r>
  <r>
    <d v="2025-03-04T00:00:00"/>
    <b v="1"/>
    <n v="4"/>
    <x v="8"/>
    <x v="15"/>
    <s v="Crosta Panic"/>
    <s v="7a+"/>
    <s v="Spain"/>
    <s v="Siurana"/>
    <s v="El Pati"/>
    <n v="25"/>
    <s v="21-25"/>
    <s v="Tibor"/>
    <n v="2"/>
    <n v="2"/>
    <s v="redpoint"/>
    <n v="15"/>
  </r>
  <r>
    <d v="2025-03-08T00:00:00"/>
    <b v="1"/>
    <n v="8"/>
    <x v="8"/>
    <x v="15"/>
    <s v="Corta y dura"/>
    <s v="7a+"/>
    <s v="Spain"/>
    <s v="Masriudoms"/>
    <s v="Cova d’en Marian"/>
    <n v="8"/>
    <s v="0-10"/>
    <s v="Francesco"/>
    <n v="2"/>
    <n v="2"/>
    <s v="redpoint"/>
    <n v="15"/>
  </r>
  <r>
    <d v="2025-03-08T00:00:00"/>
    <b v="1"/>
    <n v="8"/>
    <x v="8"/>
    <x v="15"/>
    <s v="? (left of forn de pa)"/>
    <s v="7a"/>
    <s v="Spain"/>
    <s v="Masriudoms"/>
    <s v="Cova d’en Marian"/>
    <n v="27"/>
    <s v="26-30"/>
    <s v="Francesco"/>
    <n v="1"/>
    <n v="1"/>
    <s v="flash"/>
    <n v="10"/>
  </r>
  <r>
    <d v="2025-03-09T00:00:00"/>
    <b v="1"/>
    <n v="9"/>
    <x v="8"/>
    <x v="15"/>
    <s v="Colze de nena"/>
    <s v="7a+"/>
    <s v="Spain"/>
    <s v="Siurana"/>
    <s v="Siuranella Centre"/>
    <n v="22"/>
    <s v="21-25"/>
    <s v="Francesco"/>
    <n v="5"/>
    <n v="5"/>
    <s v="redpoint"/>
    <n v="15"/>
  </r>
  <r>
    <d v="2025-03-09T00:00:00"/>
    <b v="1"/>
    <n v="9"/>
    <x v="8"/>
    <x v="15"/>
    <s v="La vileta"/>
    <s v="7a"/>
    <s v="Spain"/>
    <s v="Siurana"/>
    <s v="Siuranella Centre"/>
    <n v="25"/>
    <s v="21-25"/>
    <s v="Francesco"/>
    <n v="2"/>
    <n v="2"/>
    <s v="redpoint"/>
    <n v="10"/>
  </r>
  <r>
    <d v="2025-03-10T00:00:00"/>
    <b v="1"/>
    <n v="10"/>
    <x v="8"/>
    <x v="15"/>
    <s v="Humor de gos"/>
    <s v="7a+"/>
    <s v="Spain"/>
    <s v="Siurana"/>
    <s v="Can Toni Gros"/>
    <n v="30"/>
    <s v="26-30"/>
    <s v="la reina Luca"/>
    <n v="3"/>
    <n v="3"/>
    <s v="redpoint"/>
    <n v="15"/>
  </r>
  <r>
    <d v="2025-03-16T00:00:00"/>
    <b v="1"/>
    <n v="16"/>
    <x v="8"/>
    <x v="15"/>
    <s v="Lua"/>
    <s v="7c"/>
    <s v="Spain"/>
    <s v="Siurana"/>
    <s v="Siuranella Este"/>
    <n v="40"/>
    <s v="35+"/>
    <s v="Tibor"/>
    <n v="8"/>
    <n v="8"/>
    <s v="redpoint"/>
    <n v="60"/>
  </r>
  <r>
    <d v="2025-03-17T00:00:00"/>
    <b v="1"/>
    <n v="17"/>
    <x v="8"/>
    <x v="15"/>
    <s v="Menjapendulo"/>
    <s v="7b"/>
    <s v="Spain"/>
    <s v="Siurana"/>
    <s v="Esperó Primavera"/>
    <n v="30"/>
    <s v="26-30"/>
    <s v="Tibor"/>
    <n v="2"/>
    <n v="2"/>
    <s v="redpoint"/>
    <n v="25"/>
  </r>
  <r>
    <d v="2025-03-18T00:00:00"/>
    <b v="1"/>
    <n v="18"/>
    <x v="8"/>
    <x v="15"/>
    <s v="Bellini"/>
    <s v="7a"/>
    <s v="Spain"/>
    <s v="Arboli"/>
    <s v="Falcololo"/>
    <n v="16"/>
    <s v="16-20"/>
    <s v="Yun"/>
    <n v="3"/>
    <n v="3"/>
    <s v="redpoint"/>
    <n v="10"/>
  </r>
  <r>
    <d v="2025-03-22T00:00:00"/>
    <b v="1"/>
    <n v="22"/>
    <x v="8"/>
    <x v="15"/>
    <s v="Guybrush"/>
    <s v="7a"/>
    <s v="Spain"/>
    <s v="Margalef"/>
    <s v="Espadelles extension"/>
    <n v="20"/>
    <s v="16-20"/>
    <s v="Tibor"/>
    <n v="2"/>
    <n v="2"/>
    <s v="redpoint"/>
    <n v="10"/>
  </r>
  <r>
    <d v="2025-03-24T00:00:00"/>
    <b v="1"/>
    <n v="24"/>
    <x v="8"/>
    <x v="15"/>
    <s v="Abre los ojos"/>
    <s v="7b"/>
    <s v="Spain"/>
    <s v="Siurana"/>
    <s v="Siuranella Sud"/>
    <n v="19"/>
    <s v="16-20"/>
    <s v="Tibor"/>
    <n v="3"/>
    <n v="3"/>
    <s v="redpoint"/>
    <n v="25"/>
  </r>
  <r>
    <d v="2025-03-24T00:00:00"/>
    <b v="1"/>
    <n v="24"/>
    <x v="8"/>
    <x v="15"/>
    <s v="La secallona"/>
    <s v="7a"/>
    <s v="Spain"/>
    <s v="Siurana"/>
    <s v="Siuranella Sud"/>
    <n v="24"/>
    <s v="21-25"/>
    <s v="Tibor"/>
    <n v="2"/>
    <n v="2"/>
    <s v="redpoint"/>
    <n v="10"/>
  </r>
  <r>
    <d v="2025-03-29T00:00:00"/>
    <b v="1"/>
    <n v="29"/>
    <x v="8"/>
    <x v="15"/>
    <s v="Sgeve d’autore"/>
    <s v="7a"/>
    <s v="Italy"/>
    <s v="Arco"/>
    <s v="Giardino di Nato"/>
    <n v="15"/>
    <s v="11-15"/>
    <s v="Chrissi"/>
    <s v="onsight"/>
    <n v="1"/>
    <s v="onsight"/>
    <n v="10"/>
  </r>
  <r>
    <d v="2025-03-29T00:00:00"/>
    <b v="1"/>
    <n v="29"/>
    <x v="8"/>
    <x v="15"/>
    <s v="Lo slancio"/>
    <s v="7b"/>
    <s v="Italy"/>
    <s v="Arco"/>
    <s v="Giardino di Nato"/>
    <n v="15"/>
    <s v="11-15"/>
    <s v="Chrissi"/>
    <n v="3"/>
    <n v="3"/>
    <s v="redpoint"/>
    <n v="25"/>
  </r>
  <r>
    <d v="2025-03-30T00:00:00"/>
    <b v="1"/>
    <n v="30"/>
    <x v="8"/>
    <x v="15"/>
    <s v="Cintura di Orione"/>
    <s v="7a+"/>
    <s v="Italy"/>
    <s v="Arco"/>
    <s v="Bassilandia - Petra margins"/>
    <n v="33"/>
    <s v="31-35"/>
    <s v="Chrissi"/>
    <s v="onsight"/>
    <n v="1"/>
    <s v="onsight"/>
    <n v="15"/>
  </r>
  <r>
    <d v="2025-04-06T00:00:00"/>
    <b v="1"/>
    <n v="6"/>
    <x v="1"/>
    <x v="15"/>
    <s v="Hundertwasser"/>
    <s v="7b+"/>
    <s v="Austria"/>
    <s v="Martinswand"/>
    <s v="Wunderbare Welt"/>
    <n v="26"/>
    <s v="26-30"/>
    <s v="Chrissi"/>
    <n v="5"/>
    <n v="5"/>
    <s v="redpoint"/>
    <n v="40"/>
  </r>
  <r>
    <d v="2025-04-21T00:00:00"/>
    <b v="1"/>
    <n v="21"/>
    <x v="1"/>
    <x v="15"/>
    <s v="Down Under"/>
    <s v="7a+"/>
    <s v="Austria"/>
    <s v="Martinswand"/>
    <s v="Bogen"/>
    <n v="22"/>
    <s v="21-25"/>
    <s v="Chrissi"/>
    <n v="6"/>
    <n v="6"/>
    <s v="redpoint"/>
    <n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635E00-C4E9-4684-9284-60BF4B132C5C}" name="Favorite Belayer" cacheId="11" applyNumberFormats="0" applyBorderFormats="0" applyFontFormats="0" applyPatternFormats="0" applyAlignmentFormats="0" applyWidthHeightFormats="1" dataCaption="Values" tag="75b26e15-1250-4053-b299-fa9d58991114" updatedVersion="8" minRefreshableVersion="3" visualTotals="0" useAutoFormatting="1" subtotalHiddenItems="1" itemPrintTitles="1" createdVersion="8" indent="0" outline="1" outlineData="1" chartFormat="13">
  <location ref="O4:P15" firstHeaderRow="1" firstDataRow="1" firstDataCol="1"/>
  <pivotFields count="9">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2"/>
    </i>
    <i>
      <x v="5"/>
    </i>
    <i>
      <x v="8"/>
    </i>
    <i>
      <x v="7"/>
    </i>
    <i>
      <x v="1"/>
    </i>
    <i>
      <x v="9"/>
    </i>
    <i>
      <x v="6"/>
    </i>
    <i>
      <x v="4"/>
    </i>
    <i>
      <x v="3"/>
    </i>
    <i>
      <x/>
    </i>
    <i t="grand">
      <x/>
    </i>
  </rowItems>
  <colItems count="1">
    <i/>
  </colItems>
  <dataFields count="1">
    <dataField name="Count per belayer" fld="1" subtotal="count" baseField="0" baseItem="0"/>
  </dataFields>
  <chartFormats count="1">
    <chartFormat chart="2" format="8"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ends per belay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7">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2683C3-689D-44D3-BBB0-36623980704B}" name="Count per grade" cacheId="6" applyNumberFormats="0" applyBorderFormats="0" applyFontFormats="0" applyPatternFormats="0" applyAlignmentFormats="0" applyWidthHeightFormats="1" dataCaption="Values" tag="a184007c-ae66-4377-82bd-2234bdf27ab1" updatedVersion="8" minRefreshableVersion="3" useAutoFormatting="1" subtotalHiddenItems="1" itemPrintTitles="1" createdVersion="8" indent="0" showEmptyRow="1" showEmptyCol="1" outline="1" outlineData="1" multipleFieldFilters="0" chartFormat="12">
  <location ref="A4:B11" firstHeaderRow="1" firstDataRow="1" firstDataCol="1"/>
  <pivotFields count="9">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per grade" fld="1" subtotal="count" baseField="0" baseItem="0"/>
  </dataFields>
  <chartFormats count="1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3"/>
          </reference>
        </references>
      </pivotArea>
    </chartFormat>
    <chartFormat chart="1" format="6">
      <pivotArea type="data" outline="0" fieldPosition="0">
        <references count="2">
          <reference field="4294967294" count="1" selected="0">
            <x v="0"/>
          </reference>
          <reference field="0" count="1" selected="0">
            <x v="4"/>
          </reference>
        </references>
      </pivotArea>
    </chartFormat>
    <chartFormat chart="1" format="7">
      <pivotArea type="data" outline="0" fieldPosition="0">
        <references count="2">
          <reference field="4294967294" count="1" selected="0">
            <x v="0"/>
          </reference>
          <reference field="0" count="1" selected="0">
            <x v="5"/>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 chart="2" format="12">
      <pivotArea type="data" outline="0" fieldPosition="0">
        <references count="2">
          <reference field="4294967294" count="1" selected="0">
            <x v="0"/>
          </reference>
          <reference field="0" count="1" selected="0">
            <x v="3"/>
          </reference>
        </references>
      </pivotArea>
    </chartFormat>
    <chartFormat chart="2" format="13">
      <pivotArea type="data" outline="0" fieldPosition="0">
        <references count="2">
          <reference field="4294967294" count="1" selected="0">
            <x v="0"/>
          </reference>
          <reference field="0" count="1" selected="0">
            <x v="4"/>
          </reference>
        </references>
      </pivotArea>
    </chartFormat>
    <chartFormat chart="2" format="14">
      <pivotArea type="data" outline="0" fieldPosition="0">
        <references count="2">
          <reference field="4294967294" count="1" selected="0">
            <x v="0"/>
          </reference>
          <reference field="0" count="1" selected="0">
            <x v="5"/>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grad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E39BEC-9B7E-4736-83C2-77A67DE2F572}" name="Score per year" cacheId="15" applyNumberFormats="0" applyBorderFormats="0" applyFontFormats="0" applyPatternFormats="0" applyAlignmentFormats="0" applyWidthHeightFormats="1" dataCaption="Values" missingCaption="0" updatedVersion="8" minRefreshableVersion="3" useAutoFormatting="1" subtotalHiddenItems="1" itemPrintTitles="1" createdVersion="8" indent="0" showEmptyRow="1" showEmptyCol="1" outline="1" outlineData="1" multipleFieldFilters="0">
  <location ref="U4:V25" firstHeaderRow="1" firstDataRow="1" firstDataCol="1"/>
  <pivotFields count="2">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core per year" fld="1"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core per year"/>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ears]"/>
        <x15:activeTabTopLevelEntity name="[SportClimb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7F50DF-46A1-48BA-8A98-966A6EBFD095}" name="Count per month" cacheId="2" applyNumberFormats="0" applyBorderFormats="0" applyFontFormats="0" applyPatternFormats="0" applyAlignmentFormats="0" applyWidthHeightFormats="1" dataCaption="Values" errorCaption="0" showError="1" missingCaption="0" tag="7dd5ddc3-df85-4b68-ac69-85847583c709" updatedVersion="8" minRefreshableVersion="3" useAutoFormatting="1" subtotalHiddenItems="1" itemPrintTitles="1" createdVersion="8" indent="0" showEmptyRow="1" showEmptyCol="1" outline="1" outlineData="1" multipleFieldFilters="0" chartFormat="4">
  <location ref="F27:G40" firstHeaderRow="1" firstDataRow="1" firstDataCol="1"/>
  <pivotFields count="10">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name="Count per month"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month"/>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MONTHS]"/>
        <x15:activeTabTopLevelEntity name="[Yea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894A69-AB97-4890-98C7-1F4FBCE4E20F}" name="Favorite Belayer last 12 months" cacheId="13" applyNumberFormats="0" applyBorderFormats="0" applyFontFormats="0" applyPatternFormats="0" applyAlignmentFormats="0" applyWidthHeightFormats="1" dataCaption="Values" missingCaption="0" updatedVersion="8" minRefreshableVersion="3" visualTotals="0" useAutoFormatting="1" subtotalHiddenItems="1" rowGrandTotals="0" colGrandTotals="0" itemPrintTitles="1" createdVersion="8" indent="0" showEmptyRow="1" showEmptyCol="1" outline="1" outlineData="1" multipleFieldFilters="0" chartFormat="3">
  <location ref="R24:S29" firstHeaderRow="1" firstDataRow="1" firstDataCol="1" rowPageCount="1" colPageCount="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xis="axisPage" allDrilled="1" subtotalTop="0" showAll="0" dataSourceSort="1" defaultSubtotal="0" defaultAttributeDrillState="1"/>
  </pivotFields>
  <rowFields count="1">
    <field x="0"/>
  </rowFields>
  <rowItems count="5">
    <i>
      <x/>
    </i>
    <i>
      <x v="4"/>
    </i>
    <i>
      <x v="1"/>
    </i>
    <i>
      <x v="2"/>
    </i>
    <i>
      <x v="3"/>
    </i>
  </rowItems>
  <colItems count="1">
    <i/>
  </colItems>
  <pageFields count="1">
    <pageField fld="3" hier="5" name="[SportClimbing].[Date_filter].&amp;[True]" cap="True"/>
  </pageFields>
  <dataFields count="1">
    <dataField name="Count per Belayer" fld="1" subtotal="count" baseField="0" baseItem="0"/>
  </dataFields>
  <chartFormats count="1">
    <chartFormat chart="1" format="15"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multipleItemSelectionAllowed="1" dragToData="1">
      <members count="1" level="1">
        <member name="[SportClimbing].[Date_filter].&amp;[True]"/>
      </members>
    </pivotHierarchy>
    <pivotHierarchy dragToData="1"/>
    <pivotHierarchy dragToData="1"/>
    <pivotHierarchy multipleItemSelectionAllowed="1" dragToData="1">
      <members count="2" level="1">
        <member name="[SportClimbing].[Year].&amp;[2023]"/>
        <member name="[SportClimbing].[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Belayer"/>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7">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A90E3B-7F05-45C6-B009-CB81E54F827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42:V127" firstHeaderRow="1" firstDataRow="1" firstDataCol="1"/>
  <pivotFields count="17">
    <pivotField numFmtId="168" showAll="0"/>
    <pivotField showAll="0"/>
    <pivotField showAll="0"/>
    <pivotField axis="axisRow" showAll="0">
      <items count="13">
        <item x="6"/>
        <item x="7"/>
        <item x="8"/>
        <item x="1"/>
        <item x="2"/>
        <item x="9"/>
        <item x="0"/>
        <item x="3"/>
        <item x="10"/>
        <item x="11"/>
        <item x="4"/>
        <item x="5"/>
        <item t="default"/>
      </items>
    </pivotField>
    <pivotField axis="axisRow"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4"/>
    <field x="3"/>
  </rowFields>
  <rowItems count="85">
    <i>
      <x/>
    </i>
    <i r="1">
      <x v="6"/>
    </i>
    <i>
      <x v="1"/>
    </i>
    <i r="1">
      <x v="6"/>
    </i>
    <i>
      <x v="2"/>
    </i>
    <i r="1">
      <x v="3"/>
    </i>
    <i r="1">
      <x v="4"/>
    </i>
    <i>
      <x v="3"/>
    </i>
    <i r="1">
      <x v="7"/>
    </i>
    <i>
      <x v="4"/>
    </i>
    <i r="1">
      <x v="3"/>
    </i>
    <i r="1">
      <x v="10"/>
    </i>
    <i r="1">
      <x v="11"/>
    </i>
    <i>
      <x v="5"/>
    </i>
    <i r="1">
      <x/>
    </i>
    <i r="1">
      <x v="1"/>
    </i>
    <i r="1">
      <x v="2"/>
    </i>
    <i r="1">
      <x v="3"/>
    </i>
    <i r="1">
      <x v="4"/>
    </i>
    <i>
      <x v="6"/>
    </i>
    <i r="1">
      <x v="5"/>
    </i>
    <i r="1">
      <x v="10"/>
    </i>
    <i>
      <x v="7"/>
    </i>
    <i r="1">
      <x v="3"/>
    </i>
    <i r="1">
      <x v="4"/>
    </i>
    <i r="1">
      <x v="5"/>
    </i>
    <i r="1">
      <x v="6"/>
    </i>
    <i r="1">
      <x v="7"/>
    </i>
    <i r="1">
      <x v="8"/>
    </i>
    <i r="1">
      <x v="9"/>
    </i>
    <i r="1">
      <x v="10"/>
    </i>
    <i r="1">
      <x v="11"/>
    </i>
    <i>
      <x v="8"/>
    </i>
    <i r="1">
      <x/>
    </i>
    <i r="1">
      <x v="1"/>
    </i>
    <i r="1">
      <x v="2"/>
    </i>
    <i r="1">
      <x v="3"/>
    </i>
    <i r="1">
      <x v="4"/>
    </i>
    <i r="1">
      <x v="5"/>
    </i>
    <i r="1">
      <x v="8"/>
    </i>
    <i r="1">
      <x v="10"/>
    </i>
    <i>
      <x v="9"/>
    </i>
    <i r="1">
      <x v="3"/>
    </i>
    <i r="1">
      <x v="8"/>
    </i>
    <i r="1">
      <x v="10"/>
    </i>
    <i>
      <x v="10"/>
    </i>
    <i r="1">
      <x v="7"/>
    </i>
    <i r="1">
      <x v="8"/>
    </i>
    <i r="1">
      <x v="9"/>
    </i>
    <i>
      <x v="11"/>
    </i>
    <i r="1">
      <x v="3"/>
    </i>
    <i r="1">
      <x v="4"/>
    </i>
    <i r="1">
      <x v="5"/>
    </i>
    <i r="1">
      <x v="10"/>
    </i>
    <i>
      <x v="12"/>
    </i>
    <i r="1">
      <x/>
    </i>
    <i r="1">
      <x v="1"/>
    </i>
    <i r="1">
      <x v="2"/>
    </i>
    <i r="1">
      <x v="4"/>
    </i>
    <i r="1">
      <x v="5"/>
    </i>
    <i r="1">
      <x v="6"/>
    </i>
    <i r="1">
      <x v="8"/>
    </i>
    <i r="1">
      <x v="9"/>
    </i>
    <i r="1">
      <x v="10"/>
    </i>
    <i>
      <x v="13"/>
    </i>
    <i r="1">
      <x v="1"/>
    </i>
    <i r="1">
      <x v="2"/>
    </i>
    <i r="1">
      <x v="4"/>
    </i>
    <i r="1">
      <x v="5"/>
    </i>
    <i r="1">
      <x v="6"/>
    </i>
    <i r="1">
      <x v="8"/>
    </i>
    <i r="1">
      <x v="9"/>
    </i>
    <i r="1">
      <x v="10"/>
    </i>
    <i>
      <x v="14"/>
    </i>
    <i r="1">
      <x/>
    </i>
    <i r="1">
      <x v="2"/>
    </i>
    <i r="1">
      <x v="3"/>
    </i>
    <i r="1">
      <x v="4"/>
    </i>
    <i r="1">
      <x v="8"/>
    </i>
    <i r="1">
      <x v="9"/>
    </i>
    <i r="1">
      <x v="10"/>
    </i>
    <i>
      <x v="15"/>
    </i>
    <i r="1">
      <x v="2"/>
    </i>
    <i r="1">
      <x v="3"/>
    </i>
    <i t="grand">
      <x/>
    </i>
  </rowItems>
  <colItems count="1">
    <i/>
  </colItems>
  <dataFields count="1">
    <dataField name="Sum of Score"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185487-D7BE-4B84-AFCC-7C3B48452CAC}" name="Count per year" cacheId="1" applyNumberFormats="0" applyBorderFormats="0" applyFontFormats="0" applyPatternFormats="0" applyAlignmentFormats="0" applyWidthHeightFormats="1" dataCaption="Values" missingCaption="0" tag="cb0df60a-b4f8-41ac-a10c-5197c46cb96e" updatedVersion="8" minRefreshableVersion="3" useAutoFormatting="1" subtotalHiddenItems="1" itemPrintTitles="1" createdVersion="8" indent="0" showEmptyRow="1" outline="1" outlineData="1" multipleFieldFilters="0" chartFormat="5">
  <location ref="F4:G25" firstHeaderRow="1" firstDataRow="1" firstDataCol="1"/>
  <pivotFields count="9">
    <pivotField dataField="1" subtotalTop="0" showAll="0" defaultSubtotal="0"/>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per year"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year"/>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493D59-E083-47DA-9D4D-1460B8EF9425}" name="% of flash, onsight, redpoint per grade" cacheId="10" applyNumberFormats="0" applyBorderFormats="0" applyFontFormats="0" applyPatternFormats="0" applyAlignmentFormats="0" applyWidthHeightFormats="1" dataCaption="Values" missingCaption="0" updatedVersion="8" minRefreshableVersion="3" visualTotals="0" useAutoFormatting="1" subtotalHiddenItems="1" rowGrandTotals="0" colGrandTotals="0" itemPrintTitles="1" createdVersion="8" indent="0" showEmptyRow="1" showEmptyCol="1" outline="1" outlineData="1" multipleFieldFilters="0" chartFormat="14">
  <location ref="A59:D66" firstHeaderRow="1" firstDataRow="2" firstDataCol="1"/>
  <pivotFields count="9">
    <pivotField axis="axisRow" allDrilled="1" subtotalTop="0" showAll="0" dataSourceSort="1" defaultSubtotal="0" defaultAttributeDrillState="1">
      <items count="6">
        <item x="0"/>
        <item x="1"/>
        <item x="2"/>
        <item x="3"/>
        <item x="4"/>
        <item x="5"/>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x v="5"/>
    </i>
  </rowItems>
  <colFields count="1">
    <field x="2"/>
  </colFields>
  <colItems count="3">
    <i>
      <x/>
    </i>
    <i>
      <x v="1"/>
    </i>
    <i>
      <x v="2"/>
    </i>
  </colItems>
  <dataFields count="1">
    <dataField name="% of flash and OS per grade" fld="1" subtotal="count" showDataAs="percentOfRow" baseField="0" baseItem="2" numFmtId="9"/>
  </dataFields>
  <formats count="1">
    <format dxfId="0">
      <pivotArea outline="0" collapsedLevelsAreSubtotals="1" fieldPosition="0"/>
    </format>
  </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BC98BF-9FE9-4BAE-977B-1E0A69F19EA2}" name="Distribution per height" cacheId="7" applyNumberFormats="0" applyBorderFormats="0" applyFontFormats="0" applyPatternFormats="0" applyAlignmentFormats="0" applyWidthHeightFormats="1" dataCaption="Values" tag="de2ba060-8a73-417f-8ee1-f86ab1119aee" updatedVersion="8" minRefreshableVersion="3" useAutoFormatting="1" subtotalHiddenItems="1" itemPrintTitles="1" createdVersion="8" indent="0" outline="1" outlineData="1" multipleFieldFilters="0" chartFormat="9">
  <location ref="R4:S12" firstHeaderRow="1" firstDataRow="1" firstDataCol="1"/>
  <pivotFields count="9">
    <pivotField dataField="1" subtotalTop="0" showAll="0" defaultSubtotal="0"/>
    <pivotField axis="axisRow" allDrilled="1" subtotalTop="0" showAll="0" sortType="ascending"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per height" fld="0" subtotal="count"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heigh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6E9829-7944-4354-B2AD-AC6DA8FF29C1}" name="Average of Tries num. only excl. outliers" cacheId="9" applyNumberFormats="0" applyBorderFormats="0" applyFontFormats="0" applyPatternFormats="0" applyAlignmentFormats="0" applyWidthHeightFormats="1" dataCaption="Values" tag="b6bef618-5ee3-4033-bc9f-da0ad76b62c8" updatedVersion="8" minRefreshableVersion="3" useAutoFormatting="1" subtotalHiddenItems="1" itemPrintTitles="1" createdVersion="8" indent="0" outline="1" outlineData="1" multipleFieldFilters="0" chartFormat="4">
  <location ref="A50:B57" firstHeaderRow="1" firstDataRow="1" firstDataCol="1"/>
  <pivotFields count="9">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Avg Tries num. only excl. outliers" fld="1" subtotal="average" baseField="0" baseItem="0"/>
  </dataFields>
  <formats count="1">
    <format dxfId="1">
      <pivotArea outline="0" collapsedLevelsAreSubtotals="1" fieldPosition="0"/>
    </format>
  </formats>
  <chartFormats count="1">
    <chartFormat chart="3" format="5"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g Tries num. only excl. outlier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D461478-45E1-46A8-BAF1-A78B55E57B6B}" name="Count per number of attempts" cacheId="5" applyNumberFormats="0" applyBorderFormats="0" applyFontFormats="0" applyPatternFormats="0" applyAlignmentFormats="0" applyWidthHeightFormats="1" dataCaption="Values" tag="339ec8ee-5db3-4392-9937-3fe0c7072333" updatedVersion="8" minRefreshableVersion="3" useAutoFormatting="1" subtotalHiddenItems="1" itemPrintTitles="1" createdVersion="8" indent="0" outline="1" outlineData="1" multipleFieldFilters="0" chartFormat="7">
  <location ref="A24:B40" firstHeaderRow="1" firstDataRow="1" firstDataCol="1"/>
  <pivotFields count="9">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6">
    <i>
      <x v="4"/>
    </i>
    <i>
      <x v="14"/>
    </i>
    <i>
      <x v="6"/>
    </i>
    <i>
      <x v="13"/>
    </i>
    <i>
      <x v="9"/>
    </i>
    <i>
      <x v="7"/>
    </i>
    <i>
      <x v="10"/>
    </i>
    <i>
      <x v="12"/>
    </i>
    <i>
      <x v="11"/>
    </i>
    <i>
      <x v="1"/>
    </i>
    <i>
      <x v="3"/>
    </i>
    <i>
      <x v="5"/>
    </i>
    <i>
      <x v="8"/>
    </i>
    <i>
      <x/>
    </i>
    <i>
      <x v="2"/>
    </i>
    <i t="grand">
      <x/>
    </i>
  </rowItems>
  <colItems count="1">
    <i/>
  </colItems>
  <dataFields count="1">
    <dataField name="Count per number of attempts"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number of attempt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85D1172-D381-46EB-B85D-E55F1A2CD34E}" name="Top10 Score per Belayer"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U27:V38"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4"/>
    </i>
    <i>
      <x v="1"/>
    </i>
    <i>
      <x v="8"/>
    </i>
    <i>
      <x v="2"/>
    </i>
    <i>
      <x v="9"/>
    </i>
    <i>
      <x v="6"/>
    </i>
    <i>
      <x v="5"/>
    </i>
    <i>
      <x v="3"/>
    </i>
    <i>
      <x/>
    </i>
    <i>
      <x v="7"/>
    </i>
    <i t="grand">
      <x/>
    </i>
  </rowItems>
  <colItems count="1">
    <i/>
  </colItems>
  <dataFields count="1">
    <dataField name="Sum of Score" fld="1"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2">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7E1BAAD-EE71-4690-8C7C-3D8BD3C5AED4}" name="Count per crag" cacheId="3" applyNumberFormats="0" applyBorderFormats="0" applyFontFormats="0" applyPatternFormats="0" applyAlignmentFormats="0" applyWidthHeightFormats="1" dataCaption="Values" tag="7775fffd-05a1-4d79-ab60-57ce118678dd" updatedVersion="8" minRefreshableVersion="3" visualTotals="0" useAutoFormatting="1" subtotalHiddenItems="1" itemPrintTitles="1" createdVersion="8" indent="0" outline="1" outlineData="1" multipleFieldFilters="0" chartFormat="6">
  <location ref="I4:J51" firstHeaderRow="1" firstDataRow="1" firstDataCol="1"/>
  <pivotFields count="9">
    <pivotField axis="axisRow" allDrilled="1" subtotalTop="0" showAll="0" sortType="descending" defaultSubtotal="0" defaultAttributeDrillState="1">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7">
    <i>
      <x v="40"/>
    </i>
    <i>
      <x v="21"/>
    </i>
    <i>
      <x v="11"/>
    </i>
    <i>
      <x v="18"/>
    </i>
    <i>
      <x v="27"/>
    </i>
    <i>
      <x v="4"/>
    </i>
    <i>
      <x v="17"/>
    </i>
    <i>
      <x v="3"/>
    </i>
    <i>
      <x v="26"/>
    </i>
    <i>
      <x v="16"/>
    </i>
    <i>
      <x v="39"/>
    </i>
    <i>
      <x v="25"/>
    </i>
    <i>
      <x v="34"/>
    </i>
    <i>
      <x v="36"/>
    </i>
    <i>
      <x v="37"/>
    </i>
    <i>
      <x v="43"/>
    </i>
    <i>
      <x v="45"/>
    </i>
    <i>
      <x v="30"/>
    </i>
    <i>
      <x v="20"/>
    </i>
    <i>
      <x v="41"/>
    </i>
    <i>
      <x/>
    </i>
    <i>
      <x v="32"/>
    </i>
    <i>
      <x v="23"/>
    </i>
    <i>
      <x v="14"/>
    </i>
    <i>
      <x v="6"/>
    </i>
    <i>
      <x v="44"/>
    </i>
    <i>
      <x v="29"/>
    </i>
    <i>
      <x v="38"/>
    </i>
    <i>
      <x v="31"/>
    </i>
    <i>
      <x v="22"/>
    </i>
    <i>
      <x v="1"/>
    </i>
    <i>
      <x v="5"/>
    </i>
    <i>
      <x v="24"/>
    </i>
    <i>
      <x v="8"/>
    </i>
    <i>
      <x v="15"/>
    </i>
    <i>
      <x v="19"/>
    </i>
    <i>
      <x v="12"/>
    </i>
    <i>
      <x v="33"/>
    </i>
    <i>
      <x v="13"/>
    </i>
    <i>
      <x v="9"/>
    </i>
    <i>
      <x v="42"/>
    </i>
    <i>
      <x v="35"/>
    </i>
    <i>
      <x v="28"/>
    </i>
    <i>
      <x v="10"/>
    </i>
    <i>
      <x v="7"/>
    </i>
    <i>
      <x v="2"/>
    </i>
    <i t="grand">
      <x/>
    </i>
  </rowItems>
  <colItems count="1">
    <i/>
  </colItems>
  <dataFields count="1">
    <dataField name="Count per crag" fld="1" subtotal="count" baseField="0" baseItem="0"/>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cra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B2DAC74-2BE8-487E-8AB1-12657AD3BF7A}" name="Avg num. tries per grade &amp; height" cacheId="14" applyNumberFormats="0" applyBorderFormats="0" applyFontFormats="0" applyPatternFormats="0" applyAlignmentFormats="0" applyWidthHeightFormats="1" dataCaption="Values" grandTotalCaption="Total" updatedVersion="8" minRefreshableVersion="3" useAutoFormatting="1" subtotalHiddenItems="1" itemPrintTitles="1" createdVersion="8" indent="0" outline="1" outlineData="1" multipleFieldFilters="0" rowHeaderCaption="Rows" colHeaderCaption="Cols">
  <location ref="AA29:AI37" firstHeaderRow="1" firstDataRow="2" firstDataCol="1"/>
  <pivotFields count="3">
    <pivotField axis="axisCol"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Fields count="1">
    <field x="0"/>
  </colFields>
  <colItems count="8">
    <i>
      <x/>
    </i>
    <i>
      <x v="1"/>
    </i>
    <i>
      <x v="2"/>
    </i>
    <i>
      <x v="3"/>
    </i>
    <i>
      <x v="4"/>
    </i>
    <i>
      <x v="5"/>
    </i>
    <i>
      <x v="6"/>
    </i>
    <i t="grand">
      <x/>
    </i>
  </colItems>
  <dataFields count="1">
    <dataField name="Avg num. tries per grade &amp; height" fld="2" subtotal="average" baseField="1" baseItem="0" numFmtId="169"/>
  </dataFields>
  <formats count="1">
    <format dxfId="2">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g num. tries per grade &amp; heigh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7E063E9-D6AF-45AB-A3A6-85D172C304AD}" name="% of flash, onsight, redpoint" cacheId="8" applyNumberFormats="0" applyBorderFormats="0" applyFontFormats="0" applyPatternFormats="0" applyAlignmentFormats="0" applyWidthHeightFormats="1" dataCaption="Values" tag="ab1dea3c-0c36-415a-9a2b-781269620190" updatedVersion="8" minRefreshableVersion="3" useAutoFormatting="1" subtotalHiddenItems="1" itemPrintTitles="1" createdVersion="8" indent="0" outline="1" outlineData="1" multipleFieldFilters="0" chartFormat="5">
  <location ref="A43:B47" firstHeaderRow="1" firstDataRow="1" firstDataCol="1"/>
  <pivotFields count="1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 of flash, OS, RP" fld="1" subtotal="count" showDataAs="percentOfTotal" baseField="0" baseItem="0" numFmtId="165"/>
  </dataFields>
  <formats count="1">
    <format dxfId="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of flash, OS, RP"/>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069F412-D0C8-4312-8E2F-9F2AB827AC65}" name="Count per country" cacheId="4" applyNumberFormats="0" applyBorderFormats="0" applyFontFormats="0" applyPatternFormats="0" applyAlignmentFormats="0" applyWidthHeightFormats="1" dataCaption="Values" tag="0f7bc240-192b-4515-a378-6001f0216c37" updatedVersion="8" minRefreshableVersion="3" useAutoFormatting="1" subtotalHiddenItems="1" itemPrintTitles="1" createdVersion="8" indent="0" showEmptyRow="1" showEmptyCol="1" outline="1" outlineData="1" multipleFieldFilters="0" chartFormat="6">
  <location ref="L19:M26" firstHeaderRow="1" firstDataRow="1" firstDataCol="1"/>
  <pivotFields count="1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v="5"/>
    </i>
    <i>
      <x/>
    </i>
    <i>
      <x v="1"/>
    </i>
    <i>
      <x v="3"/>
    </i>
    <i>
      <x v="4"/>
    </i>
    <i>
      <x v="2"/>
    </i>
    <i t="grand">
      <x/>
    </i>
  </rowItems>
  <colItems count="1">
    <i/>
  </colItems>
  <dataFields count="1">
    <dataField name="Count per country" fld="1" subtotal="count" baseField="0" baseItem="0"/>
  </dataFields>
  <chartFormats count="7">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 chart="2" format="11">
      <pivotArea type="data" outline="0" fieldPosition="0">
        <references count="2">
          <reference field="4294967294" count="1" selected="0">
            <x v="0"/>
          </reference>
          <reference field="0" count="1" selected="0">
            <x v="4"/>
          </reference>
        </references>
      </pivotArea>
    </chartFormat>
    <chartFormat chart="2" format="12">
      <pivotArea type="data" outline="0" fieldPosition="0">
        <references count="2">
          <reference field="4294967294" count="1" selected="0">
            <x v="0"/>
          </reference>
          <reference field="0" count="1" selected="0">
            <x v="5"/>
          </reference>
        </references>
      </pivotArea>
    </chartFormat>
    <chartFormat chart="2" format="13">
      <pivotArea type="data" outline="0" fieldPosition="0">
        <references count="2">
          <reference field="4294967294" count="1" selected="0">
            <x v="0"/>
          </reference>
          <reference field="0" count="1" selected="0">
            <x v="2"/>
          </reference>
        </references>
      </pivotArea>
    </chartFormat>
  </chartFormats>
  <pivotHierarchies count="3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per countr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portClimbing]"/>
        <x15:activeTabTopLevelEntity name="[Years]"/>
        <x15:activeTabTopLevelEntity name="[MONTH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number_of_tries" xr10:uid="{EE0836FE-5DCC-489C-A752-816322A94CE0}" sourceName="[SportClimbing].[Total number of tries]">
  <pivotTables>
    <pivotTable tabId="16" name="Favorite Belayer"/>
    <pivotTable tabId="16" name="Count per year"/>
    <pivotTable tabId="16" name="Count per month"/>
    <pivotTable tabId="16" name="Count per crag"/>
    <pivotTable tabId="16" name="Count per country"/>
    <pivotTable tabId="16" name="Count per number of attempts"/>
    <pivotTable tabId="16" name="Count per grade"/>
    <pivotTable tabId="16" name="Distribution per height"/>
    <pivotTable tabId="16" name="% of flash, onsight, redpoint"/>
    <pivotTable tabId="16" name="Average of Tries num. only excl. outliers"/>
    <pivotTable tabId="16" name="% of flash, onsight, redpoint per grade"/>
  </pivotTables>
  <data>
    <olap pivotCacheId="442292401">
      <levels count="2">
        <level uniqueName="[SportClimbing].[Total number of tries].[(All)]" sourceCaption="(All)" count="0"/>
        <level uniqueName="[SportClimbing].[Total number of tries].[Total number of tries]" sourceCaption="Total number of tries" count="15">
          <ranges>
            <range startItem="0">
              <i n="[SportClimbing].[Total number of tries].&amp;[1]" c="1"/>
              <i n="[SportClimbing].[Total number of tries].&amp;[10]" c="10"/>
              <i n="[SportClimbing].[Total number of tries].&amp;[12]" c="12"/>
              <i n="[SportClimbing].[Total number of tries].&amp;[14]" c="14"/>
              <i n="[SportClimbing].[Total number of tries].&amp;[2]" c="2"/>
              <i n="[SportClimbing].[Total number of tries].&amp;[24]" c="24"/>
              <i n="[SportClimbing].[Total number of tries].&amp;[3]" c="3"/>
              <i n="[SportClimbing].[Total number of tries].&amp;[4]" c="4"/>
              <i n="[SportClimbing].[Total number of tries].&amp;[40]" c="40"/>
              <i n="[SportClimbing].[Total number of tries].&amp;[5]" c="5"/>
              <i n="[SportClimbing].[Total number of tries].&amp;[6]" c="6"/>
              <i n="[SportClimbing].[Total number of tries].&amp;[7]" c="7"/>
              <i n="[SportClimbing].[Total number of tries].&amp;[8]" c="8"/>
              <i n="[SportClimbing].[Total number of tries].&amp;[flash]" c="flash"/>
              <i n="[SportClimbing].[Total number of tries].&amp;[onsight]" c="onsight"/>
            </range>
          </ranges>
        </level>
      </levels>
      <selections count="1">
        <selection n="[SportClimbing].[Total number of tries].[All]"/>
      </selections>
    </olap>
  </data>
  <extLst>
    <x:ext xmlns:x15="http://schemas.microsoft.com/office/spreadsheetml/2010/11/main" uri="{470722E0-AACD-4C17-9CDC-17EF765DBC7E}">
      <x15:slicerCacheHideItemsWithNoData count="1">
        <x15:slicerCacheOlapLevelName uniqueName="[SportClimbing].[Total number of tries].[Total number of tries]"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3ADBF717-C83E-4FF2-9F57-A109611EAA67}" sourceName="[SportClimbing].[Grade]">
  <pivotTables>
    <pivotTable tabId="16" name="Favorite Belayer"/>
    <pivotTable tabId="16" name="Count per year"/>
    <pivotTable tabId="16" name="Count per month"/>
    <pivotTable tabId="16" name="Count per crag"/>
    <pivotTable tabId="16" name="Count per country"/>
    <pivotTable tabId="16" name="Count per number of attempts"/>
    <pivotTable tabId="16" name="Count per grade"/>
    <pivotTable tabId="16" name="Distribution per height"/>
    <pivotTable tabId="16" name="% of flash, onsight, redpoint"/>
    <pivotTable tabId="16" name="Average of Tries num. only excl. outliers"/>
    <pivotTable tabId="16" name="% of flash, onsight, redpoint per grade"/>
  </pivotTables>
  <data>
    <olap pivotCacheId="442292401">
      <levels count="2">
        <level uniqueName="[SportClimbing].[Grade].[(All)]" sourceCaption="(All)" count="0"/>
        <level uniqueName="[SportClimbing].[Grade].[Grade]" sourceCaption="Grade" count="6">
          <ranges>
            <range startItem="0">
              <i n="[SportClimbing].[Grade].&amp;[7a]" c="7a"/>
              <i n="[SportClimbing].[Grade].&amp;[7a+]" c="7a+"/>
              <i n="[SportClimbing].[Grade].&amp;[7b]" c="7b"/>
              <i n="[SportClimbing].[Grade].&amp;[7b+]" c="7b+"/>
              <i n="[SportClimbing].[Grade].&amp;[7c]" c="7c"/>
              <i n="[SportClimbing].[Grade].&amp;[7c+]" c="7c+"/>
            </range>
          </ranges>
        </level>
      </levels>
      <selections count="1">
        <selection n="[SportClimbing].[Grade].[All]"/>
      </selections>
    </olap>
  </data>
  <extLst>
    <x:ext xmlns:x15="http://schemas.microsoft.com/office/spreadsheetml/2010/11/main" uri="{470722E0-AACD-4C17-9CDC-17EF765DBC7E}">
      <x15:slicerCacheHideItemsWithNoData count="1">
        <x15:slicerCacheOlapLevelName uniqueName="[SportClimbing].[Grade].[Grade]"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ag" xr10:uid="{57957EA0-0BAF-4904-9BB8-E48552AC0E2E}" sourceName="[SportClimbing].[Crag]">
  <pivotTables>
    <pivotTable tabId="16" name="Favorite Belayer"/>
    <pivotTable tabId="16" name="Count per year"/>
    <pivotTable tabId="16" name="Count per month"/>
    <pivotTable tabId="16" name="Count per crag"/>
    <pivotTable tabId="16" name="Count per country"/>
    <pivotTable tabId="16" name="Count per number of attempts"/>
    <pivotTable tabId="16" name="Count per grade"/>
    <pivotTable tabId="16" name="Distribution per height"/>
    <pivotTable tabId="16" name="% of flash, onsight, redpoint"/>
    <pivotTable tabId="16" name="Average of Tries num. only excl. outliers"/>
    <pivotTable tabId="16" name="% of flash, onsight, redpoint per grade"/>
  </pivotTables>
  <data>
    <olap pivotCacheId="442292401">
      <levels count="2">
        <level uniqueName="[SportClimbing].[Crag].[(All)]" sourceCaption="(All)" count="0"/>
        <level uniqueName="[SportClimbing].[Crag].[Crag]" sourceCaption="Crag" count="46">
          <ranges>
            <range startItem="0">
              <i n="[SportClimbing].[Crag].&amp;[Achleiten]" c="Achleiten"/>
              <i n="[SportClimbing].[Crag].&amp;[Ailefroide]" c="Ailefroide"/>
              <i n="[SportClimbing].[Crag].&amp;[Arboli]" c="Arboli"/>
              <i n="[SportClimbing].[Crag].&amp;[Arbolí]" c="Arbolí"/>
              <i n="[SportClimbing].[Crag].&amp;[Arco]" c="Arco"/>
              <i n="[SportClimbing].[Crag].&amp;[Atlantida]" c="Atlantida"/>
              <i n="[SportClimbing].[Crag].&amp;[Berglsteinersee]" c="Berglsteinersee"/>
              <i n="[SportClimbing].[Crag].&amp;[Bichlersee]" c="Bichlersee"/>
              <i n="[SportClimbing].[Crag].&amp;[Can Paulet]" c="Can Paulet"/>
              <i n="[SportClimbing].[Crag].&amp;[Carol]" c="Carol"/>
              <i n="[SportClimbing].[Crag].&amp;[Cavallers]" c="Cavallers"/>
              <i n="[SportClimbing].[Crag].&amp;[Chulilla]" c="Chulilla"/>
              <i n="[SportClimbing].[Crag].&amp;[Collegats]" c="Collegats"/>
              <i n="[SportClimbing].[Crag].&amp;[Dent de la Rancune]" c="Dent de la Rancune"/>
              <i n="[SportClimbing].[Crag].&amp;[Etxauri]" c="Etxauri"/>
              <i n="[SportClimbing].[Crag].&amp;[Fenda de Arrabida]" c="Fenda de Arrabida"/>
              <i n="[SportClimbing].[Crag].&amp;[Font Soleia]" c="Font Soleia"/>
              <i n="[SportClimbing].[Crag].&amp;[Garraf]" c="Garraf"/>
              <i n="[SportClimbing].[Crag].&amp;[Gelida]" c="Gelida"/>
              <i n="[SportClimbing].[Crag].&amp;[Gorges de la Cesse]" c="Gorges de la Cesse"/>
              <i n="[SportClimbing].[Crag].&amp;[Gorges du Tarn]" c="Gorges du Tarn"/>
              <i n="[SportClimbing].[Crag].&amp;[Grau dels matxos]" c="Grau dels matxos"/>
              <i n="[SportClimbing].[Crag].&amp;[Hundepension]" c="Hundepension"/>
              <i n="[SportClimbing].[Crag].&amp;[Le Coupeau]" c="Le Coupeau"/>
              <i n="[SportClimbing].[Crag].&amp;[Le Fayet]" c="Le Fayet"/>
              <i n="[SportClimbing].[Crag].&amp;[Mallorca]" c="Mallorca"/>
              <i n="[SportClimbing].[Crag].&amp;[Margalef]" c="Margalef"/>
              <i n="[SportClimbing].[Crag].&amp;[Martinswand]" c="Martinswand"/>
              <i n="[SportClimbing].[Crag].&amp;[Marxuquera]" c="Marxuquera"/>
              <i n="[SportClimbing].[Crag].&amp;[Masriudoms]" c="Masriudoms"/>
              <i n="[SportClimbing].[Crag].&amp;[Montserrat norte]" c="Montserrat norte"/>
              <i n="[SportClimbing].[Crag].&amp;[Montserrat sur]" c="Montserrat sur"/>
              <i n="[SportClimbing].[Crag].&amp;[Ötztal]" c="Ötztal"/>
              <i n="[SportClimbing].[Crag].&amp;[Penyes Aragonesas (Castellón)]" c="Penyes Aragonesas (Castellón)"/>
              <i n="[SportClimbing].[Crag].&amp;[Roc d'Anglars]" c="Roc d'Anglars"/>
              <i n="[SportClimbing].[Crag].&amp;[Roc de la Lluna]" c="Roc de la Lluna"/>
              <i n="[SportClimbing].[Crag].&amp;[Rodellar]" c="Rodellar"/>
              <i n="[SportClimbing].[Crag].&amp;[Sadernes]" c="Sadernes"/>
              <i n="[SportClimbing].[Crag].&amp;[Sautens]" c="Sautens"/>
              <i n="[SportClimbing].[Crag].&amp;[Silz]" c="Silz"/>
              <i n="[SportClimbing].[Crag].&amp;[Siurana]" c="Siurana"/>
              <i n="[SportClimbing].[Crag].&amp;[Starkenbach]" c="Starkenbach"/>
              <i n="[SportClimbing].[Crag].&amp;[Unterinn]" c="Unterinn"/>
              <i n="[SportClimbing].[Crag].&amp;[Zillertal - Astholz]" c="Zillertal - Astholz"/>
              <i n="[SportClimbing].[Crag].&amp;[Zillertal - Ewige Jagdgründe]" c="Zillertal - Ewige Jagdgründe"/>
              <i n="[SportClimbing].[Crag].&amp;[Zillertal -Monkey Island]" c="Zillertal -Monkey Island"/>
            </range>
          </ranges>
        </level>
      </levels>
      <selections count="1">
        <selection n="[SportClimbing].[Crag].[All]"/>
      </selections>
    </olap>
  </data>
  <extLst>
    <x:ext xmlns:x15="http://schemas.microsoft.com/office/spreadsheetml/2010/11/main" uri="{470722E0-AACD-4C17-9CDC-17EF765DBC7E}">
      <x15:slicerCacheHideItemsWithNoData count="1">
        <x15:slicerCacheOlapLevelName uniqueName="[SportClimbing].[Crag].[Crag]"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2C6E0E4A-8119-4FCD-81C7-2CEF328A1A3B}" sourceName="[Years].[YEARS]">
  <pivotTables>
    <pivotTable tabId="16" name="Favorite Belayer"/>
    <pivotTable tabId="16" name="Count per year"/>
    <pivotTable tabId="16" name="Count per month"/>
    <pivotTable tabId="16" name="Count per crag"/>
    <pivotTable tabId="16" name="Count per country"/>
    <pivotTable tabId="16" name="Count per number of attempts"/>
    <pivotTable tabId="16" name="Count per grade"/>
    <pivotTable tabId="16" name="Distribution per height"/>
    <pivotTable tabId="16" name="% of flash, onsight, redpoint"/>
    <pivotTable tabId="16" name="Average of Tries num. only excl. outliers"/>
    <pivotTable tabId="16" name="% of flash, onsight, redpoint per grade"/>
  </pivotTables>
  <data>
    <olap pivotCacheId="442292401">
      <levels count="2">
        <level uniqueName="[Years].[YEARS].[(All)]" sourceCaption="(All)" count="0"/>
        <level uniqueName="[Years].[YEARS].[YEARS]" sourceCaption="YEARS" count="20">
          <ranges>
            <range startItem="0">
              <i n="[Years].[YEARS].&amp;[2006]" c="2006"/>
              <i n="[Years].[YEARS].&amp;[2007]" c="2007"/>
              <i n="[Years].[YEARS].&amp;[2008]" c="2008"/>
              <i n="[Years].[YEARS].&amp;[2011]" c="2011"/>
              <i n="[Years].[YEARS].&amp;[2012]" c="2012"/>
              <i n="[Years].[YEARS].&amp;[2013]" c="2013"/>
              <i n="[Years].[YEARS].&amp;[2016]" c="2016"/>
              <i n="[Years].[YEARS].&amp;[2017]" c="2017"/>
              <i n="[Years].[YEARS].&amp;[2018]" c="2018"/>
              <i n="[Years].[YEARS].&amp;[2019]" c="2019"/>
              <i n="[Years].[YEARS].&amp;[2020]" c="2020"/>
              <i n="[Years].[YEARS].&amp;[2021]" c="2021"/>
              <i n="[Years].[YEARS].&amp;[2022]" c="2022"/>
              <i n="[Years].[YEARS].&amp;[2023]" c="2023"/>
              <i n="[Years].[YEARS].&amp;[2024]" c="2024"/>
              <i n="[Years].[YEARS].&amp;[2025]" c="2025"/>
              <i n="[Years].[YEARS].&amp;[2009]" c="2009" nd="1"/>
              <i n="[Years].[YEARS].&amp;[2010]" c="2010" nd="1"/>
              <i n="[Years].[YEARS].&amp;[2014]" c="2014" nd="1"/>
              <i n="[Years].[YEARS].&amp;[2015]" c="2015" nd="1"/>
            </range>
          </ranges>
        </level>
      </levels>
      <selections count="1">
        <selection n="[Years].[YEARS].[All]"/>
      </selections>
    </olap>
  </data>
  <extLst>
    <x:ext xmlns:x15="http://schemas.microsoft.com/office/spreadsheetml/2010/11/main" uri="{470722E0-AACD-4C17-9CDC-17EF765DBC7E}">
      <x15:slicerCacheHideItemsWithNoData count="1">
        <x15:slicerCacheOlapLevelName uniqueName="[Years].[YEARS].[YEARS]" count="4"/>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layer1" xr10:uid="{CE44DC9C-25BA-4852-A339-E86B221485AA}" sourceName="[SportClimbing].[Belayer]">
  <pivotTables>
    <pivotTable tabId="16" name="Count per number of attempts"/>
    <pivotTable tabId="16" name="Count per country"/>
    <pivotTable tabId="16" name="Count per crag"/>
    <pivotTable tabId="16" name="Count per month"/>
    <pivotTable tabId="16" name="Count per year"/>
    <pivotTable tabId="16" name="Favorite Belayer"/>
    <pivotTable tabId="16" name="Count per grade"/>
    <pivotTable tabId="16" name="Distribution per height"/>
    <pivotTable tabId="16" name="% of flash, onsight, redpoint"/>
    <pivotTable tabId="16" name="Average of Tries num. only excl. outliers"/>
    <pivotTable tabId="16" name="% of flash, onsight, redpoint per grade"/>
  </pivotTables>
  <data>
    <olap pivotCacheId="442292401">
      <levels count="2">
        <level uniqueName="[SportClimbing].[Belayer].[(All)]" sourceCaption="(All)" count="0"/>
        <level uniqueName="[SportClimbing].[Belayer].[Belayer]" sourceCaption="Belayer" count="53">
          <ranges>
            <range startItem="0">
              <i n="[SportClimbing].[Belayer].&amp;[Alexandre Marques]" c="Alexandre Marques"/>
              <i n="[SportClimbing].[Belayer].&amp;[Andres Villarroel]" c="Andres Villarroel"/>
              <i n="[SportClimbing].[Belayer].&amp;[Angel]" c="Angel"/>
              <i n="[SportClimbing].[Belayer].&amp;[Antonin]" c="Antonin"/>
              <i n="[SportClimbing].[Belayer].&amp;[Asier]" c="Asier"/>
              <i n="[SportClimbing].[Belayer].&amp;[Bernardo]" c="Bernardo"/>
              <i n="[SportClimbing].[Belayer].&amp;[Betka]" c="Betka"/>
              <i n="[SportClimbing].[Belayer].&amp;[Byron]" c="Byron"/>
              <i n="[SportClimbing].[Belayer].&amp;[Chris Awe]" c="Chris Awe"/>
              <i n="[SportClimbing].[Belayer].&amp;[Chris Knight]" c="Chris Knight"/>
              <i n="[SportClimbing].[Belayer].&amp;[Chrissi]" c="Chrissi"/>
              <i n="[SportClimbing].[Belayer].&amp;[Christian]" c="Christian"/>
              <i n="[SportClimbing].[Belayer].&amp;[Daniel Perez]" c="Daniel Perez"/>
              <i n="[SportClimbing].[Belayer].&amp;[Dave]" c="Dave"/>
              <i n="[SportClimbing].[Belayer].&amp;[David Valls]" c="David Valls"/>
              <i n="[SportClimbing].[Belayer].&amp;[Donald]" c="Donald"/>
              <i n="[SportClimbing].[Belayer].&amp;[Francesco]" c="Francesco"/>
              <i n="[SportClimbing].[Belayer].&amp;[Gabo]" c="Gabo"/>
              <i n="[SportClimbing].[Belayer].&amp;[Guhlm]" c="Guhlm"/>
              <i n="[SportClimbing].[Belayer].&amp;[Gustavo]" c="Gustavo"/>
              <i n="[SportClimbing].[Belayer].&amp;[Guy]" c="Guy"/>
              <i n="[SportClimbing].[Belayer].&amp;[Henry]" c="Henry"/>
              <i n="[SportClimbing].[Belayer].&amp;[Hervé]" c="Hervé"/>
              <i n="[SportClimbing].[Belayer].&amp;[Inti]" c="Inti"/>
              <i n="[SportClimbing].[Belayer].&amp;[Juan]" c="Juan"/>
              <i n="[SportClimbing].[Belayer].&amp;[Juman]" c="Juman"/>
              <i n="[SportClimbing].[Belayer].&amp;[Karla Mexicana]" c="Karla Mexicana"/>
              <i n="[SportClimbing].[Belayer].&amp;[Kat]" c="Kat"/>
              <i n="[SportClimbing].[Belayer].&amp;[Kathy]" c="Kathy"/>
              <i n="[SportClimbing].[Belayer].&amp;[Kati Golovina]" c="Kati Golovina"/>
              <i n="[SportClimbing].[Belayer].&amp;[Klaus Charfreitag]" c="Klaus Charfreitag"/>
              <i n="[SportClimbing].[Belayer].&amp;[Laila]" c="Laila"/>
              <i n="[SportClimbing].[Belayer].&amp;[Lena]" c="Lena"/>
              <i n="[SportClimbing].[Belayer].&amp;[Luca]" c="Luca"/>
              <i n="[SportClimbing].[Belayer].&amp;[Lydia]" c="Lydia"/>
              <i n="[SportClimbing].[Belayer].&amp;[Marc Ros]" c="Marc Ros"/>
              <i n="[SportClimbing].[Belayer].&amp;[Martyn]" c="Martyn"/>
              <i n="[SportClimbing].[Belayer].&amp;[Nadine]" c="Nadine"/>
              <i n="[SportClimbing].[Belayer].&amp;[Natasha]" c="Natasha"/>
              <i n="[SportClimbing].[Belayer].&amp;[Patrick]" c="Patrick"/>
              <i n="[SportClimbing].[Belayer].&amp;[Pelu]" c="Pelu"/>
              <i n="[SportClimbing].[Belayer].&amp;[Sean]" c="Sean"/>
              <i n="[SportClimbing].[Belayer].&amp;[Shyamal]" c="Shyamal"/>
              <i n="[SportClimbing].[Belayer].&amp;[Teddy]" c="Teddy"/>
              <i n="[SportClimbing].[Belayer].&amp;[Thomas Bur]" c="Thomas Bur"/>
              <i n="[SportClimbing].[Belayer].&amp;[Tibor]" c="Tibor"/>
              <i n="[SportClimbing].[Belayer].&amp;[Tieme]" c="Tieme"/>
              <i n="[SportClimbing].[Belayer].&amp;[Ulises]" c="Ulises"/>
              <i n="[SportClimbing].[Belayer].&amp;[Vittorio]" c="Vittorio"/>
              <i n="[SportClimbing].[Belayer].&amp;[water solo]" c="water solo"/>
              <i n="[SportClimbing].[Belayer].&amp;[Will]" c="Will"/>
              <i n="[SportClimbing].[Belayer].&amp;[Yoel]" c="Yoel"/>
              <i n="[SportClimbing].[Belayer].&amp;[Yun]" c="Yun"/>
            </range>
          </ranges>
        </level>
      </levels>
      <selections count="1">
        <selection n="[SportClimbing].[Belayer].[All]"/>
      </selections>
    </olap>
  </data>
  <extLst>
    <x:ext xmlns:x15="http://schemas.microsoft.com/office/spreadsheetml/2010/11/main" uri="{470722E0-AACD-4C17-9CDC-17EF765DBC7E}">
      <x15:slicerCacheHideItemsWithNoData count="1">
        <x15:slicerCacheOlapLevelName uniqueName="[SportClimbing].[Belayer].[Belayer]" count="0"/>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ight__m" xr10:uid="{D38D332B-CCF9-44BD-A0E1-616CF09F8F19}" sourceName="[SportClimbing].[Height (m)]">
  <pivotTables>
    <pivotTable tabId="16" name="Favorite Belayer"/>
    <pivotTable tabId="16" name="Count per year"/>
    <pivotTable tabId="16" name="Count per month"/>
    <pivotTable tabId="16" name="Count per crag"/>
    <pivotTable tabId="16" name="Count per country"/>
    <pivotTable tabId="16" name="Count per number of attempts"/>
    <pivotTable tabId="16" name="Count per grade"/>
    <pivotTable tabId="16" name="Distribution per height"/>
    <pivotTable tabId="16" name="% of flash, onsight, redpoint"/>
    <pivotTable tabId="16" name="Average of Tries num. only excl. outliers"/>
  </pivotTables>
  <data>
    <olap pivotCacheId="442292401">
      <levels count="2">
        <level uniqueName="[SportClimbing].[Height (m)].[(All)]" sourceCaption="(All)" count="0"/>
        <level uniqueName="[SportClimbing].[Height (m)].[Height (m)]" sourceCaption="Height (m)" count="23">
          <ranges>
            <range startItem="0">
              <i n="[SportClimbing].[Height (m)].&amp;[8]" c="8"/>
              <i n="[SportClimbing].[Height (m)].&amp;[10]" c="10"/>
              <i n="[SportClimbing].[Height (m)].&amp;[11]" c="11"/>
              <i n="[SportClimbing].[Height (m)].&amp;[12]" c="12"/>
              <i n="[SportClimbing].[Height (m)].&amp;[13]" c="13"/>
              <i n="[SportClimbing].[Height (m)].&amp;[15]" c="15"/>
              <i n="[SportClimbing].[Height (m)].&amp;[16]" c="16"/>
              <i n="[SportClimbing].[Height (m)].&amp;[18]" c="18"/>
              <i n="[SportClimbing].[Height (m)].&amp;[19]" c="19"/>
              <i n="[SportClimbing].[Height (m)].&amp;[20]" c="20"/>
              <i n="[SportClimbing].[Height (m)].&amp;[22]" c="22"/>
              <i n="[SportClimbing].[Height (m)].&amp;[23]" c="23"/>
              <i n="[SportClimbing].[Height (m)].&amp;[24]" c="24"/>
              <i n="[SportClimbing].[Height (m)].&amp;[25]" c="25"/>
              <i n="[SportClimbing].[Height (m)].&amp;[26]" c="26"/>
              <i n="[SportClimbing].[Height (m)].&amp;[27]" c="27"/>
              <i n="[SportClimbing].[Height (m)].&amp;[28]" c="28"/>
              <i n="[SportClimbing].[Height (m)].&amp;[30]" c="30"/>
              <i n="[SportClimbing].[Height (m)].&amp;[32]" c="32"/>
              <i n="[SportClimbing].[Height (m)].&amp;[33]" c="33"/>
              <i n="[SportClimbing].[Height (m)].&amp;[35]" c="35"/>
              <i n="[SportClimbing].[Height (m)].&amp;[38]" c="38"/>
              <i n="[SportClimbing].[Height (m)].&amp;[40]" c="40"/>
            </range>
          </ranges>
        </level>
      </levels>
      <selections count="1">
        <selection n="[SportClimbing].[Height (m)].[All]"/>
      </selections>
    </olap>
  </data>
  <extLst>
    <x:ext xmlns:x15="http://schemas.microsoft.com/office/spreadsheetml/2010/11/main" uri="{470722E0-AACD-4C17-9CDC-17EF765DBC7E}">
      <x15:slicerCacheHideItemsWithNoData count="1">
        <x15:slicerCacheOlapLevelName uniqueName="[SportClimbing].[Height (m)].[Height (m)]" count="0"/>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2" xr10:uid="{C71B0650-46EA-4E6C-9312-E95775CF418B}" sourceName="[MONTHS].[MONTHS 2]">
  <pivotTables>
    <pivotTable tabId="16" name="% of flash, onsight, redpoint"/>
    <pivotTable tabId="16" name="Average of Tries num. only excl. outliers"/>
    <pivotTable tabId="16" name="Favorite Belayer"/>
    <pivotTable tabId="16" name="Count per country"/>
    <pivotTable tabId="16" name="Count per crag"/>
    <pivotTable tabId="16" name="Count per grade"/>
    <pivotTable tabId="16" name="Distribution per height"/>
    <pivotTable tabId="16" name="Count per month"/>
    <pivotTable tabId="16" name="Count per number of attempts"/>
    <pivotTable tabId="16" name="Count per year"/>
    <pivotTable tabId="16" name="% of flash, onsight, redpoint per grade"/>
  </pivotTables>
  <data>
    <olap pivotCacheId="442292401">
      <levels count="2">
        <level uniqueName="[MONTHS].[MONTHS 2].[(All)]" sourceCaption="(All)" count="0"/>
        <level uniqueName="[MONTHS].[MONTHS 2].[MONTHS 2]" sourceCaption="MONTHS 2" count="12">
          <ranges>
            <range startItem="0">
              <i n="[MONTHS].[MONTHS 2].&amp;[Jan]" c="Jan"/>
              <i n="[MONTHS].[MONTHS 2].&amp;[Feb]" c="Feb"/>
              <i n="[MONTHS].[MONTHS 2].&amp;[Mar]" c="Mar"/>
              <i n="[MONTHS].[MONTHS 2].&amp;[Apr]" c="Apr"/>
              <i n="[MONTHS].[MONTHS 2].&amp;[May]" c="May"/>
              <i n="[MONTHS].[MONTHS 2].&amp;[Jun]" c="Jun"/>
              <i n="[MONTHS].[MONTHS 2].&amp;[Jul]" c="Jul"/>
              <i n="[MONTHS].[MONTHS 2].&amp;[Aug]" c="Aug"/>
              <i n="[MONTHS].[MONTHS 2].&amp;[Sep]" c="Sep"/>
              <i n="[MONTHS].[MONTHS 2].&amp;[Oct]" c="Oct"/>
              <i n="[MONTHS].[MONTHS 2].&amp;[Nov]" c="Nov"/>
              <i n="[MONTHS].[MONTHS 2].&amp;[Dec]" c="Dec"/>
            </range>
          </ranges>
        </level>
      </levels>
      <selections count="1">
        <selection n="[MONTHS].[MONTHS 2].[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ight_range__m" xr10:uid="{3C1FCFFA-F8F4-417D-AECE-AFD813B9F293}" sourceName="[SportClimbing].[Height range (m)]">
  <pivotTables>
    <pivotTable tabId="16" name="% of flash, onsight, redpoint"/>
    <pivotTable tabId="16" name="Average of Tries num. only excl. outliers"/>
    <pivotTable tabId="16" name="Favorite Belayer"/>
    <pivotTable tabId="16" name="Count per country"/>
    <pivotTable tabId="16" name="Count per crag"/>
    <pivotTable tabId="16" name="Count per grade"/>
    <pivotTable tabId="16" name="Distribution per height"/>
    <pivotTable tabId="16" name="Count per month"/>
    <pivotTable tabId="16" name="Count per number of attempts"/>
    <pivotTable tabId="16" name="Count per year"/>
    <pivotTable tabId="16" name="% of flash, onsight, redpoint per grade"/>
  </pivotTables>
  <data>
    <olap pivotCacheId="442292401">
      <levels count="2">
        <level uniqueName="[SportClimbing].[Height range (m)].[(All)]" sourceCaption="(All)" count="0"/>
        <level uniqueName="[SportClimbing].[Height range (m)].[Height range (m)]" sourceCaption="Height range (m)" count="7">
          <ranges>
            <range startItem="0">
              <i n="[SportClimbing].[Height range (m)].&amp;[0-10]" c="0-10"/>
              <i n="[SportClimbing].[Height range (m)].&amp;[11-15]" c="11-15"/>
              <i n="[SportClimbing].[Height range (m)].&amp;[16-20]" c="16-20"/>
              <i n="[SportClimbing].[Height range (m)].&amp;[21-25]" c="21-25"/>
              <i n="[SportClimbing].[Height range (m)].&amp;[26-30]" c="26-30"/>
              <i n="[SportClimbing].[Height range (m)].&amp;[31-35]" c="31-35"/>
              <i n="[SportClimbing].[Height range (m)].&amp;[35+]" c="35+"/>
            </range>
          </ranges>
        </level>
      </levels>
      <selections count="1">
        <selection n="[SportClimbing].[Height range (m)].[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 - TRIES" xr10:uid="{DC031239-5696-4400-94A8-168247819DF2}" cache="Slicer_Total_number_of_tries" caption="Total number of tries" columnCount="4" level="1" style="SlicerStyleDark1" rowHeight="225425"/>
  <slicer name="SLICER - GRADE" xr10:uid="{C9D86EF3-DA22-4E79-9417-61ECB4BE31B2}" cache="Slicer_Grade" caption="Grade" columnCount="2" level="1" style="Grade" rowHeight="225425"/>
  <slicer name="SLICER - CRAG" xr10:uid="{57EE081A-5355-4C6F-AF2A-30C624F4D53F}" cache="Slicer_Crag" caption="Crag" columnCount="7" level="1" style="SlicerStyleDark2 2" rowHeight="225425"/>
  <slicer name="SLICER -YEAR" xr10:uid="{9C5CB6E8-0DB1-4CE8-B125-C3696FFEC8D3}" cache="Slicer_YEARS" caption="Year" columnCount="4" level="1" style="SlicerStyleDark6" rowHeight="225425"/>
  <slicer name="SLICER - PARTNER" xr10:uid="{6A73B54E-930C-4E8F-9CD2-F22A2152753F}" cache="Slicer_Belayer1" caption="Climbing partner" columnCount="5" level="1" style="Belayer" rowHeight="225425"/>
  <slicer name="SLICER - HEIGHT" xr10:uid="{1C541FAA-BC74-4DDB-A62D-1E2A3A72EDEC}" cache="Slicer_Height__m" caption="Height (m)" columnCount="5" level="1" style="SlicerStyleDark5" rowHeight="225425"/>
  <slicer name="SLICER - MONTH" xr10:uid="{12489FBE-ACFB-4A32-815A-D35FA83CBF83}" cache="Slicer_MONTHS_2" caption="Month" columnCount="3" level="1" style="Month" rowHeight="225425"/>
  <slicer name="SLICER - HEIGHT RANGE" xr10:uid="{3BB562B2-DE17-4E06-8C74-FA86DBD22199}" cache="Slicer_Height_range__m" caption="Height range (m)" columnCount="2" level="1" style="SlicerStyleDark5"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0000000}" name="SportClimbing" displayName="SportClimbing" ref="A1:Q210" totalsRowShown="0" headerRowDxfId="22" dataDxfId="21">
  <autoFilter ref="A1:Q210" xr:uid="{00000000-0009-0000-0100-00000B000000}"/>
  <tableColumns count="17">
    <tableColumn id="15" xr3:uid="{FE3DDA29-F15F-44B8-AEE9-6E7A12EB2621}" name="Date" dataDxfId="20">
      <calculatedColumnFormula>DATE(SportClimbing[[#This Row],[Year]],_xlfn.XLOOKUP(SportClimbing[[#This Row],[Month]],MONTHS[MONTHS 2],MONTHS[MONTHS 3]),SportClimbing[[#This Row],[Day]])</calculatedColumnFormula>
    </tableColumn>
    <tableColumn id="16" xr3:uid="{CD864414-533C-4B70-8D0E-C6C7958F5345}" name="Date_filter" dataDxfId="19">
      <calculatedColumnFormula>AND(SportClimbing[[#This Row],[Date]] &gt;= TODAY()-365, SportClimbing[[#This Row],[Date]] &lt;= TODAY())</calculatedColumnFormula>
    </tableColumn>
    <tableColumn id="1" xr3:uid="{00000000-0010-0000-0000-000001000000}" name="Day" dataDxfId="18"/>
    <tableColumn id="2" xr3:uid="{00000000-0010-0000-0000-000002000000}" name="Month" dataDxfId="17"/>
    <tableColumn id="3" xr3:uid="{00000000-0010-0000-0000-000003000000}" name="Year" dataDxfId="16"/>
    <tableColumn id="4" xr3:uid="{00000000-0010-0000-0000-000004000000}" name="Route name" dataDxfId="15"/>
    <tableColumn id="5" xr3:uid="{00000000-0010-0000-0000-000005000000}" name="Grade" dataDxfId="14"/>
    <tableColumn id="11" xr3:uid="{BFFEE807-DBDA-4F0E-AB51-6D193DCB058B}" name="Country" dataDxfId="13"/>
    <tableColumn id="6" xr3:uid="{00000000-0010-0000-0000-000006000000}" name="Crag" dataDxfId="12"/>
    <tableColumn id="7" xr3:uid="{00000000-0010-0000-0000-000007000000}" name="Sector" dataDxfId="11"/>
    <tableColumn id="8" xr3:uid="{00000000-0010-0000-0000-000008000000}" name="Height (m)" dataDxfId="10"/>
    <tableColumn id="12" xr3:uid="{81841973-0EB5-42FD-BFDD-2B7B229B7F5E}" name="Height range (m)" dataDxfId="9">
      <calculatedColumnFormula>IF(SportClimbing[[#This Row],[Height (m)]]&lt;11, "0-10", IF(SportClimbing[[#This Row],[Height (m)]]&lt;16, "11-15", IF(SportClimbing[[#This Row],[Height (m)]]&lt;21, "16-20", IF(SportClimbing[[#This Row],[Height (m)]]&lt;26, "21-25", IF(SportClimbing[[#This Row],[Height (m)]]&lt;31, "26-30", IF(SportClimbing[[#This Row],[Height (m)]]&lt;36, "31-35", "35+"))))))</calculatedColumnFormula>
    </tableColumn>
    <tableColumn id="9" xr3:uid="{00000000-0010-0000-0000-000009000000}" name="Belayer" dataDxfId="8"/>
    <tableColumn id="10" xr3:uid="{00000000-0010-0000-0000-00000A000000}" name="Total number of tries" dataDxfId="7"/>
    <tableColumn id="13" xr3:uid="{CFDCCC54-2F7A-4831-BA52-05C63F2A3A19}" name="Tries num. only excl. outliers" dataDxfId="6">
      <calculatedColumnFormula>IF(ISNUMBER(SportClimbing[[#This Row],[Total number of tries]])=TRUE, SportClimbing[[#This Row],[Total number of tries]], 1)</calculatedColumnFormula>
    </tableColumn>
    <tableColumn id="14" xr3:uid="{A0FF27BE-EC33-40AC-AEF4-B5788A5C4E1F}" name="onsight/flash/redpoint" dataDxfId="5">
      <calculatedColumnFormula>IF(ISNUMBER(SportClimbing[[#This Row],[Total number of tries]])=TRUE, "redpoint", SportClimbing[[#This Row],[Total number of tries]])</calculatedColumnFormula>
    </tableColumn>
    <tableColumn id="17" xr3:uid="{BD42760A-86CB-48E9-958C-2E58AD76AEA6}" name="Score" dataDxfId="4">
      <calculatedColumnFormula>_xlfn.XLOOKUP(SportClimbing[[#This Row],[Grade]],SCORE[GRADE],SCORE[SCORE],,)</calculatedColumnFormula>
    </tableColumn>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BDA1C8-67BC-46A4-B59F-88BB6F02F3A5}" name="YEARS" displayName="YEARS" ref="A1:A21" totalsRowShown="0">
  <autoFilter ref="A1:A21" xr:uid="{5DBDA1C8-67BC-46A4-B59F-88BB6F02F3A5}"/>
  <tableColumns count="1">
    <tableColumn id="1" xr3:uid="{94E9D351-C9E9-4065-813F-F63DB1439259}" name="YEAR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65CDF67-69C6-4F8E-8866-17A2301F4074}" name="MONTHS" displayName="MONTHS" ref="C1:E13" totalsRowShown="0">
  <autoFilter ref="C1:E13" xr:uid="{F65CDF67-69C6-4F8E-8866-17A2301F4074}"/>
  <tableColumns count="3">
    <tableColumn id="1" xr3:uid="{077EAEE1-3C25-4029-8A12-05952909279A}" name="MONTHS 1"/>
    <tableColumn id="2" xr3:uid="{48F14ADA-60D5-42F2-B026-D004D0FF61D3}" name="MONTHS 2"/>
    <tableColumn id="3" xr3:uid="{6220A5CE-1022-4C93-A397-A38BF650EDBE}" name="MONTHS 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5E91DC0-84F5-47BE-B79E-2355DF0C3A3F}" name="GRADES" displayName="GRADES" ref="G1:G9" totalsRowShown="0">
  <autoFilter ref="G1:G9" xr:uid="{C5E91DC0-84F5-47BE-B79E-2355DF0C3A3F}"/>
  <tableColumns count="1">
    <tableColumn id="1" xr3:uid="{1476F114-40F1-4E3E-BADA-69DE0D8C9ED5}" name="GRAD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E27473-E8A2-44E6-8CC2-65EBEEE0731C}" name="SCORE" displayName="SCORE" ref="I1:J9" totalsRowShown="0">
  <autoFilter ref="I1:J9" xr:uid="{4EE27473-E8A2-44E6-8CC2-65EBEEE0731C}"/>
  <tableColumns count="2">
    <tableColumn id="1" xr3:uid="{EC5139E1-DD24-4F5D-89A5-32581CB085D3}" name="GRADE"/>
    <tableColumn id="2" xr3:uid="{750B5A90-0220-490A-91AE-566A38B25C6F}" name="SCO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777E6EC-3309-4006-B375-6DD1372891AE}" name="SCORE6" displayName="SCORE6" ref="L1:M9" totalsRowShown="0">
  <autoFilter ref="L1:M9" xr:uid="{4777E6EC-3309-4006-B375-6DD1372891AE}"/>
  <tableColumns count="2">
    <tableColumn id="1" xr3:uid="{311A07EC-A46D-4512-B0F7-AC2953C86ACE}" name="GRADE"/>
    <tableColumn id="2" xr3:uid="{E09A33F7-0514-4F9C-8AB3-FD2E92DC57A8}" name="SCORE"/>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59999389629810485"/>
  </sheetPr>
  <dimension ref="A1:Q210"/>
  <sheetViews>
    <sheetView showGridLines="0" zoomScaleNormal="100" workbookViewId="0">
      <pane ySplit="1" topLeftCell="A167" activePane="bottomLeft" state="frozen"/>
      <selection pane="bottomLeft" activeCell="G213" sqref="G213"/>
    </sheetView>
  </sheetViews>
  <sheetFormatPr defaultColWidth="11.54296875" defaultRowHeight="12.5" x14ac:dyDescent="0.25"/>
  <cols>
    <col min="1" max="1" width="11.54296875" style="21"/>
    <col min="2" max="2" width="11.54296875" style="21" customWidth="1"/>
    <col min="3" max="3" width="11" bestFit="1" customWidth="1"/>
    <col min="4" max="4" width="8.81640625" bestFit="1" customWidth="1"/>
    <col min="5" max="5" width="7.1796875" bestFit="1" customWidth="1"/>
    <col min="6" max="6" width="34.54296875" bestFit="1" customWidth="1"/>
    <col min="7" max="7" width="8.54296875" bestFit="1" customWidth="1"/>
    <col min="8" max="8" width="10.7265625" bestFit="1" customWidth="1"/>
    <col min="9" max="9" width="27.7265625" bestFit="1" customWidth="1"/>
    <col min="10" max="10" width="29.26953125" bestFit="1" customWidth="1"/>
    <col min="11" max="11" width="12.26953125" bestFit="1" customWidth="1"/>
    <col min="12" max="12" width="18" bestFit="1" customWidth="1"/>
    <col min="13" max="13" width="17.453125" bestFit="1" customWidth="1"/>
    <col min="14" max="14" width="22.453125" bestFit="1" customWidth="1"/>
    <col min="15" max="15" width="30" bestFit="1" customWidth="1"/>
    <col min="16" max="16" width="23.1796875" bestFit="1" customWidth="1"/>
  </cols>
  <sheetData>
    <row r="1" spans="1:17" ht="13" x14ac:dyDescent="0.3">
      <c r="A1" s="21" t="s">
        <v>421</v>
      </c>
      <c r="B1" s="21" t="s">
        <v>422</v>
      </c>
      <c r="C1" t="s">
        <v>136</v>
      </c>
      <c r="D1" t="s">
        <v>137</v>
      </c>
      <c r="E1" t="s">
        <v>138</v>
      </c>
      <c r="F1" t="s">
        <v>139</v>
      </c>
      <c r="G1" t="s">
        <v>140</v>
      </c>
      <c r="H1" t="s">
        <v>260</v>
      </c>
      <c r="I1" t="s">
        <v>141</v>
      </c>
      <c r="J1" t="s">
        <v>142</v>
      </c>
      <c r="K1" t="s">
        <v>143</v>
      </c>
      <c r="L1" t="s">
        <v>378</v>
      </c>
      <c r="M1" t="s">
        <v>144</v>
      </c>
      <c r="N1" t="s">
        <v>145</v>
      </c>
      <c r="O1" s="24" t="s">
        <v>407</v>
      </c>
      <c r="P1" t="s">
        <v>403</v>
      </c>
      <c r="Q1" t="s">
        <v>438</v>
      </c>
    </row>
    <row r="2" spans="1:17" x14ac:dyDescent="0.25">
      <c r="A2" s="21">
        <f>DATE(SportClimbing[[#This Row],[Year]],_xlfn.XLOOKUP(SportClimbing[[#This Row],[Month]],MONTHS[MONTHS 2],MONTHS[MONTHS 3]),SportClimbing[[#This Row],[Day]])</f>
        <v>38913</v>
      </c>
      <c r="B2" s="21" t="b">
        <f ca="1">AND(SportClimbing[[#This Row],[Date]] &gt;= TODAY()-365, SportClimbing[[#This Row],[Date]] &lt;= TODAY())</f>
        <v>0</v>
      </c>
      <c r="C2">
        <v>15</v>
      </c>
      <c r="D2" t="s">
        <v>365</v>
      </c>
      <c r="E2">
        <v>2006</v>
      </c>
      <c r="F2" t="s">
        <v>2</v>
      </c>
      <c r="G2" t="s">
        <v>3</v>
      </c>
      <c r="H2" t="s">
        <v>261</v>
      </c>
      <c r="I2" t="s">
        <v>1</v>
      </c>
      <c r="J2" t="s">
        <v>4</v>
      </c>
      <c r="K2">
        <v>15</v>
      </c>
      <c r="L2" t="str">
        <f>IF(SportClimbing[[#This Row],[Height (m)]]&lt;11, "0-10", IF(SportClimbing[[#This Row],[Height (m)]]&lt;16, "11-15", IF(SportClimbing[[#This Row],[Height (m)]]&lt;21, "16-20", IF(SportClimbing[[#This Row],[Height (m)]]&lt;26, "21-25", IF(SportClimbing[[#This Row],[Height (m)]]&lt;31, "26-30", IF(SportClimbing[[#This Row],[Height (m)]]&lt;36, "31-35", "35+"))))))</f>
        <v>11-15</v>
      </c>
      <c r="M2" t="s">
        <v>10</v>
      </c>
      <c r="N2">
        <v>7</v>
      </c>
      <c r="O2">
        <f>IF(ISNUMBER(SportClimbing[[#This Row],[Total number of tries]])=TRUE, SportClimbing[[#This Row],[Total number of tries]], 1)</f>
        <v>7</v>
      </c>
      <c r="P2" t="str">
        <f>IF(ISNUMBER(SportClimbing[[#This Row],[Total number of tries]])=TRUE, "redpoint", SportClimbing[[#This Row],[Total number of tries]])</f>
        <v>redpoint</v>
      </c>
      <c r="Q2">
        <f>_xlfn.XLOOKUP(SportClimbing[[#This Row],[Grade]],SCORE[GRADE],SCORE[SCORE],,)</f>
        <v>10</v>
      </c>
    </row>
    <row r="3" spans="1:17" x14ac:dyDescent="0.25">
      <c r="A3" s="21">
        <f>DATE(SportClimbing[[#This Row],[Year]],_xlfn.XLOOKUP(SportClimbing[[#This Row],[Month]],MONTHS[MONTHS 2],MONTHS[MONTHS 3]),SportClimbing[[#This Row],[Day]])</f>
        <v>39285</v>
      </c>
      <c r="B3" s="21" t="b">
        <f ca="1">AND(SportClimbing[[#This Row],[Date]] &gt;= TODAY()-365, SportClimbing[[#This Row],[Date]] &lt;= TODAY())</f>
        <v>0</v>
      </c>
      <c r="C3">
        <v>22</v>
      </c>
      <c r="D3" t="s">
        <v>365</v>
      </c>
      <c r="E3">
        <v>2007</v>
      </c>
      <c r="F3" t="s">
        <v>5</v>
      </c>
      <c r="G3" t="s">
        <v>3</v>
      </c>
      <c r="H3" t="s">
        <v>261</v>
      </c>
      <c r="I3" t="s">
        <v>1</v>
      </c>
      <c r="J3" t="s">
        <v>4</v>
      </c>
      <c r="K3">
        <v>25</v>
      </c>
      <c r="L3" t="str">
        <f>IF(SportClimbing[[#This Row],[Height (m)]]&lt;11, "0-10", IF(SportClimbing[[#This Row],[Height (m)]]&lt;16, "11-15", IF(SportClimbing[[#This Row],[Height (m)]]&lt;21, "16-20", IF(SportClimbing[[#This Row],[Height (m)]]&lt;26, "21-25", IF(SportClimbing[[#This Row],[Height (m)]]&lt;31, "26-30", IF(SportClimbing[[#This Row],[Height (m)]]&lt;36, "31-35", "35+"))))))</f>
        <v>21-25</v>
      </c>
      <c r="M3" t="s">
        <v>6</v>
      </c>
      <c r="N3">
        <v>4</v>
      </c>
      <c r="O3">
        <f>IF(ISNUMBER(SportClimbing[[#This Row],[Total number of tries]])=TRUE, SportClimbing[[#This Row],[Total number of tries]], 1)</f>
        <v>4</v>
      </c>
      <c r="P3" t="str">
        <f>IF(ISNUMBER(SportClimbing[[#This Row],[Total number of tries]])=TRUE, "redpoint", SportClimbing[[#This Row],[Total number of tries]])</f>
        <v>redpoint</v>
      </c>
      <c r="Q3">
        <f>_xlfn.XLOOKUP(SportClimbing[[#This Row],[Grade]],SCORE[GRADE],SCORE[SCORE],,)</f>
        <v>10</v>
      </c>
    </row>
    <row r="4" spans="1:17" x14ac:dyDescent="0.25">
      <c r="A4" s="21">
        <f>DATE(SportClimbing[[#This Row],[Year]],_xlfn.XLOOKUP(SportClimbing[[#This Row],[Month]],MONTHS[MONTHS 2],MONTHS[MONTHS 3]),SportClimbing[[#This Row],[Day]])</f>
        <v>39557</v>
      </c>
      <c r="B4" s="21" t="b">
        <f ca="1">AND(SportClimbing[[#This Row],[Date]] &gt;= TODAY()-365, SportClimbing[[#This Row],[Date]] &lt;= TODAY())</f>
        <v>0</v>
      </c>
      <c r="C4">
        <v>19</v>
      </c>
      <c r="D4" t="s">
        <v>368</v>
      </c>
      <c r="E4">
        <v>2008</v>
      </c>
      <c r="F4" t="s">
        <v>7</v>
      </c>
      <c r="G4" t="s">
        <v>3</v>
      </c>
      <c r="H4" t="s">
        <v>261</v>
      </c>
      <c r="I4" t="s">
        <v>8</v>
      </c>
      <c r="J4" t="s">
        <v>9</v>
      </c>
      <c r="K4">
        <v>25</v>
      </c>
      <c r="L4" t="str">
        <f>IF(SportClimbing[[#This Row],[Height (m)]]&lt;11, "0-10", IF(SportClimbing[[#This Row],[Height (m)]]&lt;16, "11-15", IF(SportClimbing[[#This Row],[Height (m)]]&lt;21, "16-20", IF(SportClimbing[[#This Row],[Height (m)]]&lt;26, "21-25", IF(SportClimbing[[#This Row],[Height (m)]]&lt;31, "26-30", IF(SportClimbing[[#This Row],[Height (m)]]&lt;36, "31-35", "35+"))))))</f>
        <v>21-25</v>
      </c>
      <c r="M4" t="s">
        <v>10</v>
      </c>
      <c r="N4" t="s">
        <v>11</v>
      </c>
      <c r="O4">
        <f>IF(ISNUMBER(SportClimbing[[#This Row],[Total number of tries]])=TRUE, SportClimbing[[#This Row],[Total number of tries]], 1)</f>
        <v>1</v>
      </c>
      <c r="P4" t="str">
        <f>IF(ISNUMBER(SportClimbing[[#This Row],[Total number of tries]])=TRUE, "redpoint", SportClimbing[[#This Row],[Total number of tries]])</f>
        <v>flash</v>
      </c>
      <c r="Q4">
        <f>_xlfn.XLOOKUP(SportClimbing[[#This Row],[Grade]],SCORE[GRADE],SCORE[SCORE],,)</f>
        <v>10</v>
      </c>
    </row>
    <row r="5" spans="1:17" x14ac:dyDescent="0.25">
      <c r="A5" s="21">
        <f>DATE(SportClimbing[[#This Row],[Year]],_xlfn.XLOOKUP(SportClimbing[[#This Row],[Month]],MONTHS[MONTHS 2],MONTHS[MONTHS 3]),SportClimbing[[#This Row],[Day]])</f>
        <v>39571</v>
      </c>
      <c r="B5" s="21" t="b">
        <f ca="1">AND(SportClimbing[[#This Row],[Date]] &gt;= TODAY()-365, SportClimbing[[#This Row],[Date]] &lt;= TODAY())</f>
        <v>0</v>
      </c>
      <c r="C5">
        <v>3</v>
      </c>
      <c r="D5" t="s">
        <v>155</v>
      </c>
      <c r="E5">
        <v>2008</v>
      </c>
      <c r="F5" t="s">
        <v>225</v>
      </c>
      <c r="G5" t="s">
        <v>3</v>
      </c>
      <c r="H5" t="s">
        <v>261</v>
      </c>
      <c r="I5" t="s">
        <v>12</v>
      </c>
      <c r="J5" t="s">
        <v>0</v>
      </c>
      <c r="K5">
        <v>18</v>
      </c>
      <c r="L5" t="str">
        <f>IF(SportClimbing[[#This Row],[Height (m)]]&lt;11, "0-10", IF(SportClimbing[[#This Row],[Height (m)]]&lt;16, "11-15", IF(SportClimbing[[#This Row],[Height (m)]]&lt;21, "16-20", IF(SportClimbing[[#This Row],[Height (m)]]&lt;26, "21-25", IF(SportClimbing[[#This Row],[Height (m)]]&lt;31, "26-30", IF(SportClimbing[[#This Row],[Height (m)]]&lt;36, "31-35", "35+"))))))</f>
        <v>16-20</v>
      </c>
      <c r="M5" t="s">
        <v>13</v>
      </c>
      <c r="N5">
        <v>2</v>
      </c>
      <c r="O5">
        <f>IF(ISNUMBER(SportClimbing[[#This Row],[Total number of tries]])=TRUE, SportClimbing[[#This Row],[Total number of tries]], 1)</f>
        <v>2</v>
      </c>
      <c r="P5" t="str">
        <f>IF(ISNUMBER(SportClimbing[[#This Row],[Total number of tries]])=TRUE, "redpoint", SportClimbing[[#This Row],[Total number of tries]])</f>
        <v>redpoint</v>
      </c>
      <c r="Q5">
        <f>_xlfn.XLOOKUP(SportClimbing[[#This Row],[Grade]],SCORE[GRADE],SCORE[SCORE],,)</f>
        <v>10</v>
      </c>
    </row>
    <row r="6" spans="1:17" x14ac:dyDescent="0.25">
      <c r="A6" s="21">
        <f>DATE(SportClimbing[[#This Row],[Year]],_xlfn.XLOOKUP(SportClimbing[[#This Row],[Month]],MONTHS[MONTHS 2],MONTHS[MONTHS 3]),SportClimbing[[#This Row],[Day]])</f>
        <v>40761</v>
      </c>
      <c r="B6" s="21" t="b">
        <f ca="1">AND(SportClimbing[[#This Row],[Date]] &gt;= TODAY()-365, SportClimbing[[#This Row],[Date]] &lt;= TODAY())</f>
        <v>0</v>
      </c>
      <c r="C6">
        <v>6</v>
      </c>
      <c r="D6" t="s">
        <v>158</v>
      </c>
      <c r="E6">
        <v>2011</v>
      </c>
      <c r="F6" t="s">
        <v>14</v>
      </c>
      <c r="G6" t="s">
        <v>3</v>
      </c>
      <c r="H6" t="s">
        <v>262</v>
      </c>
      <c r="I6" t="s">
        <v>15</v>
      </c>
      <c r="J6" t="s">
        <v>16</v>
      </c>
      <c r="K6">
        <v>20</v>
      </c>
      <c r="L6" t="str">
        <f>IF(SportClimbing[[#This Row],[Height (m)]]&lt;11, "0-10", IF(SportClimbing[[#This Row],[Height (m)]]&lt;16, "11-15", IF(SportClimbing[[#This Row],[Height (m)]]&lt;21, "16-20", IF(SportClimbing[[#This Row],[Height (m)]]&lt;26, "21-25", IF(SportClimbing[[#This Row],[Height (m)]]&lt;31, "26-30", IF(SportClimbing[[#This Row],[Height (m)]]&lt;36, "31-35", "35+"))))))</f>
        <v>16-20</v>
      </c>
      <c r="M6" t="s">
        <v>17</v>
      </c>
      <c r="N6">
        <v>2</v>
      </c>
      <c r="O6">
        <f>IF(ISNUMBER(SportClimbing[[#This Row],[Total number of tries]])=TRUE, SportClimbing[[#This Row],[Total number of tries]], 1)</f>
        <v>2</v>
      </c>
      <c r="P6" t="str">
        <f>IF(ISNUMBER(SportClimbing[[#This Row],[Total number of tries]])=TRUE, "redpoint", SportClimbing[[#This Row],[Total number of tries]])</f>
        <v>redpoint</v>
      </c>
      <c r="Q6">
        <f>_xlfn.XLOOKUP(SportClimbing[[#This Row],[Grade]],SCORE[GRADE],SCORE[SCORE],,)</f>
        <v>10</v>
      </c>
    </row>
    <row r="7" spans="1:17" x14ac:dyDescent="0.25">
      <c r="A7" s="21">
        <f>DATE(SportClimbing[[#This Row],[Year]],_xlfn.XLOOKUP(SportClimbing[[#This Row],[Month]],MONTHS[MONTHS 2],MONTHS[MONTHS 3]),SportClimbing[[#This Row],[Day]])</f>
        <v>41007</v>
      </c>
      <c r="B7" s="21" t="b">
        <f ca="1">AND(SportClimbing[[#This Row],[Date]] &gt;= TODAY()-365, SportClimbing[[#This Row],[Date]] &lt;= TODAY())</f>
        <v>0</v>
      </c>
      <c r="C7">
        <v>8</v>
      </c>
      <c r="D7" t="s">
        <v>368</v>
      </c>
      <c r="E7">
        <v>2012</v>
      </c>
      <c r="F7" t="s">
        <v>118</v>
      </c>
      <c r="G7" t="s">
        <v>3</v>
      </c>
      <c r="H7" t="s">
        <v>262</v>
      </c>
      <c r="I7" t="s">
        <v>18</v>
      </c>
      <c r="J7" t="s">
        <v>19</v>
      </c>
      <c r="K7">
        <v>20</v>
      </c>
      <c r="L7" t="str">
        <f>IF(SportClimbing[[#This Row],[Height (m)]]&lt;11, "0-10", IF(SportClimbing[[#This Row],[Height (m)]]&lt;16, "11-15", IF(SportClimbing[[#This Row],[Height (m)]]&lt;21, "16-20", IF(SportClimbing[[#This Row],[Height (m)]]&lt;26, "21-25", IF(SportClimbing[[#This Row],[Height (m)]]&lt;31, "26-30", IF(SportClimbing[[#This Row],[Height (m)]]&lt;36, "31-35", "35+"))))))</f>
        <v>16-20</v>
      </c>
      <c r="M7" t="s">
        <v>146</v>
      </c>
      <c r="N7">
        <v>2</v>
      </c>
      <c r="O7">
        <f>IF(ISNUMBER(SportClimbing[[#This Row],[Total number of tries]])=TRUE, SportClimbing[[#This Row],[Total number of tries]], 1)</f>
        <v>2</v>
      </c>
      <c r="P7" t="str">
        <f>IF(ISNUMBER(SportClimbing[[#This Row],[Total number of tries]])=TRUE, "redpoint", SportClimbing[[#This Row],[Total number of tries]])</f>
        <v>redpoint</v>
      </c>
      <c r="Q7">
        <f>_xlfn.XLOOKUP(SportClimbing[[#This Row],[Grade]],SCORE[GRADE],SCORE[SCORE],,)</f>
        <v>10</v>
      </c>
    </row>
    <row r="8" spans="1:17" x14ac:dyDescent="0.25">
      <c r="A8" s="21">
        <f>DATE(SportClimbing[[#This Row],[Year]],_xlfn.XLOOKUP(SportClimbing[[#This Row],[Month]],MONTHS[MONTHS 2],MONTHS[MONTHS 3]),SportClimbing[[#This Row],[Day]])</f>
        <v>41234</v>
      </c>
      <c r="B8" s="21" t="b">
        <f ca="1">AND(SportClimbing[[#This Row],[Date]] &gt;= TODAY()-365, SportClimbing[[#This Row],[Date]] &lt;= TODAY())</f>
        <v>0</v>
      </c>
      <c r="C8">
        <v>21</v>
      </c>
      <c r="D8" t="s">
        <v>160</v>
      </c>
      <c r="E8">
        <v>2012</v>
      </c>
      <c r="F8" t="s">
        <v>20</v>
      </c>
      <c r="G8" t="s">
        <v>21</v>
      </c>
      <c r="H8" t="s">
        <v>262</v>
      </c>
      <c r="I8" t="s">
        <v>22</v>
      </c>
      <c r="J8" t="s">
        <v>23</v>
      </c>
      <c r="K8">
        <v>25</v>
      </c>
      <c r="L8" t="str">
        <f>IF(SportClimbing[[#This Row],[Height (m)]]&lt;11, "0-10", IF(SportClimbing[[#This Row],[Height (m)]]&lt;16, "11-15", IF(SportClimbing[[#This Row],[Height (m)]]&lt;21, "16-20", IF(SportClimbing[[#This Row],[Height (m)]]&lt;26, "21-25", IF(SportClimbing[[#This Row],[Height (m)]]&lt;31, "26-30", IF(SportClimbing[[#This Row],[Height (m)]]&lt;36, "31-35", "35+"))))))</f>
        <v>21-25</v>
      </c>
      <c r="M8" t="s">
        <v>24</v>
      </c>
      <c r="N8">
        <v>4</v>
      </c>
      <c r="O8">
        <f>IF(ISNUMBER(SportClimbing[[#This Row],[Total number of tries]])=TRUE, SportClimbing[[#This Row],[Total number of tries]], 1)</f>
        <v>4</v>
      </c>
      <c r="P8" t="str">
        <f>IF(ISNUMBER(SportClimbing[[#This Row],[Total number of tries]])=TRUE, "redpoint", SportClimbing[[#This Row],[Total number of tries]])</f>
        <v>redpoint</v>
      </c>
      <c r="Q8">
        <f>_xlfn.XLOOKUP(SportClimbing[[#This Row],[Grade]],SCORE[GRADE],SCORE[SCORE],,)</f>
        <v>15</v>
      </c>
    </row>
    <row r="9" spans="1:17" x14ac:dyDescent="0.25">
      <c r="A9" s="21">
        <f>DATE(SportClimbing[[#This Row],[Year]],_xlfn.XLOOKUP(SportClimbing[[#This Row],[Month]],MONTHS[MONTHS 2],MONTHS[MONTHS 3]),SportClimbing[[#This Row],[Day]])</f>
        <v>41264</v>
      </c>
      <c r="B9" s="21" t="b">
        <f ca="1">AND(SportClimbing[[#This Row],[Date]] &gt;= TODAY()-365, SportClimbing[[#This Row],[Date]] &lt;= TODAY())</f>
        <v>0</v>
      </c>
      <c r="C9">
        <v>21</v>
      </c>
      <c r="D9" t="s">
        <v>161</v>
      </c>
      <c r="E9">
        <v>2012</v>
      </c>
      <c r="F9" t="s">
        <v>28</v>
      </c>
      <c r="G9" t="s">
        <v>21</v>
      </c>
      <c r="H9" t="s">
        <v>262</v>
      </c>
      <c r="I9" t="s">
        <v>22</v>
      </c>
      <c r="J9" t="s">
        <v>23</v>
      </c>
      <c r="K9">
        <v>25</v>
      </c>
      <c r="L9" t="str">
        <f>IF(SportClimbing[[#This Row],[Height (m)]]&lt;11, "0-10", IF(SportClimbing[[#This Row],[Height (m)]]&lt;16, "11-15", IF(SportClimbing[[#This Row],[Height (m)]]&lt;21, "16-20", IF(SportClimbing[[#This Row],[Height (m)]]&lt;26, "21-25", IF(SportClimbing[[#This Row],[Height (m)]]&lt;31, "26-30", IF(SportClimbing[[#This Row],[Height (m)]]&lt;36, "31-35", "35+"))))))</f>
        <v>21-25</v>
      </c>
      <c r="M9" t="s">
        <v>146</v>
      </c>
      <c r="N9" t="s">
        <v>11</v>
      </c>
      <c r="O9">
        <f>IF(ISNUMBER(SportClimbing[[#This Row],[Total number of tries]])=TRUE, SportClimbing[[#This Row],[Total number of tries]], 1)</f>
        <v>1</v>
      </c>
      <c r="P9" t="str">
        <f>IF(ISNUMBER(SportClimbing[[#This Row],[Total number of tries]])=TRUE, "redpoint", SportClimbing[[#This Row],[Total number of tries]])</f>
        <v>flash</v>
      </c>
      <c r="Q9">
        <f>_xlfn.XLOOKUP(SportClimbing[[#This Row],[Grade]],SCORE[GRADE],SCORE[SCORE],,)</f>
        <v>15</v>
      </c>
    </row>
    <row r="10" spans="1:17" x14ac:dyDescent="0.25">
      <c r="A10" s="21">
        <f>DATE(SportClimbing[[#This Row],[Year]],_xlfn.XLOOKUP(SportClimbing[[#This Row],[Month]],MONTHS[MONTHS 2],MONTHS[MONTHS 3]),SportClimbing[[#This Row],[Day]])</f>
        <v>41295</v>
      </c>
      <c r="B10" s="21" t="b">
        <f ca="1">AND(SportClimbing[[#This Row],[Date]] &gt;= TODAY()-365, SportClimbing[[#This Row],[Date]] &lt;= TODAY())</f>
        <v>0</v>
      </c>
      <c r="C10">
        <v>21</v>
      </c>
      <c r="D10" t="s">
        <v>151</v>
      </c>
      <c r="E10">
        <v>2013</v>
      </c>
      <c r="F10" t="s">
        <v>30</v>
      </c>
      <c r="G10" t="s">
        <v>29</v>
      </c>
      <c r="H10" t="s">
        <v>262</v>
      </c>
      <c r="I10" t="s">
        <v>22</v>
      </c>
      <c r="J10" t="s">
        <v>23</v>
      </c>
      <c r="K10">
        <v>25</v>
      </c>
      <c r="L10" t="str">
        <f>IF(SportClimbing[[#This Row],[Height (m)]]&lt;11, "0-10", IF(SportClimbing[[#This Row],[Height (m)]]&lt;16, "11-15", IF(SportClimbing[[#This Row],[Height (m)]]&lt;21, "16-20", IF(SportClimbing[[#This Row],[Height (m)]]&lt;26, "21-25", IF(SportClimbing[[#This Row],[Height (m)]]&lt;31, "26-30", IF(SportClimbing[[#This Row],[Height (m)]]&lt;36, "31-35", "35+"))))))</f>
        <v>21-25</v>
      </c>
      <c r="M10" t="s">
        <v>146</v>
      </c>
      <c r="N10">
        <v>7</v>
      </c>
      <c r="O10">
        <f>IF(ISNUMBER(SportClimbing[[#This Row],[Total number of tries]])=TRUE, SportClimbing[[#This Row],[Total number of tries]], 1)</f>
        <v>7</v>
      </c>
      <c r="P10" t="str">
        <f>IF(ISNUMBER(SportClimbing[[#This Row],[Total number of tries]])=TRUE, "redpoint", SportClimbing[[#This Row],[Total number of tries]])</f>
        <v>redpoint</v>
      </c>
      <c r="Q10">
        <f>_xlfn.XLOOKUP(SportClimbing[[#This Row],[Grade]],SCORE[GRADE],SCORE[SCORE],,)</f>
        <v>25</v>
      </c>
    </row>
    <row r="11" spans="1:17" x14ac:dyDescent="0.25">
      <c r="A11" s="21">
        <f>DATE(SportClimbing[[#This Row],[Year]],_xlfn.XLOOKUP(SportClimbing[[#This Row],[Month]],MONTHS[MONTHS 2],MONTHS[MONTHS 3]),SportClimbing[[#This Row],[Day]])</f>
        <v>41306</v>
      </c>
      <c r="B11" s="21" t="b">
        <f ca="1">AND(SportClimbing[[#This Row],[Date]] &gt;= TODAY()-365, SportClimbing[[#This Row],[Date]] &lt;= TODAY())</f>
        <v>0</v>
      </c>
      <c r="C11">
        <v>1</v>
      </c>
      <c r="D11" t="s">
        <v>152</v>
      </c>
      <c r="E11">
        <v>2013</v>
      </c>
      <c r="F11" t="s">
        <v>33</v>
      </c>
      <c r="G11" t="s">
        <v>3</v>
      </c>
      <c r="H11" t="s">
        <v>262</v>
      </c>
      <c r="I11" t="s">
        <v>22</v>
      </c>
      <c r="J11" t="s">
        <v>23</v>
      </c>
      <c r="K11">
        <v>18</v>
      </c>
      <c r="L11" t="str">
        <f>IF(SportClimbing[[#This Row],[Height (m)]]&lt;11, "0-10", IF(SportClimbing[[#This Row],[Height (m)]]&lt;16, "11-15", IF(SportClimbing[[#This Row],[Height (m)]]&lt;21, "16-20", IF(SportClimbing[[#This Row],[Height (m)]]&lt;26, "21-25", IF(SportClimbing[[#This Row],[Height (m)]]&lt;31, "26-30", IF(SportClimbing[[#This Row],[Height (m)]]&lt;36, "31-35", "35+"))))))</f>
        <v>16-20</v>
      </c>
      <c r="M11" t="s">
        <v>34</v>
      </c>
      <c r="N11" t="s">
        <v>130</v>
      </c>
      <c r="O11">
        <f>IF(ISNUMBER(SportClimbing[[#This Row],[Total number of tries]])=TRUE, SportClimbing[[#This Row],[Total number of tries]], 1)</f>
        <v>1</v>
      </c>
      <c r="P11" t="str">
        <f>IF(ISNUMBER(SportClimbing[[#This Row],[Total number of tries]])=TRUE, "redpoint", SportClimbing[[#This Row],[Total number of tries]])</f>
        <v>onsight</v>
      </c>
      <c r="Q11">
        <f>_xlfn.XLOOKUP(SportClimbing[[#This Row],[Grade]],SCORE[GRADE],SCORE[SCORE],,)</f>
        <v>10</v>
      </c>
    </row>
    <row r="12" spans="1:17" x14ac:dyDescent="0.25">
      <c r="A12" s="21">
        <f>DATE(SportClimbing[[#This Row],[Year]],_xlfn.XLOOKUP(SportClimbing[[#This Row],[Month]],MONTHS[MONTHS 2],MONTHS[MONTHS 3]),SportClimbing[[#This Row],[Day]])</f>
        <v>41310</v>
      </c>
      <c r="B12" s="21" t="b">
        <f ca="1">AND(SportClimbing[[#This Row],[Date]] &gt;= TODAY()-365, SportClimbing[[#This Row],[Date]] &lt;= TODAY())</f>
        <v>0</v>
      </c>
      <c r="C12">
        <v>5</v>
      </c>
      <c r="D12" t="s">
        <v>152</v>
      </c>
      <c r="E12">
        <v>2013</v>
      </c>
      <c r="F12" t="s">
        <v>31</v>
      </c>
      <c r="G12" t="s">
        <v>3</v>
      </c>
      <c r="H12" t="s">
        <v>262</v>
      </c>
      <c r="I12" t="s">
        <v>25</v>
      </c>
      <c r="J12" t="s">
        <v>26</v>
      </c>
      <c r="K12">
        <v>12</v>
      </c>
      <c r="L12" t="str">
        <f>IF(SportClimbing[[#This Row],[Height (m)]]&lt;11, "0-10", IF(SportClimbing[[#This Row],[Height (m)]]&lt;16, "11-15", IF(SportClimbing[[#This Row],[Height (m)]]&lt;21, "16-20", IF(SportClimbing[[#This Row],[Height (m)]]&lt;26, "21-25", IF(SportClimbing[[#This Row],[Height (m)]]&lt;31, "26-30", IF(SportClimbing[[#This Row],[Height (m)]]&lt;36, "31-35", "35+"))))))</f>
        <v>11-15</v>
      </c>
      <c r="M12" t="s">
        <v>147</v>
      </c>
      <c r="N12">
        <v>12</v>
      </c>
      <c r="O12">
        <f>IF(ISNUMBER(SportClimbing[[#This Row],[Total number of tries]])=TRUE, SportClimbing[[#This Row],[Total number of tries]], 1)</f>
        <v>12</v>
      </c>
      <c r="P12" t="str">
        <f>IF(ISNUMBER(SportClimbing[[#This Row],[Total number of tries]])=TRUE, "redpoint", SportClimbing[[#This Row],[Total number of tries]])</f>
        <v>redpoint</v>
      </c>
      <c r="Q12">
        <f>_xlfn.XLOOKUP(SportClimbing[[#This Row],[Grade]],SCORE[GRADE],SCORE[SCORE],,)</f>
        <v>10</v>
      </c>
    </row>
    <row r="13" spans="1:17" x14ac:dyDescent="0.25">
      <c r="A13" s="21">
        <f>DATE(SportClimbing[[#This Row],[Year]],_xlfn.XLOOKUP(SportClimbing[[#This Row],[Month]],MONTHS[MONTHS 2],MONTHS[MONTHS 3]),SportClimbing[[#This Row],[Day]])</f>
        <v>41314</v>
      </c>
      <c r="B13" s="21" t="b">
        <f ca="1">AND(SportClimbing[[#This Row],[Date]] &gt;= TODAY()-365, SportClimbing[[#This Row],[Date]] &lt;= TODAY())</f>
        <v>0</v>
      </c>
      <c r="C13">
        <v>9</v>
      </c>
      <c r="D13" t="s">
        <v>152</v>
      </c>
      <c r="E13">
        <v>2013</v>
      </c>
      <c r="F13" t="s">
        <v>42</v>
      </c>
      <c r="G13" t="s">
        <v>32</v>
      </c>
      <c r="H13" t="s">
        <v>262</v>
      </c>
      <c r="I13" t="s">
        <v>25</v>
      </c>
      <c r="J13" t="s">
        <v>26</v>
      </c>
      <c r="K13">
        <v>25</v>
      </c>
      <c r="L13" t="str">
        <f>IF(SportClimbing[[#This Row],[Height (m)]]&lt;11, "0-10", IF(SportClimbing[[#This Row],[Height (m)]]&lt;16, "11-15", IF(SportClimbing[[#This Row],[Height (m)]]&lt;21, "16-20", IF(SportClimbing[[#This Row],[Height (m)]]&lt;26, "21-25", IF(SportClimbing[[#This Row],[Height (m)]]&lt;31, "26-30", IF(SportClimbing[[#This Row],[Height (m)]]&lt;36, "31-35", "35+"))))))</f>
        <v>21-25</v>
      </c>
      <c r="M13" t="s">
        <v>147</v>
      </c>
      <c r="N13">
        <v>2</v>
      </c>
      <c r="O13">
        <f>IF(ISNUMBER(SportClimbing[[#This Row],[Total number of tries]])=TRUE, SportClimbing[[#This Row],[Total number of tries]], 1)</f>
        <v>2</v>
      </c>
      <c r="P13" t="str">
        <f>IF(ISNUMBER(SportClimbing[[#This Row],[Total number of tries]])=TRUE, "redpoint", SportClimbing[[#This Row],[Total number of tries]])</f>
        <v>redpoint</v>
      </c>
      <c r="Q13">
        <f>_xlfn.XLOOKUP(SportClimbing[[#This Row],[Grade]],SCORE[GRADE],SCORE[SCORE],,)</f>
        <v>40</v>
      </c>
    </row>
    <row r="14" spans="1:17" x14ac:dyDescent="0.25">
      <c r="A14" s="21">
        <f>DATE(SportClimbing[[#This Row],[Year]],_xlfn.XLOOKUP(SportClimbing[[#This Row],[Month]],MONTHS[MONTHS 2],MONTHS[MONTHS 3]),SportClimbing[[#This Row],[Day]])</f>
        <v>41331</v>
      </c>
      <c r="B14" s="21" t="b">
        <f ca="1">AND(SportClimbing[[#This Row],[Date]] &gt;= TODAY()-365, SportClimbing[[#This Row],[Date]] &lt;= TODAY())</f>
        <v>0</v>
      </c>
      <c r="C14">
        <v>26</v>
      </c>
      <c r="D14" t="s">
        <v>152</v>
      </c>
      <c r="E14">
        <v>2013</v>
      </c>
      <c r="F14" t="s">
        <v>36</v>
      </c>
      <c r="G14" t="s">
        <v>21</v>
      </c>
      <c r="H14" t="s">
        <v>262</v>
      </c>
      <c r="I14" t="s">
        <v>22</v>
      </c>
      <c r="J14" t="s">
        <v>23</v>
      </c>
      <c r="K14">
        <v>20</v>
      </c>
      <c r="L14" t="str">
        <f>IF(SportClimbing[[#This Row],[Height (m)]]&lt;11, "0-10", IF(SportClimbing[[#This Row],[Height (m)]]&lt;16, "11-15", IF(SportClimbing[[#This Row],[Height (m)]]&lt;21, "16-20", IF(SportClimbing[[#This Row],[Height (m)]]&lt;26, "21-25", IF(SportClimbing[[#This Row],[Height (m)]]&lt;31, "26-30", IF(SportClimbing[[#This Row],[Height (m)]]&lt;36, "31-35", "35+"))))))</f>
        <v>16-20</v>
      </c>
      <c r="M14" t="s">
        <v>37</v>
      </c>
      <c r="N14" t="s">
        <v>11</v>
      </c>
      <c r="O14">
        <f>IF(ISNUMBER(SportClimbing[[#This Row],[Total number of tries]])=TRUE, SportClimbing[[#This Row],[Total number of tries]], 1)</f>
        <v>1</v>
      </c>
      <c r="P14" t="str">
        <f>IF(ISNUMBER(SportClimbing[[#This Row],[Total number of tries]])=TRUE, "redpoint", SportClimbing[[#This Row],[Total number of tries]])</f>
        <v>flash</v>
      </c>
      <c r="Q14">
        <f>_xlfn.XLOOKUP(SportClimbing[[#This Row],[Grade]],SCORE[GRADE],SCORE[SCORE],,)</f>
        <v>15</v>
      </c>
    </row>
    <row r="15" spans="1:17" x14ac:dyDescent="0.25">
      <c r="A15" s="21">
        <f>DATE(SportClimbing[[#This Row],[Year]],_xlfn.XLOOKUP(SportClimbing[[#This Row],[Month]],MONTHS[MONTHS 2],MONTHS[MONTHS 3]),SportClimbing[[#This Row],[Day]])</f>
        <v>41331</v>
      </c>
      <c r="B15" s="21" t="b">
        <f ca="1">AND(SportClimbing[[#This Row],[Date]] &gt;= TODAY()-365, SportClimbing[[#This Row],[Date]] &lt;= TODAY())</f>
        <v>0</v>
      </c>
      <c r="C15">
        <v>26</v>
      </c>
      <c r="D15" t="s">
        <v>152</v>
      </c>
      <c r="E15">
        <v>2013</v>
      </c>
      <c r="F15" t="s">
        <v>35</v>
      </c>
      <c r="G15" t="s">
        <v>3</v>
      </c>
      <c r="H15" t="s">
        <v>262</v>
      </c>
      <c r="I15" t="s">
        <v>22</v>
      </c>
      <c r="J15" t="s">
        <v>23</v>
      </c>
      <c r="K15">
        <v>20</v>
      </c>
      <c r="L15" t="str">
        <f>IF(SportClimbing[[#This Row],[Height (m)]]&lt;11, "0-10", IF(SportClimbing[[#This Row],[Height (m)]]&lt;16, "11-15", IF(SportClimbing[[#This Row],[Height (m)]]&lt;21, "16-20", IF(SportClimbing[[#This Row],[Height (m)]]&lt;26, "21-25", IF(SportClimbing[[#This Row],[Height (m)]]&lt;31, "26-30", IF(SportClimbing[[#This Row],[Height (m)]]&lt;36, "31-35", "35+"))))))</f>
        <v>16-20</v>
      </c>
      <c r="M15" t="s">
        <v>24</v>
      </c>
      <c r="N15" t="s">
        <v>130</v>
      </c>
      <c r="O15">
        <f>IF(ISNUMBER(SportClimbing[[#This Row],[Total number of tries]])=TRUE, SportClimbing[[#This Row],[Total number of tries]], 1)</f>
        <v>1</v>
      </c>
      <c r="P15" t="str">
        <f>IF(ISNUMBER(SportClimbing[[#This Row],[Total number of tries]])=TRUE, "redpoint", SportClimbing[[#This Row],[Total number of tries]])</f>
        <v>onsight</v>
      </c>
      <c r="Q15">
        <f>_xlfn.XLOOKUP(SportClimbing[[#This Row],[Grade]],SCORE[GRADE],SCORE[SCORE],,)</f>
        <v>10</v>
      </c>
    </row>
    <row r="16" spans="1:17" x14ac:dyDescent="0.25">
      <c r="A16" s="21">
        <f>DATE(SportClimbing[[#This Row],[Year]],_xlfn.XLOOKUP(SportClimbing[[#This Row],[Month]],MONTHS[MONTHS 2],MONTHS[MONTHS 3]),SportClimbing[[#This Row],[Day]])</f>
        <v>41342</v>
      </c>
      <c r="B16" s="21" t="b">
        <f ca="1">AND(SportClimbing[[#This Row],[Date]] &gt;= TODAY()-365, SportClimbing[[#This Row],[Date]] &lt;= TODAY())</f>
        <v>0</v>
      </c>
      <c r="C16">
        <v>9</v>
      </c>
      <c r="D16" t="s">
        <v>367</v>
      </c>
      <c r="E16">
        <v>2013</v>
      </c>
      <c r="F16" t="s">
        <v>40</v>
      </c>
      <c r="G16" t="s">
        <v>21</v>
      </c>
      <c r="H16" t="s">
        <v>262</v>
      </c>
      <c r="I16" t="s">
        <v>22</v>
      </c>
      <c r="J16" t="s">
        <v>23</v>
      </c>
      <c r="K16">
        <v>20</v>
      </c>
      <c r="L16" t="str">
        <f>IF(SportClimbing[[#This Row],[Height (m)]]&lt;11, "0-10", IF(SportClimbing[[#This Row],[Height (m)]]&lt;16, "11-15", IF(SportClimbing[[#This Row],[Height (m)]]&lt;21, "16-20", IF(SportClimbing[[#This Row],[Height (m)]]&lt;26, "21-25", IF(SportClimbing[[#This Row],[Height (m)]]&lt;31, "26-30", IF(SportClimbing[[#This Row],[Height (m)]]&lt;36, "31-35", "35+"))))))</f>
        <v>16-20</v>
      </c>
      <c r="M16" t="s">
        <v>38</v>
      </c>
      <c r="N16">
        <v>2</v>
      </c>
      <c r="O16">
        <f>IF(ISNUMBER(SportClimbing[[#This Row],[Total number of tries]])=TRUE, SportClimbing[[#This Row],[Total number of tries]], 1)</f>
        <v>2</v>
      </c>
      <c r="P16" t="str">
        <f>IF(ISNUMBER(SportClimbing[[#This Row],[Total number of tries]])=TRUE, "redpoint", SportClimbing[[#This Row],[Total number of tries]])</f>
        <v>redpoint</v>
      </c>
      <c r="Q16">
        <f>_xlfn.XLOOKUP(SportClimbing[[#This Row],[Grade]],SCORE[GRADE],SCORE[SCORE],,)</f>
        <v>15</v>
      </c>
    </row>
    <row r="17" spans="1:17" x14ac:dyDescent="0.25">
      <c r="A17" s="21">
        <f>DATE(SportClimbing[[#This Row],[Year]],_xlfn.XLOOKUP(SportClimbing[[#This Row],[Month]],MONTHS[MONTHS 2],MONTHS[MONTHS 3]),SportClimbing[[#This Row],[Day]])</f>
        <v>41342</v>
      </c>
      <c r="B17" s="21" t="b">
        <f ca="1">AND(SportClimbing[[#This Row],[Date]] &gt;= TODAY()-365, SportClimbing[[#This Row],[Date]] &lt;= TODAY())</f>
        <v>0</v>
      </c>
      <c r="C17">
        <v>9</v>
      </c>
      <c r="D17" t="s">
        <v>367</v>
      </c>
      <c r="E17">
        <v>2013</v>
      </c>
      <c r="F17" t="s">
        <v>39</v>
      </c>
      <c r="G17" t="s">
        <v>3</v>
      </c>
      <c r="H17" t="s">
        <v>262</v>
      </c>
      <c r="I17" t="s">
        <v>22</v>
      </c>
      <c r="J17" t="s">
        <v>23</v>
      </c>
      <c r="K17">
        <v>20</v>
      </c>
      <c r="L17" t="str">
        <f>IF(SportClimbing[[#This Row],[Height (m)]]&lt;11, "0-10", IF(SportClimbing[[#This Row],[Height (m)]]&lt;16, "11-15", IF(SportClimbing[[#This Row],[Height (m)]]&lt;21, "16-20", IF(SportClimbing[[#This Row],[Height (m)]]&lt;26, "21-25", IF(SportClimbing[[#This Row],[Height (m)]]&lt;31, "26-30", IF(SportClimbing[[#This Row],[Height (m)]]&lt;36, "31-35", "35+"))))))</f>
        <v>16-20</v>
      </c>
      <c r="M17" t="s">
        <v>38</v>
      </c>
      <c r="N17">
        <v>2</v>
      </c>
      <c r="O17">
        <f>IF(ISNUMBER(SportClimbing[[#This Row],[Total number of tries]])=TRUE, SportClimbing[[#This Row],[Total number of tries]], 1)</f>
        <v>2</v>
      </c>
      <c r="P17" t="str">
        <f>IF(ISNUMBER(SportClimbing[[#This Row],[Total number of tries]])=TRUE, "redpoint", SportClimbing[[#This Row],[Total number of tries]])</f>
        <v>redpoint</v>
      </c>
      <c r="Q17">
        <f>_xlfn.XLOOKUP(SportClimbing[[#This Row],[Grade]],SCORE[GRADE],SCORE[SCORE],,)</f>
        <v>10</v>
      </c>
    </row>
    <row r="18" spans="1:17" x14ac:dyDescent="0.25">
      <c r="A18" s="21">
        <f>DATE(SportClimbing[[#This Row],[Year]],_xlfn.XLOOKUP(SportClimbing[[#This Row],[Month]],MONTHS[MONTHS 2],MONTHS[MONTHS 3]),SportClimbing[[#This Row],[Day]])</f>
        <v>41354</v>
      </c>
      <c r="B18" s="21" t="b">
        <f ca="1">AND(SportClimbing[[#This Row],[Date]] &gt;= TODAY()-365, SportClimbing[[#This Row],[Date]] &lt;= TODAY())</f>
        <v>0</v>
      </c>
      <c r="C18">
        <v>21</v>
      </c>
      <c r="D18" t="s">
        <v>367</v>
      </c>
      <c r="E18">
        <v>2013</v>
      </c>
      <c r="F18" t="s">
        <v>41</v>
      </c>
      <c r="G18" t="s">
        <v>32</v>
      </c>
      <c r="H18" t="s">
        <v>262</v>
      </c>
      <c r="I18" t="s">
        <v>25</v>
      </c>
      <c r="J18" t="s">
        <v>26</v>
      </c>
      <c r="K18">
        <v>18</v>
      </c>
      <c r="L18" t="str">
        <f>IF(SportClimbing[[#This Row],[Height (m)]]&lt;11, "0-10", IF(SportClimbing[[#This Row],[Height (m)]]&lt;16, "11-15", IF(SportClimbing[[#This Row],[Height (m)]]&lt;21, "16-20", IF(SportClimbing[[#This Row],[Height (m)]]&lt;26, "21-25", IF(SportClimbing[[#This Row],[Height (m)]]&lt;31, "26-30", IF(SportClimbing[[#This Row],[Height (m)]]&lt;36, "31-35", "35+"))))))</f>
        <v>16-20</v>
      </c>
      <c r="M18" t="s">
        <v>147</v>
      </c>
      <c r="N18">
        <v>8</v>
      </c>
      <c r="O18">
        <f>IF(ISNUMBER(SportClimbing[[#This Row],[Total number of tries]])=TRUE, SportClimbing[[#This Row],[Total number of tries]], 1)</f>
        <v>8</v>
      </c>
      <c r="P18" t="str">
        <f>IF(ISNUMBER(SportClimbing[[#This Row],[Total number of tries]])=TRUE, "redpoint", SportClimbing[[#This Row],[Total number of tries]])</f>
        <v>redpoint</v>
      </c>
      <c r="Q18">
        <f>_xlfn.XLOOKUP(SportClimbing[[#This Row],[Grade]],SCORE[GRADE],SCORE[SCORE],,)</f>
        <v>40</v>
      </c>
    </row>
    <row r="19" spans="1:17" x14ac:dyDescent="0.25">
      <c r="A19" s="21">
        <f>DATE(SportClimbing[[#This Row],[Year]],_xlfn.XLOOKUP(SportClimbing[[#This Row],[Month]],MONTHS[MONTHS 2],MONTHS[MONTHS 3]),SportClimbing[[#This Row],[Day]])</f>
        <v>41374</v>
      </c>
      <c r="B19" s="21" t="b">
        <f ca="1">AND(SportClimbing[[#This Row],[Date]] &gt;= TODAY()-365, SportClimbing[[#This Row],[Date]] &lt;= TODAY())</f>
        <v>0</v>
      </c>
      <c r="C19">
        <v>10</v>
      </c>
      <c r="D19" t="s">
        <v>368</v>
      </c>
      <c r="E19">
        <v>2013</v>
      </c>
      <c r="F19" t="s">
        <v>54</v>
      </c>
      <c r="G19" t="s">
        <v>32</v>
      </c>
      <c r="H19" t="s">
        <v>262</v>
      </c>
      <c r="I19" t="s">
        <v>25</v>
      </c>
      <c r="J19" t="s">
        <v>26</v>
      </c>
      <c r="K19">
        <v>25</v>
      </c>
      <c r="L19" t="str">
        <f>IF(SportClimbing[[#This Row],[Height (m)]]&lt;11, "0-10", IF(SportClimbing[[#This Row],[Height (m)]]&lt;16, "11-15", IF(SportClimbing[[#This Row],[Height (m)]]&lt;21, "16-20", IF(SportClimbing[[#This Row],[Height (m)]]&lt;26, "21-25", IF(SportClimbing[[#This Row],[Height (m)]]&lt;31, "26-30", IF(SportClimbing[[#This Row],[Height (m)]]&lt;36, "31-35", "35+"))))))</f>
        <v>21-25</v>
      </c>
      <c r="M19" t="s">
        <v>148</v>
      </c>
      <c r="N19">
        <v>14</v>
      </c>
      <c r="O19">
        <f>IF(ISNUMBER(SportClimbing[[#This Row],[Total number of tries]])=TRUE, SportClimbing[[#This Row],[Total number of tries]], 1)</f>
        <v>14</v>
      </c>
      <c r="P19" t="str">
        <f>IF(ISNUMBER(SportClimbing[[#This Row],[Total number of tries]])=TRUE, "redpoint", SportClimbing[[#This Row],[Total number of tries]])</f>
        <v>redpoint</v>
      </c>
      <c r="Q19">
        <f>_xlfn.XLOOKUP(SportClimbing[[#This Row],[Grade]],SCORE[GRADE],SCORE[SCORE],,)</f>
        <v>40</v>
      </c>
    </row>
    <row r="20" spans="1:17" x14ac:dyDescent="0.25">
      <c r="A20" s="21">
        <f>DATE(SportClimbing[[#This Row],[Year]],_xlfn.XLOOKUP(SportClimbing[[#This Row],[Month]],MONTHS[MONTHS 2],MONTHS[MONTHS 3]),SportClimbing[[#This Row],[Day]])</f>
        <v>41377</v>
      </c>
      <c r="B20" s="21" t="b">
        <f ca="1">AND(SportClimbing[[#This Row],[Date]] &gt;= TODAY()-365, SportClimbing[[#This Row],[Date]] &lt;= TODAY())</f>
        <v>0</v>
      </c>
      <c r="C20">
        <v>13</v>
      </c>
      <c r="D20" t="s">
        <v>368</v>
      </c>
      <c r="E20">
        <v>2013</v>
      </c>
      <c r="F20" t="s">
        <v>45</v>
      </c>
      <c r="G20" t="s">
        <v>3</v>
      </c>
      <c r="H20" t="s">
        <v>262</v>
      </c>
      <c r="I20" t="s">
        <v>43</v>
      </c>
      <c r="J20" t="s">
        <v>91</v>
      </c>
      <c r="K20">
        <v>30</v>
      </c>
      <c r="L20" t="str">
        <f>IF(SportClimbing[[#This Row],[Height (m)]]&lt;11, "0-10", IF(SportClimbing[[#This Row],[Height (m)]]&lt;16, "11-15", IF(SportClimbing[[#This Row],[Height (m)]]&lt;21, "16-20", IF(SportClimbing[[#This Row],[Height (m)]]&lt;26, "21-25", IF(SportClimbing[[#This Row],[Height (m)]]&lt;31, "26-30", IF(SportClimbing[[#This Row],[Height (m)]]&lt;36, "31-35", "35+"))))))</f>
        <v>26-30</v>
      </c>
      <c r="M20" t="s">
        <v>218</v>
      </c>
      <c r="N20" t="s">
        <v>130</v>
      </c>
      <c r="O20">
        <f>IF(ISNUMBER(SportClimbing[[#This Row],[Total number of tries]])=TRUE, SportClimbing[[#This Row],[Total number of tries]], 1)</f>
        <v>1</v>
      </c>
      <c r="P20" t="str">
        <f>IF(ISNUMBER(SportClimbing[[#This Row],[Total number of tries]])=TRUE, "redpoint", SportClimbing[[#This Row],[Total number of tries]])</f>
        <v>onsight</v>
      </c>
      <c r="Q20">
        <f>_xlfn.XLOOKUP(SportClimbing[[#This Row],[Grade]],SCORE[GRADE],SCORE[SCORE],,)</f>
        <v>10</v>
      </c>
    </row>
    <row r="21" spans="1:17" x14ac:dyDescent="0.25">
      <c r="A21" s="21">
        <f>DATE(SportClimbing[[#This Row],[Year]],_xlfn.XLOOKUP(SportClimbing[[#This Row],[Month]],MONTHS[MONTHS 2],MONTHS[MONTHS 3]),SportClimbing[[#This Row],[Day]])</f>
        <v>41377</v>
      </c>
      <c r="B21" s="21" t="b">
        <f ca="1">AND(SportClimbing[[#This Row],[Date]] &gt;= TODAY()-365, SportClimbing[[#This Row],[Date]] &lt;= TODAY())</f>
        <v>0</v>
      </c>
      <c r="C21">
        <v>13</v>
      </c>
      <c r="D21" t="s">
        <v>368</v>
      </c>
      <c r="E21">
        <v>2013</v>
      </c>
      <c r="F21" t="s">
        <v>46</v>
      </c>
      <c r="G21" t="s">
        <v>3</v>
      </c>
      <c r="H21" t="s">
        <v>262</v>
      </c>
      <c r="I21" t="s">
        <v>43</v>
      </c>
      <c r="J21" t="s">
        <v>91</v>
      </c>
      <c r="K21">
        <v>30</v>
      </c>
      <c r="L21" t="str">
        <f>IF(SportClimbing[[#This Row],[Height (m)]]&lt;11, "0-10", IF(SportClimbing[[#This Row],[Height (m)]]&lt;16, "11-15", IF(SportClimbing[[#This Row],[Height (m)]]&lt;21, "16-20", IF(SportClimbing[[#This Row],[Height (m)]]&lt;26, "21-25", IF(SportClimbing[[#This Row],[Height (m)]]&lt;31, "26-30", IF(SportClimbing[[#This Row],[Height (m)]]&lt;36, "31-35", "35+"))))))</f>
        <v>26-30</v>
      </c>
      <c r="M21" t="s">
        <v>52</v>
      </c>
      <c r="N21" t="s">
        <v>130</v>
      </c>
      <c r="O21">
        <f>IF(ISNUMBER(SportClimbing[[#This Row],[Total number of tries]])=TRUE, SportClimbing[[#This Row],[Total number of tries]], 1)</f>
        <v>1</v>
      </c>
      <c r="P21" t="str">
        <f>IF(ISNUMBER(SportClimbing[[#This Row],[Total number of tries]])=TRUE, "redpoint", SportClimbing[[#This Row],[Total number of tries]])</f>
        <v>onsight</v>
      </c>
      <c r="Q21">
        <f>_xlfn.XLOOKUP(SportClimbing[[#This Row],[Grade]],SCORE[GRADE],SCORE[SCORE],,)</f>
        <v>10</v>
      </c>
    </row>
    <row r="22" spans="1:17" x14ac:dyDescent="0.25">
      <c r="A22" s="21">
        <f>DATE(SportClimbing[[#This Row],[Year]],_xlfn.XLOOKUP(SportClimbing[[#This Row],[Month]],MONTHS[MONTHS 2],MONTHS[MONTHS 3]),SportClimbing[[#This Row],[Day]])</f>
        <v>41377</v>
      </c>
      <c r="B22" s="21" t="b">
        <f ca="1">AND(SportClimbing[[#This Row],[Date]] &gt;= TODAY()-365, SportClimbing[[#This Row],[Date]] &lt;= TODAY())</f>
        <v>0</v>
      </c>
      <c r="C22">
        <v>13</v>
      </c>
      <c r="D22" t="s">
        <v>368</v>
      </c>
      <c r="E22">
        <v>2013</v>
      </c>
      <c r="F22" t="s">
        <v>197</v>
      </c>
      <c r="G22" t="s">
        <v>3</v>
      </c>
      <c r="H22" t="s">
        <v>262</v>
      </c>
      <c r="I22" t="s">
        <v>43</v>
      </c>
      <c r="J22" t="s">
        <v>91</v>
      </c>
      <c r="K22">
        <v>25</v>
      </c>
      <c r="L22" t="str">
        <f>IF(SportClimbing[[#This Row],[Height (m)]]&lt;11, "0-10", IF(SportClimbing[[#This Row],[Height (m)]]&lt;16, "11-15", IF(SportClimbing[[#This Row],[Height (m)]]&lt;21, "16-20", IF(SportClimbing[[#This Row],[Height (m)]]&lt;26, "21-25", IF(SportClimbing[[#This Row],[Height (m)]]&lt;31, "26-30", IF(SportClimbing[[#This Row],[Height (m)]]&lt;36, "31-35", "35+"))))))</f>
        <v>21-25</v>
      </c>
      <c r="M22" t="s">
        <v>146</v>
      </c>
      <c r="N22">
        <v>2</v>
      </c>
      <c r="O22">
        <f>IF(ISNUMBER(SportClimbing[[#This Row],[Total number of tries]])=TRUE, SportClimbing[[#This Row],[Total number of tries]], 1)</f>
        <v>2</v>
      </c>
      <c r="P22" t="str">
        <f>IF(ISNUMBER(SportClimbing[[#This Row],[Total number of tries]])=TRUE, "redpoint", SportClimbing[[#This Row],[Total number of tries]])</f>
        <v>redpoint</v>
      </c>
      <c r="Q22">
        <f>_xlfn.XLOOKUP(SportClimbing[[#This Row],[Grade]],SCORE[GRADE],SCORE[SCORE],,)</f>
        <v>10</v>
      </c>
    </row>
    <row r="23" spans="1:17" x14ac:dyDescent="0.25">
      <c r="A23" s="21">
        <f>DATE(SportClimbing[[#This Row],[Year]],_xlfn.XLOOKUP(SportClimbing[[#This Row],[Month]],MONTHS[MONTHS 2],MONTHS[MONTHS 3]),SportClimbing[[#This Row],[Day]])</f>
        <v>41381</v>
      </c>
      <c r="B23" s="21" t="b">
        <f ca="1">AND(SportClimbing[[#This Row],[Date]] &gt;= TODAY()-365, SportClimbing[[#This Row],[Date]] &lt;= TODAY())</f>
        <v>0</v>
      </c>
      <c r="C23">
        <v>17</v>
      </c>
      <c r="D23" t="s">
        <v>368</v>
      </c>
      <c r="E23">
        <v>2013</v>
      </c>
      <c r="F23" t="s">
        <v>47</v>
      </c>
      <c r="G23" t="s">
        <v>32</v>
      </c>
      <c r="H23" t="s">
        <v>262</v>
      </c>
      <c r="I23" t="s">
        <v>22</v>
      </c>
      <c r="J23" t="s">
        <v>23</v>
      </c>
      <c r="K23">
        <v>20</v>
      </c>
      <c r="L23" t="str">
        <f>IF(SportClimbing[[#This Row],[Height (m)]]&lt;11, "0-10", IF(SportClimbing[[#This Row],[Height (m)]]&lt;16, "11-15", IF(SportClimbing[[#This Row],[Height (m)]]&lt;21, "16-20", IF(SportClimbing[[#This Row],[Height (m)]]&lt;26, "21-25", IF(SportClimbing[[#This Row],[Height (m)]]&lt;31, "26-30", IF(SportClimbing[[#This Row],[Height (m)]]&lt;36, "31-35", "35+"))))))</f>
        <v>16-20</v>
      </c>
      <c r="M23" t="s">
        <v>146</v>
      </c>
      <c r="N23">
        <v>2</v>
      </c>
      <c r="O23">
        <f>IF(ISNUMBER(SportClimbing[[#This Row],[Total number of tries]])=TRUE, SportClimbing[[#This Row],[Total number of tries]], 1)</f>
        <v>2</v>
      </c>
      <c r="P23" t="str">
        <f>IF(ISNUMBER(SportClimbing[[#This Row],[Total number of tries]])=TRUE, "redpoint", SportClimbing[[#This Row],[Total number of tries]])</f>
        <v>redpoint</v>
      </c>
      <c r="Q23">
        <f>_xlfn.XLOOKUP(SportClimbing[[#This Row],[Grade]],SCORE[GRADE],SCORE[SCORE],,)</f>
        <v>40</v>
      </c>
    </row>
    <row r="24" spans="1:17" x14ac:dyDescent="0.25">
      <c r="A24" s="21">
        <f>DATE(SportClimbing[[#This Row],[Year]],_xlfn.XLOOKUP(SportClimbing[[#This Row],[Month]],MONTHS[MONTHS 2],MONTHS[MONTHS 3]),SportClimbing[[#This Row],[Day]])</f>
        <v>41398</v>
      </c>
      <c r="B24" s="21" t="b">
        <f ca="1">AND(SportClimbing[[#This Row],[Date]] &gt;= TODAY()-365, SportClimbing[[#This Row],[Date]] &lt;= TODAY())</f>
        <v>0</v>
      </c>
      <c r="C24">
        <v>4</v>
      </c>
      <c r="D24" t="s">
        <v>155</v>
      </c>
      <c r="E24">
        <v>2013</v>
      </c>
      <c r="F24" t="s">
        <v>48</v>
      </c>
      <c r="G24" t="s">
        <v>32</v>
      </c>
      <c r="H24" t="s">
        <v>262</v>
      </c>
      <c r="I24" t="s">
        <v>49</v>
      </c>
      <c r="J24" t="s">
        <v>50</v>
      </c>
      <c r="K24">
        <v>22</v>
      </c>
      <c r="L24" t="str">
        <f>IF(SportClimbing[[#This Row],[Height (m)]]&lt;11, "0-10", IF(SportClimbing[[#This Row],[Height (m)]]&lt;16, "11-15", IF(SportClimbing[[#This Row],[Height (m)]]&lt;21, "16-20", IF(SportClimbing[[#This Row],[Height (m)]]&lt;26, "21-25", IF(SportClimbing[[#This Row],[Height (m)]]&lt;31, "26-30", IF(SportClimbing[[#This Row],[Height (m)]]&lt;36, "31-35", "35+"))))))</f>
        <v>21-25</v>
      </c>
      <c r="M24" t="s">
        <v>148</v>
      </c>
      <c r="N24">
        <v>10</v>
      </c>
      <c r="O24">
        <f>IF(ISNUMBER(SportClimbing[[#This Row],[Total number of tries]])=TRUE, SportClimbing[[#This Row],[Total number of tries]], 1)</f>
        <v>10</v>
      </c>
      <c r="P24" t="str">
        <f>IF(ISNUMBER(SportClimbing[[#This Row],[Total number of tries]])=TRUE, "redpoint", SportClimbing[[#This Row],[Total number of tries]])</f>
        <v>redpoint</v>
      </c>
      <c r="Q24">
        <f>_xlfn.XLOOKUP(SportClimbing[[#This Row],[Grade]],SCORE[GRADE],SCORE[SCORE],,)</f>
        <v>40</v>
      </c>
    </row>
    <row r="25" spans="1:17" x14ac:dyDescent="0.25">
      <c r="A25" s="21">
        <f>DATE(SportClimbing[[#This Row],[Year]],_xlfn.XLOOKUP(SportClimbing[[#This Row],[Month]],MONTHS[MONTHS 2],MONTHS[MONTHS 3]),SportClimbing[[#This Row],[Day]])</f>
        <v>41423</v>
      </c>
      <c r="B25" s="21" t="b">
        <f ca="1">AND(SportClimbing[[#This Row],[Date]] &gt;= TODAY()-365, SportClimbing[[#This Row],[Date]] &lt;= TODAY())</f>
        <v>0</v>
      </c>
      <c r="C25">
        <v>29</v>
      </c>
      <c r="D25" t="s">
        <v>155</v>
      </c>
      <c r="E25">
        <v>2013</v>
      </c>
      <c r="F25" t="s">
        <v>51</v>
      </c>
      <c r="G25" t="s">
        <v>3</v>
      </c>
      <c r="H25" t="s">
        <v>262</v>
      </c>
      <c r="I25" t="s">
        <v>49</v>
      </c>
      <c r="J25" t="s">
        <v>50</v>
      </c>
      <c r="K25">
        <v>18</v>
      </c>
      <c r="L25" t="str">
        <f>IF(SportClimbing[[#This Row],[Height (m)]]&lt;11, "0-10", IF(SportClimbing[[#This Row],[Height (m)]]&lt;16, "11-15", IF(SportClimbing[[#This Row],[Height (m)]]&lt;21, "16-20", IF(SportClimbing[[#This Row],[Height (m)]]&lt;26, "21-25", IF(SportClimbing[[#This Row],[Height (m)]]&lt;31, "26-30", IF(SportClimbing[[#This Row],[Height (m)]]&lt;36, "31-35", "35+"))))))</f>
        <v>16-20</v>
      </c>
      <c r="M25" t="s">
        <v>148</v>
      </c>
      <c r="N25">
        <v>2</v>
      </c>
      <c r="O25">
        <f>IF(ISNUMBER(SportClimbing[[#This Row],[Total number of tries]])=TRUE, SportClimbing[[#This Row],[Total number of tries]], 1)</f>
        <v>2</v>
      </c>
      <c r="P25" t="str">
        <f>IF(ISNUMBER(SportClimbing[[#This Row],[Total number of tries]])=TRUE, "redpoint", SportClimbing[[#This Row],[Total number of tries]])</f>
        <v>redpoint</v>
      </c>
      <c r="Q25">
        <f>_xlfn.XLOOKUP(SportClimbing[[#This Row],[Grade]],SCORE[GRADE],SCORE[SCORE],,)</f>
        <v>10</v>
      </c>
    </row>
    <row r="26" spans="1:17" x14ac:dyDescent="0.25">
      <c r="A26" s="21">
        <f>DATE(SportClimbing[[#This Row],[Year]],_xlfn.XLOOKUP(SportClimbing[[#This Row],[Month]],MONTHS[MONTHS 2],MONTHS[MONTHS 3]),SportClimbing[[#This Row],[Day]])</f>
        <v>42534</v>
      </c>
      <c r="B26" s="21" t="b">
        <f ca="1">AND(SportClimbing[[#This Row],[Date]] &gt;= TODAY()-365, SportClimbing[[#This Row],[Date]] &lt;= TODAY())</f>
        <v>0</v>
      </c>
      <c r="C26">
        <v>13</v>
      </c>
      <c r="D26" t="s">
        <v>366</v>
      </c>
      <c r="E26">
        <v>2016</v>
      </c>
      <c r="F26" t="s">
        <v>88</v>
      </c>
      <c r="G26" t="s">
        <v>3</v>
      </c>
      <c r="H26" t="s">
        <v>262</v>
      </c>
      <c r="I26" t="s">
        <v>25</v>
      </c>
      <c r="J26" t="s">
        <v>86</v>
      </c>
      <c r="K26">
        <v>15</v>
      </c>
      <c r="L26" t="str">
        <f>IF(SportClimbing[[#This Row],[Height (m)]]&lt;11, "0-10", IF(SportClimbing[[#This Row],[Height (m)]]&lt;16, "11-15", IF(SportClimbing[[#This Row],[Height (m)]]&lt;21, "16-20", IF(SportClimbing[[#This Row],[Height (m)]]&lt;26, "21-25", IF(SportClimbing[[#This Row],[Height (m)]]&lt;31, "26-30", IF(SportClimbing[[#This Row],[Height (m)]]&lt;36, "31-35", "35+"))))))</f>
        <v>11-15</v>
      </c>
      <c r="M26" t="s">
        <v>87</v>
      </c>
      <c r="N26">
        <v>2</v>
      </c>
      <c r="O26">
        <f>IF(ISNUMBER(SportClimbing[[#This Row],[Total number of tries]])=TRUE, SportClimbing[[#This Row],[Total number of tries]], 1)</f>
        <v>2</v>
      </c>
      <c r="P26" t="str">
        <f>IF(ISNUMBER(SportClimbing[[#This Row],[Total number of tries]])=TRUE, "redpoint", SportClimbing[[#This Row],[Total number of tries]])</f>
        <v>redpoint</v>
      </c>
      <c r="Q26">
        <f>_xlfn.XLOOKUP(SportClimbing[[#This Row],[Grade]],SCORE[GRADE],SCORE[SCORE],,)</f>
        <v>10</v>
      </c>
    </row>
    <row r="27" spans="1:17" x14ac:dyDescent="0.25">
      <c r="A27" s="21">
        <f>DATE(SportClimbing[[#This Row],[Year]],_xlfn.XLOOKUP(SportClimbing[[#This Row],[Month]],MONTHS[MONTHS 2],MONTHS[MONTHS 3]),SportClimbing[[#This Row],[Day]])</f>
        <v>42686</v>
      </c>
      <c r="B27" s="21" t="b">
        <f ca="1">AND(SportClimbing[[#This Row],[Date]] &gt;= TODAY()-365, SportClimbing[[#This Row],[Date]] &lt;= TODAY())</f>
        <v>0</v>
      </c>
      <c r="C27">
        <v>12</v>
      </c>
      <c r="D27" t="s">
        <v>160</v>
      </c>
      <c r="E27">
        <v>2016</v>
      </c>
      <c r="F27" t="s">
        <v>62</v>
      </c>
      <c r="G27" t="s">
        <v>3</v>
      </c>
      <c r="H27" t="s">
        <v>262</v>
      </c>
      <c r="I27" t="s">
        <v>43</v>
      </c>
      <c r="J27" t="s">
        <v>238</v>
      </c>
      <c r="K27">
        <v>25</v>
      </c>
      <c r="L27" t="str">
        <f>IF(SportClimbing[[#This Row],[Height (m)]]&lt;11, "0-10", IF(SportClimbing[[#This Row],[Height (m)]]&lt;16, "11-15", IF(SportClimbing[[#This Row],[Height (m)]]&lt;21, "16-20", IF(SportClimbing[[#This Row],[Height (m)]]&lt;26, "21-25", IF(SportClimbing[[#This Row],[Height (m)]]&lt;31, "26-30", IF(SportClimbing[[#This Row],[Height (m)]]&lt;36, "31-35", "35+"))))))</f>
        <v>21-25</v>
      </c>
      <c r="M27" t="s">
        <v>150</v>
      </c>
      <c r="N27" t="s">
        <v>11</v>
      </c>
      <c r="O27">
        <f>IF(ISNUMBER(SportClimbing[[#This Row],[Total number of tries]])=TRUE, SportClimbing[[#This Row],[Total number of tries]], 1)</f>
        <v>1</v>
      </c>
      <c r="P27" t="str">
        <f>IF(ISNUMBER(SportClimbing[[#This Row],[Total number of tries]])=TRUE, "redpoint", SportClimbing[[#This Row],[Total number of tries]])</f>
        <v>flash</v>
      </c>
      <c r="Q27">
        <f>_xlfn.XLOOKUP(SportClimbing[[#This Row],[Grade]],SCORE[GRADE],SCORE[SCORE],,)</f>
        <v>10</v>
      </c>
    </row>
    <row r="28" spans="1:17" x14ac:dyDescent="0.25">
      <c r="A28" s="21">
        <f>DATE(SportClimbing[[#This Row],[Year]],_xlfn.XLOOKUP(SportClimbing[[#This Row],[Month]],MONTHS[MONTHS 2],MONTHS[MONTHS 3]),SportClimbing[[#This Row],[Day]])</f>
        <v>42827</v>
      </c>
      <c r="B28" s="21" t="b">
        <f ca="1">AND(SportClimbing[[#This Row],[Date]] &gt;= TODAY()-365, SportClimbing[[#This Row],[Date]] &lt;= TODAY())</f>
        <v>0</v>
      </c>
      <c r="C28">
        <v>2</v>
      </c>
      <c r="D28" t="s">
        <v>368</v>
      </c>
      <c r="E28">
        <v>2017</v>
      </c>
      <c r="F28" t="s">
        <v>64</v>
      </c>
      <c r="G28" t="s">
        <v>3</v>
      </c>
      <c r="H28" t="s">
        <v>262</v>
      </c>
      <c r="I28" t="s">
        <v>43</v>
      </c>
      <c r="J28" t="s">
        <v>63</v>
      </c>
      <c r="K28">
        <v>20</v>
      </c>
      <c r="L28" t="str">
        <f>IF(SportClimbing[[#This Row],[Height (m)]]&lt;11, "0-10", IF(SportClimbing[[#This Row],[Height (m)]]&lt;16, "11-15", IF(SportClimbing[[#This Row],[Height (m)]]&lt;21, "16-20", IF(SportClimbing[[#This Row],[Height (m)]]&lt;26, "21-25", IF(SportClimbing[[#This Row],[Height (m)]]&lt;31, "26-30", IF(SportClimbing[[#This Row],[Height (m)]]&lt;36, "31-35", "35+"))))))</f>
        <v>16-20</v>
      </c>
      <c r="M28" t="s">
        <v>53</v>
      </c>
      <c r="N28">
        <v>2</v>
      </c>
      <c r="O28">
        <f>IF(ISNUMBER(SportClimbing[[#This Row],[Total number of tries]])=TRUE, SportClimbing[[#This Row],[Total number of tries]], 1)</f>
        <v>2</v>
      </c>
      <c r="P28" t="str">
        <f>IF(ISNUMBER(SportClimbing[[#This Row],[Total number of tries]])=TRUE, "redpoint", SportClimbing[[#This Row],[Total number of tries]])</f>
        <v>redpoint</v>
      </c>
      <c r="Q28">
        <f>_xlfn.XLOOKUP(SportClimbing[[#This Row],[Grade]],SCORE[GRADE],SCORE[SCORE],,)</f>
        <v>10</v>
      </c>
    </row>
    <row r="29" spans="1:17" x14ac:dyDescent="0.25">
      <c r="A29" s="21">
        <f>DATE(SportClimbing[[#This Row],[Year]],_xlfn.XLOOKUP(SportClimbing[[#This Row],[Month]],MONTHS[MONTHS 2],MONTHS[MONTHS 3]),SportClimbing[[#This Row],[Day]])</f>
        <v>42838</v>
      </c>
      <c r="B29" s="21" t="b">
        <f ca="1">AND(SportClimbing[[#This Row],[Date]] &gt;= TODAY()-365, SportClimbing[[#This Row],[Date]] &lt;= TODAY())</f>
        <v>0</v>
      </c>
      <c r="C29">
        <v>13</v>
      </c>
      <c r="D29" t="s">
        <v>368</v>
      </c>
      <c r="E29">
        <v>2017</v>
      </c>
      <c r="F29" t="s">
        <v>58</v>
      </c>
      <c r="G29" t="s">
        <v>21</v>
      </c>
      <c r="H29" t="s">
        <v>262</v>
      </c>
      <c r="I29" t="s">
        <v>15</v>
      </c>
      <c r="J29" t="s">
        <v>59</v>
      </c>
      <c r="K29">
        <v>20</v>
      </c>
      <c r="L29" t="str">
        <f>IF(SportClimbing[[#This Row],[Height (m)]]&lt;11, "0-10", IF(SportClimbing[[#This Row],[Height (m)]]&lt;16, "11-15", IF(SportClimbing[[#This Row],[Height (m)]]&lt;21, "16-20", IF(SportClimbing[[#This Row],[Height (m)]]&lt;26, "21-25", IF(SportClimbing[[#This Row],[Height (m)]]&lt;31, "26-30", IF(SportClimbing[[#This Row],[Height (m)]]&lt;36, "31-35", "35+"))))))</f>
        <v>16-20</v>
      </c>
      <c r="M29" t="s">
        <v>131</v>
      </c>
      <c r="N29">
        <v>3</v>
      </c>
      <c r="O29">
        <f>IF(ISNUMBER(SportClimbing[[#This Row],[Total number of tries]])=TRUE, SportClimbing[[#This Row],[Total number of tries]], 1)</f>
        <v>3</v>
      </c>
      <c r="P29" t="str">
        <f>IF(ISNUMBER(SportClimbing[[#This Row],[Total number of tries]])=TRUE, "redpoint", SportClimbing[[#This Row],[Total number of tries]])</f>
        <v>redpoint</v>
      </c>
      <c r="Q29">
        <f>_xlfn.XLOOKUP(SportClimbing[[#This Row],[Grade]],SCORE[GRADE],SCORE[SCORE],,)</f>
        <v>15</v>
      </c>
    </row>
    <row r="30" spans="1:17" x14ac:dyDescent="0.25">
      <c r="A30" s="21">
        <f>DATE(SportClimbing[[#This Row],[Year]],_xlfn.XLOOKUP(SportClimbing[[#This Row],[Month]],MONTHS[MONTHS 2],MONTHS[MONTHS 3]),SportClimbing[[#This Row],[Day]])</f>
        <v>42840</v>
      </c>
      <c r="B30" s="21" t="b">
        <f ca="1">AND(SportClimbing[[#This Row],[Date]] &gt;= TODAY()-365, SportClimbing[[#This Row],[Date]] &lt;= TODAY())</f>
        <v>0</v>
      </c>
      <c r="C30">
        <v>15</v>
      </c>
      <c r="D30" t="s">
        <v>368</v>
      </c>
      <c r="E30">
        <v>2017</v>
      </c>
      <c r="F30" t="s">
        <v>27</v>
      </c>
      <c r="G30" t="s">
        <v>3</v>
      </c>
      <c r="H30" t="s">
        <v>262</v>
      </c>
      <c r="I30" t="s">
        <v>15</v>
      </c>
      <c r="J30" t="s">
        <v>55</v>
      </c>
      <c r="K30">
        <v>25</v>
      </c>
      <c r="L30" t="str">
        <f>IF(SportClimbing[[#This Row],[Height (m)]]&lt;11, "0-10", IF(SportClimbing[[#This Row],[Height (m)]]&lt;16, "11-15", IF(SportClimbing[[#This Row],[Height (m)]]&lt;21, "16-20", IF(SportClimbing[[#This Row],[Height (m)]]&lt;26, "21-25", IF(SportClimbing[[#This Row],[Height (m)]]&lt;31, "26-30", IF(SportClimbing[[#This Row],[Height (m)]]&lt;36, "31-35", "35+"))))))</f>
        <v>21-25</v>
      </c>
      <c r="M30" t="s">
        <v>133</v>
      </c>
      <c r="N30">
        <v>8</v>
      </c>
      <c r="O30">
        <f>IF(ISNUMBER(SportClimbing[[#This Row],[Total number of tries]])=TRUE, SportClimbing[[#This Row],[Total number of tries]], 1)</f>
        <v>8</v>
      </c>
      <c r="P30" t="str">
        <f>IF(ISNUMBER(SportClimbing[[#This Row],[Total number of tries]])=TRUE, "redpoint", SportClimbing[[#This Row],[Total number of tries]])</f>
        <v>redpoint</v>
      </c>
      <c r="Q30">
        <f>_xlfn.XLOOKUP(SportClimbing[[#This Row],[Grade]],SCORE[GRADE],SCORE[SCORE],,)</f>
        <v>10</v>
      </c>
    </row>
    <row r="31" spans="1:17" x14ac:dyDescent="0.25">
      <c r="A31" s="21">
        <f>DATE(SportClimbing[[#This Row],[Year]],_xlfn.XLOOKUP(SportClimbing[[#This Row],[Month]],MONTHS[MONTHS 2],MONTHS[MONTHS 3]),SportClimbing[[#This Row],[Day]])</f>
        <v>42874</v>
      </c>
      <c r="B31" s="21" t="b">
        <f ca="1">AND(SportClimbing[[#This Row],[Date]] &gt;= TODAY()-365, SportClimbing[[#This Row],[Date]] &lt;= TODAY())</f>
        <v>0</v>
      </c>
      <c r="C31">
        <v>19</v>
      </c>
      <c r="D31" t="s">
        <v>155</v>
      </c>
      <c r="E31">
        <v>2017</v>
      </c>
      <c r="F31" t="s">
        <v>56</v>
      </c>
      <c r="G31" t="s">
        <v>3</v>
      </c>
      <c r="H31" t="s">
        <v>262</v>
      </c>
      <c r="I31" t="s">
        <v>71</v>
      </c>
      <c r="J31" t="s">
        <v>57</v>
      </c>
      <c r="K31">
        <v>32</v>
      </c>
      <c r="L31" t="str">
        <f>IF(SportClimbing[[#This Row],[Height (m)]]&lt;11, "0-10", IF(SportClimbing[[#This Row],[Height (m)]]&lt;16, "11-15", IF(SportClimbing[[#This Row],[Height (m)]]&lt;21, "16-20", IF(SportClimbing[[#This Row],[Height (m)]]&lt;26, "21-25", IF(SportClimbing[[#This Row],[Height (m)]]&lt;31, "26-30", IF(SportClimbing[[#This Row],[Height (m)]]&lt;36, "31-35", "35+"))))))</f>
        <v>31-35</v>
      </c>
      <c r="M31" t="s">
        <v>34</v>
      </c>
      <c r="N31" t="s">
        <v>130</v>
      </c>
      <c r="O31">
        <f>IF(ISNUMBER(SportClimbing[[#This Row],[Total number of tries]])=TRUE, SportClimbing[[#This Row],[Total number of tries]], 1)</f>
        <v>1</v>
      </c>
      <c r="P31" t="str">
        <f>IF(ISNUMBER(SportClimbing[[#This Row],[Total number of tries]])=TRUE, "redpoint", SportClimbing[[#This Row],[Total number of tries]])</f>
        <v>onsight</v>
      </c>
      <c r="Q31">
        <f>_xlfn.XLOOKUP(SportClimbing[[#This Row],[Grade]],SCORE[GRADE],SCORE[SCORE],,)</f>
        <v>10</v>
      </c>
    </row>
    <row r="32" spans="1:17" x14ac:dyDescent="0.25">
      <c r="A32" s="21">
        <f>DATE(SportClimbing[[#This Row],[Year]],_xlfn.XLOOKUP(SportClimbing[[#This Row],[Month]],MONTHS[MONTHS 2],MONTHS[MONTHS 3]),SportClimbing[[#This Row],[Day]])</f>
        <v>42893</v>
      </c>
      <c r="B32" s="21" t="b">
        <f ca="1">AND(SportClimbing[[#This Row],[Date]] &gt;= TODAY()-365, SportClimbing[[#This Row],[Date]] &lt;= TODAY())</f>
        <v>0</v>
      </c>
      <c r="C32">
        <v>7</v>
      </c>
      <c r="D32" t="s">
        <v>366</v>
      </c>
      <c r="E32">
        <v>2017</v>
      </c>
      <c r="F32" t="s">
        <v>60</v>
      </c>
      <c r="G32" t="s">
        <v>3</v>
      </c>
      <c r="H32" t="s">
        <v>262</v>
      </c>
      <c r="I32" t="s">
        <v>43</v>
      </c>
      <c r="J32" t="s">
        <v>61</v>
      </c>
      <c r="K32">
        <v>25</v>
      </c>
      <c r="L32" t="str">
        <f>IF(SportClimbing[[#This Row],[Height (m)]]&lt;11, "0-10", IF(SportClimbing[[#This Row],[Height (m)]]&lt;16, "11-15", IF(SportClimbing[[#This Row],[Height (m)]]&lt;21, "16-20", IF(SportClimbing[[#This Row],[Height (m)]]&lt;26, "21-25", IF(SportClimbing[[#This Row],[Height (m)]]&lt;31, "26-30", IF(SportClimbing[[#This Row],[Height (m)]]&lt;36, "31-35", "35+"))))))</f>
        <v>21-25</v>
      </c>
      <c r="M32" t="s">
        <v>131</v>
      </c>
      <c r="N32">
        <v>3</v>
      </c>
      <c r="O32">
        <f>IF(ISNUMBER(SportClimbing[[#This Row],[Total number of tries]])=TRUE, SportClimbing[[#This Row],[Total number of tries]], 1)</f>
        <v>3</v>
      </c>
      <c r="P32" t="str">
        <f>IF(ISNUMBER(SportClimbing[[#This Row],[Total number of tries]])=TRUE, "redpoint", SportClimbing[[#This Row],[Total number of tries]])</f>
        <v>redpoint</v>
      </c>
      <c r="Q32">
        <f>_xlfn.XLOOKUP(SportClimbing[[#This Row],[Grade]],SCORE[GRADE],SCORE[SCORE],,)</f>
        <v>10</v>
      </c>
    </row>
    <row r="33" spans="1:17" x14ac:dyDescent="0.25">
      <c r="A33" s="21">
        <f>DATE(SportClimbing[[#This Row],[Year]],_xlfn.XLOOKUP(SportClimbing[[#This Row],[Month]],MONTHS[MONTHS 2],MONTHS[MONTHS 3]),SportClimbing[[#This Row],[Day]])</f>
        <v>42906</v>
      </c>
      <c r="B33" s="21" t="b">
        <f ca="1">AND(SportClimbing[[#This Row],[Date]] &gt;= TODAY()-365, SportClimbing[[#This Row],[Date]] &lt;= TODAY())</f>
        <v>0</v>
      </c>
      <c r="C33">
        <v>20</v>
      </c>
      <c r="D33" t="s">
        <v>366</v>
      </c>
      <c r="E33">
        <v>2017</v>
      </c>
      <c r="F33" t="s">
        <v>65</v>
      </c>
      <c r="G33" t="s">
        <v>3</v>
      </c>
      <c r="H33" t="s">
        <v>262</v>
      </c>
      <c r="I33" t="s">
        <v>49</v>
      </c>
      <c r="J33" t="s">
        <v>66</v>
      </c>
      <c r="K33">
        <v>25</v>
      </c>
      <c r="L33" t="str">
        <f>IF(SportClimbing[[#This Row],[Height (m)]]&lt;11, "0-10", IF(SportClimbing[[#This Row],[Height (m)]]&lt;16, "11-15", IF(SportClimbing[[#This Row],[Height (m)]]&lt;21, "16-20", IF(SportClimbing[[#This Row],[Height (m)]]&lt;26, "21-25", IF(SportClimbing[[#This Row],[Height (m)]]&lt;31, "26-30", IF(SportClimbing[[#This Row],[Height (m)]]&lt;36, "31-35", "35+"))))))</f>
        <v>21-25</v>
      </c>
      <c r="M33" t="s">
        <v>149</v>
      </c>
      <c r="N33" t="s">
        <v>130</v>
      </c>
      <c r="O33">
        <f>IF(ISNUMBER(SportClimbing[[#This Row],[Total number of tries]])=TRUE, SportClimbing[[#This Row],[Total number of tries]], 1)</f>
        <v>1</v>
      </c>
      <c r="P33" t="str">
        <f>IF(ISNUMBER(SportClimbing[[#This Row],[Total number of tries]])=TRUE, "redpoint", SportClimbing[[#This Row],[Total number of tries]])</f>
        <v>onsight</v>
      </c>
      <c r="Q33">
        <f>_xlfn.XLOOKUP(SportClimbing[[#This Row],[Grade]],SCORE[GRADE],SCORE[SCORE],,)</f>
        <v>10</v>
      </c>
    </row>
    <row r="34" spans="1:17" x14ac:dyDescent="0.25">
      <c r="A34" s="21">
        <f>DATE(SportClimbing[[#This Row],[Year]],_xlfn.XLOOKUP(SportClimbing[[#This Row],[Month]],MONTHS[MONTHS 2],MONTHS[MONTHS 3]),SportClimbing[[#This Row],[Day]])</f>
        <v>42906</v>
      </c>
      <c r="B34" s="21" t="b">
        <f ca="1">AND(SportClimbing[[#This Row],[Date]] &gt;= TODAY()-365, SportClimbing[[#This Row],[Date]] &lt;= TODAY())</f>
        <v>0</v>
      </c>
      <c r="C34">
        <v>20</v>
      </c>
      <c r="D34" t="s">
        <v>366</v>
      </c>
      <c r="E34">
        <v>2017</v>
      </c>
      <c r="F34" t="s">
        <v>67</v>
      </c>
      <c r="G34" t="s">
        <v>21</v>
      </c>
      <c r="H34" t="s">
        <v>262</v>
      </c>
      <c r="I34" t="s">
        <v>49</v>
      </c>
      <c r="J34" t="s">
        <v>66</v>
      </c>
      <c r="K34">
        <v>25</v>
      </c>
      <c r="L34" t="str">
        <f>IF(SportClimbing[[#This Row],[Height (m)]]&lt;11, "0-10", IF(SportClimbing[[#This Row],[Height (m)]]&lt;16, "11-15", IF(SportClimbing[[#This Row],[Height (m)]]&lt;21, "16-20", IF(SportClimbing[[#This Row],[Height (m)]]&lt;26, "21-25", IF(SportClimbing[[#This Row],[Height (m)]]&lt;31, "26-30", IF(SportClimbing[[#This Row],[Height (m)]]&lt;36, "31-35", "35+"))))))</f>
        <v>21-25</v>
      </c>
      <c r="M34" t="s">
        <v>149</v>
      </c>
      <c r="N34" t="s">
        <v>130</v>
      </c>
      <c r="O34">
        <f>IF(ISNUMBER(SportClimbing[[#This Row],[Total number of tries]])=TRUE, SportClimbing[[#This Row],[Total number of tries]], 1)</f>
        <v>1</v>
      </c>
      <c r="P34" t="str">
        <f>IF(ISNUMBER(SportClimbing[[#This Row],[Total number of tries]])=TRUE, "redpoint", SportClimbing[[#This Row],[Total number of tries]])</f>
        <v>onsight</v>
      </c>
      <c r="Q34">
        <f>_xlfn.XLOOKUP(SportClimbing[[#This Row],[Grade]],SCORE[GRADE],SCORE[SCORE],,)</f>
        <v>15</v>
      </c>
    </row>
    <row r="35" spans="1:17" x14ac:dyDescent="0.25">
      <c r="A35" s="21">
        <f>DATE(SportClimbing[[#This Row],[Year]],_xlfn.XLOOKUP(SportClimbing[[#This Row],[Month]],MONTHS[MONTHS 2],MONTHS[MONTHS 3]),SportClimbing[[#This Row],[Day]])</f>
        <v>42924</v>
      </c>
      <c r="B35" s="21" t="b">
        <f ca="1">AND(SportClimbing[[#This Row],[Date]] &gt;= TODAY()-365, SportClimbing[[#This Row],[Date]] &lt;= TODAY())</f>
        <v>0</v>
      </c>
      <c r="C35">
        <v>8</v>
      </c>
      <c r="D35" t="s">
        <v>365</v>
      </c>
      <c r="E35">
        <v>2017</v>
      </c>
      <c r="F35" t="s">
        <v>73</v>
      </c>
      <c r="G35" t="s">
        <v>29</v>
      </c>
      <c r="H35" t="s">
        <v>262</v>
      </c>
      <c r="I35" t="s">
        <v>72</v>
      </c>
      <c r="J35" t="s">
        <v>74</v>
      </c>
      <c r="K35">
        <v>35</v>
      </c>
      <c r="L35" t="str">
        <f>IF(SportClimbing[[#This Row],[Height (m)]]&lt;11, "0-10", IF(SportClimbing[[#This Row],[Height (m)]]&lt;16, "11-15", IF(SportClimbing[[#This Row],[Height (m)]]&lt;21, "16-20", IF(SportClimbing[[#This Row],[Height (m)]]&lt;26, "21-25", IF(SportClimbing[[#This Row],[Height (m)]]&lt;31, "26-30", IF(SportClimbing[[#This Row],[Height (m)]]&lt;36, "31-35", "35+"))))))</f>
        <v>31-35</v>
      </c>
      <c r="M35" t="s">
        <v>131</v>
      </c>
      <c r="N35">
        <v>2</v>
      </c>
      <c r="O35">
        <f>IF(ISNUMBER(SportClimbing[[#This Row],[Total number of tries]])=TRUE, SportClimbing[[#This Row],[Total number of tries]], 1)</f>
        <v>2</v>
      </c>
      <c r="P35" t="str">
        <f>IF(ISNUMBER(SportClimbing[[#This Row],[Total number of tries]])=TRUE, "redpoint", SportClimbing[[#This Row],[Total number of tries]])</f>
        <v>redpoint</v>
      </c>
      <c r="Q35">
        <f>_xlfn.XLOOKUP(SportClimbing[[#This Row],[Grade]],SCORE[GRADE],SCORE[SCORE],,)</f>
        <v>25</v>
      </c>
    </row>
    <row r="36" spans="1:17" x14ac:dyDescent="0.25">
      <c r="A36" s="21">
        <f>DATE(SportClimbing[[#This Row],[Year]],_xlfn.XLOOKUP(SportClimbing[[#This Row],[Month]],MONTHS[MONTHS 2],MONTHS[MONTHS 3]),SportClimbing[[#This Row],[Day]])</f>
        <v>42959</v>
      </c>
      <c r="B36" s="21" t="b">
        <f ca="1">AND(SportClimbing[[#This Row],[Date]] &gt;= TODAY()-365, SportClimbing[[#This Row],[Date]] &lt;= TODAY())</f>
        <v>0</v>
      </c>
      <c r="C36">
        <v>12</v>
      </c>
      <c r="D36" t="s">
        <v>158</v>
      </c>
      <c r="E36">
        <v>2017</v>
      </c>
      <c r="F36" t="s">
        <v>90</v>
      </c>
      <c r="G36" t="s">
        <v>3</v>
      </c>
      <c r="H36" t="s">
        <v>262</v>
      </c>
      <c r="I36" t="s">
        <v>43</v>
      </c>
      <c r="J36" t="s">
        <v>44</v>
      </c>
      <c r="K36">
        <v>30</v>
      </c>
      <c r="L36" t="str">
        <f>IF(SportClimbing[[#This Row],[Height (m)]]&lt;11, "0-10", IF(SportClimbing[[#This Row],[Height (m)]]&lt;16, "11-15", IF(SportClimbing[[#This Row],[Height (m)]]&lt;21, "16-20", IF(SportClimbing[[#This Row],[Height (m)]]&lt;26, "21-25", IF(SportClimbing[[#This Row],[Height (m)]]&lt;31, "26-30", IF(SportClimbing[[#This Row],[Height (m)]]&lt;36, "31-35", "35+"))))))</f>
        <v>26-30</v>
      </c>
      <c r="M36" t="s">
        <v>89</v>
      </c>
      <c r="N36" t="s">
        <v>130</v>
      </c>
      <c r="O36">
        <f>IF(ISNUMBER(SportClimbing[[#This Row],[Total number of tries]])=TRUE, SportClimbing[[#This Row],[Total number of tries]], 1)</f>
        <v>1</v>
      </c>
      <c r="P36" t="str">
        <f>IF(ISNUMBER(SportClimbing[[#This Row],[Total number of tries]])=TRUE, "redpoint", SportClimbing[[#This Row],[Total number of tries]])</f>
        <v>onsight</v>
      </c>
      <c r="Q36">
        <f>_xlfn.XLOOKUP(SportClimbing[[#This Row],[Grade]],SCORE[GRADE],SCORE[SCORE],,)</f>
        <v>10</v>
      </c>
    </row>
    <row r="37" spans="1:17" x14ac:dyDescent="0.25">
      <c r="A37" s="21">
        <f>DATE(SportClimbing[[#This Row],[Year]],_xlfn.XLOOKUP(SportClimbing[[#This Row],[Month]],MONTHS[MONTHS 2],MONTHS[MONTHS 3]),SportClimbing[[#This Row],[Day]])</f>
        <v>42980</v>
      </c>
      <c r="B37" s="21" t="b">
        <f ca="1">AND(SportClimbing[[#This Row],[Date]] &gt;= TODAY()-365, SportClimbing[[#This Row],[Date]] &lt;= TODAY())</f>
        <v>0</v>
      </c>
      <c r="C37">
        <v>2</v>
      </c>
      <c r="D37" t="s">
        <v>159</v>
      </c>
      <c r="E37">
        <v>2017</v>
      </c>
      <c r="F37" t="s">
        <v>75</v>
      </c>
      <c r="G37" t="s">
        <v>3</v>
      </c>
      <c r="H37" t="s">
        <v>262</v>
      </c>
      <c r="I37" t="s">
        <v>76</v>
      </c>
      <c r="J37" t="s">
        <v>92</v>
      </c>
      <c r="K37">
        <v>25</v>
      </c>
      <c r="L37" t="str">
        <f>IF(SportClimbing[[#This Row],[Height (m)]]&lt;11, "0-10", IF(SportClimbing[[#This Row],[Height (m)]]&lt;16, "11-15", IF(SportClimbing[[#This Row],[Height (m)]]&lt;21, "16-20", IF(SportClimbing[[#This Row],[Height (m)]]&lt;26, "21-25", IF(SportClimbing[[#This Row],[Height (m)]]&lt;31, "26-30", IF(SportClimbing[[#This Row],[Height (m)]]&lt;36, "31-35", "35+"))))))</f>
        <v>21-25</v>
      </c>
      <c r="M37" t="s">
        <v>133</v>
      </c>
      <c r="N37">
        <v>3</v>
      </c>
      <c r="O37">
        <f>IF(ISNUMBER(SportClimbing[[#This Row],[Total number of tries]])=TRUE, SportClimbing[[#This Row],[Total number of tries]], 1)</f>
        <v>3</v>
      </c>
      <c r="P37" t="str">
        <f>IF(ISNUMBER(SportClimbing[[#This Row],[Total number of tries]])=TRUE, "redpoint", SportClimbing[[#This Row],[Total number of tries]])</f>
        <v>redpoint</v>
      </c>
      <c r="Q37">
        <f>_xlfn.XLOOKUP(SportClimbing[[#This Row],[Grade]],SCORE[GRADE],SCORE[SCORE],,)</f>
        <v>10</v>
      </c>
    </row>
    <row r="38" spans="1:17" x14ac:dyDescent="0.25">
      <c r="A38" s="21">
        <f>DATE(SportClimbing[[#This Row],[Year]],_xlfn.XLOOKUP(SportClimbing[[#This Row],[Month]],MONTHS[MONTHS 2],MONTHS[MONTHS 3]),SportClimbing[[#This Row],[Day]])</f>
        <v>42991</v>
      </c>
      <c r="B38" s="21" t="b">
        <f ca="1">AND(SportClimbing[[#This Row],[Date]] &gt;= TODAY()-365, SportClimbing[[#This Row],[Date]] &lt;= TODAY())</f>
        <v>0</v>
      </c>
      <c r="C38">
        <v>13</v>
      </c>
      <c r="D38" t="s">
        <v>159</v>
      </c>
      <c r="E38">
        <v>2017</v>
      </c>
      <c r="F38" t="s">
        <v>82</v>
      </c>
      <c r="G38" t="s">
        <v>21</v>
      </c>
      <c r="H38" t="s">
        <v>262</v>
      </c>
      <c r="I38" t="s">
        <v>77</v>
      </c>
      <c r="J38" t="s">
        <v>78</v>
      </c>
      <c r="K38">
        <v>10</v>
      </c>
      <c r="L38" t="str">
        <f>IF(SportClimbing[[#This Row],[Height (m)]]&lt;11, "0-10", IF(SportClimbing[[#This Row],[Height (m)]]&lt;16, "11-15", IF(SportClimbing[[#This Row],[Height (m)]]&lt;21, "16-20", IF(SportClimbing[[#This Row],[Height (m)]]&lt;26, "21-25", IF(SportClimbing[[#This Row],[Height (m)]]&lt;31, "26-30", IF(SportClimbing[[#This Row],[Height (m)]]&lt;36, "31-35", "35+"))))))</f>
        <v>0-10</v>
      </c>
      <c r="M38" t="s">
        <v>83</v>
      </c>
      <c r="N38" t="s">
        <v>130</v>
      </c>
      <c r="O38">
        <f>IF(ISNUMBER(SportClimbing[[#This Row],[Total number of tries]])=TRUE, SportClimbing[[#This Row],[Total number of tries]], 1)</f>
        <v>1</v>
      </c>
      <c r="P38" t="str">
        <f>IF(ISNUMBER(SportClimbing[[#This Row],[Total number of tries]])=TRUE, "redpoint", SportClimbing[[#This Row],[Total number of tries]])</f>
        <v>onsight</v>
      </c>
      <c r="Q38">
        <f>_xlfn.XLOOKUP(SportClimbing[[#This Row],[Grade]],SCORE[GRADE],SCORE[SCORE],,)</f>
        <v>15</v>
      </c>
    </row>
    <row r="39" spans="1:17" x14ac:dyDescent="0.25">
      <c r="A39" s="21">
        <f>DATE(SportClimbing[[#This Row],[Year]],_xlfn.XLOOKUP(SportClimbing[[#This Row],[Month]],MONTHS[MONTHS 2],MONTHS[MONTHS 3]),SportClimbing[[#This Row],[Day]])</f>
        <v>42991</v>
      </c>
      <c r="B39" s="21" t="b">
        <f ca="1">AND(SportClimbing[[#This Row],[Date]] &gt;= TODAY()-365, SportClimbing[[#This Row],[Date]] &lt;= TODAY())</f>
        <v>0</v>
      </c>
      <c r="C39">
        <v>13</v>
      </c>
      <c r="D39" t="s">
        <v>159</v>
      </c>
      <c r="E39">
        <v>2017</v>
      </c>
      <c r="F39" t="s">
        <v>81</v>
      </c>
      <c r="G39" t="s">
        <v>3</v>
      </c>
      <c r="H39" t="s">
        <v>262</v>
      </c>
      <c r="I39" t="s">
        <v>77</v>
      </c>
      <c r="J39" t="s">
        <v>79</v>
      </c>
      <c r="K39">
        <v>10</v>
      </c>
      <c r="L39" t="str">
        <f>IF(SportClimbing[[#This Row],[Height (m)]]&lt;11, "0-10", IF(SportClimbing[[#This Row],[Height (m)]]&lt;16, "11-15", IF(SportClimbing[[#This Row],[Height (m)]]&lt;21, "16-20", IF(SportClimbing[[#This Row],[Height (m)]]&lt;26, "21-25", IF(SportClimbing[[#This Row],[Height (m)]]&lt;31, "26-30", IF(SportClimbing[[#This Row],[Height (m)]]&lt;36, "31-35", "35+"))))))</f>
        <v>0-10</v>
      </c>
      <c r="M39" t="s">
        <v>83</v>
      </c>
      <c r="N39" t="s">
        <v>130</v>
      </c>
      <c r="O39">
        <f>IF(ISNUMBER(SportClimbing[[#This Row],[Total number of tries]])=TRUE, SportClimbing[[#This Row],[Total number of tries]], 1)</f>
        <v>1</v>
      </c>
      <c r="P39" t="str">
        <f>IF(ISNUMBER(SportClimbing[[#This Row],[Total number of tries]])=TRUE, "redpoint", SportClimbing[[#This Row],[Total number of tries]])</f>
        <v>onsight</v>
      </c>
      <c r="Q39">
        <f>_xlfn.XLOOKUP(SportClimbing[[#This Row],[Grade]],SCORE[GRADE],SCORE[SCORE],,)</f>
        <v>10</v>
      </c>
    </row>
    <row r="40" spans="1:17" x14ac:dyDescent="0.25">
      <c r="A40" s="21">
        <f>DATE(SportClimbing[[#This Row],[Year]],_xlfn.XLOOKUP(SportClimbing[[#This Row],[Month]],MONTHS[MONTHS 2],MONTHS[MONTHS 3]),SportClimbing[[#This Row],[Day]])</f>
        <v>42991</v>
      </c>
      <c r="B40" s="21" t="b">
        <f ca="1">AND(SportClimbing[[#This Row],[Date]] &gt;= TODAY()-365, SportClimbing[[#This Row],[Date]] &lt;= TODAY())</f>
        <v>0</v>
      </c>
      <c r="C40">
        <v>13</v>
      </c>
      <c r="D40" t="s">
        <v>159</v>
      </c>
      <c r="E40">
        <v>2017</v>
      </c>
      <c r="F40" t="s">
        <v>80</v>
      </c>
      <c r="G40" t="s">
        <v>21</v>
      </c>
      <c r="H40" t="s">
        <v>262</v>
      </c>
      <c r="I40" t="s">
        <v>77</v>
      </c>
      <c r="J40" t="s">
        <v>79</v>
      </c>
      <c r="K40">
        <v>12</v>
      </c>
      <c r="L40" t="str">
        <f>IF(SportClimbing[[#This Row],[Height (m)]]&lt;11, "0-10", IF(SportClimbing[[#This Row],[Height (m)]]&lt;16, "11-15", IF(SportClimbing[[#This Row],[Height (m)]]&lt;21, "16-20", IF(SportClimbing[[#This Row],[Height (m)]]&lt;26, "21-25", IF(SportClimbing[[#This Row],[Height (m)]]&lt;31, "26-30", IF(SportClimbing[[#This Row],[Height (m)]]&lt;36, "31-35", "35+"))))))</f>
        <v>11-15</v>
      </c>
      <c r="M40" t="s">
        <v>83</v>
      </c>
      <c r="N40">
        <v>2</v>
      </c>
      <c r="O40">
        <f>IF(ISNUMBER(SportClimbing[[#This Row],[Total number of tries]])=TRUE, SportClimbing[[#This Row],[Total number of tries]], 1)</f>
        <v>2</v>
      </c>
      <c r="P40" t="str">
        <f>IF(ISNUMBER(SportClimbing[[#This Row],[Total number of tries]])=TRUE, "redpoint", SportClimbing[[#This Row],[Total number of tries]])</f>
        <v>redpoint</v>
      </c>
      <c r="Q40">
        <f>_xlfn.XLOOKUP(SportClimbing[[#This Row],[Grade]],SCORE[GRADE],SCORE[SCORE],,)</f>
        <v>15</v>
      </c>
    </row>
    <row r="41" spans="1:17" x14ac:dyDescent="0.25">
      <c r="A41" s="21">
        <f>DATE(SportClimbing[[#This Row],[Year]],_xlfn.XLOOKUP(SportClimbing[[#This Row],[Month]],MONTHS[MONTHS 2],MONTHS[MONTHS 3]),SportClimbing[[#This Row],[Day]])</f>
        <v>43001</v>
      </c>
      <c r="B41" s="21" t="b">
        <f ca="1">AND(SportClimbing[[#This Row],[Date]] &gt;= TODAY()-365, SportClimbing[[#This Row],[Date]] &lt;= TODAY())</f>
        <v>0</v>
      </c>
      <c r="C41">
        <v>23</v>
      </c>
      <c r="D41" t="s">
        <v>159</v>
      </c>
      <c r="E41">
        <v>2017</v>
      </c>
      <c r="F41" t="s">
        <v>84</v>
      </c>
      <c r="G41" t="s">
        <v>21</v>
      </c>
      <c r="H41" t="s">
        <v>262</v>
      </c>
      <c r="I41" t="s">
        <v>49</v>
      </c>
      <c r="J41" t="s">
        <v>66</v>
      </c>
      <c r="K41">
        <v>25</v>
      </c>
      <c r="L41" t="str">
        <f>IF(SportClimbing[[#This Row],[Height (m)]]&lt;11, "0-10", IF(SportClimbing[[#This Row],[Height (m)]]&lt;16, "11-15", IF(SportClimbing[[#This Row],[Height (m)]]&lt;21, "16-20", IF(SportClimbing[[#This Row],[Height (m)]]&lt;26, "21-25", IF(SportClimbing[[#This Row],[Height (m)]]&lt;31, "26-30", IF(SportClimbing[[#This Row],[Height (m)]]&lt;36, "31-35", "35+"))))))</f>
        <v>21-25</v>
      </c>
      <c r="M41" t="s">
        <v>132</v>
      </c>
      <c r="N41" t="s">
        <v>130</v>
      </c>
      <c r="O41">
        <f>IF(ISNUMBER(SportClimbing[[#This Row],[Total number of tries]])=TRUE, SportClimbing[[#This Row],[Total number of tries]], 1)</f>
        <v>1</v>
      </c>
      <c r="P41" t="str">
        <f>IF(ISNUMBER(SportClimbing[[#This Row],[Total number of tries]])=TRUE, "redpoint", SportClimbing[[#This Row],[Total number of tries]])</f>
        <v>onsight</v>
      </c>
      <c r="Q41">
        <f>_xlfn.XLOOKUP(SportClimbing[[#This Row],[Grade]],SCORE[GRADE],SCORE[SCORE],,)</f>
        <v>15</v>
      </c>
    </row>
    <row r="42" spans="1:17" x14ac:dyDescent="0.25">
      <c r="A42" s="21">
        <f>DATE(SportClimbing[[#This Row],[Year]],_xlfn.XLOOKUP(SportClimbing[[#This Row],[Month]],MONTHS[MONTHS 2],MONTHS[MONTHS 3]),SportClimbing[[#This Row],[Day]])</f>
        <v>43003</v>
      </c>
      <c r="B42" s="21" t="b">
        <f ca="1">AND(SportClimbing[[#This Row],[Date]] &gt;= TODAY()-365, SportClimbing[[#This Row],[Date]] &lt;= TODAY())</f>
        <v>0</v>
      </c>
      <c r="C42">
        <v>25</v>
      </c>
      <c r="D42" t="s">
        <v>159</v>
      </c>
      <c r="E42">
        <v>2017</v>
      </c>
      <c r="F42" t="s">
        <v>85</v>
      </c>
      <c r="G42" t="s">
        <v>21</v>
      </c>
      <c r="H42" t="s">
        <v>262</v>
      </c>
      <c r="I42" t="s">
        <v>25</v>
      </c>
      <c r="J42" t="s">
        <v>86</v>
      </c>
      <c r="K42">
        <v>20</v>
      </c>
      <c r="L42" t="str">
        <f>IF(SportClimbing[[#This Row],[Height (m)]]&lt;11, "0-10", IF(SportClimbing[[#This Row],[Height (m)]]&lt;16, "11-15", IF(SportClimbing[[#This Row],[Height (m)]]&lt;21, "16-20", IF(SportClimbing[[#This Row],[Height (m)]]&lt;26, "21-25", IF(SportClimbing[[#This Row],[Height (m)]]&lt;31, "26-30", IF(SportClimbing[[#This Row],[Height (m)]]&lt;36, "31-35", "35+"))))))</f>
        <v>16-20</v>
      </c>
      <c r="M42" t="s">
        <v>132</v>
      </c>
      <c r="N42">
        <v>5</v>
      </c>
      <c r="O42">
        <f>IF(ISNUMBER(SportClimbing[[#This Row],[Total number of tries]])=TRUE, SportClimbing[[#This Row],[Total number of tries]], 1)</f>
        <v>5</v>
      </c>
      <c r="P42" t="str">
        <f>IF(ISNUMBER(SportClimbing[[#This Row],[Total number of tries]])=TRUE, "redpoint", SportClimbing[[#This Row],[Total number of tries]])</f>
        <v>redpoint</v>
      </c>
      <c r="Q42">
        <f>_xlfn.XLOOKUP(SportClimbing[[#This Row],[Grade]],SCORE[GRADE],SCORE[SCORE],,)</f>
        <v>15</v>
      </c>
    </row>
    <row r="43" spans="1:17" x14ac:dyDescent="0.25">
      <c r="A43" s="21">
        <f>DATE(SportClimbing[[#This Row],[Year]],_xlfn.XLOOKUP(SportClimbing[[#This Row],[Month]],MONTHS[MONTHS 2],MONTHS[MONTHS 3]),SportClimbing[[#This Row],[Day]])</f>
        <v>43022</v>
      </c>
      <c r="B43" s="21" t="b">
        <f ca="1">AND(SportClimbing[[#This Row],[Date]] &gt;= TODAY()-365, SportClimbing[[#This Row],[Date]] &lt;= TODAY())</f>
        <v>0</v>
      </c>
      <c r="C43">
        <v>14</v>
      </c>
      <c r="D43" t="s">
        <v>162</v>
      </c>
      <c r="E43">
        <v>2017</v>
      </c>
      <c r="F43" t="s">
        <v>99</v>
      </c>
      <c r="G43" t="s">
        <v>21</v>
      </c>
      <c r="H43" t="s">
        <v>262</v>
      </c>
      <c r="I43" t="s">
        <v>43</v>
      </c>
      <c r="J43" t="s">
        <v>91</v>
      </c>
      <c r="K43">
        <v>30</v>
      </c>
      <c r="L43" t="str">
        <f>IF(SportClimbing[[#This Row],[Height (m)]]&lt;11, "0-10", IF(SportClimbing[[#This Row],[Height (m)]]&lt;16, "11-15", IF(SportClimbing[[#This Row],[Height (m)]]&lt;21, "16-20", IF(SportClimbing[[#This Row],[Height (m)]]&lt;26, "21-25", IF(SportClimbing[[#This Row],[Height (m)]]&lt;31, "26-30", IF(SportClimbing[[#This Row],[Height (m)]]&lt;36, "31-35", "35+"))))))</f>
        <v>26-30</v>
      </c>
      <c r="M43" t="s">
        <v>133</v>
      </c>
      <c r="N43">
        <v>3</v>
      </c>
      <c r="O43">
        <f>IF(ISNUMBER(SportClimbing[[#This Row],[Total number of tries]])=TRUE, SportClimbing[[#This Row],[Total number of tries]], 1)</f>
        <v>3</v>
      </c>
      <c r="P43" t="str">
        <f>IF(ISNUMBER(SportClimbing[[#This Row],[Total number of tries]])=TRUE, "redpoint", SportClimbing[[#This Row],[Total number of tries]])</f>
        <v>redpoint</v>
      </c>
      <c r="Q43">
        <f>_xlfn.XLOOKUP(SportClimbing[[#This Row],[Grade]],SCORE[GRADE],SCORE[SCORE],,)</f>
        <v>15</v>
      </c>
    </row>
    <row r="44" spans="1:17" x14ac:dyDescent="0.25">
      <c r="A44" s="21">
        <f>DATE(SportClimbing[[#This Row],[Year]],_xlfn.XLOOKUP(SportClimbing[[#This Row],[Month]],MONTHS[MONTHS 2],MONTHS[MONTHS 3]),SportClimbing[[#This Row],[Day]])</f>
        <v>43023</v>
      </c>
      <c r="B44" s="21" t="b">
        <f ca="1">AND(SportClimbing[[#This Row],[Date]] &gt;= TODAY()-365, SportClimbing[[#This Row],[Date]] &lt;= TODAY())</f>
        <v>0</v>
      </c>
      <c r="C44">
        <v>15</v>
      </c>
      <c r="D44" t="s">
        <v>162</v>
      </c>
      <c r="E44">
        <v>2017</v>
      </c>
      <c r="F44" t="s">
        <v>98</v>
      </c>
      <c r="G44" t="s">
        <v>21</v>
      </c>
      <c r="H44" t="s">
        <v>262</v>
      </c>
      <c r="I44" t="s">
        <v>43</v>
      </c>
      <c r="J44" t="s">
        <v>44</v>
      </c>
      <c r="K44">
        <v>25</v>
      </c>
      <c r="L44" t="str">
        <f>IF(SportClimbing[[#This Row],[Height (m)]]&lt;11, "0-10", IF(SportClimbing[[#This Row],[Height (m)]]&lt;16, "11-15", IF(SportClimbing[[#This Row],[Height (m)]]&lt;21, "16-20", IF(SportClimbing[[#This Row],[Height (m)]]&lt;26, "21-25", IF(SportClimbing[[#This Row],[Height (m)]]&lt;31, "26-30", IF(SportClimbing[[#This Row],[Height (m)]]&lt;36, "31-35", "35+"))))))</f>
        <v>21-25</v>
      </c>
      <c r="M44" t="s">
        <v>17</v>
      </c>
      <c r="N44">
        <v>2</v>
      </c>
      <c r="O44">
        <f>IF(ISNUMBER(SportClimbing[[#This Row],[Total number of tries]])=TRUE, SportClimbing[[#This Row],[Total number of tries]], 1)</f>
        <v>2</v>
      </c>
      <c r="P44" t="str">
        <f>IF(ISNUMBER(SportClimbing[[#This Row],[Total number of tries]])=TRUE, "redpoint", SportClimbing[[#This Row],[Total number of tries]])</f>
        <v>redpoint</v>
      </c>
      <c r="Q44">
        <f>_xlfn.XLOOKUP(SportClimbing[[#This Row],[Grade]],SCORE[GRADE],SCORE[SCORE],,)</f>
        <v>15</v>
      </c>
    </row>
    <row r="45" spans="1:17" x14ac:dyDescent="0.25">
      <c r="A45" s="21">
        <f>DATE(SportClimbing[[#This Row],[Year]],_xlfn.XLOOKUP(SportClimbing[[#This Row],[Month]],MONTHS[MONTHS 2],MONTHS[MONTHS 3]),SportClimbing[[#This Row],[Day]])</f>
        <v>43029</v>
      </c>
      <c r="B45" s="21" t="b">
        <f ca="1">AND(SportClimbing[[#This Row],[Date]] &gt;= TODAY()-365, SportClimbing[[#This Row],[Date]] &lt;= TODAY())</f>
        <v>0</v>
      </c>
      <c r="C45">
        <v>21</v>
      </c>
      <c r="D45" t="s">
        <v>162</v>
      </c>
      <c r="E45">
        <v>2017</v>
      </c>
      <c r="F45" t="s">
        <v>95</v>
      </c>
      <c r="G45" t="s">
        <v>21</v>
      </c>
      <c r="H45" t="s">
        <v>262</v>
      </c>
      <c r="I45" t="s">
        <v>43</v>
      </c>
      <c r="J45" t="s">
        <v>94</v>
      </c>
      <c r="K45">
        <v>25</v>
      </c>
      <c r="L45" t="str">
        <f>IF(SportClimbing[[#This Row],[Height (m)]]&lt;11, "0-10", IF(SportClimbing[[#This Row],[Height (m)]]&lt;16, "11-15", IF(SportClimbing[[#This Row],[Height (m)]]&lt;21, "16-20", IF(SportClimbing[[#This Row],[Height (m)]]&lt;26, "21-25", IF(SportClimbing[[#This Row],[Height (m)]]&lt;31, "26-30", IF(SportClimbing[[#This Row],[Height (m)]]&lt;36, "31-35", "35+"))))))</f>
        <v>21-25</v>
      </c>
      <c r="M45" t="s">
        <v>53</v>
      </c>
      <c r="N45" t="s">
        <v>130</v>
      </c>
      <c r="O45">
        <f>IF(ISNUMBER(SportClimbing[[#This Row],[Total number of tries]])=TRUE, SportClimbing[[#This Row],[Total number of tries]], 1)</f>
        <v>1</v>
      </c>
      <c r="P45" t="str">
        <f>IF(ISNUMBER(SportClimbing[[#This Row],[Total number of tries]])=TRUE, "redpoint", SportClimbing[[#This Row],[Total number of tries]])</f>
        <v>onsight</v>
      </c>
      <c r="Q45">
        <f>_xlfn.XLOOKUP(SportClimbing[[#This Row],[Grade]],SCORE[GRADE],SCORE[SCORE],,)</f>
        <v>15</v>
      </c>
    </row>
    <row r="46" spans="1:17" x14ac:dyDescent="0.25">
      <c r="A46" s="21">
        <f>DATE(SportClimbing[[#This Row],[Year]],_xlfn.XLOOKUP(SportClimbing[[#This Row],[Month]],MONTHS[MONTHS 2],MONTHS[MONTHS 3]),SportClimbing[[#This Row],[Day]])</f>
        <v>43029</v>
      </c>
      <c r="B46" s="21" t="b">
        <f ca="1">AND(SportClimbing[[#This Row],[Date]] &gt;= TODAY()-365, SportClimbing[[#This Row],[Date]] &lt;= TODAY())</f>
        <v>0</v>
      </c>
      <c r="C46">
        <v>21</v>
      </c>
      <c r="D46" t="s">
        <v>162</v>
      </c>
      <c r="E46">
        <v>2017</v>
      </c>
      <c r="F46" t="s">
        <v>97</v>
      </c>
      <c r="G46" t="s">
        <v>21</v>
      </c>
      <c r="H46" t="s">
        <v>262</v>
      </c>
      <c r="I46" t="s">
        <v>43</v>
      </c>
      <c r="J46" t="s">
        <v>91</v>
      </c>
      <c r="K46">
        <v>28</v>
      </c>
      <c r="L46" t="str">
        <f>IF(SportClimbing[[#This Row],[Height (m)]]&lt;11, "0-10", IF(SportClimbing[[#This Row],[Height (m)]]&lt;16, "11-15", IF(SportClimbing[[#This Row],[Height (m)]]&lt;21, "16-20", IF(SportClimbing[[#This Row],[Height (m)]]&lt;26, "21-25", IF(SportClimbing[[#This Row],[Height (m)]]&lt;31, "26-30", IF(SportClimbing[[#This Row],[Height (m)]]&lt;36, "31-35", "35+"))))))</f>
        <v>26-30</v>
      </c>
      <c r="M46" t="s">
        <v>53</v>
      </c>
      <c r="N46">
        <v>3</v>
      </c>
      <c r="O46">
        <f>IF(ISNUMBER(SportClimbing[[#This Row],[Total number of tries]])=TRUE, SportClimbing[[#This Row],[Total number of tries]], 1)</f>
        <v>3</v>
      </c>
      <c r="P46" t="str">
        <f>IF(ISNUMBER(SportClimbing[[#This Row],[Total number of tries]])=TRUE, "redpoint", SportClimbing[[#This Row],[Total number of tries]])</f>
        <v>redpoint</v>
      </c>
      <c r="Q46">
        <f>_xlfn.XLOOKUP(SportClimbing[[#This Row],[Grade]],SCORE[GRADE],SCORE[SCORE],,)</f>
        <v>15</v>
      </c>
    </row>
    <row r="47" spans="1:17" x14ac:dyDescent="0.25">
      <c r="A47" s="21">
        <f>DATE(SportClimbing[[#This Row],[Year]],_xlfn.XLOOKUP(SportClimbing[[#This Row],[Month]],MONTHS[MONTHS 2],MONTHS[MONTHS 3]),SportClimbing[[#This Row],[Day]])</f>
        <v>43030</v>
      </c>
      <c r="B47" s="21" t="b">
        <f ca="1">AND(SportClimbing[[#This Row],[Date]] &gt;= TODAY()-365, SportClimbing[[#This Row],[Date]] &lt;= TODAY())</f>
        <v>0</v>
      </c>
      <c r="C47">
        <v>22</v>
      </c>
      <c r="D47" t="s">
        <v>162</v>
      </c>
      <c r="E47">
        <v>2017</v>
      </c>
      <c r="F47" t="s">
        <v>96</v>
      </c>
      <c r="G47" t="s">
        <v>3</v>
      </c>
      <c r="H47" t="s">
        <v>262</v>
      </c>
      <c r="I47" t="s">
        <v>43</v>
      </c>
      <c r="J47" t="s">
        <v>93</v>
      </c>
      <c r="K47">
        <v>30</v>
      </c>
      <c r="L47" t="str">
        <f>IF(SportClimbing[[#This Row],[Height (m)]]&lt;11, "0-10", IF(SportClimbing[[#This Row],[Height (m)]]&lt;16, "11-15", IF(SportClimbing[[#This Row],[Height (m)]]&lt;21, "16-20", IF(SportClimbing[[#This Row],[Height (m)]]&lt;26, "21-25", IF(SportClimbing[[#This Row],[Height (m)]]&lt;31, "26-30", IF(SportClimbing[[#This Row],[Height (m)]]&lt;36, "31-35", "35+"))))))</f>
        <v>26-30</v>
      </c>
      <c r="M47" t="s">
        <v>53</v>
      </c>
      <c r="N47" t="s">
        <v>130</v>
      </c>
      <c r="O47">
        <f>IF(ISNUMBER(SportClimbing[[#This Row],[Total number of tries]])=TRUE, SportClimbing[[#This Row],[Total number of tries]], 1)</f>
        <v>1</v>
      </c>
      <c r="P47" t="str">
        <f>IF(ISNUMBER(SportClimbing[[#This Row],[Total number of tries]])=TRUE, "redpoint", SportClimbing[[#This Row],[Total number of tries]])</f>
        <v>onsight</v>
      </c>
      <c r="Q47">
        <f>_xlfn.XLOOKUP(SportClimbing[[#This Row],[Grade]],SCORE[GRADE],SCORE[SCORE],,)</f>
        <v>10</v>
      </c>
    </row>
    <row r="48" spans="1:17" x14ac:dyDescent="0.25">
      <c r="A48" s="21">
        <f>DATE(SportClimbing[[#This Row],[Year]],_xlfn.XLOOKUP(SportClimbing[[#This Row],[Month]],MONTHS[MONTHS 2],MONTHS[MONTHS 3]),SportClimbing[[#This Row],[Day]])</f>
        <v>43036</v>
      </c>
      <c r="B48" s="21" t="b">
        <f ca="1">AND(SportClimbing[[#This Row],[Date]] &gt;= TODAY()-365, SportClimbing[[#This Row],[Date]] &lt;= TODAY())</f>
        <v>0</v>
      </c>
      <c r="C48">
        <v>28</v>
      </c>
      <c r="D48" t="s">
        <v>162</v>
      </c>
      <c r="E48">
        <v>2017</v>
      </c>
      <c r="F48" t="s">
        <v>101</v>
      </c>
      <c r="G48" t="s">
        <v>3</v>
      </c>
      <c r="H48" t="s">
        <v>262</v>
      </c>
      <c r="I48" t="s">
        <v>100</v>
      </c>
      <c r="J48" t="s">
        <v>213</v>
      </c>
      <c r="K48">
        <v>25</v>
      </c>
      <c r="L48" t="str">
        <f>IF(SportClimbing[[#This Row],[Height (m)]]&lt;11, "0-10", IF(SportClimbing[[#This Row],[Height (m)]]&lt;16, "11-15", IF(SportClimbing[[#This Row],[Height (m)]]&lt;21, "16-20", IF(SportClimbing[[#This Row],[Height (m)]]&lt;26, "21-25", IF(SportClimbing[[#This Row],[Height (m)]]&lt;31, "26-30", IF(SportClimbing[[#This Row],[Height (m)]]&lt;36, "31-35", "35+"))))))</f>
        <v>21-25</v>
      </c>
      <c r="M48" t="s">
        <v>132</v>
      </c>
      <c r="N48">
        <v>2</v>
      </c>
      <c r="O48">
        <f>IF(ISNUMBER(SportClimbing[[#This Row],[Total number of tries]])=TRUE, SportClimbing[[#This Row],[Total number of tries]], 1)</f>
        <v>2</v>
      </c>
      <c r="P48" t="str">
        <f>IF(ISNUMBER(SportClimbing[[#This Row],[Total number of tries]])=TRUE, "redpoint", SportClimbing[[#This Row],[Total number of tries]])</f>
        <v>redpoint</v>
      </c>
      <c r="Q48">
        <f>_xlfn.XLOOKUP(SportClimbing[[#This Row],[Grade]],SCORE[GRADE],SCORE[SCORE],,)</f>
        <v>10</v>
      </c>
    </row>
    <row r="49" spans="1:17" x14ac:dyDescent="0.25">
      <c r="A49" s="21">
        <f>DATE(SportClimbing[[#This Row],[Year]],_xlfn.XLOOKUP(SportClimbing[[#This Row],[Month]],MONTHS[MONTHS 2],MONTHS[MONTHS 3]),SportClimbing[[#This Row],[Day]])</f>
        <v>43036</v>
      </c>
      <c r="B49" s="21" t="b">
        <f ca="1">AND(SportClimbing[[#This Row],[Date]] &gt;= TODAY()-365, SportClimbing[[#This Row],[Date]] &lt;= TODAY())</f>
        <v>0</v>
      </c>
      <c r="C49">
        <v>28</v>
      </c>
      <c r="D49" t="s">
        <v>162</v>
      </c>
      <c r="E49">
        <v>2017</v>
      </c>
      <c r="F49" t="s">
        <v>102</v>
      </c>
      <c r="G49" t="s">
        <v>3</v>
      </c>
      <c r="H49" t="s">
        <v>262</v>
      </c>
      <c r="I49" t="s">
        <v>100</v>
      </c>
      <c r="J49" t="s">
        <v>214</v>
      </c>
      <c r="K49">
        <v>25</v>
      </c>
      <c r="L49" t="str">
        <f>IF(SportClimbing[[#This Row],[Height (m)]]&lt;11, "0-10", IF(SportClimbing[[#This Row],[Height (m)]]&lt;16, "11-15", IF(SportClimbing[[#This Row],[Height (m)]]&lt;21, "16-20", IF(SportClimbing[[#This Row],[Height (m)]]&lt;26, "21-25", IF(SportClimbing[[#This Row],[Height (m)]]&lt;31, "26-30", IF(SportClimbing[[#This Row],[Height (m)]]&lt;36, "31-35", "35+"))))))</f>
        <v>21-25</v>
      </c>
      <c r="M49" t="s">
        <v>132</v>
      </c>
      <c r="N49">
        <v>4</v>
      </c>
      <c r="O49">
        <f>IF(ISNUMBER(SportClimbing[[#This Row],[Total number of tries]])=TRUE, SportClimbing[[#This Row],[Total number of tries]], 1)</f>
        <v>4</v>
      </c>
      <c r="P49" t="str">
        <f>IF(ISNUMBER(SportClimbing[[#This Row],[Total number of tries]])=TRUE, "redpoint", SportClimbing[[#This Row],[Total number of tries]])</f>
        <v>redpoint</v>
      </c>
      <c r="Q49">
        <f>_xlfn.XLOOKUP(SportClimbing[[#This Row],[Grade]],SCORE[GRADE],SCORE[SCORE],,)</f>
        <v>10</v>
      </c>
    </row>
    <row r="50" spans="1:17" x14ac:dyDescent="0.25">
      <c r="A50" s="21">
        <f>DATE(SportClimbing[[#This Row],[Year]],_xlfn.XLOOKUP(SportClimbing[[#This Row],[Month]],MONTHS[MONTHS 2],MONTHS[MONTHS 3]),SportClimbing[[#This Row],[Day]])</f>
        <v>43043</v>
      </c>
      <c r="B50" s="21" t="b">
        <f ca="1">AND(SportClimbing[[#This Row],[Date]] &gt;= TODAY()-365, SportClimbing[[#This Row],[Date]] &lt;= TODAY())</f>
        <v>0</v>
      </c>
      <c r="C50">
        <v>4</v>
      </c>
      <c r="D50" t="s">
        <v>160</v>
      </c>
      <c r="E50">
        <v>2017</v>
      </c>
      <c r="F50" t="s">
        <v>103</v>
      </c>
      <c r="G50" t="s">
        <v>29</v>
      </c>
      <c r="H50" t="s">
        <v>262</v>
      </c>
      <c r="I50" t="s">
        <v>22</v>
      </c>
      <c r="J50" t="s">
        <v>23</v>
      </c>
      <c r="K50">
        <v>25</v>
      </c>
      <c r="L50" t="str">
        <f>IF(SportClimbing[[#This Row],[Height (m)]]&lt;11, "0-10", IF(SportClimbing[[#This Row],[Height (m)]]&lt;16, "11-15", IF(SportClimbing[[#This Row],[Height (m)]]&lt;21, "16-20", IF(SportClimbing[[#This Row],[Height (m)]]&lt;26, "21-25", IF(SportClimbing[[#This Row],[Height (m)]]&lt;31, "26-30", IF(SportClimbing[[#This Row],[Height (m)]]&lt;36, "31-35", "35+"))))))</f>
        <v>21-25</v>
      </c>
      <c r="M50" t="s">
        <v>104</v>
      </c>
      <c r="N50">
        <v>6</v>
      </c>
      <c r="O50">
        <f>IF(ISNUMBER(SportClimbing[[#This Row],[Total number of tries]])=TRUE, SportClimbing[[#This Row],[Total number of tries]], 1)</f>
        <v>6</v>
      </c>
      <c r="P50" t="str">
        <f>IF(ISNUMBER(SportClimbing[[#This Row],[Total number of tries]])=TRUE, "redpoint", SportClimbing[[#This Row],[Total number of tries]])</f>
        <v>redpoint</v>
      </c>
      <c r="Q50">
        <f>_xlfn.XLOOKUP(SportClimbing[[#This Row],[Grade]],SCORE[GRADE],SCORE[SCORE],,)</f>
        <v>25</v>
      </c>
    </row>
    <row r="51" spans="1:17" x14ac:dyDescent="0.25">
      <c r="A51" s="21">
        <f>DATE(SportClimbing[[#This Row],[Year]],_xlfn.XLOOKUP(SportClimbing[[#This Row],[Month]],MONTHS[MONTHS 2],MONTHS[MONTHS 3]),SportClimbing[[#This Row],[Day]])</f>
        <v>43077</v>
      </c>
      <c r="B51" s="21" t="b">
        <f ca="1">AND(SportClimbing[[#This Row],[Date]] &gt;= TODAY()-365, SportClimbing[[#This Row],[Date]] &lt;= TODAY())</f>
        <v>0</v>
      </c>
      <c r="C51">
        <v>8</v>
      </c>
      <c r="D51" t="s">
        <v>161</v>
      </c>
      <c r="E51">
        <v>2017</v>
      </c>
      <c r="F51" t="s">
        <v>109</v>
      </c>
      <c r="G51" t="s">
        <v>21</v>
      </c>
      <c r="H51" t="s">
        <v>262</v>
      </c>
      <c r="I51" t="s">
        <v>43</v>
      </c>
      <c r="J51" t="s">
        <v>226</v>
      </c>
      <c r="K51">
        <v>25</v>
      </c>
      <c r="L51" t="str">
        <f>IF(SportClimbing[[#This Row],[Height (m)]]&lt;11, "0-10", IF(SportClimbing[[#This Row],[Height (m)]]&lt;16, "11-15", IF(SportClimbing[[#This Row],[Height (m)]]&lt;21, "16-20", IF(SportClimbing[[#This Row],[Height (m)]]&lt;26, "21-25", IF(SportClimbing[[#This Row],[Height (m)]]&lt;31, "26-30", IF(SportClimbing[[#This Row],[Height (m)]]&lt;36, "31-35", "35+"))))))</f>
        <v>21-25</v>
      </c>
      <c r="M51" t="s">
        <v>131</v>
      </c>
      <c r="N51">
        <v>2</v>
      </c>
      <c r="O51">
        <f>IF(ISNUMBER(SportClimbing[[#This Row],[Total number of tries]])=TRUE, SportClimbing[[#This Row],[Total number of tries]], 1)</f>
        <v>2</v>
      </c>
      <c r="P51" t="str">
        <f>IF(ISNUMBER(SportClimbing[[#This Row],[Total number of tries]])=TRUE, "redpoint", SportClimbing[[#This Row],[Total number of tries]])</f>
        <v>redpoint</v>
      </c>
      <c r="Q51">
        <f>_xlfn.XLOOKUP(SportClimbing[[#This Row],[Grade]],SCORE[GRADE],SCORE[SCORE],,)</f>
        <v>15</v>
      </c>
    </row>
    <row r="52" spans="1:17" x14ac:dyDescent="0.25">
      <c r="A52" s="21">
        <f>DATE(SportClimbing[[#This Row],[Year]],_xlfn.XLOOKUP(SportClimbing[[#This Row],[Month]],MONTHS[MONTHS 2],MONTHS[MONTHS 3]),SportClimbing[[#This Row],[Day]])</f>
        <v>43078</v>
      </c>
      <c r="B52" s="21" t="b">
        <f ca="1">AND(SportClimbing[[#This Row],[Date]] &gt;= TODAY()-365, SportClimbing[[#This Row],[Date]] &lt;= TODAY())</f>
        <v>0</v>
      </c>
      <c r="C52">
        <v>9</v>
      </c>
      <c r="D52" t="s">
        <v>161</v>
      </c>
      <c r="E52">
        <v>2017</v>
      </c>
      <c r="F52" t="s">
        <v>108</v>
      </c>
      <c r="G52" t="s">
        <v>3</v>
      </c>
      <c r="H52" t="s">
        <v>262</v>
      </c>
      <c r="I52" t="s">
        <v>105</v>
      </c>
      <c r="J52" t="s">
        <v>117</v>
      </c>
      <c r="K52">
        <v>20</v>
      </c>
      <c r="L52" t="str">
        <f>IF(SportClimbing[[#This Row],[Height (m)]]&lt;11, "0-10", IF(SportClimbing[[#This Row],[Height (m)]]&lt;16, "11-15", IF(SportClimbing[[#This Row],[Height (m)]]&lt;21, "16-20", IF(SportClimbing[[#This Row],[Height (m)]]&lt;26, "21-25", IF(SportClimbing[[#This Row],[Height (m)]]&lt;31, "26-30", IF(SportClimbing[[#This Row],[Height (m)]]&lt;36, "31-35", "35+"))))))</f>
        <v>16-20</v>
      </c>
      <c r="M52" t="s">
        <v>38</v>
      </c>
      <c r="N52" t="s">
        <v>11</v>
      </c>
      <c r="O52">
        <f>IF(ISNUMBER(SportClimbing[[#This Row],[Total number of tries]])=TRUE, SportClimbing[[#This Row],[Total number of tries]], 1)</f>
        <v>1</v>
      </c>
      <c r="P52" t="str">
        <f>IF(ISNUMBER(SportClimbing[[#This Row],[Total number of tries]])=TRUE, "redpoint", SportClimbing[[#This Row],[Total number of tries]])</f>
        <v>flash</v>
      </c>
      <c r="Q52">
        <f>_xlfn.XLOOKUP(SportClimbing[[#This Row],[Grade]],SCORE[GRADE],SCORE[SCORE],,)</f>
        <v>10</v>
      </c>
    </row>
    <row r="53" spans="1:17" x14ac:dyDescent="0.25">
      <c r="A53" s="21">
        <f>DATE(SportClimbing[[#This Row],[Year]],_xlfn.XLOOKUP(SportClimbing[[#This Row],[Month]],MONTHS[MONTHS 2],MONTHS[MONTHS 3]),SportClimbing[[#This Row],[Day]])</f>
        <v>43079</v>
      </c>
      <c r="B53" s="21" t="b">
        <f ca="1">AND(SportClimbing[[#This Row],[Date]] &gt;= TODAY()-365, SportClimbing[[#This Row],[Date]] &lt;= TODAY())</f>
        <v>0</v>
      </c>
      <c r="C53">
        <v>10</v>
      </c>
      <c r="D53" t="s">
        <v>161</v>
      </c>
      <c r="E53">
        <v>2017</v>
      </c>
      <c r="F53" t="s">
        <v>107</v>
      </c>
      <c r="G53" t="s">
        <v>21</v>
      </c>
      <c r="H53" t="s">
        <v>262</v>
      </c>
      <c r="I53" t="s">
        <v>43</v>
      </c>
      <c r="J53" t="s">
        <v>106</v>
      </c>
      <c r="K53">
        <v>20</v>
      </c>
      <c r="L53" t="str">
        <f>IF(SportClimbing[[#This Row],[Height (m)]]&lt;11, "0-10", IF(SportClimbing[[#This Row],[Height (m)]]&lt;16, "11-15", IF(SportClimbing[[#This Row],[Height (m)]]&lt;21, "16-20", IF(SportClimbing[[#This Row],[Height (m)]]&lt;26, "21-25", IF(SportClimbing[[#This Row],[Height (m)]]&lt;31, "26-30", IF(SportClimbing[[#This Row],[Height (m)]]&lt;36, "31-35", "35+"))))))</f>
        <v>16-20</v>
      </c>
      <c r="M53" t="s">
        <v>122</v>
      </c>
      <c r="N53">
        <v>3</v>
      </c>
      <c r="O53">
        <f>IF(ISNUMBER(SportClimbing[[#This Row],[Total number of tries]])=TRUE, SportClimbing[[#This Row],[Total number of tries]], 1)</f>
        <v>3</v>
      </c>
      <c r="P53" t="str">
        <f>IF(ISNUMBER(SportClimbing[[#This Row],[Total number of tries]])=TRUE, "redpoint", SportClimbing[[#This Row],[Total number of tries]])</f>
        <v>redpoint</v>
      </c>
      <c r="Q53">
        <f>_xlfn.XLOOKUP(SportClimbing[[#This Row],[Grade]],SCORE[GRADE],SCORE[SCORE],,)</f>
        <v>15</v>
      </c>
    </row>
    <row r="54" spans="1:17" x14ac:dyDescent="0.25">
      <c r="A54" s="21">
        <f>DATE(SportClimbing[[#This Row],[Year]],_xlfn.XLOOKUP(SportClimbing[[#This Row],[Month]],MONTHS[MONTHS 2],MONTHS[MONTHS 3]),SportClimbing[[#This Row],[Day]])</f>
        <v>43085</v>
      </c>
      <c r="B54" s="21" t="b">
        <f ca="1">AND(SportClimbing[[#This Row],[Date]] &gt;= TODAY()-365, SportClimbing[[#This Row],[Date]] &lt;= TODAY())</f>
        <v>0</v>
      </c>
      <c r="C54">
        <v>16</v>
      </c>
      <c r="D54" t="s">
        <v>161</v>
      </c>
      <c r="E54">
        <v>2017</v>
      </c>
      <c r="F54" t="s">
        <v>112</v>
      </c>
      <c r="G54" t="s">
        <v>3</v>
      </c>
      <c r="H54" t="s">
        <v>262</v>
      </c>
      <c r="I54" t="s">
        <v>105</v>
      </c>
      <c r="J54" t="s">
        <v>110</v>
      </c>
      <c r="K54">
        <v>30</v>
      </c>
      <c r="L54" t="str">
        <f>IF(SportClimbing[[#This Row],[Height (m)]]&lt;11, "0-10", IF(SportClimbing[[#This Row],[Height (m)]]&lt;16, "11-15", IF(SportClimbing[[#This Row],[Height (m)]]&lt;21, "16-20", IF(SportClimbing[[#This Row],[Height (m)]]&lt;26, "21-25", IF(SportClimbing[[#This Row],[Height (m)]]&lt;31, "26-30", IF(SportClimbing[[#This Row],[Height (m)]]&lt;36, "31-35", "35+"))))))</f>
        <v>26-30</v>
      </c>
      <c r="M54" t="s">
        <v>111</v>
      </c>
      <c r="N54" t="s">
        <v>130</v>
      </c>
      <c r="O54">
        <f>IF(ISNUMBER(SportClimbing[[#This Row],[Total number of tries]])=TRUE, SportClimbing[[#This Row],[Total number of tries]], 1)</f>
        <v>1</v>
      </c>
      <c r="P54" t="str">
        <f>IF(ISNUMBER(SportClimbing[[#This Row],[Total number of tries]])=TRUE, "redpoint", SportClimbing[[#This Row],[Total number of tries]])</f>
        <v>onsight</v>
      </c>
      <c r="Q54">
        <f>_xlfn.XLOOKUP(SportClimbing[[#This Row],[Grade]],SCORE[GRADE],SCORE[SCORE],,)</f>
        <v>10</v>
      </c>
    </row>
    <row r="55" spans="1:17" x14ac:dyDescent="0.25">
      <c r="A55" s="21">
        <f>DATE(SportClimbing[[#This Row],[Year]],_xlfn.XLOOKUP(SportClimbing[[#This Row],[Month]],MONTHS[MONTHS 2],MONTHS[MONTHS 3]),SportClimbing[[#This Row],[Day]])</f>
        <v>43086</v>
      </c>
      <c r="B55" s="21" t="b">
        <f ca="1">AND(SportClimbing[[#This Row],[Date]] &gt;= TODAY()-365, SportClimbing[[#This Row],[Date]] &lt;= TODAY())</f>
        <v>0</v>
      </c>
      <c r="C55">
        <v>17</v>
      </c>
      <c r="D55" t="s">
        <v>161</v>
      </c>
      <c r="E55">
        <v>2017</v>
      </c>
      <c r="F55" t="s">
        <v>113</v>
      </c>
      <c r="G55" t="s">
        <v>29</v>
      </c>
      <c r="H55" t="s">
        <v>262</v>
      </c>
      <c r="I55" t="s">
        <v>105</v>
      </c>
      <c r="J55" t="s">
        <v>110</v>
      </c>
      <c r="K55">
        <v>30</v>
      </c>
      <c r="L55" t="str">
        <f>IF(SportClimbing[[#This Row],[Height (m)]]&lt;11, "0-10", IF(SportClimbing[[#This Row],[Height (m)]]&lt;16, "11-15", IF(SportClimbing[[#This Row],[Height (m)]]&lt;21, "16-20", IF(SportClimbing[[#This Row],[Height (m)]]&lt;26, "21-25", IF(SportClimbing[[#This Row],[Height (m)]]&lt;31, "26-30", IF(SportClimbing[[#This Row],[Height (m)]]&lt;36, "31-35", "35+"))))))</f>
        <v>26-30</v>
      </c>
      <c r="M55" t="s">
        <v>111</v>
      </c>
      <c r="N55">
        <v>2</v>
      </c>
      <c r="O55">
        <f>IF(ISNUMBER(SportClimbing[[#This Row],[Total number of tries]])=TRUE, SportClimbing[[#This Row],[Total number of tries]], 1)</f>
        <v>2</v>
      </c>
      <c r="P55" t="str">
        <f>IF(ISNUMBER(SportClimbing[[#This Row],[Total number of tries]])=TRUE, "redpoint", SportClimbing[[#This Row],[Total number of tries]])</f>
        <v>redpoint</v>
      </c>
      <c r="Q55">
        <f>_xlfn.XLOOKUP(SportClimbing[[#This Row],[Grade]],SCORE[GRADE],SCORE[SCORE],,)</f>
        <v>25</v>
      </c>
    </row>
    <row r="56" spans="1:17" x14ac:dyDescent="0.25">
      <c r="A56" s="21">
        <f>DATE(SportClimbing[[#This Row],[Year]],_xlfn.XLOOKUP(SportClimbing[[#This Row],[Month]],MONTHS[MONTHS 2],MONTHS[MONTHS 3]),SportClimbing[[#This Row],[Day]])</f>
        <v>43099</v>
      </c>
      <c r="B56" s="21" t="b">
        <f ca="1">AND(SportClimbing[[#This Row],[Date]] &gt;= TODAY()-365, SportClimbing[[#This Row],[Date]] &lt;= TODAY())</f>
        <v>0</v>
      </c>
      <c r="C56">
        <v>30</v>
      </c>
      <c r="D56" t="s">
        <v>161</v>
      </c>
      <c r="E56">
        <v>2017</v>
      </c>
      <c r="F56" t="s">
        <v>116</v>
      </c>
      <c r="G56" t="s">
        <v>32</v>
      </c>
      <c r="H56" t="s">
        <v>262</v>
      </c>
      <c r="I56" t="s">
        <v>43</v>
      </c>
      <c r="J56" t="s">
        <v>115</v>
      </c>
      <c r="K56">
        <v>38</v>
      </c>
      <c r="L56" t="str">
        <f>IF(SportClimbing[[#This Row],[Height (m)]]&lt;11, "0-10", IF(SportClimbing[[#This Row],[Height (m)]]&lt;16, "11-15", IF(SportClimbing[[#This Row],[Height (m)]]&lt;21, "16-20", IF(SportClimbing[[#This Row],[Height (m)]]&lt;26, "21-25", IF(SportClimbing[[#This Row],[Height (m)]]&lt;31, "26-30", IF(SportClimbing[[#This Row],[Height (m)]]&lt;36, "31-35", "35+"))))))</f>
        <v>35+</v>
      </c>
      <c r="M56" t="s">
        <v>131</v>
      </c>
      <c r="N56" t="s">
        <v>130</v>
      </c>
      <c r="O56">
        <f>IF(ISNUMBER(SportClimbing[[#This Row],[Total number of tries]])=TRUE, SportClimbing[[#This Row],[Total number of tries]], 1)</f>
        <v>1</v>
      </c>
      <c r="P56" t="str">
        <f>IF(ISNUMBER(SportClimbing[[#This Row],[Total number of tries]])=TRUE, "redpoint", SportClimbing[[#This Row],[Total number of tries]])</f>
        <v>onsight</v>
      </c>
      <c r="Q56">
        <f>_xlfn.XLOOKUP(SportClimbing[[#This Row],[Grade]],SCORE[GRADE],SCORE[SCORE],,)</f>
        <v>40</v>
      </c>
    </row>
    <row r="57" spans="1:17" x14ac:dyDescent="0.25">
      <c r="A57" s="21">
        <f>DATE(SportClimbing[[#This Row],[Year]],_xlfn.XLOOKUP(SportClimbing[[#This Row],[Month]],MONTHS[MONTHS 2],MONTHS[MONTHS 3]),SportClimbing[[#This Row],[Day]])</f>
        <v>43100</v>
      </c>
      <c r="B57" s="21" t="b">
        <f ca="1">AND(SportClimbing[[#This Row],[Date]] &gt;= TODAY()-365, SportClimbing[[#This Row],[Date]] &lt;= TODAY())</f>
        <v>0</v>
      </c>
      <c r="C57">
        <v>31</v>
      </c>
      <c r="D57" t="s">
        <v>161</v>
      </c>
      <c r="E57">
        <v>2017</v>
      </c>
      <c r="F57" t="s">
        <v>198</v>
      </c>
      <c r="G57" t="s">
        <v>3</v>
      </c>
      <c r="H57" t="s">
        <v>262</v>
      </c>
      <c r="I57" t="s">
        <v>105</v>
      </c>
      <c r="J57" t="s">
        <v>114</v>
      </c>
      <c r="K57">
        <v>20</v>
      </c>
      <c r="L57" t="str">
        <f>IF(SportClimbing[[#This Row],[Height (m)]]&lt;11, "0-10", IF(SportClimbing[[#This Row],[Height (m)]]&lt;16, "11-15", IF(SportClimbing[[#This Row],[Height (m)]]&lt;21, "16-20", IF(SportClimbing[[#This Row],[Height (m)]]&lt;26, "21-25", IF(SportClimbing[[#This Row],[Height (m)]]&lt;31, "26-30", IF(SportClimbing[[#This Row],[Height (m)]]&lt;36, "31-35", "35+"))))))</f>
        <v>16-20</v>
      </c>
      <c r="M57" t="s">
        <v>131</v>
      </c>
      <c r="N57" t="s">
        <v>130</v>
      </c>
      <c r="O57">
        <f>IF(ISNUMBER(SportClimbing[[#This Row],[Total number of tries]])=TRUE, SportClimbing[[#This Row],[Total number of tries]], 1)</f>
        <v>1</v>
      </c>
      <c r="P57" t="str">
        <f>IF(ISNUMBER(SportClimbing[[#This Row],[Total number of tries]])=TRUE, "redpoint", SportClimbing[[#This Row],[Total number of tries]])</f>
        <v>onsight</v>
      </c>
      <c r="Q57">
        <f>_xlfn.XLOOKUP(SportClimbing[[#This Row],[Grade]],SCORE[GRADE],SCORE[SCORE],,)</f>
        <v>10</v>
      </c>
    </row>
    <row r="58" spans="1:17" x14ac:dyDescent="0.25">
      <c r="A58" s="21">
        <f>DATE(SportClimbing[[#This Row],[Year]],_xlfn.XLOOKUP(SportClimbing[[#This Row],[Month]],MONTHS[MONTHS 2],MONTHS[MONTHS 3]),SportClimbing[[#This Row],[Day]])</f>
        <v>43100</v>
      </c>
      <c r="B58" s="21" t="b">
        <f ca="1">AND(SportClimbing[[#This Row],[Date]] &gt;= TODAY()-365, SportClimbing[[#This Row],[Date]] &lt;= TODAY())</f>
        <v>0</v>
      </c>
      <c r="C58">
        <v>31</v>
      </c>
      <c r="D58" t="s">
        <v>161</v>
      </c>
      <c r="E58">
        <v>2017</v>
      </c>
      <c r="F58" t="s">
        <v>244</v>
      </c>
      <c r="G58" t="s">
        <v>21</v>
      </c>
      <c r="H58" t="s">
        <v>262</v>
      </c>
      <c r="I58" t="s">
        <v>105</v>
      </c>
      <c r="J58" t="s">
        <v>114</v>
      </c>
      <c r="K58">
        <v>25</v>
      </c>
      <c r="L58" t="str">
        <f>IF(SportClimbing[[#This Row],[Height (m)]]&lt;11, "0-10", IF(SportClimbing[[#This Row],[Height (m)]]&lt;16, "11-15", IF(SportClimbing[[#This Row],[Height (m)]]&lt;21, "16-20", IF(SportClimbing[[#This Row],[Height (m)]]&lt;26, "21-25", IF(SportClimbing[[#This Row],[Height (m)]]&lt;31, "26-30", IF(SportClimbing[[#This Row],[Height (m)]]&lt;36, "31-35", "35+"))))))</f>
        <v>21-25</v>
      </c>
      <c r="M58" t="s">
        <v>131</v>
      </c>
      <c r="N58">
        <v>2</v>
      </c>
      <c r="O58">
        <f>IF(ISNUMBER(SportClimbing[[#This Row],[Total number of tries]])=TRUE, SportClimbing[[#This Row],[Total number of tries]], 1)</f>
        <v>2</v>
      </c>
      <c r="P58" t="str">
        <f>IF(ISNUMBER(SportClimbing[[#This Row],[Total number of tries]])=TRUE, "redpoint", SportClimbing[[#This Row],[Total number of tries]])</f>
        <v>redpoint</v>
      </c>
      <c r="Q58">
        <f>_xlfn.XLOOKUP(SportClimbing[[#This Row],[Grade]],SCORE[GRADE],SCORE[SCORE],,)</f>
        <v>15</v>
      </c>
    </row>
    <row r="59" spans="1:17" x14ac:dyDescent="0.25">
      <c r="A59" s="21">
        <f>DATE(SportClimbing[[#This Row],[Year]],_xlfn.XLOOKUP(SportClimbing[[#This Row],[Month]],MONTHS[MONTHS 2],MONTHS[MONTHS 3]),SportClimbing[[#This Row],[Day]])</f>
        <v>43105</v>
      </c>
      <c r="B59" s="21" t="b">
        <f ca="1">AND(SportClimbing[[#This Row],[Date]] &gt;= TODAY()-365, SportClimbing[[#This Row],[Date]] &lt;= TODAY())</f>
        <v>0</v>
      </c>
      <c r="C59">
        <v>5</v>
      </c>
      <c r="D59" t="s">
        <v>151</v>
      </c>
      <c r="E59">
        <v>2018</v>
      </c>
      <c r="F59" t="s">
        <v>119</v>
      </c>
      <c r="G59" t="s">
        <v>29</v>
      </c>
      <c r="H59" t="s">
        <v>262</v>
      </c>
      <c r="I59" t="s">
        <v>25</v>
      </c>
      <c r="J59" t="s">
        <v>26</v>
      </c>
      <c r="K59">
        <v>20</v>
      </c>
      <c r="L59" t="str">
        <f>IF(SportClimbing[[#This Row],[Height (m)]]&lt;11, "0-10", IF(SportClimbing[[#This Row],[Height (m)]]&lt;16, "11-15", IF(SportClimbing[[#This Row],[Height (m)]]&lt;21, "16-20", IF(SportClimbing[[#This Row],[Height (m)]]&lt;26, "21-25", IF(SportClimbing[[#This Row],[Height (m)]]&lt;31, "26-30", IF(SportClimbing[[#This Row],[Height (m)]]&lt;36, "31-35", "35+"))))))</f>
        <v>16-20</v>
      </c>
      <c r="M59" t="s">
        <v>120</v>
      </c>
      <c r="N59">
        <v>2</v>
      </c>
      <c r="O59">
        <f>IF(ISNUMBER(SportClimbing[[#This Row],[Total number of tries]])=TRUE, SportClimbing[[#This Row],[Total number of tries]], 1)</f>
        <v>2</v>
      </c>
      <c r="P59" t="str">
        <f>IF(ISNUMBER(SportClimbing[[#This Row],[Total number of tries]])=TRUE, "redpoint", SportClimbing[[#This Row],[Total number of tries]])</f>
        <v>redpoint</v>
      </c>
      <c r="Q59">
        <f>_xlfn.XLOOKUP(SportClimbing[[#This Row],[Grade]],SCORE[GRADE],SCORE[SCORE],,)</f>
        <v>25</v>
      </c>
    </row>
    <row r="60" spans="1:17" x14ac:dyDescent="0.25">
      <c r="A60" s="21">
        <f>DATE(SportClimbing[[#This Row],[Year]],_xlfn.XLOOKUP(SportClimbing[[#This Row],[Month]],MONTHS[MONTHS 2],MONTHS[MONTHS 3]),SportClimbing[[#This Row],[Day]])</f>
        <v>43127</v>
      </c>
      <c r="B60" s="21" t="b">
        <f ca="1">AND(SportClimbing[[#This Row],[Date]] &gt;= TODAY()-365, SportClimbing[[#This Row],[Date]] &lt;= TODAY())</f>
        <v>0</v>
      </c>
      <c r="C60">
        <v>27</v>
      </c>
      <c r="D60" t="s">
        <v>151</v>
      </c>
      <c r="E60">
        <v>2018</v>
      </c>
      <c r="F60" t="s">
        <v>121</v>
      </c>
      <c r="G60" t="s">
        <v>32</v>
      </c>
      <c r="H60" t="s">
        <v>262</v>
      </c>
      <c r="I60" t="s">
        <v>22</v>
      </c>
      <c r="J60" t="s">
        <v>23</v>
      </c>
      <c r="K60">
        <v>25</v>
      </c>
      <c r="L60" t="str">
        <f>IF(SportClimbing[[#This Row],[Height (m)]]&lt;11, "0-10", IF(SportClimbing[[#This Row],[Height (m)]]&lt;16, "11-15", IF(SportClimbing[[#This Row],[Height (m)]]&lt;21, "16-20", IF(SportClimbing[[#This Row],[Height (m)]]&lt;26, "21-25", IF(SportClimbing[[#This Row],[Height (m)]]&lt;31, "26-30", IF(SportClimbing[[#This Row],[Height (m)]]&lt;36, "31-35", "35+"))))))</f>
        <v>21-25</v>
      </c>
      <c r="M60" t="s">
        <v>131</v>
      </c>
      <c r="N60">
        <v>10</v>
      </c>
      <c r="O60">
        <f>IF(ISNUMBER(SportClimbing[[#This Row],[Total number of tries]])=TRUE, SportClimbing[[#This Row],[Total number of tries]], 1)</f>
        <v>10</v>
      </c>
      <c r="P60" t="str">
        <f>IF(ISNUMBER(SportClimbing[[#This Row],[Total number of tries]])=TRUE, "redpoint", SportClimbing[[#This Row],[Total number of tries]])</f>
        <v>redpoint</v>
      </c>
      <c r="Q60">
        <f>_xlfn.XLOOKUP(SportClimbing[[#This Row],[Grade]],SCORE[GRADE],SCORE[SCORE],,)</f>
        <v>40</v>
      </c>
    </row>
    <row r="61" spans="1:17" x14ac:dyDescent="0.25">
      <c r="A61" s="21">
        <f>DATE(SportClimbing[[#This Row],[Year]],_xlfn.XLOOKUP(SportClimbing[[#This Row],[Month]],MONTHS[MONTHS 2],MONTHS[MONTHS 3]),SportClimbing[[#This Row],[Day]])</f>
        <v>43134</v>
      </c>
      <c r="B61" s="21" t="b">
        <f ca="1">AND(SportClimbing[[#This Row],[Date]] &gt;= TODAY()-365, SportClimbing[[#This Row],[Date]] &lt;= TODAY())</f>
        <v>0</v>
      </c>
      <c r="C61">
        <v>3</v>
      </c>
      <c r="D61" t="s">
        <v>152</v>
      </c>
      <c r="E61">
        <v>2018</v>
      </c>
      <c r="F61" t="s">
        <v>125</v>
      </c>
      <c r="G61" t="s">
        <v>29</v>
      </c>
      <c r="H61" t="s">
        <v>262</v>
      </c>
      <c r="I61" t="s">
        <v>123</v>
      </c>
      <c r="J61" t="s">
        <v>124</v>
      </c>
      <c r="K61">
        <v>12</v>
      </c>
      <c r="L61" t="str">
        <f>IF(SportClimbing[[#This Row],[Height (m)]]&lt;11, "0-10", IF(SportClimbing[[#This Row],[Height (m)]]&lt;16, "11-15", IF(SportClimbing[[#This Row],[Height (m)]]&lt;21, "16-20", IF(SportClimbing[[#This Row],[Height (m)]]&lt;26, "21-25", IF(SportClimbing[[#This Row],[Height (m)]]&lt;31, "26-30", IF(SportClimbing[[#This Row],[Height (m)]]&lt;36, "31-35", "35+"))))))</f>
        <v>11-15</v>
      </c>
      <c r="M61" t="s">
        <v>131</v>
      </c>
      <c r="N61">
        <v>3</v>
      </c>
      <c r="O61">
        <f>IF(ISNUMBER(SportClimbing[[#This Row],[Total number of tries]])=TRUE, SportClimbing[[#This Row],[Total number of tries]], 1)</f>
        <v>3</v>
      </c>
      <c r="P61" t="str">
        <f>IF(ISNUMBER(SportClimbing[[#This Row],[Total number of tries]])=TRUE, "redpoint", SportClimbing[[#This Row],[Total number of tries]])</f>
        <v>redpoint</v>
      </c>
      <c r="Q61">
        <f>_xlfn.XLOOKUP(SportClimbing[[#This Row],[Grade]],SCORE[GRADE],SCORE[SCORE],,)</f>
        <v>25</v>
      </c>
    </row>
    <row r="62" spans="1:17" x14ac:dyDescent="0.25">
      <c r="A62" s="21">
        <f>DATE(SportClimbing[[#This Row],[Year]],_xlfn.XLOOKUP(SportClimbing[[#This Row],[Month]],MONTHS[MONTHS 2],MONTHS[MONTHS 3]),SportClimbing[[#This Row],[Day]])</f>
        <v>43153</v>
      </c>
      <c r="B62" s="21" t="b">
        <f ca="1">AND(SportClimbing[[#This Row],[Date]] &gt;= TODAY()-365, SportClimbing[[#This Row],[Date]] &lt;= TODAY())</f>
        <v>0</v>
      </c>
      <c r="C62">
        <v>22</v>
      </c>
      <c r="D62" t="s">
        <v>152</v>
      </c>
      <c r="E62">
        <v>2018</v>
      </c>
      <c r="F62" t="s">
        <v>134</v>
      </c>
      <c r="G62" t="s">
        <v>29</v>
      </c>
      <c r="H62" t="s">
        <v>262</v>
      </c>
      <c r="I62" t="s">
        <v>126</v>
      </c>
      <c r="J62" t="s">
        <v>127</v>
      </c>
      <c r="K62">
        <v>32</v>
      </c>
      <c r="L62" t="str">
        <f>IF(SportClimbing[[#This Row],[Height (m)]]&lt;11, "0-10", IF(SportClimbing[[#This Row],[Height (m)]]&lt;16, "11-15", IF(SportClimbing[[#This Row],[Height (m)]]&lt;21, "16-20", IF(SportClimbing[[#This Row],[Height (m)]]&lt;26, "21-25", IF(SportClimbing[[#This Row],[Height (m)]]&lt;31, "26-30", IF(SportClimbing[[#This Row],[Height (m)]]&lt;36, "31-35", "35+"))))))</f>
        <v>31-35</v>
      </c>
      <c r="M62" t="s">
        <v>120</v>
      </c>
      <c r="N62" t="s">
        <v>11</v>
      </c>
      <c r="O62">
        <f>IF(ISNUMBER(SportClimbing[[#This Row],[Total number of tries]])=TRUE, SportClimbing[[#This Row],[Total number of tries]], 1)</f>
        <v>1</v>
      </c>
      <c r="P62" t="str">
        <f>IF(ISNUMBER(SportClimbing[[#This Row],[Total number of tries]])=TRUE, "redpoint", SportClimbing[[#This Row],[Total number of tries]])</f>
        <v>flash</v>
      </c>
      <c r="Q62">
        <f>_xlfn.XLOOKUP(SportClimbing[[#This Row],[Grade]],SCORE[GRADE],SCORE[SCORE],,)</f>
        <v>25</v>
      </c>
    </row>
    <row r="63" spans="1:17" x14ac:dyDescent="0.25">
      <c r="A63" s="21">
        <f>DATE(SportClimbing[[#This Row],[Year]],_xlfn.XLOOKUP(SportClimbing[[#This Row],[Month]],MONTHS[MONTHS 2],MONTHS[MONTHS 3]),SportClimbing[[#This Row],[Day]])</f>
        <v>43154</v>
      </c>
      <c r="B63" s="21" t="b">
        <f ca="1">AND(SportClimbing[[#This Row],[Date]] &gt;= TODAY()-365, SportClimbing[[#This Row],[Date]] &lt;= TODAY())</f>
        <v>0</v>
      </c>
      <c r="C63">
        <v>23</v>
      </c>
      <c r="D63" t="s">
        <v>152</v>
      </c>
      <c r="E63">
        <v>2018</v>
      </c>
      <c r="F63" t="s">
        <v>135</v>
      </c>
      <c r="G63" t="s">
        <v>29</v>
      </c>
      <c r="H63" t="s">
        <v>262</v>
      </c>
      <c r="I63" t="s">
        <v>126</v>
      </c>
      <c r="J63" t="s">
        <v>128</v>
      </c>
      <c r="K63">
        <v>32</v>
      </c>
      <c r="L63" t="str">
        <f>IF(SportClimbing[[#This Row],[Height (m)]]&lt;11, "0-10", IF(SportClimbing[[#This Row],[Height (m)]]&lt;16, "11-15", IF(SportClimbing[[#This Row],[Height (m)]]&lt;21, "16-20", IF(SportClimbing[[#This Row],[Height (m)]]&lt;26, "21-25", IF(SportClimbing[[#This Row],[Height (m)]]&lt;31, "26-30", IF(SportClimbing[[#This Row],[Height (m)]]&lt;36, "31-35", "35+"))))))</f>
        <v>31-35</v>
      </c>
      <c r="M63" t="s">
        <v>120</v>
      </c>
      <c r="N63">
        <v>2</v>
      </c>
      <c r="O63">
        <f>IF(ISNUMBER(SportClimbing[[#This Row],[Total number of tries]])=TRUE, SportClimbing[[#This Row],[Total number of tries]], 1)</f>
        <v>2</v>
      </c>
      <c r="P63" t="str">
        <f>IF(ISNUMBER(SportClimbing[[#This Row],[Total number of tries]])=TRUE, "redpoint", SportClimbing[[#This Row],[Total number of tries]])</f>
        <v>redpoint</v>
      </c>
      <c r="Q63">
        <f>_xlfn.XLOOKUP(SportClimbing[[#This Row],[Grade]],SCORE[GRADE],SCORE[SCORE],,)</f>
        <v>25</v>
      </c>
    </row>
    <row r="64" spans="1:17" x14ac:dyDescent="0.25">
      <c r="A64" s="21">
        <f>DATE(SportClimbing[[#This Row],[Year]],_xlfn.XLOOKUP(SportClimbing[[#This Row],[Month]],MONTHS[MONTHS 2],MONTHS[MONTHS 3]),SportClimbing[[#This Row],[Day]])</f>
        <v>43155</v>
      </c>
      <c r="B64" s="21" t="b">
        <f ca="1">AND(SportClimbing[[#This Row],[Date]] &gt;= TODAY()-365, SportClimbing[[#This Row],[Date]] &lt;= TODAY())</f>
        <v>0</v>
      </c>
      <c r="C64">
        <v>24</v>
      </c>
      <c r="D64" t="s">
        <v>152</v>
      </c>
      <c r="E64">
        <v>2018</v>
      </c>
      <c r="F64" t="s">
        <v>244</v>
      </c>
      <c r="G64" t="s">
        <v>3</v>
      </c>
      <c r="H64" t="s">
        <v>262</v>
      </c>
      <c r="I64" t="s">
        <v>126</v>
      </c>
      <c r="J64" t="s">
        <v>129</v>
      </c>
      <c r="K64">
        <v>32</v>
      </c>
      <c r="L64" t="str">
        <f>IF(SportClimbing[[#This Row],[Height (m)]]&lt;11, "0-10", IF(SportClimbing[[#This Row],[Height (m)]]&lt;16, "11-15", IF(SportClimbing[[#This Row],[Height (m)]]&lt;21, "16-20", IF(SportClimbing[[#This Row],[Height (m)]]&lt;26, "21-25", IF(SportClimbing[[#This Row],[Height (m)]]&lt;31, "26-30", IF(SportClimbing[[#This Row],[Height (m)]]&lt;36, "31-35", "35+"))))))</f>
        <v>31-35</v>
      </c>
      <c r="M64" t="s">
        <v>120</v>
      </c>
      <c r="N64" t="s">
        <v>130</v>
      </c>
      <c r="O64">
        <f>IF(ISNUMBER(SportClimbing[[#This Row],[Total number of tries]])=TRUE, SportClimbing[[#This Row],[Total number of tries]], 1)</f>
        <v>1</v>
      </c>
      <c r="P64" t="str">
        <f>IF(ISNUMBER(SportClimbing[[#This Row],[Total number of tries]])=TRUE, "redpoint", SportClimbing[[#This Row],[Total number of tries]])</f>
        <v>onsight</v>
      </c>
      <c r="Q64">
        <f>_xlfn.XLOOKUP(SportClimbing[[#This Row],[Grade]],SCORE[GRADE],SCORE[SCORE],,)</f>
        <v>10</v>
      </c>
    </row>
    <row r="65" spans="1:17" x14ac:dyDescent="0.25">
      <c r="A65" s="21">
        <f>DATE(SportClimbing[[#This Row],[Year]],_xlfn.XLOOKUP(SportClimbing[[#This Row],[Month]],MONTHS[MONTHS 2],MONTHS[MONTHS 3]),SportClimbing[[#This Row],[Day]])</f>
        <v>43177</v>
      </c>
      <c r="B65" s="21" t="b">
        <f ca="1">AND(SportClimbing[[#This Row],[Date]] &gt;= TODAY()-365, SportClimbing[[#This Row],[Date]] &lt;= TODAY())</f>
        <v>0</v>
      </c>
      <c r="C65">
        <v>18</v>
      </c>
      <c r="D65" t="s">
        <v>367</v>
      </c>
      <c r="E65">
        <v>2018</v>
      </c>
      <c r="F65" t="s">
        <v>174</v>
      </c>
      <c r="G65" t="s">
        <v>3</v>
      </c>
      <c r="H65" t="s">
        <v>262</v>
      </c>
      <c r="I65" t="s">
        <v>68</v>
      </c>
      <c r="J65" t="s">
        <v>173</v>
      </c>
      <c r="K65">
        <v>18</v>
      </c>
      <c r="L65" t="str">
        <f>IF(SportClimbing[[#This Row],[Height (m)]]&lt;11, "0-10", IF(SportClimbing[[#This Row],[Height (m)]]&lt;16, "11-15", IF(SportClimbing[[#This Row],[Height (m)]]&lt;21, "16-20", IF(SportClimbing[[#This Row],[Height (m)]]&lt;26, "21-25", IF(SportClimbing[[#This Row],[Height (m)]]&lt;31, "26-30", IF(SportClimbing[[#This Row],[Height (m)]]&lt;36, "31-35", "35+"))))))</f>
        <v>16-20</v>
      </c>
      <c r="M65" t="s">
        <v>164</v>
      </c>
      <c r="N65">
        <v>2</v>
      </c>
      <c r="O65">
        <f>IF(ISNUMBER(SportClimbing[[#This Row],[Total number of tries]])=TRUE, SportClimbing[[#This Row],[Total number of tries]], 1)</f>
        <v>2</v>
      </c>
      <c r="P65" t="str">
        <f>IF(ISNUMBER(SportClimbing[[#This Row],[Total number of tries]])=TRUE, "redpoint", SportClimbing[[#This Row],[Total number of tries]])</f>
        <v>redpoint</v>
      </c>
      <c r="Q65">
        <f>_xlfn.XLOOKUP(SportClimbing[[#This Row],[Grade]],SCORE[GRADE],SCORE[SCORE],,)</f>
        <v>10</v>
      </c>
    </row>
    <row r="66" spans="1:17" x14ac:dyDescent="0.25">
      <c r="A66" s="21">
        <f>DATE(SportClimbing[[#This Row],[Year]],_xlfn.XLOOKUP(SportClimbing[[#This Row],[Month]],MONTHS[MONTHS 2],MONTHS[MONTHS 3]),SportClimbing[[#This Row],[Day]])</f>
        <v>43189</v>
      </c>
      <c r="B66" s="21" t="b">
        <f ca="1">AND(SportClimbing[[#This Row],[Date]] &gt;= TODAY()-365, SportClimbing[[#This Row],[Date]] &lt;= TODAY())</f>
        <v>0</v>
      </c>
      <c r="C66">
        <v>30</v>
      </c>
      <c r="D66" t="s">
        <v>367</v>
      </c>
      <c r="E66">
        <v>2018</v>
      </c>
      <c r="F66" t="s">
        <v>165</v>
      </c>
      <c r="G66" t="s">
        <v>69</v>
      </c>
      <c r="H66" t="s">
        <v>262</v>
      </c>
      <c r="I66" t="s">
        <v>126</v>
      </c>
      <c r="J66" t="s">
        <v>127</v>
      </c>
      <c r="K66">
        <v>20</v>
      </c>
      <c r="L66" t="str">
        <f>IF(SportClimbing[[#This Row],[Height (m)]]&lt;11, "0-10", IF(SportClimbing[[#This Row],[Height (m)]]&lt;16, "11-15", IF(SportClimbing[[#This Row],[Height (m)]]&lt;21, "16-20", IF(SportClimbing[[#This Row],[Height (m)]]&lt;26, "21-25", IF(SportClimbing[[#This Row],[Height (m)]]&lt;31, "26-30", IF(SportClimbing[[#This Row],[Height (m)]]&lt;36, "31-35", "35+"))))))</f>
        <v>16-20</v>
      </c>
      <c r="M66" t="s">
        <v>132</v>
      </c>
      <c r="N66">
        <v>5</v>
      </c>
      <c r="O66">
        <f>IF(ISNUMBER(SportClimbing[[#This Row],[Total number of tries]])=TRUE, SportClimbing[[#This Row],[Total number of tries]], 1)</f>
        <v>5</v>
      </c>
      <c r="P66" t="str">
        <f>IF(ISNUMBER(SportClimbing[[#This Row],[Total number of tries]])=TRUE, "redpoint", SportClimbing[[#This Row],[Total number of tries]])</f>
        <v>redpoint</v>
      </c>
      <c r="Q66">
        <f>_xlfn.XLOOKUP(SportClimbing[[#This Row],[Grade]],SCORE[GRADE],SCORE[SCORE],,)</f>
        <v>60</v>
      </c>
    </row>
    <row r="67" spans="1:17" x14ac:dyDescent="0.25">
      <c r="A67" s="21">
        <f>DATE(SportClimbing[[#This Row],[Year]],_xlfn.XLOOKUP(SportClimbing[[#This Row],[Month]],MONTHS[MONTHS 2],MONTHS[MONTHS 3]),SportClimbing[[#This Row],[Day]])</f>
        <v>43190</v>
      </c>
      <c r="B67" s="21" t="b">
        <f ca="1">AND(SportClimbing[[#This Row],[Date]] &gt;= TODAY()-365, SportClimbing[[#This Row],[Date]] &lt;= TODAY())</f>
        <v>0</v>
      </c>
      <c r="C67">
        <v>31</v>
      </c>
      <c r="D67" t="s">
        <v>367</v>
      </c>
      <c r="E67">
        <v>2018</v>
      </c>
      <c r="F67" t="s">
        <v>167</v>
      </c>
      <c r="G67" t="s">
        <v>21</v>
      </c>
      <c r="H67" t="s">
        <v>262</v>
      </c>
      <c r="I67" t="s">
        <v>126</v>
      </c>
      <c r="J67" t="s">
        <v>264</v>
      </c>
      <c r="K67">
        <v>18</v>
      </c>
      <c r="L67" t="str">
        <f>IF(SportClimbing[[#This Row],[Height (m)]]&lt;11, "0-10", IF(SportClimbing[[#This Row],[Height (m)]]&lt;16, "11-15", IF(SportClimbing[[#This Row],[Height (m)]]&lt;21, "16-20", IF(SportClimbing[[#This Row],[Height (m)]]&lt;26, "21-25", IF(SportClimbing[[#This Row],[Height (m)]]&lt;31, "26-30", IF(SportClimbing[[#This Row],[Height (m)]]&lt;36, "31-35", "35+"))))))</f>
        <v>16-20</v>
      </c>
      <c r="M67" t="s">
        <v>132</v>
      </c>
      <c r="N67">
        <v>2</v>
      </c>
      <c r="O67">
        <f>IF(ISNUMBER(SportClimbing[[#This Row],[Total number of tries]])=TRUE, SportClimbing[[#This Row],[Total number of tries]], 1)</f>
        <v>2</v>
      </c>
      <c r="P67" t="str">
        <f>IF(ISNUMBER(SportClimbing[[#This Row],[Total number of tries]])=TRUE, "redpoint", SportClimbing[[#This Row],[Total number of tries]])</f>
        <v>redpoint</v>
      </c>
      <c r="Q67">
        <f>_xlfn.XLOOKUP(SportClimbing[[#This Row],[Grade]],SCORE[GRADE],SCORE[SCORE],,)</f>
        <v>15</v>
      </c>
    </row>
    <row r="68" spans="1:17" x14ac:dyDescent="0.25">
      <c r="A68" s="21">
        <f>DATE(SportClimbing[[#This Row],[Year]],_xlfn.XLOOKUP(SportClimbing[[#This Row],[Month]],MONTHS[MONTHS 2],MONTHS[MONTHS 3]),SportClimbing[[#This Row],[Day]])</f>
        <v>43191</v>
      </c>
      <c r="B68" s="21" t="b">
        <f ca="1">AND(SportClimbing[[#This Row],[Date]] &gt;= TODAY()-365, SportClimbing[[#This Row],[Date]] &lt;= TODAY())</f>
        <v>0</v>
      </c>
      <c r="C68">
        <v>1</v>
      </c>
      <c r="D68" t="s">
        <v>368</v>
      </c>
      <c r="E68">
        <v>2018</v>
      </c>
      <c r="F68" t="s">
        <v>244</v>
      </c>
      <c r="G68" t="s">
        <v>32</v>
      </c>
      <c r="H68" t="s">
        <v>262</v>
      </c>
      <c r="I68" t="s">
        <v>126</v>
      </c>
      <c r="J68" t="s">
        <v>166</v>
      </c>
      <c r="K68">
        <v>30</v>
      </c>
      <c r="L68" t="str">
        <f>IF(SportClimbing[[#This Row],[Height (m)]]&lt;11, "0-10", IF(SportClimbing[[#This Row],[Height (m)]]&lt;16, "11-15", IF(SportClimbing[[#This Row],[Height (m)]]&lt;21, "16-20", IF(SportClimbing[[#This Row],[Height (m)]]&lt;26, "21-25", IF(SportClimbing[[#This Row],[Height (m)]]&lt;31, "26-30", IF(SportClimbing[[#This Row],[Height (m)]]&lt;36, "31-35", "35+"))))))</f>
        <v>26-30</v>
      </c>
      <c r="M68" t="s">
        <v>164</v>
      </c>
      <c r="N68">
        <v>2</v>
      </c>
      <c r="O68">
        <f>IF(ISNUMBER(SportClimbing[[#This Row],[Total number of tries]])=TRUE, SportClimbing[[#This Row],[Total number of tries]], 1)</f>
        <v>2</v>
      </c>
      <c r="P68" t="str">
        <f>IF(ISNUMBER(SportClimbing[[#This Row],[Total number of tries]])=TRUE, "redpoint", SportClimbing[[#This Row],[Total number of tries]])</f>
        <v>redpoint</v>
      </c>
      <c r="Q68">
        <f>_xlfn.XLOOKUP(SportClimbing[[#This Row],[Grade]],SCORE[GRADE],SCORE[SCORE],,)</f>
        <v>40</v>
      </c>
    </row>
    <row r="69" spans="1:17" x14ac:dyDescent="0.25">
      <c r="A69" s="21">
        <f>DATE(SportClimbing[[#This Row],[Year]],_xlfn.XLOOKUP(SportClimbing[[#This Row],[Month]],MONTHS[MONTHS 2],MONTHS[MONTHS 3]),SportClimbing[[#This Row],[Day]])</f>
        <v>43192</v>
      </c>
      <c r="B69" s="21" t="b">
        <f ca="1">AND(SportClimbing[[#This Row],[Date]] &gt;= TODAY()-365, SportClimbing[[#This Row],[Date]] &lt;= TODAY())</f>
        <v>0</v>
      </c>
      <c r="C69">
        <v>2</v>
      </c>
      <c r="D69" t="s">
        <v>368</v>
      </c>
      <c r="E69">
        <v>2018</v>
      </c>
      <c r="F69" t="s">
        <v>244</v>
      </c>
      <c r="G69" t="s">
        <v>29</v>
      </c>
      <c r="H69" t="s">
        <v>262</v>
      </c>
      <c r="I69" t="s">
        <v>126</v>
      </c>
      <c r="J69" t="s">
        <v>168</v>
      </c>
      <c r="K69">
        <v>30</v>
      </c>
      <c r="L69" t="str">
        <f>IF(SportClimbing[[#This Row],[Height (m)]]&lt;11, "0-10", IF(SportClimbing[[#This Row],[Height (m)]]&lt;16, "11-15", IF(SportClimbing[[#This Row],[Height (m)]]&lt;21, "16-20", IF(SportClimbing[[#This Row],[Height (m)]]&lt;26, "21-25", IF(SportClimbing[[#This Row],[Height (m)]]&lt;31, "26-30", IF(SportClimbing[[#This Row],[Height (m)]]&lt;36, "31-35", "35+"))))))</f>
        <v>26-30</v>
      </c>
      <c r="M69" t="s">
        <v>132</v>
      </c>
      <c r="N69">
        <v>4</v>
      </c>
      <c r="O69">
        <f>IF(ISNUMBER(SportClimbing[[#This Row],[Total number of tries]])=TRUE, SportClimbing[[#This Row],[Total number of tries]], 1)</f>
        <v>4</v>
      </c>
      <c r="P69" t="str">
        <f>IF(ISNUMBER(SportClimbing[[#This Row],[Total number of tries]])=TRUE, "redpoint", SportClimbing[[#This Row],[Total number of tries]])</f>
        <v>redpoint</v>
      </c>
      <c r="Q69">
        <f>_xlfn.XLOOKUP(SportClimbing[[#This Row],[Grade]],SCORE[GRADE],SCORE[SCORE],,)</f>
        <v>25</v>
      </c>
    </row>
    <row r="70" spans="1:17" x14ac:dyDescent="0.25">
      <c r="A70" s="21">
        <f>DATE(SportClimbing[[#This Row],[Year]],_xlfn.XLOOKUP(SportClimbing[[#This Row],[Month]],MONTHS[MONTHS 2],MONTHS[MONTHS 3]),SportClimbing[[#This Row],[Day]])</f>
        <v>43208</v>
      </c>
      <c r="B70" s="21" t="b">
        <f ca="1">AND(SportClimbing[[#This Row],[Date]] &gt;= TODAY()-365, SportClimbing[[#This Row],[Date]] &lt;= TODAY())</f>
        <v>0</v>
      </c>
      <c r="C70">
        <v>18</v>
      </c>
      <c r="D70" t="s">
        <v>368</v>
      </c>
      <c r="E70">
        <v>2018</v>
      </c>
      <c r="F70" t="s">
        <v>258</v>
      </c>
      <c r="G70" t="s">
        <v>29</v>
      </c>
      <c r="H70" t="s">
        <v>262</v>
      </c>
      <c r="I70" t="s">
        <v>105</v>
      </c>
      <c r="J70" t="s">
        <v>283</v>
      </c>
      <c r="K70">
        <v>25</v>
      </c>
      <c r="L70" t="str">
        <f>IF(SportClimbing[[#This Row],[Height (m)]]&lt;11, "0-10", IF(SportClimbing[[#This Row],[Height (m)]]&lt;16, "11-15", IF(SportClimbing[[#This Row],[Height (m)]]&lt;21, "16-20", IF(SportClimbing[[#This Row],[Height (m)]]&lt;26, "21-25", IF(SportClimbing[[#This Row],[Height (m)]]&lt;31, "26-30", IF(SportClimbing[[#This Row],[Height (m)]]&lt;36, "31-35", "35+"))))))</f>
        <v>21-25</v>
      </c>
      <c r="M70" t="s">
        <v>169</v>
      </c>
      <c r="N70">
        <v>2</v>
      </c>
      <c r="O70">
        <f>IF(ISNUMBER(SportClimbing[[#This Row],[Total number of tries]])=TRUE, SportClimbing[[#This Row],[Total number of tries]], 1)</f>
        <v>2</v>
      </c>
      <c r="P70" t="str">
        <f>IF(ISNUMBER(SportClimbing[[#This Row],[Total number of tries]])=TRUE, "redpoint", SportClimbing[[#This Row],[Total number of tries]])</f>
        <v>redpoint</v>
      </c>
      <c r="Q70">
        <f>_xlfn.XLOOKUP(SportClimbing[[#This Row],[Grade]],SCORE[GRADE],SCORE[SCORE],,)</f>
        <v>25</v>
      </c>
    </row>
    <row r="71" spans="1:17" x14ac:dyDescent="0.25">
      <c r="A71" s="21">
        <f>DATE(SportClimbing[[#This Row],[Year]],_xlfn.XLOOKUP(SportClimbing[[#This Row],[Month]],MONTHS[MONTHS 2],MONTHS[MONTHS 3]),SportClimbing[[#This Row],[Day]])</f>
        <v>43210</v>
      </c>
      <c r="B71" s="21" t="b">
        <f ca="1">AND(SportClimbing[[#This Row],[Date]] &gt;= TODAY()-365, SportClimbing[[#This Row],[Date]] &lt;= TODAY())</f>
        <v>0</v>
      </c>
      <c r="C71">
        <v>20</v>
      </c>
      <c r="D71" t="s">
        <v>368</v>
      </c>
      <c r="E71">
        <v>2018</v>
      </c>
      <c r="F71" t="s">
        <v>170</v>
      </c>
      <c r="G71" t="s">
        <v>3</v>
      </c>
      <c r="H71" t="s">
        <v>262</v>
      </c>
      <c r="I71" t="s">
        <v>43</v>
      </c>
      <c r="J71" t="s">
        <v>61</v>
      </c>
      <c r="K71">
        <v>35</v>
      </c>
      <c r="L71" t="str">
        <f>IF(SportClimbing[[#This Row],[Height (m)]]&lt;11, "0-10", IF(SportClimbing[[#This Row],[Height (m)]]&lt;16, "11-15", IF(SportClimbing[[#This Row],[Height (m)]]&lt;21, "16-20", IF(SportClimbing[[#This Row],[Height (m)]]&lt;26, "21-25", IF(SportClimbing[[#This Row],[Height (m)]]&lt;31, "26-30", IF(SportClimbing[[#This Row],[Height (m)]]&lt;36, "31-35", "35+"))))))</f>
        <v>31-35</v>
      </c>
      <c r="M71" t="s">
        <v>171</v>
      </c>
      <c r="N71" t="s">
        <v>130</v>
      </c>
      <c r="O71">
        <f>IF(ISNUMBER(SportClimbing[[#This Row],[Total number of tries]])=TRUE, SportClimbing[[#This Row],[Total number of tries]], 1)</f>
        <v>1</v>
      </c>
      <c r="P71" t="str">
        <f>IF(ISNUMBER(SportClimbing[[#This Row],[Total number of tries]])=TRUE, "redpoint", SportClimbing[[#This Row],[Total number of tries]])</f>
        <v>onsight</v>
      </c>
      <c r="Q71">
        <f>_xlfn.XLOOKUP(SportClimbing[[#This Row],[Grade]],SCORE[GRADE],SCORE[SCORE],,)</f>
        <v>10</v>
      </c>
    </row>
    <row r="72" spans="1:17" x14ac:dyDescent="0.25">
      <c r="A72" s="21">
        <f>DATE(SportClimbing[[#This Row],[Year]],_xlfn.XLOOKUP(SportClimbing[[#This Row],[Month]],MONTHS[MONTHS 2],MONTHS[MONTHS 3]),SportClimbing[[#This Row],[Day]])</f>
        <v>43212</v>
      </c>
      <c r="B72" s="21" t="b">
        <f ca="1">AND(SportClimbing[[#This Row],[Date]] &gt;= TODAY()-365, SportClimbing[[#This Row],[Date]] &lt;= TODAY())</f>
        <v>0</v>
      </c>
      <c r="C72">
        <v>22</v>
      </c>
      <c r="D72" t="s">
        <v>368</v>
      </c>
      <c r="E72">
        <v>2018</v>
      </c>
      <c r="F72" t="s">
        <v>172</v>
      </c>
      <c r="G72" t="s">
        <v>21</v>
      </c>
      <c r="H72" t="s">
        <v>262</v>
      </c>
      <c r="I72" t="s">
        <v>43</v>
      </c>
      <c r="J72" t="s">
        <v>201</v>
      </c>
      <c r="K72">
        <v>35</v>
      </c>
      <c r="L72" t="str">
        <f>IF(SportClimbing[[#This Row],[Height (m)]]&lt;11, "0-10", IF(SportClimbing[[#This Row],[Height (m)]]&lt;16, "11-15", IF(SportClimbing[[#This Row],[Height (m)]]&lt;21, "16-20", IF(SportClimbing[[#This Row],[Height (m)]]&lt;26, "21-25", IF(SportClimbing[[#This Row],[Height (m)]]&lt;31, "26-30", IF(SportClimbing[[#This Row],[Height (m)]]&lt;36, "31-35", "35+"))))))</f>
        <v>31-35</v>
      </c>
      <c r="M72" t="s">
        <v>53</v>
      </c>
      <c r="N72" t="s">
        <v>130</v>
      </c>
      <c r="O72">
        <f>IF(ISNUMBER(SportClimbing[[#This Row],[Total number of tries]])=TRUE, SportClimbing[[#This Row],[Total number of tries]], 1)</f>
        <v>1</v>
      </c>
      <c r="P72" t="str">
        <f>IF(ISNUMBER(SportClimbing[[#This Row],[Total number of tries]])=TRUE, "redpoint", SportClimbing[[#This Row],[Total number of tries]])</f>
        <v>onsight</v>
      </c>
      <c r="Q72">
        <f>_xlfn.XLOOKUP(SportClimbing[[#This Row],[Grade]],SCORE[GRADE],SCORE[SCORE],,)</f>
        <v>15</v>
      </c>
    </row>
    <row r="73" spans="1:17" x14ac:dyDescent="0.25">
      <c r="A73" s="21">
        <f>DATE(SportClimbing[[#This Row],[Year]],_xlfn.XLOOKUP(SportClimbing[[#This Row],[Month]],MONTHS[MONTHS 2],MONTHS[MONTHS 3]),SportClimbing[[#This Row],[Day]])</f>
        <v>43218</v>
      </c>
      <c r="B73" s="21" t="b">
        <f ca="1">AND(SportClimbing[[#This Row],[Date]] &gt;= TODAY()-365, SportClimbing[[#This Row],[Date]] &lt;= TODAY())</f>
        <v>0</v>
      </c>
      <c r="C73">
        <v>28</v>
      </c>
      <c r="D73" t="s">
        <v>368</v>
      </c>
      <c r="E73">
        <v>2018</v>
      </c>
      <c r="F73" t="s">
        <v>178</v>
      </c>
      <c r="G73" t="s">
        <v>3</v>
      </c>
      <c r="H73" t="s">
        <v>262</v>
      </c>
      <c r="I73" t="s">
        <v>68</v>
      </c>
      <c r="J73" t="s">
        <v>180</v>
      </c>
      <c r="K73">
        <v>25</v>
      </c>
      <c r="L73" t="str">
        <f>IF(SportClimbing[[#This Row],[Height (m)]]&lt;11, "0-10", IF(SportClimbing[[#This Row],[Height (m)]]&lt;16, "11-15", IF(SportClimbing[[#This Row],[Height (m)]]&lt;21, "16-20", IF(SportClimbing[[#This Row],[Height (m)]]&lt;26, "21-25", IF(SportClimbing[[#This Row],[Height (m)]]&lt;31, "26-30", IF(SportClimbing[[#This Row],[Height (m)]]&lt;36, "31-35", "35+"))))))</f>
        <v>21-25</v>
      </c>
      <c r="M73" t="s">
        <v>164</v>
      </c>
      <c r="N73" t="s">
        <v>130</v>
      </c>
      <c r="O73">
        <f>IF(ISNUMBER(SportClimbing[[#This Row],[Total number of tries]])=TRUE, SportClimbing[[#This Row],[Total number of tries]], 1)</f>
        <v>1</v>
      </c>
      <c r="P73" t="str">
        <f>IF(ISNUMBER(SportClimbing[[#This Row],[Total number of tries]])=TRUE, "redpoint", SportClimbing[[#This Row],[Total number of tries]])</f>
        <v>onsight</v>
      </c>
      <c r="Q73">
        <f>_xlfn.XLOOKUP(SportClimbing[[#This Row],[Grade]],SCORE[GRADE],SCORE[SCORE],,)</f>
        <v>10</v>
      </c>
    </row>
    <row r="74" spans="1:17" x14ac:dyDescent="0.25">
      <c r="A74" s="21">
        <f>DATE(SportClimbing[[#This Row],[Year]],_xlfn.XLOOKUP(SportClimbing[[#This Row],[Month]],MONTHS[MONTHS 2],MONTHS[MONTHS 3]),SportClimbing[[#This Row],[Day]])</f>
        <v>43218</v>
      </c>
      <c r="B74" s="21" t="b">
        <f ca="1">AND(SportClimbing[[#This Row],[Date]] &gt;= TODAY()-365, SportClimbing[[#This Row],[Date]] &lt;= TODAY())</f>
        <v>0</v>
      </c>
      <c r="C74">
        <v>28</v>
      </c>
      <c r="D74" t="s">
        <v>368</v>
      </c>
      <c r="E74">
        <v>2018</v>
      </c>
      <c r="F74" t="s">
        <v>179</v>
      </c>
      <c r="G74" t="s">
        <v>21</v>
      </c>
      <c r="H74" t="s">
        <v>262</v>
      </c>
      <c r="I74" t="s">
        <v>68</v>
      </c>
      <c r="J74" t="s">
        <v>180</v>
      </c>
      <c r="K74">
        <v>25</v>
      </c>
      <c r="L74" t="str">
        <f>IF(SportClimbing[[#This Row],[Height (m)]]&lt;11, "0-10", IF(SportClimbing[[#This Row],[Height (m)]]&lt;16, "11-15", IF(SportClimbing[[#This Row],[Height (m)]]&lt;21, "16-20", IF(SportClimbing[[#This Row],[Height (m)]]&lt;26, "21-25", IF(SportClimbing[[#This Row],[Height (m)]]&lt;31, "26-30", IF(SportClimbing[[#This Row],[Height (m)]]&lt;36, "31-35", "35+"))))))</f>
        <v>21-25</v>
      </c>
      <c r="M74" t="s">
        <v>164</v>
      </c>
      <c r="N74">
        <v>2</v>
      </c>
      <c r="O74">
        <f>IF(ISNUMBER(SportClimbing[[#This Row],[Total number of tries]])=TRUE, SportClimbing[[#This Row],[Total number of tries]], 1)</f>
        <v>2</v>
      </c>
      <c r="P74" t="str">
        <f>IF(ISNUMBER(SportClimbing[[#This Row],[Total number of tries]])=TRUE, "redpoint", SportClimbing[[#This Row],[Total number of tries]])</f>
        <v>redpoint</v>
      </c>
      <c r="Q74">
        <f>_xlfn.XLOOKUP(SportClimbing[[#This Row],[Grade]],SCORE[GRADE],SCORE[SCORE],,)</f>
        <v>15</v>
      </c>
    </row>
    <row r="75" spans="1:17" x14ac:dyDescent="0.25">
      <c r="A75" s="21">
        <f>DATE(SportClimbing[[#This Row],[Year]],_xlfn.XLOOKUP(SportClimbing[[#This Row],[Month]],MONTHS[MONTHS 2],MONTHS[MONTHS 3]),SportClimbing[[#This Row],[Day]])</f>
        <v>43219</v>
      </c>
      <c r="B75" s="21" t="b">
        <f ca="1">AND(SportClimbing[[#This Row],[Date]] &gt;= TODAY()-365, SportClimbing[[#This Row],[Date]] &lt;= TODAY())</f>
        <v>0</v>
      </c>
      <c r="C75">
        <v>29</v>
      </c>
      <c r="D75" t="s">
        <v>368</v>
      </c>
      <c r="E75">
        <v>2018</v>
      </c>
      <c r="F75" t="s">
        <v>176</v>
      </c>
      <c r="G75" t="s">
        <v>3</v>
      </c>
      <c r="H75" t="s">
        <v>262</v>
      </c>
      <c r="I75" t="s">
        <v>68</v>
      </c>
      <c r="J75" t="s">
        <v>175</v>
      </c>
      <c r="K75">
        <v>30</v>
      </c>
      <c r="L75" t="str">
        <f>IF(SportClimbing[[#This Row],[Height (m)]]&lt;11, "0-10", IF(SportClimbing[[#This Row],[Height (m)]]&lt;16, "11-15", IF(SportClimbing[[#This Row],[Height (m)]]&lt;21, "16-20", IF(SportClimbing[[#This Row],[Height (m)]]&lt;26, "21-25", IF(SportClimbing[[#This Row],[Height (m)]]&lt;31, "26-30", IF(SportClimbing[[#This Row],[Height (m)]]&lt;36, "31-35", "35+"))))))</f>
        <v>26-30</v>
      </c>
      <c r="M75" t="s">
        <v>169</v>
      </c>
      <c r="N75" t="s">
        <v>130</v>
      </c>
      <c r="O75">
        <f>IF(ISNUMBER(SportClimbing[[#This Row],[Total number of tries]])=TRUE, SportClimbing[[#This Row],[Total number of tries]], 1)</f>
        <v>1</v>
      </c>
      <c r="P75" t="str">
        <f>IF(ISNUMBER(SportClimbing[[#This Row],[Total number of tries]])=TRUE, "redpoint", SportClimbing[[#This Row],[Total number of tries]])</f>
        <v>onsight</v>
      </c>
      <c r="Q75">
        <f>_xlfn.XLOOKUP(SportClimbing[[#This Row],[Grade]],SCORE[GRADE],SCORE[SCORE],,)</f>
        <v>10</v>
      </c>
    </row>
    <row r="76" spans="1:17" x14ac:dyDescent="0.25">
      <c r="A76" s="21">
        <f>DATE(SportClimbing[[#This Row],[Year]],_xlfn.XLOOKUP(SportClimbing[[#This Row],[Month]],MONTHS[MONTHS 2],MONTHS[MONTHS 3]),SportClimbing[[#This Row],[Day]])</f>
        <v>43219</v>
      </c>
      <c r="B76" s="21" t="b">
        <f ca="1">AND(SportClimbing[[#This Row],[Date]] &gt;= TODAY()-365, SportClimbing[[#This Row],[Date]] &lt;= TODAY())</f>
        <v>0</v>
      </c>
      <c r="C76">
        <v>29</v>
      </c>
      <c r="D76" t="s">
        <v>368</v>
      </c>
      <c r="E76">
        <v>2018</v>
      </c>
      <c r="F76" t="s">
        <v>177</v>
      </c>
      <c r="G76" t="s">
        <v>29</v>
      </c>
      <c r="H76" t="s">
        <v>262</v>
      </c>
      <c r="I76" t="s">
        <v>68</v>
      </c>
      <c r="J76" t="s">
        <v>175</v>
      </c>
      <c r="K76">
        <v>10</v>
      </c>
      <c r="L76" t="str">
        <f>IF(SportClimbing[[#This Row],[Height (m)]]&lt;11, "0-10", IF(SportClimbing[[#This Row],[Height (m)]]&lt;16, "11-15", IF(SportClimbing[[#This Row],[Height (m)]]&lt;21, "16-20", IF(SportClimbing[[#This Row],[Height (m)]]&lt;26, "21-25", IF(SportClimbing[[#This Row],[Height (m)]]&lt;31, "26-30", IF(SportClimbing[[#This Row],[Height (m)]]&lt;36, "31-35", "35+"))))))</f>
        <v>0-10</v>
      </c>
      <c r="M76" t="s">
        <v>164</v>
      </c>
      <c r="N76">
        <v>3</v>
      </c>
      <c r="O76">
        <f>IF(ISNUMBER(SportClimbing[[#This Row],[Total number of tries]])=TRUE, SportClimbing[[#This Row],[Total number of tries]], 1)</f>
        <v>3</v>
      </c>
      <c r="P76" t="str">
        <f>IF(ISNUMBER(SportClimbing[[#This Row],[Total number of tries]])=TRUE, "redpoint", SportClimbing[[#This Row],[Total number of tries]])</f>
        <v>redpoint</v>
      </c>
      <c r="Q76">
        <f>_xlfn.XLOOKUP(SportClimbing[[#This Row],[Grade]],SCORE[GRADE],SCORE[SCORE],,)</f>
        <v>25</v>
      </c>
    </row>
    <row r="77" spans="1:17" x14ac:dyDescent="0.25">
      <c r="A77" s="21">
        <f>DATE(SportClimbing[[#This Row],[Year]],_xlfn.XLOOKUP(SportClimbing[[#This Row],[Month]],MONTHS[MONTHS 2],MONTHS[MONTHS 3]),SportClimbing[[#This Row],[Day]])</f>
        <v>43246</v>
      </c>
      <c r="B77" s="21" t="b">
        <f ca="1">AND(SportClimbing[[#This Row],[Date]] &gt;= TODAY()-365, SportClimbing[[#This Row],[Date]] &lt;= TODAY())</f>
        <v>0</v>
      </c>
      <c r="C77">
        <v>26</v>
      </c>
      <c r="D77" t="s">
        <v>155</v>
      </c>
      <c r="E77">
        <v>2018</v>
      </c>
      <c r="F77" t="s">
        <v>182</v>
      </c>
      <c r="G77" t="s">
        <v>3</v>
      </c>
      <c r="H77" t="s">
        <v>262</v>
      </c>
      <c r="I77" t="s">
        <v>76</v>
      </c>
      <c r="J77" t="s">
        <v>183</v>
      </c>
      <c r="K77">
        <v>25</v>
      </c>
      <c r="L77" t="str">
        <f>IF(SportClimbing[[#This Row],[Height (m)]]&lt;11, "0-10", IF(SportClimbing[[#This Row],[Height (m)]]&lt;16, "11-15", IF(SportClimbing[[#This Row],[Height (m)]]&lt;21, "16-20", IF(SportClimbing[[#This Row],[Height (m)]]&lt;26, "21-25", IF(SportClimbing[[#This Row],[Height (m)]]&lt;31, "26-30", IF(SportClimbing[[#This Row],[Height (m)]]&lt;36, "31-35", "35+"))))))</f>
        <v>21-25</v>
      </c>
      <c r="M77" t="s">
        <v>133</v>
      </c>
      <c r="N77" t="s">
        <v>130</v>
      </c>
      <c r="O77">
        <f>IF(ISNUMBER(SportClimbing[[#This Row],[Total number of tries]])=TRUE, SportClimbing[[#This Row],[Total number of tries]], 1)</f>
        <v>1</v>
      </c>
      <c r="P77" t="str">
        <f>IF(ISNUMBER(SportClimbing[[#This Row],[Total number of tries]])=TRUE, "redpoint", SportClimbing[[#This Row],[Total number of tries]])</f>
        <v>onsight</v>
      </c>
      <c r="Q77">
        <f>_xlfn.XLOOKUP(SportClimbing[[#This Row],[Grade]],SCORE[GRADE],SCORE[SCORE],,)</f>
        <v>10</v>
      </c>
    </row>
    <row r="78" spans="1:17" x14ac:dyDescent="0.25">
      <c r="A78" s="21">
        <f>DATE(SportClimbing[[#This Row],[Year]],_xlfn.XLOOKUP(SportClimbing[[#This Row],[Month]],MONTHS[MONTHS 2],MONTHS[MONTHS 3]),SportClimbing[[#This Row],[Day]])</f>
        <v>43246</v>
      </c>
      <c r="B78" s="21" t="b">
        <f ca="1">AND(SportClimbing[[#This Row],[Date]] &gt;= TODAY()-365, SportClimbing[[#This Row],[Date]] &lt;= TODAY())</f>
        <v>0</v>
      </c>
      <c r="C78">
        <v>26</v>
      </c>
      <c r="D78" t="s">
        <v>155</v>
      </c>
      <c r="E78">
        <v>2018</v>
      </c>
      <c r="F78" t="s">
        <v>181</v>
      </c>
      <c r="G78" t="s">
        <v>21</v>
      </c>
      <c r="H78" t="s">
        <v>262</v>
      </c>
      <c r="I78" t="s">
        <v>76</v>
      </c>
      <c r="J78" t="s">
        <v>183</v>
      </c>
      <c r="K78">
        <v>25</v>
      </c>
      <c r="L78" t="str">
        <f>IF(SportClimbing[[#This Row],[Height (m)]]&lt;11, "0-10", IF(SportClimbing[[#This Row],[Height (m)]]&lt;16, "11-15", IF(SportClimbing[[#This Row],[Height (m)]]&lt;21, "16-20", IF(SportClimbing[[#This Row],[Height (m)]]&lt;26, "21-25", IF(SportClimbing[[#This Row],[Height (m)]]&lt;31, "26-30", IF(SportClimbing[[#This Row],[Height (m)]]&lt;36, "31-35", "35+"))))))</f>
        <v>21-25</v>
      </c>
      <c r="M78" t="s">
        <v>133</v>
      </c>
      <c r="N78" t="s">
        <v>130</v>
      </c>
      <c r="O78">
        <f>IF(ISNUMBER(SportClimbing[[#This Row],[Total number of tries]])=TRUE, SportClimbing[[#This Row],[Total number of tries]], 1)</f>
        <v>1</v>
      </c>
      <c r="P78" t="str">
        <f>IF(ISNUMBER(SportClimbing[[#This Row],[Total number of tries]])=TRUE, "redpoint", SportClimbing[[#This Row],[Total number of tries]])</f>
        <v>onsight</v>
      </c>
      <c r="Q78">
        <f>_xlfn.XLOOKUP(SportClimbing[[#This Row],[Grade]],SCORE[GRADE],SCORE[SCORE],,)</f>
        <v>15</v>
      </c>
    </row>
    <row r="79" spans="1:17" x14ac:dyDescent="0.25">
      <c r="A79" s="21">
        <f>DATE(SportClimbing[[#This Row],[Year]],_xlfn.XLOOKUP(SportClimbing[[#This Row],[Month]],MONTHS[MONTHS 2],MONTHS[MONTHS 3]),SportClimbing[[#This Row],[Day]])</f>
        <v>43261</v>
      </c>
      <c r="B79" s="21" t="b">
        <f ca="1">AND(SportClimbing[[#This Row],[Date]] &gt;= TODAY()-365, SportClimbing[[#This Row],[Date]] &lt;= TODAY())</f>
        <v>0</v>
      </c>
      <c r="C79">
        <v>10</v>
      </c>
      <c r="D79" t="s">
        <v>366</v>
      </c>
      <c r="E79">
        <v>2018</v>
      </c>
      <c r="F79" t="s">
        <v>185</v>
      </c>
      <c r="G79" t="s">
        <v>21</v>
      </c>
      <c r="H79" t="s">
        <v>262</v>
      </c>
      <c r="I79" t="s">
        <v>70</v>
      </c>
      <c r="J79" t="s">
        <v>184</v>
      </c>
      <c r="K79">
        <v>12</v>
      </c>
      <c r="L79" t="str">
        <f>IF(SportClimbing[[#This Row],[Height (m)]]&lt;11, "0-10", IF(SportClimbing[[#This Row],[Height (m)]]&lt;16, "11-15", IF(SportClimbing[[#This Row],[Height (m)]]&lt;21, "16-20", IF(SportClimbing[[#This Row],[Height (m)]]&lt;26, "21-25", IF(SportClimbing[[#This Row],[Height (m)]]&lt;31, "26-30", IF(SportClimbing[[#This Row],[Height (m)]]&lt;36, "31-35", "35+"))))))</f>
        <v>11-15</v>
      </c>
      <c r="M79" t="s">
        <v>164</v>
      </c>
      <c r="N79" t="s">
        <v>11</v>
      </c>
      <c r="O79">
        <f>IF(ISNUMBER(SportClimbing[[#This Row],[Total number of tries]])=TRUE, SportClimbing[[#This Row],[Total number of tries]], 1)</f>
        <v>1</v>
      </c>
      <c r="P79" t="str">
        <f>IF(ISNUMBER(SportClimbing[[#This Row],[Total number of tries]])=TRUE, "redpoint", SportClimbing[[#This Row],[Total number of tries]])</f>
        <v>flash</v>
      </c>
      <c r="Q79">
        <f>_xlfn.XLOOKUP(SportClimbing[[#This Row],[Grade]],SCORE[GRADE],SCORE[SCORE],,)</f>
        <v>15</v>
      </c>
    </row>
    <row r="80" spans="1:17" x14ac:dyDescent="0.25">
      <c r="A80" s="21">
        <f>DATE(SportClimbing[[#This Row],[Year]],_xlfn.XLOOKUP(SportClimbing[[#This Row],[Month]],MONTHS[MONTHS 2],MONTHS[MONTHS 3]),SportClimbing[[#This Row],[Day]])</f>
        <v>43275</v>
      </c>
      <c r="B80" s="21" t="b">
        <f ca="1">AND(SportClimbing[[#This Row],[Date]] &gt;= TODAY()-365, SportClimbing[[#This Row],[Date]] &lt;= TODAY())</f>
        <v>0</v>
      </c>
      <c r="C80">
        <v>24</v>
      </c>
      <c r="D80" t="s">
        <v>366</v>
      </c>
      <c r="E80">
        <v>2018</v>
      </c>
      <c r="F80" t="s">
        <v>188</v>
      </c>
      <c r="G80" t="s">
        <v>21</v>
      </c>
      <c r="H80" t="s">
        <v>262</v>
      </c>
      <c r="I80" t="s">
        <v>186</v>
      </c>
      <c r="J80" t="s">
        <v>187</v>
      </c>
      <c r="K80">
        <v>25</v>
      </c>
      <c r="L80" t="str">
        <f>IF(SportClimbing[[#This Row],[Height (m)]]&lt;11, "0-10", IF(SportClimbing[[#This Row],[Height (m)]]&lt;16, "11-15", IF(SportClimbing[[#This Row],[Height (m)]]&lt;21, "16-20", IF(SportClimbing[[#This Row],[Height (m)]]&lt;26, "21-25", IF(SportClimbing[[#This Row],[Height (m)]]&lt;31, "26-30", IF(SportClimbing[[#This Row],[Height (m)]]&lt;36, "31-35", "35+"))))))</f>
        <v>21-25</v>
      </c>
      <c r="M80" t="s">
        <v>164</v>
      </c>
      <c r="N80">
        <v>2</v>
      </c>
      <c r="O80">
        <f>IF(ISNUMBER(SportClimbing[[#This Row],[Total number of tries]])=TRUE, SportClimbing[[#This Row],[Total number of tries]], 1)</f>
        <v>2</v>
      </c>
      <c r="P80" t="str">
        <f>IF(ISNUMBER(SportClimbing[[#This Row],[Total number of tries]])=TRUE, "redpoint", SportClimbing[[#This Row],[Total number of tries]])</f>
        <v>redpoint</v>
      </c>
      <c r="Q80">
        <f>_xlfn.XLOOKUP(SportClimbing[[#This Row],[Grade]],SCORE[GRADE],SCORE[SCORE],,)</f>
        <v>15</v>
      </c>
    </row>
    <row r="81" spans="1:17" x14ac:dyDescent="0.25">
      <c r="A81" s="21">
        <f>DATE(SportClimbing[[#This Row],[Year]],_xlfn.XLOOKUP(SportClimbing[[#This Row],[Month]],MONTHS[MONTHS 2],MONTHS[MONTHS 3]),SportClimbing[[#This Row],[Day]])</f>
        <v>43353</v>
      </c>
      <c r="B81" s="21" t="b">
        <f ca="1">AND(SportClimbing[[#This Row],[Date]] &gt;= TODAY()-365, SportClimbing[[#This Row],[Date]] &lt;= TODAY())</f>
        <v>0</v>
      </c>
      <c r="C81">
        <v>10</v>
      </c>
      <c r="D81" t="s">
        <v>159</v>
      </c>
      <c r="E81">
        <v>2018</v>
      </c>
      <c r="F81" t="s">
        <v>189</v>
      </c>
      <c r="G81" t="s">
        <v>3</v>
      </c>
      <c r="H81" t="s">
        <v>262</v>
      </c>
      <c r="I81" t="s">
        <v>77</v>
      </c>
      <c r="J81" t="s">
        <v>256</v>
      </c>
      <c r="K81">
        <v>12</v>
      </c>
      <c r="L81" t="str">
        <f>IF(SportClimbing[[#This Row],[Height (m)]]&lt;11, "0-10", IF(SportClimbing[[#This Row],[Height (m)]]&lt;16, "11-15", IF(SportClimbing[[#This Row],[Height (m)]]&lt;21, "16-20", IF(SportClimbing[[#This Row],[Height (m)]]&lt;26, "21-25", IF(SportClimbing[[#This Row],[Height (m)]]&lt;31, "26-30", IF(SportClimbing[[#This Row],[Height (m)]]&lt;36, "31-35", "35+"))))))</f>
        <v>11-15</v>
      </c>
      <c r="M81" t="s">
        <v>83</v>
      </c>
      <c r="N81">
        <v>2</v>
      </c>
      <c r="O81">
        <f>IF(ISNUMBER(SportClimbing[[#This Row],[Total number of tries]])=TRUE, SportClimbing[[#This Row],[Total number of tries]], 1)</f>
        <v>2</v>
      </c>
      <c r="P81" t="str">
        <f>IF(ISNUMBER(SportClimbing[[#This Row],[Total number of tries]])=TRUE, "redpoint", SportClimbing[[#This Row],[Total number of tries]])</f>
        <v>redpoint</v>
      </c>
      <c r="Q81">
        <f>_xlfn.XLOOKUP(SportClimbing[[#This Row],[Grade]],SCORE[GRADE],SCORE[SCORE],,)</f>
        <v>10</v>
      </c>
    </row>
    <row r="82" spans="1:17" x14ac:dyDescent="0.25">
      <c r="A82" s="21">
        <f>DATE(SportClimbing[[#This Row],[Year]],_xlfn.XLOOKUP(SportClimbing[[#This Row],[Month]],MONTHS[MONTHS 2],MONTHS[MONTHS 3]),SportClimbing[[#This Row],[Day]])</f>
        <v>43407</v>
      </c>
      <c r="B82" s="21" t="b">
        <f ca="1">AND(SportClimbing[[#This Row],[Date]] &gt;= TODAY()-365, SportClimbing[[#This Row],[Date]] &lt;= TODAY())</f>
        <v>0</v>
      </c>
      <c r="C82">
        <v>3</v>
      </c>
      <c r="D82" t="s">
        <v>160</v>
      </c>
      <c r="E82">
        <v>2018</v>
      </c>
      <c r="F82" t="s">
        <v>192</v>
      </c>
      <c r="G82" t="s">
        <v>3</v>
      </c>
      <c r="H82" t="s">
        <v>262</v>
      </c>
      <c r="I82" t="s">
        <v>43</v>
      </c>
      <c r="J82" t="s">
        <v>190</v>
      </c>
      <c r="K82">
        <v>22</v>
      </c>
      <c r="L82" t="str">
        <f>IF(SportClimbing[[#This Row],[Height (m)]]&lt;11, "0-10", IF(SportClimbing[[#This Row],[Height (m)]]&lt;16, "11-15", IF(SportClimbing[[#This Row],[Height (m)]]&lt;21, "16-20", IF(SportClimbing[[#This Row],[Height (m)]]&lt;26, "21-25", IF(SportClimbing[[#This Row],[Height (m)]]&lt;31, "26-30", IF(SportClimbing[[#This Row],[Height (m)]]&lt;36, "31-35", "35+"))))))</f>
        <v>21-25</v>
      </c>
      <c r="M82" t="s">
        <v>104</v>
      </c>
      <c r="N82" t="s">
        <v>130</v>
      </c>
      <c r="O82">
        <f>IF(ISNUMBER(SportClimbing[[#This Row],[Total number of tries]])=TRUE, SportClimbing[[#This Row],[Total number of tries]], 1)</f>
        <v>1</v>
      </c>
      <c r="P82" t="str">
        <f>IF(ISNUMBER(SportClimbing[[#This Row],[Total number of tries]])=TRUE, "redpoint", SportClimbing[[#This Row],[Total number of tries]])</f>
        <v>onsight</v>
      </c>
      <c r="Q82">
        <f>_xlfn.XLOOKUP(SportClimbing[[#This Row],[Grade]],SCORE[GRADE],SCORE[SCORE],,)</f>
        <v>10</v>
      </c>
    </row>
    <row r="83" spans="1:17" x14ac:dyDescent="0.25">
      <c r="A83" s="21">
        <f>DATE(SportClimbing[[#This Row],[Year]],_xlfn.XLOOKUP(SportClimbing[[#This Row],[Month]],MONTHS[MONTHS 2],MONTHS[MONTHS 3]),SportClimbing[[#This Row],[Day]])</f>
        <v>43407</v>
      </c>
      <c r="B83" s="21" t="b">
        <f ca="1">AND(SportClimbing[[#This Row],[Date]] &gt;= TODAY()-365, SportClimbing[[#This Row],[Date]] &lt;= TODAY())</f>
        <v>0</v>
      </c>
      <c r="C83">
        <v>3</v>
      </c>
      <c r="D83" t="s">
        <v>160</v>
      </c>
      <c r="E83">
        <v>2018</v>
      </c>
      <c r="F83" t="s">
        <v>191</v>
      </c>
      <c r="G83" t="s">
        <v>21</v>
      </c>
      <c r="H83" t="s">
        <v>262</v>
      </c>
      <c r="I83" t="s">
        <v>43</v>
      </c>
      <c r="J83" t="s">
        <v>190</v>
      </c>
      <c r="K83">
        <v>25</v>
      </c>
      <c r="L83" t="str">
        <f>IF(SportClimbing[[#This Row],[Height (m)]]&lt;11, "0-10", IF(SportClimbing[[#This Row],[Height (m)]]&lt;16, "11-15", IF(SportClimbing[[#This Row],[Height (m)]]&lt;21, "16-20", IF(SportClimbing[[#This Row],[Height (m)]]&lt;26, "21-25", IF(SportClimbing[[#This Row],[Height (m)]]&lt;31, "26-30", IF(SportClimbing[[#This Row],[Height (m)]]&lt;36, "31-35", "35+"))))))</f>
        <v>21-25</v>
      </c>
      <c r="M83" t="s">
        <v>104</v>
      </c>
      <c r="N83">
        <v>2</v>
      </c>
      <c r="O83">
        <f>IF(ISNUMBER(SportClimbing[[#This Row],[Total number of tries]])=TRUE, SportClimbing[[#This Row],[Total number of tries]], 1)</f>
        <v>2</v>
      </c>
      <c r="P83" t="str">
        <f>IF(ISNUMBER(SportClimbing[[#This Row],[Total number of tries]])=TRUE, "redpoint", SportClimbing[[#This Row],[Total number of tries]])</f>
        <v>redpoint</v>
      </c>
      <c r="Q83">
        <f>_xlfn.XLOOKUP(SportClimbing[[#This Row],[Grade]],SCORE[GRADE],SCORE[SCORE],,)</f>
        <v>15</v>
      </c>
    </row>
    <row r="84" spans="1:17" x14ac:dyDescent="0.25">
      <c r="A84" s="21">
        <f>DATE(SportClimbing[[#This Row],[Year]],_xlfn.XLOOKUP(SportClimbing[[#This Row],[Month]],MONTHS[MONTHS 2],MONTHS[MONTHS 3]),SportClimbing[[#This Row],[Day]])</f>
        <v>43560</v>
      </c>
      <c r="B84" s="21" t="b">
        <f ca="1">AND(SportClimbing[[#This Row],[Date]] &gt;= TODAY()-365, SportClimbing[[#This Row],[Date]] &lt;= TODAY())</f>
        <v>0</v>
      </c>
      <c r="C84">
        <v>5</v>
      </c>
      <c r="D84" t="s">
        <v>368</v>
      </c>
      <c r="E84">
        <v>2019</v>
      </c>
      <c r="F84" t="s">
        <v>196</v>
      </c>
      <c r="G84" t="s">
        <v>3</v>
      </c>
      <c r="H84" t="s">
        <v>262</v>
      </c>
      <c r="I84" t="s">
        <v>43</v>
      </c>
      <c r="J84" t="s">
        <v>193</v>
      </c>
      <c r="K84">
        <v>30</v>
      </c>
      <c r="L84" t="str">
        <f>IF(SportClimbing[[#This Row],[Height (m)]]&lt;11, "0-10", IF(SportClimbing[[#This Row],[Height (m)]]&lt;16, "11-15", IF(SportClimbing[[#This Row],[Height (m)]]&lt;21, "16-20", IF(SportClimbing[[#This Row],[Height (m)]]&lt;26, "21-25", IF(SportClimbing[[#This Row],[Height (m)]]&lt;31, "26-30", IF(SportClimbing[[#This Row],[Height (m)]]&lt;36, "31-35", "35+"))))))</f>
        <v>26-30</v>
      </c>
      <c r="M84" t="s">
        <v>132</v>
      </c>
      <c r="N84">
        <v>2</v>
      </c>
      <c r="O84">
        <f>IF(ISNUMBER(SportClimbing[[#This Row],[Total number of tries]])=TRUE, SportClimbing[[#This Row],[Total number of tries]], 1)</f>
        <v>2</v>
      </c>
      <c r="P84" t="str">
        <f>IF(ISNUMBER(SportClimbing[[#This Row],[Total number of tries]])=TRUE, "redpoint", SportClimbing[[#This Row],[Total number of tries]])</f>
        <v>redpoint</v>
      </c>
      <c r="Q84">
        <f>_xlfn.XLOOKUP(SportClimbing[[#This Row],[Grade]],SCORE[GRADE],SCORE[SCORE],,)</f>
        <v>10</v>
      </c>
    </row>
    <row r="85" spans="1:17" x14ac:dyDescent="0.25">
      <c r="A85" s="21">
        <f>DATE(SportClimbing[[#This Row],[Year]],_xlfn.XLOOKUP(SportClimbing[[#This Row],[Month]],MONTHS[MONTHS 2],MONTHS[MONTHS 3]),SportClimbing[[#This Row],[Day]])</f>
        <v>43561</v>
      </c>
      <c r="B85" s="21" t="b">
        <f ca="1">AND(SportClimbing[[#This Row],[Date]] &gt;= TODAY()-365, SportClimbing[[#This Row],[Date]] &lt;= TODAY())</f>
        <v>0</v>
      </c>
      <c r="C85">
        <v>6</v>
      </c>
      <c r="D85" t="s">
        <v>368</v>
      </c>
      <c r="E85">
        <v>2019</v>
      </c>
      <c r="F85" t="s">
        <v>195</v>
      </c>
      <c r="G85" t="s">
        <v>3</v>
      </c>
      <c r="H85" t="s">
        <v>262</v>
      </c>
      <c r="I85" t="s">
        <v>43</v>
      </c>
      <c r="J85" t="s">
        <v>194</v>
      </c>
      <c r="K85">
        <v>13</v>
      </c>
      <c r="L85" t="str">
        <f>IF(SportClimbing[[#This Row],[Height (m)]]&lt;11, "0-10", IF(SportClimbing[[#This Row],[Height (m)]]&lt;16, "11-15", IF(SportClimbing[[#This Row],[Height (m)]]&lt;21, "16-20", IF(SportClimbing[[#This Row],[Height (m)]]&lt;26, "21-25", IF(SportClimbing[[#This Row],[Height (m)]]&lt;31, "26-30", IF(SportClimbing[[#This Row],[Height (m)]]&lt;36, "31-35", "35+"))))))</f>
        <v>11-15</v>
      </c>
      <c r="M85" t="s">
        <v>132</v>
      </c>
      <c r="N85">
        <v>2</v>
      </c>
      <c r="O85">
        <f>IF(ISNUMBER(SportClimbing[[#This Row],[Total number of tries]])=TRUE, SportClimbing[[#This Row],[Total number of tries]], 1)</f>
        <v>2</v>
      </c>
      <c r="P85" t="str">
        <f>IF(ISNUMBER(SportClimbing[[#This Row],[Total number of tries]])=TRUE, "redpoint", SportClimbing[[#This Row],[Total number of tries]])</f>
        <v>redpoint</v>
      </c>
      <c r="Q85">
        <f>_xlfn.XLOOKUP(SportClimbing[[#This Row],[Grade]],SCORE[GRADE],SCORE[SCORE],,)</f>
        <v>10</v>
      </c>
    </row>
    <row r="86" spans="1:17" x14ac:dyDescent="0.25">
      <c r="A86" s="21">
        <f>DATE(SportClimbing[[#This Row],[Year]],_xlfn.XLOOKUP(SportClimbing[[#This Row],[Month]],MONTHS[MONTHS 2],MONTHS[MONTHS 3]),SportClimbing[[#This Row],[Day]])</f>
        <v>43569</v>
      </c>
      <c r="B86" s="21" t="b">
        <f ca="1">AND(SportClimbing[[#This Row],[Date]] &gt;= TODAY()-365, SportClimbing[[#This Row],[Date]] &lt;= TODAY())</f>
        <v>0</v>
      </c>
      <c r="C86">
        <v>14</v>
      </c>
      <c r="D86" t="s">
        <v>368</v>
      </c>
      <c r="E86">
        <v>2019</v>
      </c>
      <c r="F86" t="s">
        <v>199</v>
      </c>
      <c r="G86" t="s">
        <v>21</v>
      </c>
      <c r="H86" t="s">
        <v>262</v>
      </c>
      <c r="I86" t="s">
        <v>70</v>
      </c>
      <c r="J86" t="s">
        <v>200</v>
      </c>
      <c r="K86">
        <v>25</v>
      </c>
      <c r="L86" t="str">
        <f>IF(SportClimbing[[#This Row],[Height (m)]]&lt;11, "0-10", IF(SportClimbing[[#This Row],[Height (m)]]&lt;16, "11-15", IF(SportClimbing[[#This Row],[Height (m)]]&lt;21, "16-20", IF(SportClimbing[[#This Row],[Height (m)]]&lt;26, "21-25", IF(SportClimbing[[#This Row],[Height (m)]]&lt;31, "26-30", IF(SportClimbing[[#This Row],[Height (m)]]&lt;36, "31-35", "35+"))))))</f>
        <v>21-25</v>
      </c>
      <c r="M86" t="s">
        <v>133</v>
      </c>
      <c r="N86" t="s">
        <v>11</v>
      </c>
      <c r="O86">
        <f>IF(ISNUMBER(SportClimbing[[#This Row],[Total number of tries]])=TRUE, SportClimbing[[#This Row],[Total number of tries]], 1)</f>
        <v>1</v>
      </c>
      <c r="P86" t="str">
        <f>IF(ISNUMBER(SportClimbing[[#This Row],[Total number of tries]])=TRUE, "redpoint", SportClimbing[[#This Row],[Total number of tries]])</f>
        <v>flash</v>
      </c>
      <c r="Q86">
        <f>_xlfn.XLOOKUP(SportClimbing[[#This Row],[Grade]],SCORE[GRADE],SCORE[SCORE],,)</f>
        <v>15</v>
      </c>
    </row>
    <row r="87" spans="1:17" x14ac:dyDescent="0.25">
      <c r="A87" s="21">
        <f>DATE(SportClimbing[[#This Row],[Year]],_xlfn.XLOOKUP(SportClimbing[[#This Row],[Month]],MONTHS[MONTHS 2],MONTHS[MONTHS 3]),SportClimbing[[#This Row],[Day]])</f>
        <v>43730</v>
      </c>
      <c r="B87" s="21" t="b">
        <f ca="1">AND(SportClimbing[[#This Row],[Date]] &gt;= TODAY()-365, SportClimbing[[#This Row],[Date]] &lt;= TODAY())</f>
        <v>0</v>
      </c>
      <c r="C87">
        <v>22</v>
      </c>
      <c r="D87" t="s">
        <v>159</v>
      </c>
      <c r="E87">
        <v>2019</v>
      </c>
      <c r="F87" t="s">
        <v>204</v>
      </c>
      <c r="G87" t="s">
        <v>21</v>
      </c>
      <c r="H87" t="s">
        <v>262</v>
      </c>
      <c r="I87" t="s">
        <v>70</v>
      </c>
      <c r="J87" t="s">
        <v>202</v>
      </c>
      <c r="K87">
        <v>20</v>
      </c>
      <c r="L87" t="str">
        <f>IF(SportClimbing[[#This Row],[Height (m)]]&lt;11, "0-10", IF(SportClimbing[[#This Row],[Height (m)]]&lt;16, "11-15", IF(SportClimbing[[#This Row],[Height (m)]]&lt;21, "16-20", IF(SportClimbing[[#This Row],[Height (m)]]&lt;26, "21-25", IF(SportClimbing[[#This Row],[Height (m)]]&lt;31, "26-30", IF(SportClimbing[[#This Row],[Height (m)]]&lt;36, "31-35", "35+"))))))</f>
        <v>16-20</v>
      </c>
      <c r="M87" t="s">
        <v>203</v>
      </c>
      <c r="N87">
        <v>2</v>
      </c>
      <c r="O87">
        <f>IF(ISNUMBER(SportClimbing[[#This Row],[Total number of tries]])=TRUE, SportClimbing[[#This Row],[Total number of tries]], 1)</f>
        <v>2</v>
      </c>
      <c r="P87" t="str">
        <f>IF(ISNUMBER(SportClimbing[[#This Row],[Total number of tries]])=TRUE, "redpoint", SportClimbing[[#This Row],[Total number of tries]])</f>
        <v>redpoint</v>
      </c>
      <c r="Q87">
        <f>_xlfn.XLOOKUP(SportClimbing[[#This Row],[Grade]],SCORE[GRADE],SCORE[SCORE],,)</f>
        <v>15</v>
      </c>
    </row>
    <row r="88" spans="1:17" x14ac:dyDescent="0.25">
      <c r="A88" s="21">
        <f>DATE(SportClimbing[[#This Row],[Year]],_xlfn.XLOOKUP(SportClimbing[[#This Row],[Month]],MONTHS[MONTHS 2],MONTHS[MONTHS 3]),SportClimbing[[#This Row],[Day]])</f>
        <v>43770</v>
      </c>
      <c r="B88" s="21" t="b">
        <f ca="1">AND(SportClimbing[[#This Row],[Date]] &gt;= TODAY()-365, SportClimbing[[#This Row],[Date]] &lt;= TODAY())</f>
        <v>0</v>
      </c>
      <c r="C88">
        <v>1</v>
      </c>
      <c r="D88" t="s">
        <v>160</v>
      </c>
      <c r="E88">
        <v>2019</v>
      </c>
      <c r="F88" t="s">
        <v>205</v>
      </c>
      <c r="G88" t="s">
        <v>29</v>
      </c>
      <c r="H88" t="s">
        <v>262</v>
      </c>
      <c r="I88" t="s">
        <v>43</v>
      </c>
      <c r="J88" t="s">
        <v>201</v>
      </c>
      <c r="K88">
        <v>30</v>
      </c>
      <c r="L88" t="str">
        <f>IF(SportClimbing[[#This Row],[Height (m)]]&lt;11, "0-10", IF(SportClimbing[[#This Row],[Height (m)]]&lt;16, "11-15", IF(SportClimbing[[#This Row],[Height (m)]]&lt;21, "16-20", IF(SportClimbing[[#This Row],[Height (m)]]&lt;26, "21-25", IF(SportClimbing[[#This Row],[Height (m)]]&lt;31, "26-30", IF(SportClimbing[[#This Row],[Height (m)]]&lt;36, "31-35", "35+"))))))</f>
        <v>26-30</v>
      </c>
      <c r="M88" t="s">
        <v>132</v>
      </c>
      <c r="N88">
        <v>3</v>
      </c>
      <c r="O88">
        <f>IF(ISNUMBER(SportClimbing[[#This Row],[Total number of tries]])=TRUE, SportClimbing[[#This Row],[Total number of tries]], 1)</f>
        <v>3</v>
      </c>
      <c r="P88" t="str">
        <f>IF(ISNUMBER(SportClimbing[[#This Row],[Total number of tries]])=TRUE, "redpoint", SportClimbing[[#This Row],[Total number of tries]])</f>
        <v>redpoint</v>
      </c>
      <c r="Q88">
        <f>_xlfn.XLOOKUP(SportClimbing[[#This Row],[Grade]],SCORE[GRADE],SCORE[SCORE],,)</f>
        <v>25</v>
      </c>
    </row>
    <row r="89" spans="1:17" x14ac:dyDescent="0.25">
      <c r="A89" s="21">
        <f>DATE(SportClimbing[[#This Row],[Year]],_xlfn.XLOOKUP(SportClimbing[[#This Row],[Month]],MONTHS[MONTHS 2],MONTHS[MONTHS 3]),SportClimbing[[#This Row],[Day]])</f>
        <v>43771</v>
      </c>
      <c r="B89" s="21" t="b">
        <f ca="1">AND(SportClimbing[[#This Row],[Date]] &gt;= TODAY()-365, SportClimbing[[#This Row],[Date]] &lt;= TODAY())</f>
        <v>0</v>
      </c>
      <c r="C89">
        <v>2</v>
      </c>
      <c r="D89" t="s">
        <v>160</v>
      </c>
      <c r="E89">
        <v>2019</v>
      </c>
      <c r="F89" t="s">
        <v>207</v>
      </c>
      <c r="G89" t="s">
        <v>3</v>
      </c>
      <c r="H89" t="s">
        <v>262</v>
      </c>
      <c r="I89" t="s">
        <v>43</v>
      </c>
      <c r="J89" t="s">
        <v>206</v>
      </c>
      <c r="K89">
        <v>30</v>
      </c>
      <c r="L89" t="str">
        <f>IF(SportClimbing[[#This Row],[Height (m)]]&lt;11, "0-10", IF(SportClimbing[[#This Row],[Height (m)]]&lt;16, "11-15", IF(SportClimbing[[#This Row],[Height (m)]]&lt;21, "16-20", IF(SportClimbing[[#This Row],[Height (m)]]&lt;26, "21-25", IF(SportClimbing[[#This Row],[Height (m)]]&lt;31, "26-30", IF(SportClimbing[[#This Row],[Height (m)]]&lt;36, "31-35", "35+"))))))</f>
        <v>26-30</v>
      </c>
      <c r="M89" t="s">
        <v>133</v>
      </c>
      <c r="N89">
        <v>2</v>
      </c>
      <c r="O89">
        <f>IF(ISNUMBER(SportClimbing[[#This Row],[Total number of tries]])=TRUE, SportClimbing[[#This Row],[Total number of tries]], 1)</f>
        <v>2</v>
      </c>
      <c r="P89" t="str">
        <f>IF(ISNUMBER(SportClimbing[[#This Row],[Total number of tries]])=TRUE, "redpoint", SportClimbing[[#This Row],[Total number of tries]])</f>
        <v>redpoint</v>
      </c>
      <c r="Q89">
        <f>_xlfn.XLOOKUP(SportClimbing[[#This Row],[Grade]],SCORE[GRADE],SCORE[SCORE],,)</f>
        <v>10</v>
      </c>
    </row>
    <row r="90" spans="1:17" x14ac:dyDescent="0.25">
      <c r="A90" s="21">
        <f>DATE(SportClimbing[[#This Row],[Year]],_xlfn.XLOOKUP(SportClimbing[[#This Row],[Month]],MONTHS[MONTHS 2],MONTHS[MONTHS 3]),SportClimbing[[#This Row],[Day]])</f>
        <v>43785</v>
      </c>
      <c r="B90" s="21" t="b">
        <f ca="1">AND(SportClimbing[[#This Row],[Date]] &gt;= TODAY()-365, SportClimbing[[#This Row],[Date]] &lt;= TODAY())</f>
        <v>0</v>
      </c>
      <c r="C90">
        <v>16</v>
      </c>
      <c r="D90" t="s">
        <v>160</v>
      </c>
      <c r="E90">
        <v>2019</v>
      </c>
      <c r="F90" t="s">
        <v>209</v>
      </c>
      <c r="G90" t="s">
        <v>29</v>
      </c>
      <c r="H90" t="s">
        <v>262</v>
      </c>
      <c r="I90" t="s">
        <v>68</v>
      </c>
      <c r="J90" t="s">
        <v>173</v>
      </c>
      <c r="K90">
        <v>20</v>
      </c>
      <c r="L90" t="str">
        <f>IF(SportClimbing[[#This Row],[Height (m)]]&lt;11, "0-10", IF(SportClimbing[[#This Row],[Height (m)]]&lt;16, "11-15", IF(SportClimbing[[#This Row],[Height (m)]]&lt;21, "16-20", IF(SportClimbing[[#This Row],[Height (m)]]&lt;26, "21-25", IF(SportClimbing[[#This Row],[Height (m)]]&lt;31, "26-30", IF(SportClimbing[[#This Row],[Height (m)]]&lt;36, "31-35", "35+"))))))</f>
        <v>16-20</v>
      </c>
      <c r="M90" t="s">
        <v>208</v>
      </c>
      <c r="N90">
        <v>2</v>
      </c>
      <c r="O90">
        <f>IF(ISNUMBER(SportClimbing[[#This Row],[Total number of tries]])=TRUE, SportClimbing[[#This Row],[Total number of tries]], 1)</f>
        <v>2</v>
      </c>
      <c r="P90" t="str">
        <f>IF(ISNUMBER(SportClimbing[[#This Row],[Total number of tries]])=TRUE, "redpoint", SportClimbing[[#This Row],[Total number of tries]])</f>
        <v>redpoint</v>
      </c>
      <c r="Q90">
        <f>_xlfn.XLOOKUP(SportClimbing[[#This Row],[Grade]],SCORE[GRADE],SCORE[SCORE],,)</f>
        <v>25</v>
      </c>
    </row>
    <row r="91" spans="1:17" x14ac:dyDescent="0.25">
      <c r="A91" s="21">
        <f>DATE(SportClimbing[[#This Row],[Year]],_xlfn.XLOOKUP(SportClimbing[[#This Row],[Month]],MONTHS[MONTHS 2],MONTHS[MONTHS 3]),SportClimbing[[#This Row],[Day]])</f>
        <v>44067</v>
      </c>
      <c r="B91" s="21" t="b">
        <f ca="1">AND(SportClimbing[[#This Row],[Date]] &gt;= TODAY()-365, SportClimbing[[#This Row],[Date]] &lt;= TODAY())</f>
        <v>0</v>
      </c>
      <c r="C91">
        <v>24</v>
      </c>
      <c r="D91" t="s">
        <v>158</v>
      </c>
      <c r="E91">
        <v>2020</v>
      </c>
      <c r="F91" t="s">
        <v>210</v>
      </c>
      <c r="G91" t="s">
        <v>21</v>
      </c>
      <c r="H91" t="s">
        <v>262</v>
      </c>
      <c r="I91" t="s">
        <v>43</v>
      </c>
      <c r="J91" t="s">
        <v>201</v>
      </c>
      <c r="K91">
        <v>35</v>
      </c>
      <c r="L91" t="str">
        <f>IF(SportClimbing[[#This Row],[Height (m)]]&lt;11, "0-10", IF(SportClimbing[[#This Row],[Height (m)]]&lt;16, "11-15", IF(SportClimbing[[#This Row],[Height (m)]]&lt;21, "16-20", IF(SportClimbing[[#This Row],[Height (m)]]&lt;26, "21-25", IF(SportClimbing[[#This Row],[Height (m)]]&lt;31, "26-30", IF(SportClimbing[[#This Row],[Height (m)]]&lt;36, "31-35", "35+"))))))</f>
        <v>31-35</v>
      </c>
      <c r="M91" t="s">
        <v>211</v>
      </c>
      <c r="N91">
        <v>2</v>
      </c>
      <c r="O91">
        <f>IF(ISNUMBER(SportClimbing[[#This Row],[Total number of tries]])=TRUE, SportClimbing[[#This Row],[Total number of tries]], 1)</f>
        <v>2</v>
      </c>
      <c r="P91" t="str">
        <f>IF(ISNUMBER(SportClimbing[[#This Row],[Total number of tries]])=TRUE, "redpoint", SportClimbing[[#This Row],[Total number of tries]])</f>
        <v>redpoint</v>
      </c>
      <c r="Q91">
        <f>_xlfn.XLOOKUP(SportClimbing[[#This Row],[Grade]],SCORE[GRADE],SCORE[SCORE],,)</f>
        <v>15</v>
      </c>
    </row>
    <row r="92" spans="1:17" x14ac:dyDescent="0.25">
      <c r="A92" s="21">
        <f>DATE(SportClimbing[[#This Row],[Year]],_xlfn.XLOOKUP(SportClimbing[[#This Row],[Month]],MONTHS[MONTHS 2],MONTHS[MONTHS 3]),SportClimbing[[#This Row],[Day]])</f>
        <v>44070</v>
      </c>
      <c r="B92" s="21" t="b">
        <f ca="1">AND(SportClimbing[[#This Row],[Date]] &gt;= TODAY()-365, SportClimbing[[#This Row],[Date]] &lt;= TODAY())</f>
        <v>0</v>
      </c>
      <c r="C92">
        <v>27</v>
      </c>
      <c r="D92" t="s">
        <v>158</v>
      </c>
      <c r="E92">
        <v>2020</v>
      </c>
      <c r="F92" t="s">
        <v>212</v>
      </c>
      <c r="G92" t="s">
        <v>29</v>
      </c>
      <c r="H92" t="s">
        <v>262</v>
      </c>
      <c r="I92" t="s">
        <v>43</v>
      </c>
      <c r="J92" t="s">
        <v>91</v>
      </c>
      <c r="K92">
        <v>22</v>
      </c>
      <c r="L92" t="str">
        <f>IF(SportClimbing[[#This Row],[Height (m)]]&lt;11, "0-10", IF(SportClimbing[[#This Row],[Height (m)]]&lt;16, "11-15", IF(SportClimbing[[#This Row],[Height (m)]]&lt;21, "16-20", IF(SportClimbing[[#This Row],[Height (m)]]&lt;26, "21-25", IF(SportClimbing[[#This Row],[Height (m)]]&lt;31, "26-30", IF(SportClimbing[[#This Row],[Height (m)]]&lt;36, "31-35", "35+"))))))</f>
        <v>21-25</v>
      </c>
      <c r="M92" t="s">
        <v>208</v>
      </c>
      <c r="N92">
        <v>6</v>
      </c>
      <c r="O92">
        <f>IF(ISNUMBER(SportClimbing[[#This Row],[Total number of tries]])=TRUE, SportClimbing[[#This Row],[Total number of tries]], 1)</f>
        <v>6</v>
      </c>
      <c r="P92" t="str">
        <f>IF(ISNUMBER(SportClimbing[[#This Row],[Total number of tries]])=TRUE, "redpoint", SportClimbing[[#This Row],[Total number of tries]])</f>
        <v>redpoint</v>
      </c>
      <c r="Q92">
        <f>_xlfn.XLOOKUP(SportClimbing[[#This Row],[Grade]],SCORE[GRADE],SCORE[SCORE],,)</f>
        <v>25</v>
      </c>
    </row>
    <row r="93" spans="1:17" x14ac:dyDescent="0.25">
      <c r="A93" s="21">
        <f>DATE(SportClimbing[[#This Row],[Year]],_xlfn.XLOOKUP(SportClimbing[[#This Row],[Month]],MONTHS[MONTHS 2],MONTHS[MONTHS 3]),SportClimbing[[#This Row],[Day]])</f>
        <v>44094</v>
      </c>
      <c r="B93" s="21" t="b">
        <f ca="1">AND(SportClimbing[[#This Row],[Date]] &gt;= TODAY()-365, SportClimbing[[#This Row],[Date]] &lt;= TODAY())</f>
        <v>0</v>
      </c>
      <c r="C93">
        <v>20</v>
      </c>
      <c r="D93" t="s">
        <v>159</v>
      </c>
      <c r="E93">
        <v>2020</v>
      </c>
      <c r="F93" t="s">
        <v>215</v>
      </c>
      <c r="G93" t="s">
        <v>21</v>
      </c>
      <c r="H93" t="s">
        <v>262</v>
      </c>
      <c r="I93" t="s">
        <v>100</v>
      </c>
      <c r="J93" t="s">
        <v>213</v>
      </c>
      <c r="K93">
        <v>25</v>
      </c>
      <c r="L93" t="str">
        <f>IF(SportClimbing[[#This Row],[Height (m)]]&lt;11, "0-10", IF(SportClimbing[[#This Row],[Height (m)]]&lt;16, "11-15", IF(SportClimbing[[#This Row],[Height (m)]]&lt;21, "16-20", IF(SportClimbing[[#This Row],[Height (m)]]&lt;26, "21-25", IF(SportClimbing[[#This Row],[Height (m)]]&lt;31, "26-30", IF(SportClimbing[[#This Row],[Height (m)]]&lt;36, "31-35", "35+"))))))</f>
        <v>21-25</v>
      </c>
      <c r="M93" t="s">
        <v>132</v>
      </c>
      <c r="N93" t="s">
        <v>11</v>
      </c>
      <c r="O93">
        <f>IF(ISNUMBER(SportClimbing[[#This Row],[Total number of tries]])=TRUE, SportClimbing[[#This Row],[Total number of tries]], 1)</f>
        <v>1</v>
      </c>
      <c r="P93" t="str">
        <f>IF(ISNUMBER(SportClimbing[[#This Row],[Total number of tries]])=TRUE, "redpoint", SportClimbing[[#This Row],[Total number of tries]])</f>
        <v>flash</v>
      </c>
      <c r="Q93">
        <f>_xlfn.XLOOKUP(SportClimbing[[#This Row],[Grade]],SCORE[GRADE],SCORE[SCORE],,)</f>
        <v>15</v>
      </c>
    </row>
    <row r="94" spans="1:17" x14ac:dyDescent="0.25">
      <c r="A94" s="21">
        <f>DATE(SportClimbing[[#This Row],[Year]],_xlfn.XLOOKUP(SportClimbing[[#This Row],[Month]],MONTHS[MONTHS 2],MONTHS[MONTHS 3]),SportClimbing[[#This Row],[Day]])</f>
        <v>44098</v>
      </c>
      <c r="B94" s="21" t="b">
        <f ca="1">AND(SportClimbing[[#This Row],[Date]] &gt;= TODAY()-365, SportClimbing[[#This Row],[Date]] &lt;= TODAY())</f>
        <v>0</v>
      </c>
      <c r="C94">
        <v>24</v>
      </c>
      <c r="D94" t="s">
        <v>159</v>
      </c>
      <c r="E94">
        <v>2020</v>
      </c>
      <c r="F94" t="s">
        <v>216</v>
      </c>
      <c r="G94" t="s">
        <v>32</v>
      </c>
      <c r="H94" t="s">
        <v>262</v>
      </c>
      <c r="I94" t="s">
        <v>100</v>
      </c>
      <c r="J94" t="s">
        <v>213</v>
      </c>
      <c r="K94">
        <v>25</v>
      </c>
      <c r="L94" t="str">
        <f>IF(SportClimbing[[#This Row],[Height (m)]]&lt;11, "0-10", IF(SportClimbing[[#This Row],[Height (m)]]&lt;16, "11-15", IF(SportClimbing[[#This Row],[Height (m)]]&lt;21, "16-20", IF(SportClimbing[[#This Row],[Height (m)]]&lt;26, "21-25", IF(SportClimbing[[#This Row],[Height (m)]]&lt;31, "26-30", IF(SportClimbing[[#This Row],[Height (m)]]&lt;36, "31-35", "35+"))))))</f>
        <v>21-25</v>
      </c>
      <c r="M94" t="s">
        <v>132</v>
      </c>
      <c r="N94">
        <v>4</v>
      </c>
      <c r="O94">
        <f>IF(ISNUMBER(SportClimbing[[#This Row],[Total number of tries]])=TRUE, SportClimbing[[#This Row],[Total number of tries]], 1)</f>
        <v>4</v>
      </c>
      <c r="P94" t="str">
        <f>IF(ISNUMBER(SportClimbing[[#This Row],[Total number of tries]])=TRUE, "redpoint", SportClimbing[[#This Row],[Total number of tries]])</f>
        <v>redpoint</v>
      </c>
      <c r="Q94">
        <f>_xlfn.XLOOKUP(SportClimbing[[#This Row],[Grade]],SCORE[GRADE],SCORE[SCORE],,)</f>
        <v>40</v>
      </c>
    </row>
    <row r="95" spans="1:17" x14ac:dyDescent="0.25">
      <c r="A95" s="21">
        <f>DATE(SportClimbing[[#This Row],[Year]],_xlfn.XLOOKUP(SportClimbing[[#This Row],[Month]],MONTHS[MONTHS 2],MONTHS[MONTHS 3]),SportClimbing[[#This Row],[Day]])</f>
        <v>44098</v>
      </c>
      <c r="B95" s="21" t="b">
        <f ca="1">AND(SportClimbing[[#This Row],[Date]] &gt;= TODAY()-365, SportClimbing[[#This Row],[Date]] &lt;= TODAY())</f>
        <v>0</v>
      </c>
      <c r="C95">
        <v>24</v>
      </c>
      <c r="D95" t="s">
        <v>159</v>
      </c>
      <c r="E95">
        <v>2020</v>
      </c>
      <c r="F95" t="s">
        <v>217</v>
      </c>
      <c r="G95" t="s">
        <v>3</v>
      </c>
      <c r="H95" t="s">
        <v>262</v>
      </c>
      <c r="I95" t="s">
        <v>100</v>
      </c>
      <c r="J95" t="s">
        <v>213</v>
      </c>
      <c r="K95">
        <v>25</v>
      </c>
      <c r="L95" t="str">
        <f>IF(SportClimbing[[#This Row],[Height (m)]]&lt;11, "0-10", IF(SportClimbing[[#This Row],[Height (m)]]&lt;16, "11-15", IF(SportClimbing[[#This Row],[Height (m)]]&lt;21, "16-20", IF(SportClimbing[[#This Row],[Height (m)]]&lt;26, "21-25", IF(SportClimbing[[#This Row],[Height (m)]]&lt;31, "26-30", IF(SportClimbing[[#This Row],[Height (m)]]&lt;36, "31-35", "35+"))))))</f>
        <v>21-25</v>
      </c>
      <c r="M95" t="s">
        <v>218</v>
      </c>
      <c r="N95" t="s">
        <v>11</v>
      </c>
      <c r="O95">
        <f>IF(ISNUMBER(SportClimbing[[#This Row],[Total number of tries]])=TRUE, SportClimbing[[#This Row],[Total number of tries]], 1)</f>
        <v>1</v>
      </c>
      <c r="P95" t="str">
        <f>IF(ISNUMBER(SportClimbing[[#This Row],[Total number of tries]])=TRUE, "redpoint", SportClimbing[[#This Row],[Total number of tries]])</f>
        <v>flash</v>
      </c>
      <c r="Q95">
        <f>_xlfn.XLOOKUP(SportClimbing[[#This Row],[Grade]],SCORE[GRADE],SCORE[SCORE],,)</f>
        <v>10</v>
      </c>
    </row>
    <row r="96" spans="1:17" x14ac:dyDescent="0.25">
      <c r="A96" s="21">
        <f>DATE(SportClimbing[[#This Row],[Year]],_xlfn.XLOOKUP(SportClimbing[[#This Row],[Month]],MONTHS[MONTHS 2],MONTHS[MONTHS 3]),SportClimbing[[#This Row],[Day]])</f>
        <v>44100</v>
      </c>
      <c r="B96" s="21" t="b">
        <f ca="1">AND(SportClimbing[[#This Row],[Date]] &gt;= TODAY()-365, SportClimbing[[#This Row],[Date]] &lt;= TODAY())</f>
        <v>0</v>
      </c>
      <c r="C96">
        <v>26</v>
      </c>
      <c r="D96" t="s">
        <v>159</v>
      </c>
      <c r="E96">
        <v>2020</v>
      </c>
      <c r="F96" t="s">
        <v>219</v>
      </c>
      <c r="G96" t="s">
        <v>21</v>
      </c>
      <c r="H96" t="s">
        <v>262</v>
      </c>
      <c r="I96" t="s">
        <v>100</v>
      </c>
      <c r="J96" t="s">
        <v>220</v>
      </c>
      <c r="K96">
        <v>25</v>
      </c>
      <c r="L96" t="str">
        <f>IF(SportClimbing[[#This Row],[Height (m)]]&lt;11, "0-10", IF(SportClimbing[[#This Row],[Height (m)]]&lt;16, "11-15", IF(SportClimbing[[#This Row],[Height (m)]]&lt;21, "16-20", IF(SportClimbing[[#This Row],[Height (m)]]&lt;26, "21-25", IF(SportClimbing[[#This Row],[Height (m)]]&lt;31, "26-30", IF(SportClimbing[[#This Row],[Height (m)]]&lt;36, "31-35", "35+"))))))</f>
        <v>21-25</v>
      </c>
      <c r="M96" t="s">
        <v>171</v>
      </c>
      <c r="N96" t="s">
        <v>130</v>
      </c>
      <c r="O96">
        <f>IF(ISNUMBER(SportClimbing[[#This Row],[Total number of tries]])=TRUE, SportClimbing[[#This Row],[Total number of tries]], 1)</f>
        <v>1</v>
      </c>
      <c r="P96" t="str">
        <f>IF(ISNUMBER(SportClimbing[[#This Row],[Total number of tries]])=TRUE, "redpoint", SportClimbing[[#This Row],[Total number of tries]])</f>
        <v>onsight</v>
      </c>
      <c r="Q96">
        <f>_xlfn.XLOOKUP(SportClimbing[[#This Row],[Grade]],SCORE[GRADE],SCORE[SCORE],,)</f>
        <v>15</v>
      </c>
    </row>
    <row r="97" spans="1:17" x14ac:dyDescent="0.25">
      <c r="A97" s="21">
        <f>DATE(SportClimbing[[#This Row],[Year]],_xlfn.XLOOKUP(SportClimbing[[#This Row],[Month]],MONTHS[MONTHS 2],MONTHS[MONTHS 3]),SportClimbing[[#This Row],[Day]])</f>
        <v>44121</v>
      </c>
      <c r="B97" s="21" t="b">
        <f ca="1">AND(SportClimbing[[#This Row],[Date]] &gt;= TODAY()-365, SportClimbing[[#This Row],[Date]] &lt;= TODAY())</f>
        <v>0</v>
      </c>
      <c r="C97">
        <v>17</v>
      </c>
      <c r="D97" t="s">
        <v>162</v>
      </c>
      <c r="E97">
        <v>2020</v>
      </c>
      <c r="F97" t="s">
        <v>223</v>
      </c>
      <c r="G97" t="s">
        <v>3</v>
      </c>
      <c r="H97" t="s">
        <v>262</v>
      </c>
      <c r="I97" t="s">
        <v>43</v>
      </c>
      <c r="J97" t="s">
        <v>224</v>
      </c>
      <c r="K97">
        <v>20</v>
      </c>
      <c r="L97" t="str">
        <f>IF(SportClimbing[[#This Row],[Height (m)]]&lt;11, "0-10", IF(SportClimbing[[#This Row],[Height (m)]]&lt;16, "11-15", IF(SportClimbing[[#This Row],[Height (m)]]&lt;21, "16-20", IF(SportClimbing[[#This Row],[Height (m)]]&lt;26, "21-25", IF(SportClimbing[[#This Row],[Height (m)]]&lt;31, "26-30", IF(SportClimbing[[#This Row],[Height (m)]]&lt;36, "31-35", "35+"))))))</f>
        <v>16-20</v>
      </c>
      <c r="M97" t="s">
        <v>132</v>
      </c>
      <c r="N97" t="s">
        <v>130</v>
      </c>
      <c r="O97">
        <f>IF(ISNUMBER(SportClimbing[[#This Row],[Total number of tries]])=TRUE, SportClimbing[[#This Row],[Total number of tries]], 1)</f>
        <v>1</v>
      </c>
      <c r="P97" t="str">
        <f>IF(ISNUMBER(SportClimbing[[#This Row],[Total number of tries]])=TRUE, "redpoint", SportClimbing[[#This Row],[Total number of tries]])</f>
        <v>onsight</v>
      </c>
      <c r="Q97">
        <f>_xlfn.XLOOKUP(SportClimbing[[#This Row],[Grade]],SCORE[GRADE],SCORE[SCORE],,)</f>
        <v>10</v>
      </c>
    </row>
    <row r="98" spans="1:17" x14ac:dyDescent="0.25">
      <c r="A98" s="21">
        <f>DATE(SportClimbing[[#This Row],[Year]],_xlfn.XLOOKUP(SportClimbing[[#This Row],[Month]],MONTHS[MONTHS 2],MONTHS[MONTHS 3]),SportClimbing[[#This Row],[Day]])</f>
        <v>44122</v>
      </c>
      <c r="B98" s="21" t="b">
        <f ca="1">AND(SportClimbing[[#This Row],[Date]] &gt;= TODAY()-365, SportClimbing[[#This Row],[Date]] &lt;= TODAY())</f>
        <v>0</v>
      </c>
      <c r="C98">
        <v>18</v>
      </c>
      <c r="D98" t="s">
        <v>162</v>
      </c>
      <c r="E98">
        <v>2020</v>
      </c>
      <c r="F98" t="s">
        <v>221</v>
      </c>
      <c r="G98" t="s">
        <v>32</v>
      </c>
      <c r="H98" t="s">
        <v>262</v>
      </c>
      <c r="I98" t="s">
        <v>43</v>
      </c>
      <c r="J98" t="s">
        <v>222</v>
      </c>
      <c r="K98">
        <v>28</v>
      </c>
      <c r="L98" t="str">
        <f>IF(SportClimbing[[#This Row],[Height (m)]]&lt;11, "0-10", IF(SportClimbing[[#This Row],[Height (m)]]&lt;16, "11-15", IF(SportClimbing[[#This Row],[Height (m)]]&lt;21, "16-20", IF(SportClimbing[[#This Row],[Height (m)]]&lt;26, "21-25", IF(SportClimbing[[#This Row],[Height (m)]]&lt;31, "26-30", IF(SportClimbing[[#This Row],[Height (m)]]&lt;36, "31-35", "35+"))))))</f>
        <v>26-30</v>
      </c>
      <c r="M98" t="s">
        <v>133</v>
      </c>
      <c r="N98">
        <v>4</v>
      </c>
      <c r="O98">
        <f>IF(ISNUMBER(SportClimbing[[#This Row],[Total number of tries]])=TRUE, SportClimbing[[#This Row],[Total number of tries]], 1)</f>
        <v>4</v>
      </c>
      <c r="P98" t="str">
        <f>IF(ISNUMBER(SportClimbing[[#This Row],[Total number of tries]])=TRUE, "redpoint", SportClimbing[[#This Row],[Total number of tries]])</f>
        <v>redpoint</v>
      </c>
      <c r="Q98">
        <f>_xlfn.XLOOKUP(SportClimbing[[#This Row],[Grade]],SCORE[GRADE],SCORE[SCORE],,)</f>
        <v>40</v>
      </c>
    </row>
    <row r="99" spans="1:17" x14ac:dyDescent="0.25">
      <c r="A99" s="21">
        <f>DATE(SportClimbing[[#This Row],[Year]],_xlfn.XLOOKUP(SportClimbing[[#This Row],[Month]],MONTHS[MONTHS 2],MONTHS[MONTHS 3]),SportClimbing[[#This Row],[Day]])</f>
        <v>44128</v>
      </c>
      <c r="B99" s="21" t="b">
        <f ca="1">AND(SportClimbing[[#This Row],[Date]] &gt;= TODAY()-365, SportClimbing[[#This Row],[Date]] &lt;= TODAY())</f>
        <v>0</v>
      </c>
      <c r="C99">
        <v>24</v>
      </c>
      <c r="D99" t="s">
        <v>162</v>
      </c>
      <c r="E99">
        <v>2020</v>
      </c>
      <c r="F99" t="s">
        <v>244</v>
      </c>
      <c r="G99" t="s">
        <v>3</v>
      </c>
      <c r="H99" t="s">
        <v>262</v>
      </c>
      <c r="I99" t="s">
        <v>43</v>
      </c>
      <c r="J99" t="s">
        <v>91</v>
      </c>
      <c r="K99">
        <v>30</v>
      </c>
      <c r="L99" t="str">
        <f>IF(SportClimbing[[#This Row],[Height (m)]]&lt;11, "0-10", IF(SportClimbing[[#This Row],[Height (m)]]&lt;16, "11-15", IF(SportClimbing[[#This Row],[Height (m)]]&lt;21, "16-20", IF(SportClimbing[[#This Row],[Height (m)]]&lt;26, "21-25", IF(SportClimbing[[#This Row],[Height (m)]]&lt;31, "26-30", IF(SportClimbing[[#This Row],[Height (m)]]&lt;36, "31-35", "35+"))))))</f>
        <v>26-30</v>
      </c>
      <c r="M99" t="s">
        <v>208</v>
      </c>
      <c r="N99">
        <v>2</v>
      </c>
      <c r="O99">
        <f>IF(ISNUMBER(SportClimbing[[#This Row],[Total number of tries]])=TRUE, SportClimbing[[#This Row],[Total number of tries]], 1)</f>
        <v>2</v>
      </c>
      <c r="P99" t="str">
        <f>IF(ISNUMBER(SportClimbing[[#This Row],[Total number of tries]])=TRUE, "redpoint", SportClimbing[[#This Row],[Total number of tries]])</f>
        <v>redpoint</v>
      </c>
      <c r="Q99">
        <f>_xlfn.XLOOKUP(SportClimbing[[#This Row],[Grade]],SCORE[GRADE],SCORE[SCORE],,)</f>
        <v>10</v>
      </c>
    </row>
    <row r="100" spans="1:17" x14ac:dyDescent="0.25">
      <c r="A100" s="21">
        <f>DATE(SportClimbing[[#This Row],[Year]],_xlfn.XLOOKUP(SportClimbing[[#This Row],[Month]],MONTHS[MONTHS 2],MONTHS[MONTHS 3]),SportClimbing[[#This Row],[Day]])</f>
        <v>44129</v>
      </c>
      <c r="B100" s="21" t="b">
        <f ca="1">AND(SportClimbing[[#This Row],[Date]] &gt;= TODAY()-365, SportClimbing[[#This Row],[Date]] &lt;= TODAY())</f>
        <v>0</v>
      </c>
      <c r="C100">
        <v>25</v>
      </c>
      <c r="D100" t="s">
        <v>162</v>
      </c>
      <c r="E100">
        <v>2020</v>
      </c>
      <c r="F100" t="s">
        <v>227</v>
      </c>
      <c r="G100" t="s">
        <v>3</v>
      </c>
      <c r="H100" t="s">
        <v>262</v>
      </c>
      <c r="I100" t="s">
        <v>43</v>
      </c>
      <c r="J100" t="s">
        <v>226</v>
      </c>
      <c r="K100">
        <v>30</v>
      </c>
      <c r="L100" t="str">
        <f>IF(SportClimbing[[#This Row],[Height (m)]]&lt;11, "0-10", IF(SportClimbing[[#This Row],[Height (m)]]&lt;16, "11-15", IF(SportClimbing[[#This Row],[Height (m)]]&lt;21, "16-20", IF(SportClimbing[[#This Row],[Height (m)]]&lt;26, "21-25", IF(SportClimbing[[#This Row],[Height (m)]]&lt;31, "26-30", IF(SportClimbing[[#This Row],[Height (m)]]&lt;36, "31-35", "35+"))))))</f>
        <v>26-30</v>
      </c>
      <c r="M100" t="s">
        <v>171</v>
      </c>
      <c r="N100" t="s">
        <v>130</v>
      </c>
      <c r="O100">
        <f>IF(ISNUMBER(SportClimbing[[#This Row],[Total number of tries]])=TRUE, SportClimbing[[#This Row],[Total number of tries]], 1)</f>
        <v>1</v>
      </c>
      <c r="P100" t="str">
        <f>IF(ISNUMBER(SportClimbing[[#This Row],[Total number of tries]])=TRUE, "redpoint", SportClimbing[[#This Row],[Total number of tries]])</f>
        <v>onsight</v>
      </c>
      <c r="Q100">
        <f>_xlfn.XLOOKUP(SportClimbing[[#This Row],[Grade]],SCORE[GRADE],SCORE[SCORE],,)</f>
        <v>10</v>
      </c>
    </row>
    <row r="101" spans="1:17" x14ac:dyDescent="0.25">
      <c r="A101" s="21">
        <f>DATE(SportClimbing[[#This Row],[Year]],_xlfn.XLOOKUP(SportClimbing[[#This Row],[Month]],MONTHS[MONTHS 2],MONTHS[MONTHS 3]),SportClimbing[[#This Row],[Day]])</f>
        <v>44308</v>
      </c>
      <c r="B101" s="21" t="b">
        <f ca="1">AND(SportClimbing[[#This Row],[Date]] &gt;= TODAY()-365, SportClimbing[[#This Row],[Date]] &lt;= TODAY())</f>
        <v>0</v>
      </c>
      <c r="C101">
        <v>22</v>
      </c>
      <c r="D101" t="s">
        <v>368</v>
      </c>
      <c r="E101">
        <v>2021</v>
      </c>
      <c r="F101" t="s">
        <v>234</v>
      </c>
      <c r="G101" t="s">
        <v>3</v>
      </c>
      <c r="H101" t="s">
        <v>262</v>
      </c>
      <c r="I101" t="s">
        <v>43</v>
      </c>
      <c r="J101" t="s">
        <v>228</v>
      </c>
      <c r="K101">
        <v>18</v>
      </c>
      <c r="L101" t="str">
        <f>IF(SportClimbing[[#This Row],[Height (m)]]&lt;11, "0-10", IF(SportClimbing[[#This Row],[Height (m)]]&lt;16, "11-15", IF(SportClimbing[[#This Row],[Height (m)]]&lt;21, "16-20", IF(SportClimbing[[#This Row],[Height (m)]]&lt;26, "21-25", IF(SportClimbing[[#This Row],[Height (m)]]&lt;31, "26-30", IF(SportClimbing[[#This Row],[Height (m)]]&lt;36, "31-35", "35+"))))))</f>
        <v>16-20</v>
      </c>
      <c r="M101" t="s">
        <v>230</v>
      </c>
      <c r="N101" t="s">
        <v>130</v>
      </c>
      <c r="O101">
        <f>IF(ISNUMBER(SportClimbing[[#This Row],[Total number of tries]])=TRUE, SportClimbing[[#This Row],[Total number of tries]], 1)</f>
        <v>1</v>
      </c>
      <c r="P101" t="str">
        <f>IF(ISNUMBER(SportClimbing[[#This Row],[Total number of tries]])=TRUE, "redpoint", SportClimbing[[#This Row],[Total number of tries]])</f>
        <v>onsight</v>
      </c>
      <c r="Q101">
        <f>_xlfn.XLOOKUP(SportClimbing[[#This Row],[Grade]],SCORE[GRADE],SCORE[SCORE],,)</f>
        <v>10</v>
      </c>
    </row>
    <row r="102" spans="1:17" x14ac:dyDescent="0.25">
      <c r="A102" s="21">
        <f>DATE(SportClimbing[[#This Row],[Year]],_xlfn.XLOOKUP(SportClimbing[[#This Row],[Month]],MONTHS[MONTHS 2],MONTHS[MONTHS 3]),SportClimbing[[#This Row],[Day]])</f>
        <v>44309</v>
      </c>
      <c r="B102" s="21" t="b">
        <f ca="1">AND(SportClimbing[[#This Row],[Date]] &gt;= TODAY()-365, SportClimbing[[#This Row],[Date]] &lt;= TODAY())</f>
        <v>0</v>
      </c>
      <c r="C102">
        <v>23</v>
      </c>
      <c r="D102" t="s">
        <v>368</v>
      </c>
      <c r="E102">
        <v>2021</v>
      </c>
      <c r="F102" t="s">
        <v>235</v>
      </c>
      <c r="G102" t="s">
        <v>21</v>
      </c>
      <c r="H102" t="s">
        <v>262</v>
      </c>
      <c r="I102" t="s">
        <v>43</v>
      </c>
      <c r="J102" t="s">
        <v>94</v>
      </c>
      <c r="K102">
        <v>40</v>
      </c>
      <c r="L102" t="str">
        <f>IF(SportClimbing[[#This Row],[Height (m)]]&lt;11, "0-10", IF(SportClimbing[[#This Row],[Height (m)]]&lt;16, "11-15", IF(SportClimbing[[#This Row],[Height (m)]]&lt;21, "16-20", IF(SportClimbing[[#This Row],[Height (m)]]&lt;26, "21-25", IF(SportClimbing[[#This Row],[Height (m)]]&lt;31, "26-30", IF(SportClimbing[[#This Row],[Height (m)]]&lt;36, "31-35", "35+"))))))</f>
        <v>35+</v>
      </c>
      <c r="M102" t="s">
        <v>231</v>
      </c>
      <c r="N102" t="s">
        <v>130</v>
      </c>
      <c r="O102">
        <f>IF(ISNUMBER(SportClimbing[[#This Row],[Total number of tries]])=TRUE, SportClimbing[[#This Row],[Total number of tries]], 1)</f>
        <v>1</v>
      </c>
      <c r="P102" t="str">
        <f>IF(ISNUMBER(SportClimbing[[#This Row],[Total number of tries]])=TRUE, "redpoint", SportClimbing[[#This Row],[Total number of tries]])</f>
        <v>onsight</v>
      </c>
      <c r="Q102">
        <f>_xlfn.XLOOKUP(SportClimbing[[#This Row],[Grade]],SCORE[GRADE],SCORE[SCORE],,)</f>
        <v>15</v>
      </c>
    </row>
    <row r="103" spans="1:17" x14ac:dyDescent="0.25">
      <c r="A103" s="21">
        <f>DATE(SportClimbing[[#This Row],[Year]],_xlfn.XLOOKUP(SportClimbing[[#This Row],[Month]],MONTHS[MONTHS 2],MONTHS[MONTHS 3]),SportClimbing[[#This Row],[Day]])</f>
        <v>44310</v>
      </c>
      <c r="B103" s="21" t="b">
        <f ca="1">AND(SportClimbing[[#This Row],[Date]] &gt;= TODAY()-365, SportClimbing[[#This Row],[Date]] &lt;= TODAY())</f>
        <v>0</v>
      </c>
      <c r="C103">
        <v>24</v>
      </c>
      <c r="D103" t="s">
        <v>368</v>
      </c>
      <c r="E103">
        <v>2021</v>
      </c>
      <c r="F103" t="s">
        <v>236</v>
      </c>
      <c r="G103" t="s">
        <v>3</v>
      </c>
      <c r="H103" t="s">
        <v>262</v>
      </c>
      <c r="I103" t="s">
        <v>43</v>
      </c>
      <c r="J103" t="s">
        <v>229</v>
      </c>
      <c r="K103">
        <v>15</v>
      </c>
      <c r="L103" t="str">
        <f>IF(SportClimbing[[#This Row],[Height (m)]]&lt;11, "0-10", IF(SportClimbing[[#This Row],[Height (m)]]&lt;16, "11-15", IF(SportClimbing[[#This Row],[Height (m)]]&lt;21, "16-20", IF(SportClimbing[[#This Row],[Height (m)]]&lt;26, "21-25", IF(SportClimbing[[#This Row],[Height (m)]]&lt;31, "26-30", IF(SportClimbing[[#This Row],[Height (m)]]&lt;36, "31-35", "35+"))))))</f>
        <v>11-15</v>
      </c>
      <c r="M103" t="s">
        <v>231</v>
      </c>
      <c r="N103">
        <v>2</v>
      </c>
      <c r="O103">
        <f>IF(ISNUMBER(SportClimbing[[#This Row],[Total number of tries]])=TRUE, SportClimbing[[#This Row],[Total number of tries]], 1)</f>
        <v>2</v>
      </c>
      <c r="P103" t="str">
        <f>IF(ISNUMBER(SportClimbing[[#This Row],[Total number of tries]])=TRUE, "redpoint", SportClimbing[[#This Row],[Total number of tries]])</f>
        <v>redpoint</v>
      </c>
      <c r="Q103">
        <f>_xlfn.XLOOKUP(SportClimbing[[#This Row],[Grade]],SCORE[GRADE],SCORE[SCORE],,)</f>
        <v>10</v>
      </c>
    </row>
    <row r="104" spans="1:17" x14ac:dyDescent="0.25">
      <c r="A104" s="21">
        <f>DATE(SportClimbing[[#This Row],[Year]],_xlfn.XLOOKUP(SportClimbing[[#This Row],[Month]],MONTHS[MONTHS 2],MONTHS[MONTHS 3]),SportClimbing[[#This Row],[Day]])</f>
        <v>44322</v>
      </c>
      <c r="B104" s="21" t="b">
        <f ca="1">AND(SportClimbing[[#This Row],[Date]] &gt;= TODAY()-365, SportClimbing[[#This Row],[Date]] &lt;= TODAY())</f>
        <v>0</v>
      </c>
      <c r="C104">
        <v>6</v>
      </c>
      <c r="D104" t="s">
        <v>155</v>
      </c>
      <c r="E104">
        <v>2021</v>
      </c>
      <c r="F104" t="s">
        <v>237</v>
      </c>
      <c r="G104" t="s">
        <v>3</v>
      </c>
      <c r="H104" t="s">
        <v>262</v>
      </c>
      <c r="I104" t="s">
        <v>100</v>
      </c>
      <c r="J104" t="s">
        <v>220</v>
      </c>
      <c r="K104">
        <v>20</v>
      </c>
      <c r="L104" t="str">
        <f>IF(SportClimbing[[#This Row],[Height (m)]]&lt;11, "0-10", IF(SportClimbing[[#This Row],[Height (m)]]&lt;16, "11-15", IF(SportClimbing[[#This Row],[Height (m)]]&lt;21, "16-20", IF(SportClimbing[[#This Row],[Height (m)]]&lt;26, "21-25", IF(SportClimbing[[#This Row],[Height (m)]]&lt;31, "26-30", IF(SportClimbing[[#This Row],[Height (m)]]&lt;36, "31-35", "35+"))))))</f>
        <v>16-20</v>
      </c>
      <c r="M104" t="s">
        <v>132</v>
      </c>
      <c r="N104" t="s">
        <v>130</v>
      </c>
      <c r="O104">
        <f>IF(ISNUMBER(SportClimbing[[#This Row],[Total number of tries]])=TRUE, SportClimbing[[#This Row],[Total number of tries]], 1)</f>
        <v>1</v>
      </c>
      <c r="P104" t="str">
        <f>IF(ISNUMBER(SportClimbing[[#This Row],[Total number of tries]])=TRUE, "redpoint", SportClimbing[[#This Row],[Total number of tries]])</f>
        <v>onsight</v>
      </c>
      <c r="Q104">
        <f>_xlfn.XLOOKUP(SportClimbing[[#This Row],[Grade]],SCORE[GRADE],SCORE[SCORE],,)</f>
        <v>10</v>
      </c>
    </row>
    <row r="105" spans="1:17" x14ac:dyDescent="0.25">
      <c r="A105" s="21">
        <f>DATE(SportClimbing[[#This Row],[Year]],_xlfn.XLOOKUP(SportClimbing[[#This Row],[Month]],MONTHS[MONTHS 2],MONTHS[MONTHS 3]),SportClimbing[[#This Row],[Day]])</f>
        <v>44330</v>
      </c>
      <c r="B105" s="21" t="b">
        <f ca="1">AND(SportClimbing[[#This Row],[Date]] &gt;= TODAY()-365, SportClimbing[[#This Row],[Date]] &lt;= TODAY())</f>
        <v>0</v>
      </c>
      <c r="C105">
        <v>14</v>
      </c>
      <c r="D105" t="s">
        <v>155</v>
      </c>
      <c r="E105">
        <v>2021</v>
      </c>
      <c r="F105" t="s">
        <v>239</v>
      </c>
      <c r="G105" t="s">
        <v>3</v>
      </c>
      <c r="H105" t="s">
        <v>262</v>
      </c>
      <c r="I105" t="s">
        <v>43</v>
      </c>
      <c r="J105" t="s">
        <v>238</v>
      </c>
      <c r="K105">
        <v>25</v>
      </c>
      <c r="L105" t="str">
        <f>IF(SportClimbing[[#This Row],[Height (m)]]&lt;11, "0-10", IF(SportClimbing[[#This Row],[Height (m)]]&lt;16, "11-15", IF(SportClimbing[[#This Row],[Height (m)]]&lt;21, "16-20", IF(SportClimbing[[#This Row],[Height (m)]]&lt;26, "21-25", IF(SportClimbing[[#This Row],[Height (m)]]&lt;31, "26-30", IF(SportClimbing[[#This Row],[Height (m)]]&lt;36, "31-35", "35+"))))))</f>
        <v>21-25</v>
      </c>
      <c r="M105" t="s">
        <v>231</v>
      </c>
      <c r="N105">
        <v>4</v>
      </c>
      <c r="O105">
        <f>IF(ISNUMBER(SportClimbing[[#This Row],[Total number of tries]])=TRUE, SportClimbing[[#This Row],[Total number of tries]], 1)</f>
        <v>4</v>
      </c>
      <c r="P105" t="str">
        <f>IF(ISNUMBER(SportClimbing[[#This Row],[Total number of tries]])=TRUE, "redpoint", SportClimbing[[#This Row],[Total number of tries]])</f>
        <v>redpoint</v>
      </c>
      <c r="Q105">
        <f>_xlfn.XLOOKUP(SportClimbing[[#This Row],[Grade]],SCORE[GRADE],SCORE[SCORE],,)</f>
        <v>10</v>
      </c>
    </row>
    <row r="106" spans="1:17" x14ac:dyDescent="0.25">
      <c r="A106" s="21">
        <f>DATE(SportClimbing[[#This Row],[Year]],_xlfn.XLOOKUP(SportClimbing[[#This Row],[Month]],MONTHS[MONTHS 2],MONTHS[MONTHS 3]),SportClimbing[[#This Row],[Day]])</f>
        <v>44335</v>
      </c>
      <c r="B106" s="21" t="b">
        <f ca="1">AND(SportClimbing[[#This Row],[Date]] &gt;= TODAY()-365, SportClimbing[[#This Row],[Date]] &lt;= TODAY())</f>
        <v>0</v>
      </c>
      <c r="C106">
        <v>19</v>
      </c>
      <c r="D106" t="s">
        <v>155</v>
      </c>
      <c r="E106">
        <v>2021</v>
      </c>
      <c r="F106" t="s">
        <v>240</v>
      </c>
      <c r="G106" t="s">
        <v>3</v>
      </c>
      <c r="H106" t="s">
        <v>262</v>
      </c>
      <c r="I106" t="s">
        <v>100</v>
      </c>
      <c r="J106" t="s">
        <v>243</v>
      </c>
      <c r="K106">
        <v>20</v>
      </c>
      <c r="L106" t="str">
        <f>IF(SportClimbing[[#This Row],[Height (m)]]&lt;11, "0-10", IF(SportClimbing[[#This Row],[Height (m)]]&lt;16, "11-15", IF(SportClimbing[[#This Row],[Height (m)]]&lt;21, "16-20", IF(SportClimbing[[#This Row],[Height (m)]]&lt;26, "21-25", IF(SportClimbing[[#This Row],[Height (m)]]&lt;31, "26-30", IF(SportClimbing[[#This Row],[Height (m)]]&lt;36, "31-35", "35+"))))))</f>
        <v>16-20</v>
      </c>
      <c r="M106" t="s">
        <v>231</v>
      </c>
      <c r="N106" t="s">
        <v>11</v>
      </c>
      <c r="O106">
        <f>IF(ISNUMBER(SportClimbing[[#This Row],[Total number of tries]])=TRUE, SportClimbing[[#This Row],[Total number of tries]], 1)</f>
        <v>1</v>
      </c>
      <c r="P106" t="str">
        <f>IF(ISNUMBER(SportClimbing[[#This Row],[Total number of tries]])=TRUE, "redpoint", SportClimbing[[#This Row],[Total number of tries]])</f>
        <v>flash</v>
      </c>
      <c r="Q106">
        <f>_xlfn.XLOOKUP(SportClimbing[[#This Row],[Grade]],SCORE[GRADE],SCORE[SCORE],,)</f>
        <v>10</v>
      </c>
    </row>
    <row r="107" spans="1:17" x14ac:dyDescent="0.25">
      <c r="A107" s="21">
        <f>DATE(SportClimbing[[#This Row],[Year]],_xlfn.XLOOKUP(SportClimbing[[#This Row],[Month]],MONTHS[MONTHS 2],MONTHS[MONTHS 3]),SportClimbing[[#This Row],[Day]])</f>
        <v>44336</v>
      </c>
      <c r="B107" s="21" t="b">
        <f ca="1">AND(SportClimbing[[#This Row],[Date]] &gt;= TODAY()-365, SportClimbing[[#This Row],[Date]] &lt;= TODAY())</f>
        <v>0</v>
      </c>
      <c r="C107">
        <v>20</v>
      </c>
      <c r="D107" t="s">
        <v>155</v>
      </c>
      <c r="E107">
        <v>2021</v>
      </c>
      <c r="F107" t="s">
        <v>241</v>
      </c>
      <c r="G107" t="s">
        <v>29</v>
      </c>
      <c r="H107" t="s">
        <v>262</v>
      </c>
      <c r="I107" t="s">
        <v>100</v>
      </c>
      <c r="J107" t="s">
        <v>242</v>
      </c>
      <c r="K107">
        <v>20</v>
      </c>
      <c r="L107" t="str">
        <f>IF(SportClimbing[[#This Row],[Height (m)]]&lt;11, "0-10", IF(SportClimbing[[#This Row],[Height (m)]]&lt;16, "11-15", IF(SportClimbing[[#This Row],[Height (m)]]&lt;21, "16-20", IF(SportClimbing[[#This Row],[Height (m)]]&lt;26, "21-25", IF(SportClimbing[[#This Row],[Height (m)]]&lt;31, "26-30", IF(SportClimbing[[#This Row],[Height (m)]]&lt;36, "31-35", "35+"))))))</f>
        <v>16-20</v>
      </c>
      <c r="M107" t="s">
        <v>132</v>
      </c>
      <c r="N107">
        <v>5</v>
      </c>
      <c r="O107">
        <f>IF(ISNUMBER(SportClimbing[[#This Row],[Total number of tries]])=TRUE, SportClimbing[[#This Row],[Total number of tries]], 1)</f>
        <v>5</v>
      </c>
      <c r="P107" t="str">
        <f>IF(ISNUMBER(SportClimbing[[#This Row],[Total number of tries]])=TRUE, "redpoint", SportClimbing[[#This Row],[Total number of tries]])</f>
        <v>redpoint</v>
      </c>
      <c r="Q107">
        <f>_xlfn.XLOOKUP(SportClimbing[[#This Row],[Grade]],SCORE[GRADE],SCORE[SCORE],,)</f>
        <v>25</v>
      </c>
    </row>
    <row r="108" spans="1:17" x14ac:dyDescent="0.25">
      <c r="A108" s="21">
        <f>DATE(SportClimbing[[#This Row],[Year]],_xlfn.XLOOKUP(SportClimbing[[#This Row],[Month]],MONTHS[MONTHS 2],MONTHS[MONTHS 3]),SportClimbing[[#This Row],[Day]])</f>
        <v>44343</v>
      </c>
      <c r="B108" s="21" t="b">
        <f ca="1">AND(SportClimbing[[#This Row],[Date]] &gt;= TODAY()-365, SportClimbing[[#This Row],[Date]] &lt;= TODAY())</f>
        <v>0</v>
      </c>
      <c r="C108">
        <v>27</v>
      </c>
      <c r="D108" t="s">
        <v>155</v>
      </c>
      <c r="E108">
        <v>2021</v>
      </c>
      <c r="F108" t="s">
        <v>245</v>
      </c>
      <c r="G108" t="s">
        <v>29</v>
      </c>
      <c r="H108" t="s">
        <v>262</v>
      </c>
      <c r="I108" t="s">
        <v>100</v>
      </c>
      <c r="J108" t="s">
        <v>242</v>
      </c>
      <c r="K108">
        <v>16</v>
      </c>
      <c r="L108" t="str">
        <f>IF(SportClimbing[[#This Row],[Height (m)]]&lt;11, "0-10", IF(SportClimbing[[#This Row],[Height (m)]]&lt;16, "11-15", IF(SportClimbing[[#This Row],[Height (m)]]&lt;21, "16-20", IF(SportClimbing[[#This Row],[Height (m)]]&lt;26, "21-25", IF(SportClimbing[[#This Row],[Height (m)]]&lt;31, "26-30", IF(SportClimbing[[#This Row],[Height (m)]]&lt;36, "31-35", "35+"))))))</f>
        <v>16-20</v>
      </c>
      <c r="M108" t="s">
        <v>132</v>
      </c>
      <c r="N108">
        <v>6</v>
      </c>
      <c r="O108">
        <f>IF(ISNUMBER(SportClimbing[[#This Row],[Total number of tries]])=TRUE, SportClimbing[[#This Row],[Total number of tries]], 1)</f>
        <v>6</v>
      </c>
      <c r="P108" t="str">
        <f>IF(ISNUMBER(SportClimbing[[#This Row],[Total number of tries]])=TRUE, "redpoint", SportClimbing[[#This Row],[Total number of tries]])</f>
        <v>redpoint</v>
      </c>
      <c r="Q108">
        <f>_xlfn.XLOOKUP(SportClimbing[[#This Row],[Grade]],SCORE[GRADE],SCORE[SCORE],,)</f>
        <v>25</v>
      </c>
    </row>
    <row r="109" spans="1:17" x14ac:dyDescent="0.25">
      <c r="A109" s="21">
        <f>DATE(SportClimbing[[#This Row],[Year]],_xlfn.XLOOKUP(SportClimbing[[#This Row],[Month]],MONTHS[MONTHS 2],MONTHS[MONTHS 3]),SportClimbing[[#This Row],[Day]])</f>
        <v>44345</v>
      </c>
      <c r="B109" s="21" t="b">
        <f ca="1">AND(SportClimbing[[#This Row],[Date]] &gt;= TODAY()-365, SportClimbing[[#This Row],[Date]] &lt;= TODAY())</f>
        <v>0</v>
      </c>
      <c r="C109">
        <v>29</v>
      </c>
      <c r="D109" t="s">
        <v>155</v>
      </c>
      <c r="E109">
        <v>2021</v>
      </c>
      <c r="F109" t="s">
        <v>246</v>
      </c>
      <c r="G109" t="s">
        <v>3</v>
      </c>
      <c r="H109" t="s">
        <v>262</v>
      </c>
      <c r="I109" t="s">
        <v>43</v>
      </c>
      <c r="J109" t="s">
        <v>91</v>
      </c>
      <c r="K109">
        <v>20</v>
      </c>
      <c r="L109" t="str">
        <f>IF(SportClimbing[[#This Row],[Height (m)]]&lt;11, "0-10", IF(SportClimbing[[#This Row],[Height (m)]]&lt;16, "11-15", IF(SportClimbing[[#This Row],[Height (m)]]&lt;21, "16-20", IF(SportClimbing[[#This Row],[Height (m)]]&lt;26, "21-25", IF(SportClimbing[[#This Row],[Height (m)]]&lt;31, "26-30", IF(SportClimbing[[#This Row],[Height (m)]]&lt;36, "31-35", "35+"))))))</f>
        <v>16-20</v>
      </c>
      <c r="M109" t="s">
        <v>104</v>
      </c>
      <c r="N109" t="s">
        <v>130</v>
      </c>
      <c r="O109">
        <f>IF(ISNUMBER(SportClimbing[[#This Row],[Total number of tries]])=TRUE, SportClimbing[[#This Row],[Total number of tries]], 1)</f>
        <v>1</v>
      </c>
      <c r="P109" t="str">
        <f>IF(ISNUMBER(SportClimbing[[#This Row],[Total number of tries]])=TRUE, "redpoint", SportClimbing[[#This Row],[Total number of tries]])</f>
        <v>onsight</v>
      </c>
      <c r="Q109">
        <f>_xlfn.XLOOKUP(SportClimbing[[#This Row],[Grade]],SCORE[GRADE],SCORE[SCORE],,)</f>
        <v>10</v>
      </c>
    </row>
    <row r="110" spans="1:17" x14ac:dyDescent="0.25">
      <c r="A110" s="21">
        <f>DATE(SportClimbing[[#This Row],[Year]],_xlfn.XLOOKUP(SportClimbing[[#This Row],[Month]],MONTHS[MONTHS 2],MONTHS[MONTHS 3]),SportClimbing[[#This Row],[Day]])</f>
        <v>44346</v>
      </c>
      <c r="B110" s="21" t="b">
        <f ca="1">AND(SportClimbing[[#This Row],[Date]] &gt;= TODAY()-365, SportClimbing[[#This Row],[Date]] &lt;= TODAY())</f>
        <v>0</v>
      </c>
      <c r="C110">
        <v>30</v>
      </c>
      <c r="D110" t="s">
        <v>155</v>
      </c>
      <c r="E110">
        <v>2021</v>
      </c>
      <c r="F110" t="s">
        <v>247</v>
      </c>
      <c r="G110" t="s">
        <v>21</v>
      </c>
      <c r="H110" t="s">
        <v>262</v>
      </c>
      <c r="I110" t="s">
        <v>43</v>
      </c>
      <c r="J110" t="s">
        <v>44</v>
      </c>
      <c r="K110">
        <v>25</v>
      </c>
      <c r="L110" t="str">
        <f>IF(SportClimbing[[#This Row],[Height (m)]]&lt;11, "0-10", IF(SportClimbing[[#This Row],[Height (m)]]&lt;16, "11-15", IF(SportClimbing[[#This Row],[Height (m)]]&lt;21, "16-20", IF(SportClimbing[[#This Row],[Height (m)]]&lt;26, "21-25", IF(SportClimbing[[#This Row],[Height (m)]]&lt;31, "26-30", IF(SportClimbing[[#This Row],[Height (m)]]&lt;36, "31-35", "35+"))))))</f>
        <v>21-25</v>
      </c>
      <c r="M110" t="s">
        <v>104</v>
      </c>
      <c r="N110">
        <v>2</v>
      </c>
      <c r="O110">
        <f>IF(ISNUMBER(SportClimbing[[#This Row],[Total number of tries]])=TRUE, SportClimbing[[#This Row],[Total number of tries]], 1)</f>
        <v>2</v>
      </c>
      <c r="P110" t="str">
        <f>IF(ISNUMBER(SportClimbing[[#This Row],[Total number of tries]])=TRUE, "redpoint", SportClimbing[[#This Row],[Total number of tries]])</f>
        <v>redpoint</v>
      </c>
      <c r="Q110">
        <f>_xlfn.XLOOKUP(SportClimbing[[#This Row],[Grade]],SCORE[GRADE],SCORE[SCORE],,)</f>
        <v>15</v>
      </c>
    </row>
    <row r="111" spans="1:17" x14ac:dyDescent="0.25">
      <c r="A111" s="21">
        <f>DATE(SportClimbing[[#This Row],[Year]],_xlfn.XLOOKUP(SportClimbing[[#This Row],[Month]],MONTHS[MONTHS 2],MONTHS[MONTHS 3]),SportClimbing[[#This Row],[Day]])</f>
        <v>44349</v>
      </c>
      <c r="B111" s="21" t="b">
        <f ca="1">AND(SportClimbing[[#This Row],[Date]] &gt;= TODAY()-365, SportClimbing[[#This Row],[Date]] &lt;= TODAY())</f>
        <v>0</v>
      </c>
      <c r="C111">
        <v>2</v>
      </c>
      <c r="D111" t="s">
        <v>366</v>
      </c>
      <c r="E111">
        <v>2021</v>
      </c>
      <c r="F111" t="s">
        <v>248</v>
      </c>
      <c r="G111" t="s">
        <v>21</v>
      </c>
      <c r="H111" t="s">
        <v>262</v>
      </c>
      <c r="I111" t="s">
        <v>100</v>
      </c>
      <c r="J111" t="s">
        <v>250</v>
      </c>
      <c r="K111">
        <v>18</v>
      </c>
      <c r="L111" t="str">
        <f>IF(SportClimbing[[#This Row],[Height (m)]]&lt;11, "0-10", IF(SportClimbing[[#This Row],[Height (m)]]&lt;16, "11-15", IF(SportClimbing[[#This Row],[Height (m)]]&lt;21, "16-20", IF(SportClimbing[[#This Row],[Height (m)]]&lt;26, "21-25", IF(SportClimbing[[#This Row],[Height (m)]]&lt;31, "26-30", IF(SportClimbing[[#This Row],[Height (m)]]&lt;36, "31-35", "35+"))))))</f>
        <v>16-20</v>
      </c>
      <c r="M111" t="s">
        <v>132</v>
      </c>
      <c r="N111" t="s">
        <v>130</v>
      </c>
      <c r="O111">
        <f>IF(ISNUMBER(SportClimbing[[#This Row],[Total number of tries]])=TRUE, SportClimbing[[#This Row],[Total number of tries]], 1)</f>
        <v>1</v>
      </c>
      <c r="P111" t="str">
        <f>IF(ISNUMBER(SportClimbing[[#This Row],[Total number of tries]])=TRUE, "redpoint", SportClimbing[[#This Row],[Total number of tries]])</f>
        <v>onsight</v>
      </c>
      <c r="Q111">
        <f>_xlfn.XLOOKUP(SportClimbing[[#This Row],[Grade]],SCORE[GRADE],SCORE[SCORE],,)</f>
        <v>15</v>
      </c>
    </row>
    <row r="112" spans="1:17" x14ac:dyDescent="0.25">
      <c r="A112" s="21">
        <f>DATE(SportClimbing[[#This Row],[Year]],_xlfn.XLOOKUP(SportClimbing[[#This Row],[Month]],MONTHS[MONTHS 2],MONTHS[MONTHS 3]),SportClimbing[[#This Row],[Day]])</f>
        <v>44349</v>
      </c>
      <c r="B112" s="21" t="b">
        <f ca="1">AND(SportClimbing[[#This Row],[Date]] &gt;= TODAY()-365, SportClimbing[[#This Row],[Date]] &lt;= TODAY())</f>
        <v>0</v>
      </c>
      <c r="C112">
        <v>2</v>
      </c>
      <c r="D112" t="s">
        <v>366</v>
      </c>
      <c r="E112">
        <v>2021</v>
      </c>
      <c r="F112" t="s">
        <v>249</v>
      </c>
      <c r="G112" t="s">
        <v>3</v>
      </c>
      <c r="H112" t="s">
        <v>262</v>
      </c>
      <c r="I112" t="s">
        <v>100</v>
      </c>
      <c r="J112" t="s">
        <v>250</v>
      </c>
      <c r="K112">
        <v>18</v>
      </c>
      <c r="L112" t="str">
        <f>IF(SportClimbing[[#This Row],[Height (m)]]&lt;11, "0-10", IF(SportClimbing[[#This Row],[Height (m)]]&lt;16, "11-15", IF(SportClimbing[[#This Row],[Height (m)]]&lt;21, "16-20", IF(SportClimbing[[#This Row],[Height (m)]]&lt;26, "21-25", IF(SportClimbing[[#This Row],[Height (m)]]&lt;31, "26-30", IF(SportClimbing[[#This Row],[Height (m)]]&lt;36, "31-35", "35+"))))))</f>
        <v>16-20</v>
      </c>
      <c r="M112" t="s">
        <v>132</v>
      </c>
      <c r="N112">
        <v>2</v>
      </c>
      <c r="O112">
        <f>IF(ISNUMBER(SportClimbing[[#This Row],[Total number of tries]])=TRUE, SportClimbing[[#This Row],[Total number of tries]], 1)</f>
        <v>2</v>
      </c>
      <c r="P112" t="str">
        <f>IF(ISNUMBER(SportClimbing[[#This Row],[Total number of tries]])=TRUE, "redpoint", SportClimbing[[#This Row],[Total number of tries]])</f>
        <v>redpoint</v>
      </c>
      <c r="Q112">
        <f>_xlfn.XLOOKUP(SportClimbing[[#This Row],[Grade]],SCORE[GRADE],SCORE[SCORE],,)</f>
        <v>10</v>
      </c>
    </row>
    <row r="113" spans="1:17" x14ac:dyDescent="0.25">
      <c r="A113" s="21">
        <f>DATE(SportClimbing[[#This Row],[Year]],_xlfn.XLOOKUP(SportClimbing[[#This Row],[Month]],MONTHS[MONTHS 2],MONTHS[MONTHS 3]),SportClimbing[[#This Row],[Day]])</f>
        <v>44360</v>
      </c>
      <c r="B113" s="21" t="b">
        <f ca="1">AND(SportClimbing[[#This Row],[Date]] &gt;= TODAY()-365, SportClimbing[[#This Row],[Date]] &lt;= TODAY())</f>
        <v>0</v>
      </c>
      <c r="C113">
        <v>13</v>
      </c>
      <c r="D113" t="s">
        <v>366</v>
      </c>
      <c r="E113">
        <v>2021</v>
      </c>
      <c r="F113" t="s">
        <v>251</v>
      </c>
      <c r="G113" t="s">
        <v>69</v>
      </c>
      <c r="H113" t="s">
        <v>262</v>
      </c>
      <c r="I113" t="s">
        <v>100</v>
      </c>
      <c r="J113" t="s">
        <v>250</v>
      </c>
      <c r="K113">
        <v>22</v>
      </c>
      <c r="L113" t="str">
        <f>IF(SportClimbing[[#This Row],[Height (m)]]&lt;11, "0-10", IF(SportClimbing[[#This Row],[Height (m)]]&lt;16, "11-15", IF(SportClimbing[[#This Row],[Height (m)]]&lt;21, "16-20", IF(SportClimbing[[#This Row],[Height (m)]]&lt;26, "21-25", IF(SportClimbing[[#This Row],[Height (m)]]&lt;31, "26-30", IF(SportClimbing[[#This Row],[Height (m)]]&lt;36, "31-35", "35+"))))))</f>
        <v>21-25</v>
      </c>
      <c r="M113" t="s">
        <v>252</v>
      </c>
      <c r="N113">
        <v>7</v>
      </c>
      <c r="O113">
        <f>IF(ISNUMBER(SportClimbing[[#This Row],[Total number of tries]])=TRUE, SportClimbing[[#This Row],[Total number of tries]], 1)</f>
        <v>7</v>
      </c>
      <c r="P113" t="str">
        <f>IF(ISNUMBER(SportClimbing[[#This Row],[Total number of tries]])=TRUE, "redpoint", SportClimbing[[#This Row],[Total number of tries]])</f>
        <v>redpoint</v>
      </c>
      <c r="Q113">
        <f>_xlfn.XLOOKUP(SportClimbing[[#This Row],[Grade]],SCORE[GRADE],SCORE[SCORE],,)</f>
        <v>60</v>
      </c>
    </row>
    <row r="114" spans="1:17" x14ac:dyDescent="0.25">
      <c r="A114" s="21">
        <f>DATE(SportClimbing[[#This Row],[Year]],_xlfn.XLOOKUP(SportClimbing[[#This Row],[Month]],MONTHS[MONTHS 2],MONTHS[MONTHS 3]),SportClimbing[[#This Row],[Day]])</f>
        <v>44367</v>
      </c>
      <c r="B114" s="21" t="b">
        <f ca="1">AND(SportClimbing[[#This Row],[Date]] &gt;= TODAY()-365, SportClimbing[[#This Row],[Date]] &lt;= TODAY())</f>
        <v>0</v>
      </c>
      <c r="C114">
        <v>20</v>
      </c>
      <c r="D114" t="s">
        <v>366</v>
      </c>
      <c r="E114">
        <v>2021</v>
      </c>
      <c r="F114" t="s">
        <v>253</v>
      </c>
      <c r="G114" t="s">
        <v>21</v>
      </c>
      <c r="H114" t="s">
        <v>262</v>
      </c>
      <c r="I114" t="s">
        <v>100</v>
      </c>
      <c r="J114" t="s">
        <v>250</v>
      </c>
      <c r="K114">
        <v>18</v>
      </c>
      <c r="L114" t="str">
        <f>IF(SportClimbing[[#This Row],[Height (m)]]&lt;11, "0-10", IF(SportClimbing[[#This Row],[Height (m)]]&lt;16, "11-15", IF(SportClimbing[[#This Row],[Height (m)]]&lt;21, "16-20", IF(SportClimbing[[#This Row],[Height (m)]]&lt;26, "21-25", IF(SportClimbing[[#This Row],[Height (m)]]&lt;31, "26-30", IF(SportClimbing[[#This Row],[Height (m)]]&lt;36, "31-35", "35+"))))))</f>
        <v>16-20</v>
      </c>
      <c r="M114" t="s">
        <v>230</v>
      </c>
      <c r="N114" t="s">
        <v>130</v>
      </c>
      <c r="O114">
        <f>IF(ISNUMBER(SportClimbing[[#This Row],[Total number of tries]])=TRUE, SportClimbing[[#This Row],[Total number of tries]], 1)</f>
        <v>1</v>
      </c>
      <c r="P114" t="str">
        <f>IF(ISNUMBER(SportClimbing[[#This Row],[Total number of tries]])=TRUE, "redpoint", SportClimbing[[#This Row],[Total number of tries]])</f>
        <v>onsight</v>
      </c>
      <c r="Q114">
        <f>_xlfn.XLOOKUP(SportClimbing[[#This Row],[Grade]],SCORE[GRADE],SCORE[SCORE],,)</f>
        <v>15</v>
      </c>
    </row>
    <row r="115" spans="1:17" x14ac:dyDescent="0.25">
      <c r="A115" s="21">
        <f>DATE(SportClimbing[[#This Row],[Year]],_xlfn.XLOOKUP(SportClimbing[[#This Row],[Month]],MONTHS[MONTHS 2],MONTHS[MONTHS 3]),SportClimbing[[#This Row],[Day]])</f>
        <v>44367</v>
      </c>
      <c r="B115" s="21" t="b">
        <f ca="1">AND(SportClimbing[[#This Row],[Date]] &gt;= TODAY()-365, SportClimbing[[#This Row],[Date]] &lt;= TODAY())</f>
        <v>0</v>
      </c>
      <c r="C115">
        <v>20</v>
      </c>
      <c r="D115" t="s">
        <v>366</v>
      </c>
      <c r="E115">
        <v>2021</v>
      </c>
      <c r="F115" t="s">
        <v>254</v>
      </c>
      <c r="G115" t="s">
        <v>29</v>
      </c>
      <c r="H115" t="s">
        <v>262</v>
      </c>
      <c r="I115" t="s">
        <v>100</v>
      </c>
      <c r="J115" t="s">
        <v>250</v>
      </c>
      <c r="K115">
        <v>18</v>
      </c>
      <c r="L115" t="str">
        <f>IF(SportClimbing[[#This Row],[Height (m)]]&lt;11, "0-10", IF(SportClimbing[[#This Row],[Height (m)]]&lt;16, "11-15", IF(SportClimbing[[#This Row],[Height (m)]]&lt;21, "16-20", IF(SportClimbing[[#This Row],[Height (m)]]&lt;26, "21-25", IF(SportClimbing[[#This Row],[Height (m)]]&lt;31, "26-30", IF(SportClimbing[[#This Row],[Height (m)]]&lt;36, "31-35", "35+"))))))</f>
        <v>16-20</v>
      </c>
      <c r="M115" t="s">
        <v>230</v>
      </c>
      <c r="N115" t="s">
        <v>130</v>
      </c>
      <c r="O115">
        <f>IF(ISNUMBER(SportClimbing[[#This Row],[Total number of tries]])=TRUE, SportClimbing[[#This Row],[Total number of tries]], 1)</f>
        <v>1</v>
      </c>
      <c r="P115" t="str">
        <f>IF(ISNUMBER(SportClimbing[[#This Row],[Total number of tries]])=TRUE, "redpoint", SportClimbing[[#This Row],[Total number of tries]])</f>
        <v>onsight</v>
      </c>
      <c r="Q115">
        <f>_xlfn.XLOOKUP(SportClimbing[[#This Row],[Grade]],SCORE[GRADE],SCORE[SCORE],,)</f>
        <v>25</v>
      </c>
    </row>
    <row r="116" spans="1:17" x14ac:dyDescent="0.25">
      <c r="A116" s="21">
        <f>DATE(SportClimbing[[#This Row],[Year]],_xlfn.XLOOKUP(SportClimbing[[#This Row],[Month]],MONTHS[MONTHS 2],MONTHS[MONTHS 3]),SportClimbing[[#This Row],[Day]])</f>
        <v>44371</v>
      </c>
      <c r="B116" s="21" t="b">
        <f ca="1">AND(SportClimbing[[#This Row],[Date]] &gt;= TODAY()-365, SportClimbing[[#This Row],[Date]] &lt;= TODAY())</f>
        <v>0</v>
      </c>
      <c r="C116">
        <v>24</v>
      </c>
      <c r="D116" t="s">
        <v>366</v>
      </c>
      <c r="E116">
        <v>2021</v>
      </c>
      <c r="F116" t="s">
        <v>255</v>
      </c>
      <c r="G116" t="s">
        <v>21</v>
      </c>
      <c r="H116" t="s">
        <v>262</v>
      </c>
      <c r="I116" t="s">
        <v>100</v>
      </c>
      <c r="J116" t="s">
        <v>250</v>
      </c>
      <c r="K116">
        <v>18</v>
      </c>
      <c r="L116" t="str">
        <f>IF(SportClimbing[[#This Row],[Height (m)]]&lt;11, "0-10", IF(SportClimbing[[#This Row],[Height (m)]]&lt;16, "11-15", IF(SportClimbing[[#This Row],[Height (m)]]&lt;21, "16-20", IF(SportClimbing[[#This Row],[Height (m)]]&lt;26, "21-25", IF(SportClimbing[[#This Row],[Height (m)]]&lt;31, "26-30", IF(SportClimbing[[#This Row],[Height (m)]]&lt;36, "31-35", "35+"))))))</f>
        <v>16-20</v>
      </c>
      <c r="M116" t="s">
        <v>132</v>
      </c>
      <c r="N116">
        <v>2</v>
      </c>
      <c r="O116">
        <f>IF(ISNUMBER(SportClimbing[[#This Row],[Total number of tries]])=TRUE, SportClimbing[[#This Row],[Total number of tries]], 1)</f>
        <v>2</v>
      </c>
      <c r="P116" t="str">
        <f>IF(ISNUMBER(SportClimbing[[#This Row],[Total number of tries]])=TRUE, "redpoint", SportClimbing[[#This Row],[Total number of tries]])</f>
        <v>redpoint</v>
      </c>
      <c r="Q116">
        <f>_xlfn.XLOOKUP(SportClimbing[[#This Row],[Grade]],SCORE[GRADE],SCORE[SCORE],,)</f>
        <v>15</v>
      </c>
    </row>
    <row r="117" spans="1:17" x14ac:dyDescent="0.25">
      <c r="A117" s="21">
        <f>DATE(SportClimbing[[#This Row],[Year]],_xlfn.XLOOKUP(SportClimbing[[#This Row],[Month]],MONTHS[MONTHS 2],MONTHS[MONTHS 3]),SportClimbing[[#This Row],[Day]])</f>
        <v>44514</v>
      </c>
      <c r="B117" s="21" t="b">
        <f ca="1">AND(SportClimbing[[#This Row],[Date]] &gt;= TODAY()-365, SportClimbing[[#This Row],[Date]] &lt;= TODAY())</f>
        <v>0</v>
      </c>
      <c r="C117">
        <v>14</v>
      </c>
      <c r="D117" t="s">
        <v>160</v>
      </c>
      <c r="E117">
        <v>2021</v>
      </c>
      <c r="F117" t="s">
        <v>257</v>
      </c>
      <c r="G117" t="s">
        <v>3</v>
      </c>
      <c r="H117" t="s">
        <v>262</v>
      </c>
      <c r="I117" t="s">
        <v>43</v>
      </c>
      <c r="J117" t="s">
        <v>226</v>
      </c>
      <c r="K117">
        <v>25</v>
      </c>
      <c r="L117" t="str">
        <f>IF(SportClimbing[[#This Row],[Height (m)]]&lt;11, "0-10", IF(SportClimbing[[#This Row],[Height (m)]]&lt;16, "11-15", IF(SportClimbing[[#This Row],[Height (m)]]&lt;21, "16-20", IF(SportClimbing[[#This Row],[Height (m)]]&lt;26, "21-25", IF(SportClimbing[[#This Row],[Height (m)]]&lt;31, "26-30", IF(SportClimbing[[#This Row],[Height (m)]]&lt;36, "31-35", "35+"))))))</f>
        <v>21-25</v>
      </c>
      <c r="M117" t="s">
        <v>230</v>
      </c>
      <c r="N117" t="s">
        <v>130</v>
      </c>
      <c r="O117">
        <f>IF(ISNUMBER(SportClimbing[[#This Row],[Total number of tries]])=TRUE, SportClimbing[[#This Row],[Total number of tries]], 1)</f>
        <v>1</v>
      </c>
      <c r="P117" t="str">
        <f>IF(ISNUMBER(SportClimbing[[#This Row],[Total number of tries]])=TRUE, "redpoint", SportClimbing[[#This Row],[Total number of tries]])</f>
        <v>onsight</v>
      </c>
      <c r="Q117">
        <f>_xlfn.XLOOKUP(SportClimbing[[#This Row],[Grade]],SCORE[GRADE],SCORE[SCORE],,)</f>
        <v>10</v>
      </c>
    </row>
    <row r="118" spans="1:17" x14ac:dyDescent="0.25">
      <c r="A118" s="21">
        <f>DATE(SportClimbing[[#This Row],[Year]],_xlfn.XLOOKUP(SportClimbing[[#This Row],[Month]],MONTHS[MONTHS 2],MONTHS[MONTHS 3]),SportClimbing[[#This Row],[Day]])</f>
        <v>44591</v>
      </c>
      <c r="B118" s="21" t="b">
        <f ca="1">AND(SportClimbing[[#This Row],[Date]] &gt;= TODAY()-365, SportClimbing[[#This Row],[Date]] &lt;= TODAY())</f>
        <v>0</v>
      </c>
      <c r="C118">
        <v>30</v>
      </c>
      <c r="D118" t="s">
        <v>151</v>
      </c>
      <c r="E118">
        <v>2022</v>
      </c>
      <c r="F118" t="s">
        <v>259</v>
      </c>
      <c r="G118" t="s">
        <v>163</v>
      </c>
      <c r="H118" t="s">
        <v>262</v>
      </c>
      <c r="I118" t="s">
        <v>22</v>
      </c>
      <c r="J118" t="s">
        <v>23</v>
      </c>
      <c r="K118">
        <v>20</v>
      </c>
      <c r="L118" t="str">
        <f>IF(SportClimbing[[#This Row],[Height (m)]]&lt;11, "0-10", IF(SportClimbing[[#This Row],[Height (m)]]&lt;16, "11-15", IF(SportClimbing[[#This Row],[Height (m)]]&lt;21, "16-20", IF(SportClimbing[[#This Row],[Height (m)]]&lt;26, "21-25", IF(SportClimbing[[#This Row],[Height (m)]]&lt;31, "26-30", IF(SportClimbing[[#This Row],[Height (m)]]&lt;36, "31-35", "35+"))))))</f>
        <v>16-20</v>
      </c>
      <c r="M118" t="s">
        <v>132</v>
      </c>
      <c r="N118">
        <v>40</v>
      </c>
      <c r="O118">
        <f>IF(ISNUMBER(SportClimbing[[#This Row],[Total number of tries]])=TRUE, SportClimbing[[#This Row],[Total number of tries]], 1)</f>
        <v>40</v>
      </c>
      <c r="P118" t="str">
        <f>IF(ISNUMBER(SportClimbing[[#This Row],[Total number of tries]])=TRUE, "redpoint", SportClimbing[[#This Row],[Total number of tries]])</f>
        <v>redpoint</v>
      </c>
      <c r="Q118">
        <f>_xlfn.XLOOKUP(SportClimbing[[#This Row],[Grade]],SCORE[GRADE],SCORE[SCORE],,)</f>
        <v>80</v>
      </c>
    </row>
    <row r="119" spans="1:17" x14ac:dyDescent="0.25">
      <c r="A119" s="21">
        <f>DATE(SportClimbing[[#This Row],[Year]],_xlfn.XLOOKUP(SportClimbing[[#This Row],[Month]],MONTHS[MONTHS 2],MONTHS[MONTHS 3]),SportClimbing[[#This Row],[Day]])</f>
        <v>44602</v>
      </c>
      <c r="B119" s="21" t="b">
        <f ca="1">AND(SportClimbing[[#This Row],[Date]] &gt;= TODAY()-365, SportClimbing[[#This Row],[Date]] &lt;= TODAY())</f>
        <v>0</v>
      </c>
      <c r="C119">
        <v>10</v>
      </c>
      <c r="D119" t="s">
        <v>152</v>
      </c>
      <c r="E119">
        <v>2022</v>
      </c>
      <c r="F119" t="s">
        <v>266</v>
      </c>
      <c r="G119" t="s">
        <v>3</v>
      </c>
      <c r="H119" t="s">
        <v>262</v>
      </c>
      <c r="I119" t="s">
        <v>265</v>
      </c>
      <c r="J119" t="s">
        <v>271</v>
      </c>
      <c r="K119">
        <v>15</v>
      </c>
      <c r="L119" t="str">
        <f>IF(SportClimbing[[#This Row],[Height (m)]]&lt;11, "0-10", IF(SportClimbing[[#This Row],[Height (m)]]&lt;16, "11-15", IF(SportClimbing[[#This Row],[Height (m)]]&lt;21, "16-20", IF(SportClimbing[[#This Row],[Height (m)]]&lt;26, "21-25", IF(SportClimbing[[#This Row],[Height (m)]]&lt;31, "26-30", IF(SportClimbing[[#This Row],[Height (m)]]&lt;36, "31-35", "35+"))))))</f>
        <v>11-15</v>
      </c>
      <c r="M119" t="s">
        <v>120</v>
      </c>
      <c r="N119" t="s">
        <v>130</v>
      </c>
      <c r="O119">
        <f>IF(ISNUMBER(SportClimbing[[#This Row],[Total number of tries]])=TRUE, SportClimbing[[#This Row],[Total number of tries]], 1)</f>
        <v>1</v>
      </c>
      <c r="P119" t="str">
        <f>IF(ISNUMBER(SportClimbing[[#This Row],[Total number of tries]])=TRUE, "redpoint", SportClimbing[[#This Row],[Total number of tries]])</f>
        <v>onsight</v>
      </c>
      <c r="Q119">
        <f>_xlfn.XLOOKUP(SportClimbing[[#This Row],[Grade]],SCORE[GRADE],SCORE[SCORE],,)</f>
        <v>10</v>
      </c>
    </row>
    <row r="120" spans="1:17" x14ac:dyDescent="0.25">
      <c r="A120" s="21">
        <f>DATE(SportClimbing[[#This Row],[Year]],_xlfn.XLOOKUP(SportClimbing[[#This Row],[Month]],MONTHS[MONTHS 2],MONTHS[MONTHS 3]),SportClimbing[[#This Row],[Day]])</f>
        <v>44603</v>
      </c>
      <c r="B120" s="21" t="b">
        <f ca="1">AND(SportClimbing[[#This Row],[Date]] &gt;= TODAY()-365, SportClimbing[[#This Row],[Date]] &lt;= TODAY())</f>
        <v>0</v>
      </c>
      <c r="C120">
        <v>11</v>
      </c>
      <c r="D120" t="s">
        <v>152</v>
      </c>
      <c r="E120">
        <v>2022</v>
      </c>
      <c r="F120" t="s">
        <v>268</v>
      </c>
      <c r="G120" t="s">
        <v>3</v>
      </c>
      <c r="H120" t="s">
        <v>262</v>
      </c>
      <c r="I120" t="s">
        <v>126</v>
      </c>
      <c r="J120" t="s">
        <v>264</v>
      </c>
      <c r="K120">
        <v>35</v>
      </c>
      <c r="L120" t="str">
        <f>IF(SportClimbing[[#This Row],[Height (m)]]&lt;11, "0-10", IF(SportClimbing[[#This Row],[Height (m)]]&lt;16, "11-15", IF(SportClimbing[[#This Row],[Height (m)]]&lt;21, "16-20", IF(SportClimbing[[#This Row],[Height (m)]]&lt;26, "21-25", IF(SportClimbing[[#This Row],[Height (m)]]&lt;31, "26-30", IF(SportClimbing[[#This Row],[Height (m)]]&lt;36, "31-35", "35+"))))))</f>
        <v>31-35</v>
      </c>
      <c r="M120" t="s">
        <v>120</v>
      </c>
      <c r="N120" t="s">
        <v>11</v>
      </c>
      <c r="O120">
        <f>IF(ISNUMBER(SportClimbing[[#This Row],[Total number of tries]])=TRUE, SportClimbing[[#This Row],[Total number of tries]], 1)</f>
        <v>1</v>
      </c>
      <c r="P120" t="str">
        <f>IF(ISNUMBER(SportClimbing[[#This Row],[Total number of tries]])=TRUE, "redpoint", SportClimbing[[#This Row],[Total number of tries]])</f>
        <v>flash</v>
      </c>
      <c r="Q120">
        <f>_xlfn.XLOOKUP(SportClimbing[[#This Row],[Grade]],SCORE[GRADE],SCORE[SCORE],,)</f>
        <v>10</v>
      </c>
    </row>
    <row r="121" spans="1:17" x14ac:dyDescent="0.25">
      <c r="A121" s="21">
        <f>DATE(SportClimbing[[#This Row],[Year]],_xlfn.XLOOKUP(SportClimbing[[#This Row],[Month]],MONTHS[MONTHS 2],MONTHS[MONTHS 3]),SportClimbing[[#This Row],[Day]])</f>
        <v>44604</v>
      </c>
      <c r="B121" s="21" t="b">
        <f ca="1">AND(SportClimbing[[#This Row],[Date]] &gt;= TODAY()-365, SportClimbing[[#This Row],[Date]] &lt;= TODAY())</f>
        <v>0</v>
      </c>
      <c r="C121">
        <v>12</v>
      </c>
      <c r="D121" t="s">
        <v>152</v>
      </c>
      <c r="E121">
        <v>2022</v>
      </c>
      <c r="F121" t="s">
        <v>267</v>
      </c>
      <c r="G121" t="s">
        <v>3</v>
      </c>
      <c r="H121" t="s">
        <v>262</v>
      </c>
      <c r="I121" t="s">
        <v>126</v>
      </c>
      <c r="J121" t="s">
        <v>270</v>
      </c>
      <c r="K121">
        <v>20</v>
      </c>
      <c r="L121" t="str">
        <f>IF(SportClimbing[[#This Row],[Height (m)]]&lt;11, "0-10", IF(SportClimbing[[#This Row],[Height (m)]]&lt;16, "11-15", IF(SportClimbing[[#This Row],[Height (m)]]&lt;21, "16-20", IF(SportClimbing[[#This Row],[Height (m)]]&lt;26, "21-25", IF(SportClimbing[[#This Row],[Height (m)]]&lt;31, "26-30", IF(SportClimbing[[#This Row],[Height (m)]]&lt;36, "31-35", "35+"))))))</f>
        <v>16-20</v>
      </c>
      <c r="M121" t="s">
        <v>120</v>
      </c>
      <c r="N121" t="s">
        <v>130</v>
      </c>
      <c r="O121">
        <f>IF(ISNUMBER(SportClimbing[[#This Row],[Total number of tries]])=TRUE, SportClimbing[[#This Row],[Total number of tries]], 1)</f>
        <v>1</v>
      </c>
      <c r="P121" t="str">
        <f>IF(ISNUMBER(SportClimbing[[#This Row],[Total number of tries]])=TRUE, "redpoint", SportClimbing[[#This Row],[Total number of tries]])</f>
        <v>onsight</v>
      </c>
      <c r="Q121">
        <f>_xlfn.XLOOKUP(SportClimbing[[#This Row],[Grade]],SCORE[GRADE],SCORE[SCORE],,)</f>
        <v>10</v>
      </c>
    </row>
    <row r="122" spans="1:17" x14ac:dyDescent="0.25">
      <c r="A122" s="21">
        <f>DATE(SportClimbing[[#This Row],[Year]],_xlfn.XLOOKUP(SportClimbing[[#This Row],[Month]],MONTHS[MONTHS 2],MONTHS[MONTHS 3]),SportClimbing[[#This Row],[Day]])</f>
        <v>44605</v>
      </c>
      <c r="B122" s="21" t="b">
        <f ca="1">AND(SportClimbing[[#This Row],[Date]] &gt;= TODAY()-365, SportClimbing[[#This Row],[Date]] &lt;= TODAY())</f>
        <v>0</v>
      </c>
      <c r="C122">
        <v>13</v>
      </c>
      <c r="D122" t="s">
        <v>152</v>
      </c>
      <c r="E122">
        <v>2022</v>
      </c>
      <c r="F122" t="s">
        <v>269</v>
      </c>
      <c r="G122" t="s">
        <v>21</v>
      </c>
      <c r="H122" t="s">
        <v>262</v>
      </c>
      <c r="I122" t="s">
        <v>126</v>
      </c>
      <c r="J122" t="s">
        <v>128</v>
      </c>
      <c r="K122">
        <v>35</v>
      </c>
      <c r="L122" t="str">
        <f>IF(SportClimbing[[#This Row],[Height (m)]]&lt;11, "0-10", IF(SportClimbing[[#This Row],[Height (m)]]&lt;16, "11-15", IF(SportClimbing[[#This Row],[Height (m)]]&lt;21, "16-20", IF(SportClimbing[[#This Row],[Height (m)]]&lt;26, "21-25", IF(SportClimbing[[#This Row],[Height (m)]]&lt;31, "26-30", IF(SportClimbing[[#This Row],[Height (m)]]&lt;36, "31-35", "35+"))))))</f>
        <v>31-35</v>
      </c>
      <c r="M122" t="s">
        <v>263</v>
      </c>
      <c r="N122" t="s">
        <v>130</v>
      </c>
      <c r="O122">
        <f>IF(ISNUMBER(SportClimbing[[#This Row],[Total number of tries]])=TRUE, SportClimbing[[#This Row],[Total number of tries]], 1)</f>
        <v>1</v>
      </c>
      <c r="P122" t="str">
        <f>IF(ISNUMBER(SportClimbing[[#This Row],[Total number of tries]])=TRUE, "redpoint", SportClimbing[[#This Row],[Total number of tries]])</f>
        <v>onsight</v>
      </c>
      <c r="Q122">
        <f>_xlfn.XLOOKUP(SportClimbing[[#This Row],[Grade]],SCORE[GRADE],SCORE[SCORE],,)</f>
        <v>15</v>
      </c>
    </row>
    <row r="123" spans="1:17" x14ac:dyDescent="0.25">
      <c r="A123" s="21">
        <f>DATE(SportClimbing[[#This Row],[Year]],_xlfn.XLOOKUP(SportClimbing[[#This Row],[Month]],MONTHS[MONTHS 2],MONTHS[MONTHS 3]),SportClimbing[[#This Row],[Day]])</f>
        <v>44637</v>
      </c>
      <c r="B123" s="21" t="b">
        <f ca="1">AND(SportClimbing[[#This Row],[Date]] &gt;= TODAY()-365, SportClimbing[[#This Row],[Date]] &lt;= TODAY())</f>
        <v>0</v>
      </c>
      <c r="C123">
        <v>17</v>
      </c>
      <c r="D123" t="s">
        <v>367</v>
      </c>
      <c r="E123">
        <v>2022</v>
      </c>
      <c r="F123" t="s">
        <v>272</v>
      </c>
      <c r="G123" t="s">
        <v>3</v>
      </c>
      <c r="H123" t="s">
        <v>273</v>
      </c>
      <c r="I123" t="s">
        <v>274</v>
      </c>
      <c r="J123" t="s">
        <v>275</v>
      </c>
      <c r="K123">
        <v>20</v>
      </c>
      <c r="L123" t="str">
        <f>IF(SportClimbing[[#This Row],[Height (m)]]&lt;11, "0-10", IF(SportClimbing[[#This Row],[Height (m)]]&lt;16, "11-15", IF(SportClimbing[[#This Row],[Height (m)]]&lt;21, "16-20", IF(SportClimbing[[#This Row],[Height (m)]]&lt;26, "21-25", IF(SportClimbing[[#This Row],[Height (m)]]&lt;31, "26-30", IF(SportClimbing[[#This Row],[Height (m)]]&lt;36, "31-35", "35+"))))))</f>
        <v>16-20</v>
      </c>
      <c r="M123" t="s">
        <v>276</v>
      </c>
      <c r="N123" t="s">
        <v>130</v>
      </c>
      <c r="O123">
        <f>IF(ISNUMBER(SportClimbing[[#This Row],[Total number of tries]])=TRUE, SportClimbing[[#This Row],[Total number of tries]], 1)</f>
        <v>1</v>
      </c>
      <c r="P123" t="str">
        <f>IF(ISNUMBER(SportClimbing[[#This Row],[Total number of tries]])=TRUE, "redpoint", SportClimbing[[#This Row],[Total number of tries]])</f>
        <v>onsight</v>
      </c>
      <c r="Q123">
        <f>_xlfn.XLOOKUP(SportClimbing[[#This Row],[Grade]],SCORE[GRADE],SCORE[SCORE],,)</f>
        <v>10</v>
      </c>
    </row>
    <row r="124" spans="1:17" x14ac:dyDescent="0.25">
      <c r="A124" s="21">
        <f>DATE(SportClimbing[[#This Row],[Year]],_xlfn.XLOOKUP(SportClimbing[[#This Row],[Month]],MONTHS[MONTHS 2],MONTHS[MONTHS 3]),SportClimbing[[#This Row],[Day]])</f>
        <v>44706</v>
      </c>
      <c r="B124" s="21" t="b">
        <f ca="1">AND(SportClimbing[[#This Row],[Date]] &gt;= TODAY()-365, SportClimbing[[#This Row],[Date]] &lt;= TODAY())</f>
        <v>0</v>
      </c>
      <c r="C124">
        <v>25</v>
      </c>
      <c r="D124" t="s">
        <v>155</v>
      </c>
      <c r="E124">
        <v>2022</v>
      </c>
      <c r="F124" t="s">
        <v>277</v>
      </c>
      <c r="G124" t="s">
        <v>3</v>
      </c>
      <c r="H124" t="s">
        <v>273</v>
      </c>
      <c r="I124" t="s">
        <v>278</v>
      </c>
      <c r="J124" t="s">
        <v>279</v>
      </c>
      <c r="K124">
        <v>23</v>
      </c>
      <c r="L124" t="str">
        <f>IF(SportClimbing[[#This Row],[Height (m)]]&lt;11, "0-10", IF(SportClimbing[[#This Row],[Height (m)]]&lt;16, "11-15", IF(SportClimbing[[#This Row],[Height (m)]]&lt;21, "16-20", IF(SportClimbing[[#This Row],[Height (m)]]&lt;26, "21-25", IF(SportClimbing[[#This Row],[Height (m)]]&lt;31, "26-30", IF(SportClimbing[[#This Row],[Height (m)]]&lt;36, "31-35", "35+"))))))</f>
        <v>21-25</v>
      </c>
      <c r="M124" t="s">
        <v>280</v>
      </c>
      <c r="N124">
        <v>3</v>
      </c>
      <c r="O124">
        <f>IF(ISNUMBER(SportClimbing[[#This Row],[Total number of tries]])=TRUE, SportClimbing[[#This Row],[Total number of tries]], 1)</f>
        <v>3</v>
      </c>
      <c r="P124" t="str">
        <f>IF(ISNUMBER(SportClimbing[[#This Row],[Total number of tries]])=TRUE, "redpoint", SportClimbing[[#This Row],[Total number of tries]])</f>
        <v>redpoint</v>
      </c>
      <c r="Q124">
        <f>_xlfn.XLOOKUP(SportClimbing[[#This Row],[Grade]],SCORE[GRADE],SCORE[SCORE],,)</f>
        <v>10</v>
      </c>
    </row>
    <row r="125" spans="1:17" x14ac:dyDescent="0.25">
      <c r="A125" s="21">
        <f>DATE(SportClimbing[[#This Row],[Year]],_xlfn.XLOOKUP(SportClimbing[[#This Row],[Month]],MONTHS[MONTHS 2],MONTHS[MONTHS 3]),SportClimbing[[#This Row],[Day]])</f>
        <v>44722</v>
      </c>
      <c r="B125" s="21" t="b">
        <f ca="1">AND(SportClimbing[[#This Row],[Date]] &gt;= TODAY()-365, SportClimbing[[#This Row],[Date]] &lt;= TODAY())</f>
        <v>0</v>
      </c>
      <c r="C125">
        <v>10</v>
      </c>
      <c r="D125" t="s">
        <v>366</v>
      </c>
      <c r="E125">
        <v>2022</v>
      </c>
      <c r="F125" t="s">
        <v>285</v>
      </c>
      <c r="G125" t="s">
        <v>3</v>
      </c>
      <c r="H125" t="s">
        <v>262</v>
      </c>
      <c r="I125" t="s">
        <v>105</v>
      </c>
      <c r="J125" t="s">
        <v>284</v>
      </c>
      <c r="K125">
        <v>23</v>
      </c>
      <c r="L125" t="str">
        <f>IF(SportClimbing[[#This Row],[Height (m)]]&lt;11, "0-10", IF(SportClimbing[[#This Row],[Height (m)]]&lt;16, "11-15", IF(SportClimbing[[#This Row],[Height (m)]]&lt;21, "16-20", IF(SportClimbing[[#This Row],[Height (m)]]&lt;26, "21-25", IF(SportClimbing[[#This Row],[Height (m)]]&lt;31, "26-30", IF(SportClimbing[[#This Row],[Height (m)]]&lt;36, "31-35", "35+"))))))</f>
        <v>21-25</v>
      </c>
      <c r="M125" t="s">
        <v>164</v>
      </c>
      <c r="N125" t="s">
        <v>130</v>
      </c>
      <c r="O125">
        <f>IF(ISNUMBER(SportClimbing[[#This Row],[Total number of tries]])=TRUE, SportClimbing[[#This Row],[Total number of tries]], 1)</f>
        <v>1</v>
      </c>
      <c r="P125" t="str">
        <f>IF(ISNUMBER(SportClimbing[[#This Row],[Total number of tries]])=TRUE, "redpoint", SportClimbing[[#This Row],[Total number of tries]])</f>
        <v>onsight</v>
      </c>
      <c r="Q125">
        <f>_xlfn.XLOOKUP(SportClimbing[[#This Row],[Grade]],SCORE[GRADE],SCORE[SCORE],,)</f>
        <v>10</v>
      </c>
    </row>
    <row r="126" spans="1:17" x14ac:dyDescent="0.25">
      <c r="A126" s="21">
        <f>DATE(SportClimbing[[#This Row],[Year]],_xlfn.XLOOKUP(SportClimbing[[#This Row],[Month]],MONTHS[MONTHS 2],MONTHS[MONTHS 3]),SportClimbing[[#This Row],[Day]])</f>
        <v>44729</v>
      </c>
      <c r="B126" s="21" t="b">
        <f ca="1">AND(SportClimbing[[#This Row],[Date]] &gt;= TODAY()-365, SportClimbing[[#This Row],[Date]] &lt;= TODAY())</f>
        <v>0</v>
      </c>
      <c r="C126">
        <v>17</v>
      </c>
      <c r="D126" t="s">
        <v>366</v>
      </c>
      <c r="E126">
        <v>2022</v>
      </c>
      <c r="F126" t="s">
        <v>244</v>
      </c>
      <c r="G126" t="s">
        <v>21</v>
      </c>
      <c r="H126" t="s">
        <v>262</v>
      </c>
      <c r="I126" t="s">
        <v>281</v>
      </c>
      <c r="J126" t="s">
        <v>282</v>
      </c>
      <c r="K126">
        <v>15</v>
      </c>
      <c r="L126" t="str">
        <f>IF(SportClimbing[[#This Row],[Height (m)]]&lt;11, "0-10", IF(SportClimbing[[#This Row],[Height (m)]]&lt;16, "11-15", IF(SportClimbing[[#This Row],[Height (m)]]&lt;21, "16-20", IF(SportClimbing[[#This Row],[Height (m)]]&lt;26, "21-25", IF(SportClimbing[[#This Row],[Height (m)]]&lt;31, "26-30", IF(SportClimbing[[#This Row],[Height (m)]]&lt;36, "31-35", "35+"))))))</f>
        <v>11-15</v>
      </c>
      <c r="M126" t="s">
        <v>164</v>
      </c>
      <c r="N126">
        <v>3</v>
      </c>
      <c r="O126">
        <f>IF(ISNUMBER(SportClimbing[[#This Row],[Total number of tries]])=TRUE, SportClimbing[[#This Row],[Total number of tries]], 1)</f>
        <v>3</v>
      </c>
      <c r="P126" t="str">
        <f>IF(ISNUMBER(SportClimbing[[#This Row],[Total number of tries]])=TRUE, "redpoint", SportClimbing[[#This Row],[Total number of tries]])</f>
        <v>redpoint</v>
      </c>
      <c r="Q126">
        <f>_xlfn.XLOOKUP(SportClimbing[[#This Row],[Grade]],SCORE[GRADE],SCORE[SCORE],,)</f>
        <v>15</v>
      </c>
    </row>
    <row r="127" spans="1:17" x14ac:dyDescent="0.25">
      <c r="A127" s="21">
        <f>DATE(SportClimbing[[#This Row],[Year]],_xlfn.XLOOKUP(SportClimbing[[#This Row],[Month]],MONTHS[MONTHS 2],MONTHS[MONTHS 3]),SportClimbing[[#This Row],[Day]])</f>
        <v>44758</v>
      </c>
      <c r="B127" s="21" t="b">
        <f ca="1">AND(SportClimbing[[#This Row],[Date]] &gt;= TODAY()-365, SportClimbing[[#This Row],[Date]] &lt;= TODAY())</f>
        <v>0</v>
      </c>
      <c r="C127">
        <v>16</v>
      </c>
      <c r="D127" t="s">
        <v>365</v>
      </c>
      <c r="E127">
        <v>2022</v>
      </c>
      <c r="F127" t="s">
        <v>295</v>
      </c>
      <c r="G127" t="s">
        <v>3</v>
      </c>
      <c r="H127" t="s">
        <v>261</v>
      </c>
      <c r="I127" t="s">
        <v>286</v>
      </c>
      <c r="J127" t="s">
        <v>287</v>
      </c>
      <c r="K127">
        <v>16</v>
      </c>
      <c r="L127" t="str">
        <f>IF(SportClimbing[[#This Row],[Height (m)]]&lt;11, "0-10", IF(SportClimbing[[#This Row],[Height (m)]]&lt;16, "11-15", IF(SportClimbing[[#This Row],[Height (m)]]&lt;21, "16-20", IF(SportClimbing[[#This Row],[Height (m)]]&lt;26, "21-25", IF(SportClimbing[[#This Row],[Height (m)]]&lt;31, "26-30", IF(SportClimbing[[#This Row],[Height (m)]]&lt;36, "31-35", "35+"))))))</f>
        <v>16-20</v>
      </c>
      <c r="M127" t="s">
        <v>288</v>
      </c>
      <c r="N127">
        <v>2</v>
      </c>
      <c r="O127">
        <f>IF(ISNUMBER(SportClimbing[[#This Row],[Total number of tries]])=TRUE, SportClimbing[[#This Row],[Total number of tries]], 1)</f>
        <v>2</v>
      </c>
      <c r="P127" t="str">
        <f>IF(ISNUMBER(SportClimbing[[#This Row],[Total number of tries]])=TRUE, "redpoint", SportClimbing[[#This Row],[Total number of tries]])</f>
        <v>redpoint</v>
      </c>
      <c r="Q127">
        <f>_xlfn.XLOOKUP(SportClimbing[[#This Row],[Grade]],SCORE[GRADE],SCORE[SCORE],,)</f>
        <v>10</v>
      </c>
    </row>
    <row r="128" spans="1:17" x14ac:dyDescent="0.25">
      <c r="A128" s="21">
        <f>DATE(SportClimbing[[#This Row],[Year]],_xlfn.XLOOKUP(SportClimbing[[#This Row],[Month]],MONTHS[MONTHS 2],MONTHS[MONTHS 3]),SportClimbing[[#This Row],[Day]])</f>
        <v>44765</v>
      </c>
      <c r="B128" s="21" t="b">
        <f ca="1">AND(SportClimbing[[#This Row],[Date]] &gt;= TODAY()-365, SportClimbing[[#This Row],[Date]] &lt;= TODAY())</f>
        <v>0</v>
      </c>
      <c r="C128">
        <v>23</v>
      </c>
      <c r="D128" t="s">
        <v>365</v>
      </c>
      <c r="E128">
        <v>2022</v>
      </c>
      <c r="F128" t="s">
        <v>291</v>
      </c>
      <c r="G128" t="s">
        <v>21</v>
      </c>
      <c r="H128" t="s">
        <v>261</v>
      </c>
      <c r="I128" t="s">
        <v>289</v>
      </c>
      <c r="J128" t="s">
        <v>293</v>
      </c>
      <c r="K128">
        <v>16</v>
      </c>
      <c r="L128" t="str">
        <f>IF(SportClimbing[[#This Row],[Height (m)]]&lt;11, "0-10", IF(SportClimbing[[#This Row],[Height (m)]]&lt;16, "11-15", IF(SportClimbing[[#This Row],[Height (m)]]&lt;21, "16-20", IF(SportClimbing[[#This Row],[Height (m)]]&lt;26, "21-25", IF(SportClimbing[[#This Row],[Height (m)]]&lt;31, "26-30", IF(SportClimbing[[#This Row],[Height (m)]]&lt;36, "31-35", "35+"))))))</f>
        <v>16-20</v>
      </c>
      <c r="M128" t="s">
        <v>290</v>
      </c>
      <c r="N128">
        <v>2</v>
      </c>
      <c r="O128">
        <f>IF(ISNUMBER(SportClimbing[[#This Row],[Total number of tries]])=TRUE, SportClimbing[[#This Row],[Total number of tries]], 1)</f>
        <v>2</v>
      </c>
      <c r="P128" t="str">
        <f>IF(ISNUMBER(SportClimbing[[#This Row],[Total number of tries]])=TRUE, "redpoint", SportClimbing[[#This Row],[Total number of tries]])</f>
        <v>redpoint</v>
      </c>
      <c r="Q128">
        <f>_xlfn.XLOOKUP(SportClimbing[[#This Row],[Grade]],SCORE[GRADE],SCORE[SCORE],,)</f>
        <v>15</v>
      </c>
    </row>
    <row r="129" spans="1:17" x14ac:dyDescent="0.25">
      <c r="A129" s="21">
        <f>DATE(SportClimbing[[#This Row],[Year]],_xlfn.XLOOKUP(SportClimbing[[#This Row],[Month]],MONTHS[MONTHS 2],MONTHS[MONTHS 3]),SportClimbing[[#This Row],[Day]])</f>
        <v>44766</v>
      </c>
      <c r="B129" s="21" t="b">
        <f ca="1">AND(SportClimbing[[#This Row],[Date]] &gt;= TODAY()-365, SportClimbing[[#This Row],[Date]] &lt;= TODAY())</f>
        <v>0</v>
      </c>
      <c r="C129">
        <v>24</v>
      </c>
      <c r="D129" t="s">
        <v>365</v>
      </c>
      <c r="E129">
        <v>2022</v>
      </c>
      <c r="F129" t="s">
        <v>294</v>
      </c>
      <c r="G129" t="s">
        <v>21</v>
      </c>
      <c r="H129" t="s">
        <v>261</v>
      </c>
      <c r="I129" t="s">
        <v>289</v>
      </c>
      <c r="J129" t="s">
        <v>292</v>
      </c>
      <c r="K129">
        <v>16</v>
      </c>
      <c r="L129" t="str">
        <f>IF(SportClimbing[[#This Row],[Height (m)]]&lt;11, "0-10", IF(SportClimbing[[#This Row],[Height (m)]]&lt;16, "11-15", IF(SportClimbing[[#This Row],[Height (m)]]&lt;21, "16-20", IF(SportClimbing[[#This Row],[Height (m)]]&lt;26, "21-25", IF(SportClimbing[[#This Row],[Height (m)]]&lt;31, "26-30", IF(SportClimbing[[#This Row],[Height (m)]]&lt;36, "31-35", "35+"))))))</f>
        <v>16-20</v>
      </c>
      <c r="M129" t="s">
        <v>290</v>
      </c>
      <c r="N129">
        <v>2</v>
      </c>
      <c r="O129">
        <f>IF(ISNUMBER(SportClimbing[[#This Row],[Total number of tries]])=TRUE, SportClimbing[[#This Row],[Total number of tries]], 1)</f>
        <v>2</v>
      </c>
      <c r="P129" t="str">
        <f>IF(ISNUMBER(SportClimbing[[#This Row],[Total number of tries]])=TRUE, "redpoint", SportClimbing[[#This Row],[Total number of tries]])</f>
        <v>redpoint</v>
      </c>
      <c r="Q129">
        <f>_xlfn.XLOOKUP(SportClimbing[[#This Row],[Grade]],SCORE[GRADE],SCORE[SCORE],,)</f>
        <v>15</v>
      </c>
    </row>
    <row r="130" spans="1:17" x14ac:dyDescent="0.25">
      <c r="A130" s="21">
        <f>DATE(SportClimbing[[#This Row],[Year]],_xlfn.XLOOKUP(SportClimbing[[#This Row],[Month]],MONTHS[MONTHS 2],MONTHS[MONTHS 3]),SportClimbing[[#This Row],[Day]])</f>
        <v>44808</v>
      </c>
      <c r="B130" s="21" t="b">
        <f ca="1">AND(SportClimbing[[#This Row],[Date]] &gt;= TODAY()-365, SportClimbing[[#This Row],[Date]] &lt;= TODAY())</f>
        <v>0</v>
      </c>
      <c r="C130">
        <v>4</v>
      </c>
      <c r="D130" t="s">
        <v>159</v>
      </c>
      <c r="E130">
        <v>2022</v>
      </c>
      <c r="F130" t="s">
        <v>296</v>
      </c>
      <c r="G130" t="s">
        <v>21</v>
      </c>
      <c r="H130" t="s">
        <v>261</v>
      </c>
      <c r="I130" t="s">
        <v>1</v>
      </c>
      <c r="J130" t="s">
        <v>297</v>
      </c>
      <c r="K130">
        <v>27</v>
      </c>
      <c r="L130" t="str">
        <f>IF(SportClimbing[[#This Row],[Height (m)]]&lt;11, "0-10", IF(SportClimbing[[#This Row],[Height (m)]]&lt;16, "11-15", IF(SportClimbing[[#This Row],[Height (m)]]&lt;21, "16-20", IF(SportClimbing[[#This Row],[Height (m)]]&lt;26, "21-25", IF(SportClimbing[[#This Row],[Height (m)]]&lt;31, "26-30", IF(SportClimbing[[#This Row],[Height (m)]]&lt;36, "31-35", "35+"))))))</f>
        <v>26-30</v>
      </c>
      <c r="M130" t="s">
        <v>13</v>
      </c>
      <c r="N130">
        <v>5</v>
      </c>
      <c r="O130">
        <f>IF(ISNUMBER(SportClimbing[[#This Row],[Total number of tries]])=TRUE, SportClimbing[[#This Row],[Total number of tries]], 1)</f>
        <v>5</v>
      </c>
      <c r="P130" t="str">
        <f>IF(ISNUMBER(SportClimbing[[#This Row],[Total number of tries]])=TRUE, "redpoint", SportClimbing[[#This Row],[Total number of tries]])</f>
        <v>redpoint</v>
      </c>
      <c r="Q130">
        <f>_xlfn.XLOOKUP(SportClimbing[[#This Row],[Grade]],SCORE[GRADE],SCORE[SCORE],,)</f>
        <v>15</v>
      </c>
    </row>
    <row r="131" spans="1:17" x14ac:dyDescent="0.25">
      <c r="A131" s="21">
        <f>DATE(SportClimbing[[#This Row],[Year]],_xlfn.XLOOKUP(SportClimbing[[#This Row],[Month]],MONTHS[MONTHS 2],MONTHS[MONTHS 3]),SportClimbing[[#This Row],[Day]])</f>
        <v>44842</v>
      </c>
      <c r="B131" s="21" t="b">
        <f ca="1">AND(SportClimbing[[#This Row],[Date]] &gt;= TODAY()-365, SportClimbing[[#This Row],[Date]] &lt;= TODAY())</f>
        <v>0</v>
      </c>
      <c r="C131">
        <v>8</v>
      </c>
      <c r="D131" t="s">
        <v>162</v>
      </c>
      <c r="E131">
        <v>2022</v>
      </c>
      <c r="F131" t="s">
        <v>303</v>
      </c>
      <c r="G131" t="s">
        <v>3</v>
      </c>
      <c r="H131" t="s">
        <v>298</v>
      </c>
      <c r="I131" t="s">
        <v>300</v>
      </c>
      <c r="J131" t="s">
        <v>301</v>
      </c>
      <c r="K131">
        <v>20</v>
      </c>
      <c r="L131" t="str">
        <f>IF(SportClimbing[[#This Row],[Height (m)]]&lt;11, "0-10", IF(SportClimbing[[#This Row],[Height (m)]]&lt;16, "11-15", IF(SportClimbing[[#This Row],[Height (m)]]&lt;21, "16-20", IF(SportClimbing[[#This Row],[Height (m)]]&lt;26, "21-25", IF(SportClimbing[[#This Row],[Height (m)]]&lt;31, "26-30", IF(SportClimbing[[#This Row],[Height (m)]]&lt;36, "31-35", "35+"))))))</f>
        <v>16-20</v>
      </c>
      <c r="M131" t="s">
        <v>304</v>
      </c>
      <c r="N131" t="s">
        <v>130</v>
      </c>
      <c r="O131">
        <f>IF(ISNUMBER(SportClimbing[[#This Row],[Total number of tries]])=TRUE, SportClimbing[[#This Row],[Total number of tries]], 1)</f>
        <v>1</v>
      </c>
      <c r="P131" t="str">
        <f>IF(ISNUMBER(SportClimbing[[#This Row],[Total number of tries]])=TRUE, "redpoint", SportClimbing[[#This Row],[Total number of tries]])</f>
        <v>onsight</v>
      </c>
      <c r="Q131">
        <f>_xlfn.XLOOKUP(SportClimbing[[#This Row],[Grade]],SCORE[GRADE],SCORE[SCORE],,)</f>
        <v>10</v>
      </c>
    </row>
    <row r="132" spans="1:17" x14ac:dyDescent="0.25">
      <c r="A132" s="21">
        <f>DATE(SportClimbing[[#This Row],[Year]],_xlfn.XLOOKUP(SportClimbing[[#This Row],[Month]],MONTHS[MONTHS 2],MONTHS[MONTHS 3]),SportClimbing[[#This Row],[Day]])</f>
        <v>44842</v>
      </c>
      <c r="B132" s="21" t="b">
        <f ca="1">AND(SportClimbing[[#This Row],[Date]] &gt;= TODAY()-365, SportClimbing[[#This Row],[Date]] &lt;= TODAY())</f>
        <v>0</v>
      </c>
      <c r="C132">
        <v>8</v>
      </c>
      <c r="D132" t="s">
        <v>162</v>
      </c>
      <c r="E132">
        <v>2022</v>
      </c>
      <c r="F132" t="s">
        <v>299</v>
      </c>
      <c r="G132" t="s">
        <v>3</v>
      </c>
      <c r="H132" t="s">
        <v>298</v>
      </c>
      <c r="I132" t="s">
        <v>300</v>
      </c>
      <c r="J132" t="s">
        <v>302</v>
      </c>
      <c r="K132">
        <v>18</v>
      </c>
      <c r="L132" t="str">
        <f>IF(SportClimbing[[#This Row],[Height (m)]]&lt;11, "0-10", IF(SportClimbing[[#This Row],[Height (m)]]&lt;16, "11-15", IF(SportClimbing[[#This Row],[Height (m)]]&lt;21, "16-20", IF(SportClimbing[[#This Row],[Height (m)]]&lt;26, "21-25", IF(SportClimbing[[#This Row],[Height (m)]]&lt;31, "26-30", IF(SportClimbing[[#This Row],[Height (m)]]&lt;36, "31-35", "35+"))))))</f>
        <v>16-20</v>
      </c>
      <c r="M132" t="s">
        <v>304</v>
      </c>
      <c r="N132" t="s">
        <v>130</v>
      </c>
      <c r="O132">
        <f>IF(ISNUMBER(SportClimbing[[#This Row],[Total number of tries]])=TRUE, SportClimbing[[#This Row],[Total number of tries]], 1)</f>
        <v>1</v>
      </c>
      <c r="P132" t="str">
        <f>IF(ISNUMBER(SportClimbing[[#This Row],[Total number of tries]])=TRUE, "redpoint", SportClimbing[[#This Row],[Total number of tries]])</f>
        <v>onsight</v>
      </c>
      <c r="Q132">
        <f>_xlfn.XLOOKUP(SportClimbing[[#This Row],[Grade]],SCORE[GRADE],SCORE[SCORE],,)</f>
        <v>10</v>
      </c>
    </row>
    <row r="133" spans="1:17" x14ac:dyDescent="0.25">
      <c r="A133" s="21">
        <f>DATE(SportClimbing[[#This Row],[Year]],_xlfn.XLOOKUP(SportClimbing[[#This Row],[Month]],MONTHS[MONTHS 2],MONTHS[MONTHS 3]),SportClimbing[[#This Row],[Day]])</f>
        <v>44866</v>
      </c>
      <c r="B133" s="21" t="b">
        <f ca="1">AND(SportClimbing[[#This Row],[Date]] &gt;= TODAY()-365, SportClimbing[[#This Row],[Date]] &lt;= TODAY())</f>
        <v>0</v>
      </c>
      <c r="C133">
        <v>1</v>
      </c>
      <c r="D133" t="s">
        <v>160</v>
      </c>
      <c r="E133">
        <v>2022</v>
      </c>
      <c r="F133" t="s">
        <v>305</v>
      </c>
      <c r="G133" t="s">
        <v>21</v>
      </c>
      <c r="H133" t="s">
        <v>298</v>
      </c>
      <c r="I133" t="s">
        <v>306</v>
      </c>
      <c r="J133" t="s">
        <v>307</v>
      </c>
      <c r="K133">
        <v>15</v>
      </c>
      <c r="L133" t="str">
        <f>IF(SportClimbing[[#This Row],[Height (m)]]&lt;11, "0-10", IF(SportClimbing[[#This Row],[Height (m)]]&lt;16, "11-15", IF(SportClimbing[[#This Row],[Height (m)]]&lt;21, "16-20", IF(SportClimbing[[#This Row],[Height (m)]]&lt;26, "21-25", IF(SportClimbing[[#This Row],[Height (m)]]&lt;31, "26-30", IF(SportClimbing[[#This Row],[Height (m)]]&lt;36, "31-35", "35+"))))))</f>
        <v>11-15</v>
      </c>
      <c r="M133" t="s">
        <v>370</v>
      </c>
      <c r="N133">
        <v>3</v>
      </c>
      <c r="O133">
        <f>IF(ISNUMBER(SportClimbing[[#This Row],[Total number of tries]])=TRUE, SportClimbing[[#This Row],[Total number of tries]], 1)</f>
        <v>3</v>
      </c>
      <c r="P133" t="str">
        <f>IF(ISNUMBER(SportClimbing[[#This Row],[Total number of tries]])=TRUE, "redpoint", SportClimbing[[#This Row],[Total number of tries]])</f>
        <v>redpoint</v>
      </c>
      <c r="Q133">
        <f>_xlfn.XLOOKUP(SportClimbing[[#This Row],[Grade]],SCORE[GRADE],SCORE[SCORE],,)</f>
        <v>15</v>
      </c>
    </row>
    <row r="134" spans="1:17" x14ac:dyDescent="0.25">
      <c r="A134" s="21">
        <f>DATE(SportClimbing[[#This Row],[Year]],_xlfn.XLOOKUP(SportClimbing[[#This Row],[Month]],MONTHS[MONTHS 2],MONTHS[MONTHS 3]),SportClimbing[[#This Row],[Day]])</f>
        <v>44870</v>
      </c>
      <c r="B134" s="21" t="b">
        <f ca="1">AND(SportClimbing[[#This Row],[Date]] &gt;= TODAY()-365, SportClimbing[[#This Row],[Date]] &lt;= TODAY())</f>
        <v>0</v>
      </c>
      <c r="C134">
        <v>5</v>
      </c>
      <c r="D134" t="s">
        <v>160</v>
      </c>
      <c r="E134">
        <v>2022</v>
      </c>
      <c r="F134" t="s">
        <v>308</v>
      </c>
      <c r="G134" t="s">
        <v>3</v>
      </c>
      <c r="H134" t="s">
        <v>298</v>
      </c>
      <c r="I134" t="s">
        <v>306</v>
      </c>
      <c r="J134" t="s">
        <v>307</v>
      </c>
      <c r="K134">
        <v>20</v>
      </c>
      <c r="L134" t="str">
        <f>IF(SportClimbing[[#This Row],[Height (m)]]&lt;11, "0-10", IF(SportClimbing[[#This Row],[Height (m)]]&lt;16, "11-15", IF(SportClimbing[[#This Row],[Height (m)]]&lt;21, "16-20", IF(SportClimbing[[#This Row],[Height (m)]]&lt;26, "21-25", IF(SportClimbing[[#This Row],[Height (m)]]&lt;31, "26-30", IF(SportClimbing[[#This Row],[Height (m)]]&lt;36, "31-35", "35+"))))))</f>
        <v>16-20</v>
      </c>
      <c r="M134" t="s">
        <v>370</v>
      </c>
      <c r="N134" t="s">
        <v>130</v>
      </c>
      <c r="O134">
        <f>IF(ISNUMBER(SportClimbing[[#This Row],[Total number of tries]])=TRUE, SportClimbing[[#This Row],[Total number of tries]], 1)</f>
        <v>1</v>
      </c>
      <c r="P134" t="str">
        <f>IF(ISNUMBER(SportClimbing[[#This Row],[Total number of tries]])=TRUE, "redpoint", SportClimbing[[#This Row],[Total number of tries]])</f>
        <v>onsight</v>
      </c>
      <c r="Q134">
        <f>_xlfn.XLOOKUP(SportClimbing[[#This Row],[Grade]],SCORE[GRADE],SCORE[SCORE],,)</f>
        <v>10</v>
      </c>
    </row>
    <row r="135" spans="1:17" x14ac:dyDescent="0.25">
      <c r="A135" s="21">
        <f>DATE(SportClimbing[[#This Row],[Year]],_xlfn.XLOOKUP(SportClimbing[[#This Row],[Month]],MONTHS[MONTHS 2],MONTHS[MONTHS 3]),SportClimbing[[#This Row],[Day]])</f>
        <v>44877</v>
      </c>
      <c r="B135" s="21" t="b">
        <f ca="1">AND(SportClimbing[[#This Row],[Date]] &gt;= TODAY()-365, SportClimbing[[#This Row],[Date]] &lt;= TODAY())</f>
        <v>0</v>
      </c>
      <c r="C135">
        <v>12</v>
      </c>
      <c r="D135" t="s">
        <v>160</v>
      </c>
      <c r="E135">
        <v>2022</v>
      </c>
      <c r="F135" t="s">
        <v>309</v>
      </c>
      <c r="G135" t="s">
        <v>3</v>
      </c>
      <c r="H135" t="s">
        <v>298</v>
      </c>
      <c r="I135" t="s">
        <v>311</v>
      </c>
      <c r="J135" t="s">
        <v>310</v>
      </c>
      <c r="K135">
        <v>12</v>
      </c>
      <c r="L135" t="str">
        <f>IF(SportClimbing[[#This Row],[Height (m)]]&lt;11, "0-10", IF(SportClimbing[[#This Row],[Height (m)]]&lt;16, "11-15", IF(SportClimbing[[#This Row],[Height (m)]]&lt;21, "16-20", IF(SportClimbing[[#This Row],[Height (m)]]&lt;26, "21-25", IF(SportClimbing[[#This Row],[Height (m)]]&lt;31, "26-30", IF(SportClimbing[[#This Row],[Height (m)]]&lt;36, "31-35", "35+"))))))</f>
        <v>11-15</v>
      </c>
      <c r="M135" t="s">
        <v>370</v>
      </c>
      <c r="N135">
        <v>2</v>
      </c>
      <c r="O135">
        <f>IF(ISNUMBER(SportClimbing[[#This Row],[Total number of tries]])=TRUE, SportClimbing[[#This Row],[Total number of tries]], 1)</f>
        <v>2</v>
      </c>
      <c r="P135" t="str">
        <f>IF(ISNUMBER(SportClimbing[[#This Row],[Total number of tries]])=TRUE, "redpoint", SportClimbing[[#This Row],[Total number of tries]])</f>
        <v>redpoint</v>
      </c>
      <c r="Q135">
        <f>_xlfn.XLOOKUP(SportClimbing[[#This Row],[Grade]],SCORE[GRADE],SCORE[SCORE],,)</f>
        <v>10</v>
      </c>
    </row>
    <row r="136" spans="1:17" x14ac:dyDescent="0.25">
      <c r="A136" s="21">
        <f>DATE(SportClimbing[[#This Row],[Year]],_xlfn.XLOOKUP(SportClimbing[[#This Row],[Month]],MONTHS[MONTHS 2],MONTHS[MONTHS 3]),SportClimbing[[#This Row],[Day]])</f>
        <v>44884</v>
      </c>
      <c r="B136" s="21" t="b">
        <f ca="1">AND(SportClimbing[[#This Row],[Date]] &gt;= TODAY()-365, SportClimbing[[#This Row],[Date]] &lt;= TODAY())</f>
        <v>0</v>
      </c>
      <c r="C136">
        <v>19</v>
      </c>
      <c r="D136" t="s">
        <v>160</v>
      </c>
      <c r="E136">
        <v>2022</v>
      </c>
      <c r="F136" t="s">
        <v>312</v>
      </c>
      <c r="G136" t="s">
        <v>3</v>
      </c>
      <c r="H136" t="s">
        <v>313</v>
      </c>
      <c r="I136" t="s">
        <v>345</v>
      </c>
      <c r="J136" t="s">
        <v>345</v>
      </c>
      <c r="K136">
        <v>10</v>
      </c>
      <c r="L136" t="str">
        <f>IF(SportClimbing[[#This Row],[Height (m)]]&lt;11, "0-10", IF(SportClimbing[[#This Row],[Height (m)]]&lt;16, "11-15", IF(SportClimbing[[#This Row],[Height (m)]]&lt;21, "16-20", IF(SportClimbing[[#This Row],[Height (m)]]&lt;26, "21-25", IF(SportClimbing[[#This Row],[Height (m)]]&lt;31, "26-30", IF(SportClimbing[[#This Row],[Height (m)]]&lt;36, "31-35", "35+"))))))</f>
        <v>0-10</v>
      </c>
      <c r="M136" t="s">
        <v>370</v>
      </c>
      <c r="N136">
        <v>4</v>
      </c>
      <c r="O136">
        <f>IF(ISNUMBER(SportClimbing[[#This Row],[Total number of tries]])=TRUE, SportClimbing[[#This Row],[Total number of tries]], 1)</f>
        <v>4</v>
      </c>
      <c r="P136" t="str">
        <f>IF(ISNUMBER(SportClimbing[[#This Row],[Total number of tries]])=TRUE, "redpoint", SportClimbing[[#This Row],[Total number of tries]])</f>
        <v>redpoint</v>
      </c>
      <c r="Q136">
        <f>_xlfn.XLOOKUP(SportClimbing[[#This Row],[Grade]],SCORE[GRADE],SCORE[SCORE],,)</f>
        <v>10</v>
      </c>
    </row>
    <row r="137" spans="1:17" x14ac:dyDescent="0.25">
      <c r="A137" s="21">
        <f>DATE(SportClimbing[[#This Row],[Year]],_xlfn.XLOOKUP(SportClimbing[[#This Row],[Month]],MONTHS[MONTHS 2],MONTHS[MONTHS 3]),SportClimbing[[#This Row],[Day]])</f>
        <v>44963</v>
      </c>
      <c r="B137" s="21" t="b">
        <f ca="1">AND(SportClimbing[[#This Row],[Date]] &gt;= TODAY()-365, SportClimbing[[#This Row],[Date]] &lt;= TODAY())</f>
        <v>0</v>
      </c>
      <c r="C137">
        <v>6</v>
      </c>
      <c r="D137" t="s">
        <v>152</v>
      </c>
      <c r="E137">
        <v>2023</v>
      </c>
      <c r="F137" t="s">
        <v>244</v>
      </c>
      <c r="G137" t="s">
        <v>3</v>
      </c>
      <c r="H137" t="s">
        <v>262</v>
      </c>
      <c r="I137" t="s">
        <v>43</v>
      </c>
      <c r="J137" t="s">
        <v>93</v>
      </c>
      <c r="K137">
        <v>15</v>
      </c>
      <c r="L137" t="str">
        <f>IF(SportClimbing[[#This Row],[Height (m)]]&lt;11, "0-10", IF(SportClimbing[[#This Row],[Height (m)]]&lt;16, "11-15", IF(SportClimbing[[#This Row],[Height (m)]]&lt;21, "16-20", IF(SportClimbing[[#This Row],[Height (m)]]&lt;26, "21-25", IF(SportClimbing[[#This Row],[Height (m)]]&lt;31, "26-30", IF(SportClimbing[[#This Row],[Height (m)]]&lt;36, "31-35", "35+"))))))</f>
        <v>11-15</v>
      </c>
      <c r="M137" t="s">
        <v>120</v>
      </c>
      <c r="N137">
        <v>2</v>
      </c>
      <c r="O137">
        <f>IF(ISNUMBER(SportClimbing[[#This Row],[Total number of tries]])=TRUE, SportClimbing[[#This Row],[Total number of tries]], 1)</f>
        <v>2</v>
      </c>
      <c r="P137" t="str">
        <f>IF(ISNUMBER(SportClimbing[[#This Row],[Total number of tries]])=TRUE, "redpoint", SportClimbing[[#This Row],[Total number of tries]])</f>
        <v>redpoint</v>
      </c>
      <c r="Q137">
        <f>_xlfn.XLOOKUP(SportClimbing[[#This Row],[Grade]],SCORE[GRADE],SCORE[SCORE],,)</f>
        <v>10</v>
      </c>
    </row>
    <row r="138" spans="1:17" x14ac:dyDescent="0.25">
      <c r="A138" s="21">
        <f>DATE(SportClimbing[[#This Row],[Year]],_xlfn.XLOOKUP(SportClimbing[[#This Row],[Month]],MONTHS[MONTHS 2],MONTHS[MONTHS 3]),SportClimbing[[#This Row],[Day]])</f>
        <v>44966</v>
      </c>
      <c r="B138" s="21" t="b">
        <f ca="1">AND(SportClimbing[[#This Row],[Date]] &gt;= TODAY()-365, SportClimbing[[#This Row],[Date]] &lt;= TODAY())</f>
        <v>0</v>
      </c>
      <c r="C138">
        <v>9</v>
      </c>
      <c r="D138" t="s">
        <v>152</v>
      </c>
      <c r="E138">
        <v>2023</v>
      </c>
      <c r="F138" t="s">
        <v>316</v>
      </c>
      <c r="G138" t="s">
        <v>3</v>
      </c>
      <c r="H138" t="s">
        <v>262</v>
      </c>
      <c r="I138" t="s">
        <v>43</v>
      </c>
      <c r="J138" t="s">
        <v>315</v>
      </c>
      <c r="K138">
        <v>18</v>
      </c>
      <c r="L138" t="str">
        <f>IF(SportClimbing[[#This Row],[Height (m)]]&lt;11, "0-10", IF(SportClimbing[[#This Row],[Height (m)]]&lt;16, "11-15", IF(SportClimbing[[#This Row],[Height (m)]]&lt;21, "16-20", IF(SportClimbing[[#This Row],[Height (m)]]&lt;26, "21-25", IF(SportClimbing[[#This Row],[Height (m)]]&lt;31, "26-30", IF(SportClimbing[[#This Row],[Height (m)]]&lt;36, "31-35", "35+"))))))</f>
        <v>16-20</v>
      </c>
      <c r="M138" t="s">
        <v>370</v>
      </c>
      <c r="N138" t="s">
        <v>11</v>
      </c>
      <c r="O138">
        <f>IF(ISNUMBER(SportClimbing[[#This Row],[Total number of tries]])=TRUE, SportClimbing[[#This Row],[Total number of tries]], 1)</f>
        <v>1</v>
      </c>
      <c r="P138" t="str">
        <f>IF(ISNUMBER(SportClimbing[[#This Row],[Total number of tries]])=TRUE, "redpoint", SportClimbing[[#This Row],[Total number of tries]])</f>
        <v>flash</v>
      </c>
      <c r="Q138">
        <f>_xlfn.XLOOKUP(SportClimbing[[#This Row],[Grade]],SCORE[GRADE],SCORE[SCORE],,)</f>
        <v>10</v>
      </c>
    </row>
    <row r="139" spans="1:17" x14ac:dyDescent="0.25">
      <c r="A139" s="21">
        <f>DATE(SportClimbing[[#This Row],[Year]],_xlfn.XLOOKUP(SportClimbing[[#This Row],[Month]],MONTHS[MONTHS 2],MONTHS[MONTHS 3]),SportClimbing[[#This Row],[Day]])</f>
        <v>44966</v>
      </c>
      <c r="B139" s="21" t="b">
        <f ca="1">AND(SportClimbing[[#This Row],[Date]] &gt;= TODAY()-365, SportClimbing[[#This Row],[Date]] &lt;= TODAY())</f>
        <v>0</v>
      </c>
      <c r="C139">
        <v>9</v>
      </c>
      <c r="D139" t="s">
        <v>152</v>
      </c>
      <c r="E139">
        <v>2023</v>
      </c>
      <c r="F139" t="s">
        <v>314</v>
      </c>
      <c r="G139" t="s">
        <v>3</v>
      </c>
      <c r="H139" t="s">
        <v>262</v>
      </c>
      <c r="I139" t="s">
        <v>43</v>
      </c>
      <c r="J139" t="s">
        <v>315</v>
      </c>
      <c r="K139">
        <v>25</v>
      </c>
      <c r="L139" t="str">
        <f>IF(SportClimbing[[#This Row],[Height (m)]]&lt;11, "0-10", IF(SportClimbing[[#This Row],[Height (m)]]&lt;16, "11-15", IF(SportClimbing[[#This Row],[Height (m)]]&lt;21, "16-20", IF(SportClimbing[[#This Row],[Height (m)]]&lt;26, "21-25", IF(SportClimbing[[#This Row],[Height (m)]]&lt;31, "26-30", IF(SportClimbing[[#This Row],[Height (m)]]&lt;36, "31-35", "35+"))))))</f>
        <v>21-25</v>
      </c>
      <c r="M139" t="s">
        <v>304</v>
      </c>
      <c r="N139">
        <v>2</v>
      </c>
      <c r="O139">
        <f>IF(ISNUMBER(SportClimbing[[#This Row],[Total number of tries]])=TRUE, SportClimbing[[#This Row],[Total number of tries]], 1)</f>
        <v>2</v>
      </c>
      <c r="P139" t="str">
        <f>IF(ISNUMBER(SportClimbing[[#This Row],[Total number of tries]])=TRUE, "redpoint", SportClimbing[[#This Row],[Total number of tries]])</f>
        <v>redpoint</v>
      </c>
      <c r="Q139">
        <f>_xlfn.XLOOKUP(SportClimbing[[#This Row],[Grade]],SCORE[GRADE],SCORE[SCORE],,)</f>
        <v>10</v>
      </c>
    </row>
    <row r="140" spans="1:17" x14ac:dyDescent="0.25">
      <c r="A140" s="21">
        <f>DATE(SportClimbing[[#This Row],[Year]],_xlfn.XLOOKUP(SportClimbing[[#This Row],[Month]],MONTHS[MONTHS 2],MONTHS[MONTHS 3]),SportClimbing[[#This Row],[Day]])</f>
        <v>44967</v>
      </c>
      <c r="B140" s="21" t="b">
        <f ca="1">AND(SportClimbing[[#This Row],[Date]] &gt;= TODAY()-365, SportClimbing[[#This Row],[Date]] &lt;= TODAY())</f>
        <v>0</v>
      </c>
      <c r="C140">
        <v>10</v>
      </c>
      <c r="D140" t="s">
        <v>152</v>
      </c>
      <c r="E140">
        <v>2023</v>
      </c>
      <c r="F140" t="s">
        <v>317</v>
      </c>
      <c r="G140" t="s">
        <v>3</v>
      </c>
      <c r="H140" t="s">
        <v>262</v>
      </c>
      <c r="I140" t="s">
        <v>43</v>
      </c>
      <c r="J140" t="s">
        <v>206</v>
      </c>
      <c r="K140">
        <v>28</v>
      </c>
      <c r="L140" t="str">
        <f>IF(SportClimbing[[#This Row],[Height (m)]]&lt;11, "0-10", IF(SportClimbing[[#This Row],[Height (m)]]&lt;16, "11-15", IF(SportClimbing[[#This Row],[Height (m)]]&lt;21, "16-20", IF(SportClimbing[[#This Row],[Height (m)]]&lt;26, "21-25", IF(SportClimbing[[#This Row],[Height (m)]]&lt;31, "26-30", IF(SportClimbing[[#This Row],[Height (m)]]&lt;36, "31-35", "35+"))))))</f>
        <v>26-30</v>
      </c>
      <c r="M140" t="s">
        <v>304</v>
      </c>
      <c r="N140" t="s">
        <v>11</v>
      </c>
      <c r="O140">
        <f>IF(ISNUMBER(SportClimbing[[#This Row],[Total number of tries]])=TRUE, SportClimbing[[#This Row],[Total number of tries]], 1)</f>
        <v>1</v>
      </c>
      <c r="P140" t="str">
        <f>IF(ISNUMBER(SportClimbing[[#This Row],[Total number of tries]])=TRUE, "redpoint", SportClimbing[[#This Row],[Total number of tries]])</f>
        <v>flash</v>
      </c>
      <c r="Q140">
        <f>_xlfn.XLOOKUP(SportClimbing[[#This Row],[Grade]],SCORE[GRADE],SCORE[SCORE],,)</f>
        <v>10</v>
      </c>
    </row>
    <row r="141" spans="1:17" x14ac:dyDescent="0.25">
      <c r="A141" s="21">
        <f>DATE(SportClimbing[[#This Row],[Year]],_xlfn.XLOOKUP(SportClimbing[[#This Row],[Month]],MONTHS[MONTHS 2],MONTHS[MONTHS 3]),SportClimbing[[#This Row],[Day]])</f>
        <v>44967</v>
      </c>
      <c r="B141" s="21" t="b">
        <f ca="1">AND(SportClimbing[[#This Row],[Date]] &gt;= TODAY()-365, SportClimbing[[#This Row],[Date]] &lt;= TODAY())</f>
        <v>0</v>
      </c>
      <c r="C141">
        <v>10</v>
      </c>
      <c r="D141" t="s">
        <v>152</v>
      </c>
      <c r="E141">
        <v>2023</v>
      </c>
      <c r="F141" t="s">
        <v>318</v>
      </c>
      <c r="G141" t="s">
        <v>3</v>
      </c>
      <c r="H141" t="s">
        <v>262</v>
      </c>
      <c r="I141" t="s">
        <v>43</v>
      </c>
      <c r="J141" t="s">
        <v>206</v>
      </c>
      <c r="K141">
        <v>20</v>
      </c>
      <c r="L141" t="str">
        <f>IF(SportClimbing[[#This Row],[Height (m)]]&lt;11, "0-10", IF(SportClimbing[[#This Row],[Height (m)]]&lt;16, "11-15", IF(SportClimbing[[#This Row],[Height (m)]]&lt;21, "16-20", IF(SportClimbing[[#This Row],[Height (m)]]&lt;26, "21-25", IF(SportClimbing[[#This Row],[Height (m)]]&lt;31, "26-30", IF(SportClimbing[[#This Row],[Height (m)]]&lt;36, "31-35", "35+"))))))</f>
        <v>16-20</v>
      </c>
      <c r="M141" t="s">
        <v>120</v>
      </c>
      <c r="N141">
        <v>2</v>
      </c>
      <c r="O141">
        <f>IF(ISNUMBER(SportClimbing[[#This Row],[Total number of tries]])=TRUE, SportClimbing[[#This Row],[Total number of tries]], 1)</f>
        <v>2</v>
      </c>
      <c r="P141" t="str">
        <f>IF(ISNUMBER(SportClimbing[[#This Row],[Total number of tries]])=TRUE, "redpoint", SportClimbing[[#This Row],[Total number of tries]])</f>
        <v>redpoint</v>
      </c>
      <c r="Q141">
        <f>_xlfn.XLOOKUP(SportClimbing[[#This Row],[Grade]],SCORE[GRADE],SCORE[SCORE],,)</f>
        <v>10</v>
      </c>
    </row>
    <row r="142" spans="1:17" x14ac:dyDescent="0.25">
      <c r="A142" s="21">
        <f>DATE(SportClimbing[[#This Row],[Year]],_xlfn.XLOOKUP(SportClimbing[[#This Row],[Month]],MONTHS[MONTHS 2],MONTHS[MONTHS 3]),SportClimbing[[#This Row],[Day]])</f>
        <v>44968</v>
      </c>
      <c r="B142" s="21" t="b">
        <f ca="1">AND(SportClimbing[[#This Row],[Date]] &gt;= TODAY()-365, SportClimbing[[#This Row],[Date]] &lt;= TODAY())</f>
        <v>0</v>
      </c>
      <c r="C142">
        <v>11</v>
      </c>
      <c r="D142" t="s">
        <v>152</v>
      </c>
      <c r="E142">
        <v>2023</v>
      </c>
      <c r="F142" t="s">
        <v>319</v>
      </c>
      <c r="G142" t="s">
        <v>3</v>
      </c>
      <c r="H142" t="s">
        <v>262</v>
      </c>
      <c r="I142" t="s">
        <v>43</v>
      </c>
      <c r="J142" t="s">
        <v>206</v>
      </c>
      <c r="K142">
        <v>28</v>
      </c>
      <c r="L142" t="str">
        <f>IF(SportClimbing[[#This Row],[Height (m)]]&lt;11, "0-10", IF(SportClimbing[[#This Row],[Height (m)]]&lt;16, "11-15", IF(SportClimbing[[#This Row],[Height (m)]]&lt;21, "16-20", IF(SportClimbing[[#This Row],[Height (m)]]&lt;26, "21-25", IF(SportClimbing[[#This Row],[Height (m)]]&lt;31, "26-30", IF(SportClimbing[[#This Row],[Height (m)]]&lt;36, "31-35", "35+"))))))</f>
        <v>26-30</v>
      </c>
      <c r="M142" t="s">
        <v>304</v>
      </c>
      <c r="N142" t="s">
        <v>130</v>
      </c>
      <c r="O142">
        <f>IF(ISNUMBER(SportClimbing[[#This Row],[Total number of tries]])=TRUE, SportClimbing[[#This Row],[Total number of tries]], 1)</f>
        <v>1</v>
      </c>
      <c r="P142" t="str">
        <f>IF(ISNUMBER(SportClimbing[[#This Row],[Total number of tries]])=TRUE, "redpoint", SportClimbing[[#This Row],[Total number of tries]])</f>
        <v>onsight</v>
      </c>
      <c r="Q142">
        <f>_xlfn.XLOOKUP(SportClimbing[[#This Row],[Grade]],SCORE[GRADE],SCORE[SCORE],,)</f>
        <v>10</v>
      </c>
    </row>
    <row r="143" spans="1:17" x14ac:dyDescent="0.25">
      <c r="A143" s="21">
        <f>DATE(SportClimbing[[#This Row],[Year]],_xlfn.XLOOKUP(SportClimbing[[#This Row],[Month]],MONTHS[MONTHS 2],MONTHS[MONTHS 3]),SportClimbing[[#This Row],[Day]])</f>
        <v>44976</v>
      </c>
      <c r="B143" s="21" t="b">
        <f ca="1">AND(SportClimbing[[#This Row],[Date]] &gt;= TODAY()-365, SportClimbing[[#This Row],[Date]] &lt;= TODAY())</f>
        <v>0</v>
      </c>
      <c r="C143">
        <v>19</v>
      </c>
      <c r="D143" t="s">
        <v>152</v>
      </c>
      <c r="E143">
        <v>2023</v>
      </c>
      <c r="F143" t="s">
        <v>321</v>
      </c>
      <c r="G143" t="s">
        <v>21</v>
      </c>
      <c r="H143" t="s">
        <v>262</v>
      </c>
      <c r="I143" t="s">
        <v>43</v>
      </c>
      <c r="J143" t="s">
        <v>320</v>
      </c>
      <c r="K143">
        <v>18</v>
      </c>
      <c r="L143" t="str">
        <f>IF(SportClimbing[[#This Row],[Height (m)]]&lt;11, "0-10", IF(SportClimbing[[#This Row],[Height (m)]]&lt;16, "11-15", IF(SportClimbing[[#This Row],[Height (m)]]&lt;21, "16-20", IF(SportClimbing[[#This Row],[Height (m)]]&lt;26, "21-25", IF(SportClimbing[[#This Row],[Height (m)]]&lt;31, "26-30", IF(SportClimbing[[#This Row],[Height (m)]]&lt;36, "31-35", "35+"))))))</f>
        <v>16-20</v>
      </c>
      <c r="M143" t="s">
        <v>120</v>
      </c>
      <c r="N143">
        <v>2</v>
      </c>
      <c r="O143">
        <f>IF(ISNUMBER(SportClimbing[[#This Row],[Total number of tries]])=TRUE, SportClimbing[[#This Row],[Total number of tries]], 1)</f>
        <v>2</v>
      </c>
      <c r="P143" t="str">
        <f>IF(ISNUMBER(SportClimbing[[#This Row],[Total number of tries]])=TRUE, "redpoint", SportClimbing[[#This Row],[Total number of tries]])</f>
        <v>redpoint</v>
      </c>
      <c r="Q143">
        <f>_xlfn.XLOOKUP(SportClimbing[[#This Row],[Grade]],SCORE[GRADE],SCORE[SCORE],,)</f>
        <v>15</v>
      </c>
    </row>
    <row r="144" spans="1:17" x14ac:dyDescent="0.25">
      <c r="A144" s="21">
        <f>DATE(SportClimbing[[#This Row],[Year]],_xlfn.XLOOKUP(SportClimbing[[#This Row],[Month]],MONTHS[MONTHS 2],MONTHS[MONTHS 3]),SportClimbing[[#This Row],[Day]])</f>
        <v>44976</v>
      </c>
      <c r="B144" s="21" t="b">
        <f ca="1">AND(SportClimbing[[#This Row],[Date]] &gt;= TODAY()-365, SportClimbing[[#This Row],[Date]] &lt;= TODAY())</f>
        <v>0</v>
      </c>
      <c r="C144">
        <v>19</v>
      </c>
      <c r="D144" t="s">
        <v>152</v>
      </c>
      <c r="E144">
        <v>2023</v>
      </c>
      <c r="F144" t="s">
        <v>322</v>
      </c>
      <c r="G144" t="s">
        <v>3</v>
      </c>
      <c r="H144" t="s">
        <v>262</v>
      </c>
      <c r="I144" t="s">
        <v>43</v>
      </c>
      <c r="J144" t="s">
        <v>91</v>
      </c>
      <c r="K144">
        <v>25</v>
      </c>
      <c r="L144" t="str">
        <f>IF(SportClimbing[[#This Row],[Height (m)]]&lt;11, "0-10", IF(SportClimbing[[#This Row],[Height (m)]]&lt;16, "11-15", IF(SportClimbing[[#This Row],[Height (m)]]&lt;21, "16-20", IF(SportClimbing[[#This Row],[Height (m)]]&lt;26, "21-25", IF(SportClimbing[[#This Row],[Height (m)]]&lt;31, "26-30", IF(SportClimbing[[#This Row],[Height (m)]]&lt;36, "31-35", "35+"))))))</f>
        <v>21-25</v>
      </c>
      <c r="M144" t="s">
        <v>370</v>
      </c>
      <c r="N144">
        <v>2</v>
      </c>
      <c r="O144">
        <f>IF(ISNUMBER(SportClimbing[[#This Row],[Total number of tries]])=TRUE, SportClimbing[[#This Row],[Total number of tries]], 1)</f>
        <v>2</v>
      </c>
      <c r="P144" t="str">
        <f>IF(ISNUMBER(SportClimbing[[#This Row],[Total number of tries]])=TRUE, "redpoint", SportClimbing[[#This Row],[Total number of tries]])</f>
        <v>redpoint</v>
      </c>
      <c r="Q144">
        <f>_xlfn.XLOOKUP(SportClimbing[[#This Row],[Grade]],SCORE[GRADE],SCORE[SCORE],,)</f>
        <v>10</v>
      </c>
    </row>
    <row r="145" spans="1:17" x14ac:dyDescent="0.25">
      <c r="A145" s="21">
        <f>DATE(SportClimbing[[#This Row],[Year]],_xlfn.XLOOKUP(SportClimbing[[#This Row],[Month]],MONTHS[MONTHS 2],MONTHS[MONTHS 3]),SportClimbing[[#This Row],[Day]])</f>
        <v>44979</v>
      </c>
      <c r="B145" s="21" t="b">
        <f ca="1">AND(SportClimbing[[#This Row],[Date]] &gt;= TODAY()-365, SportClimbing[[#This Row],[Date]] &lt;= TODAY())</f>
        <v>0</v>
      </c>
      <c r="C145">
        <v>22</v>
      </c>
      <c r="D145" t="s">
        <v>152</v>
      </c>
      <c r="E145">
        <v>2023</v>
      </c>
      <c r="F145" t="s">
        <v>388</v>
      </c>
      <c r="G145" t="s">
        <v>3</v>
      </c>
      <c r="H145" t="s">
        <v>262</v>
      </c>
      <c r="I145" t="s">
        <v>323</v>
      </c>
      <c r="J145" t="s">
        <v>330</v>
      </c>
      <c r="K145">
        <v>18</v>
      </c>
      <c r="L145" t="str">
        <f>IF(SportClimbing[[#This Row],[Height (m)]]&lt;11, "0-10", IF(SportClimbing[[#This Row],[Height (m)]]&lt;16, "11-15", IF(SportClimbing[[#This Row],[Height (m)]]&lt;21, "16-20", IF(SportClimbing[[#This Row],[Height (m)]]&lt;26, "21-25", IF(SportClimbing[[#This Row],[Height (m)]]&lt;31, "26-30", IF(SportClimbing[[#This Row],[Height (m)]]&lt;36, "31-35", "35+"))))))</f>
        <v>16-20</v>
      </c>
      <c r="M145" t="s">
        <v>324</v>
      </c>
      <c r="N145" t="s">
        <v>130</v>
      </c>
      <c r="O145">
        <f>IF(ISNUMBER(SportClimbing[[#This Row],[Total number of tries]])=TRUE, SportClimbing[[#This Row],[Total number of tries]], 1)</f>
        <v>1</v>
      </c>
      <c r="P145" t="str">
        <f>IF(ISNUMBER(SportClimbing[[#This Row],[Total number of tries]])=TRUE, "redpoint", SportClimbing[[#This Row],[Total number of tries]])</f>
        <v>onsight</v>
      </c>
      <c r="Q145">
        <f>_xlfn.XLOOKUP(SportClimbing[[#This Row],[Grade]],SCORE[GRADE],SCORE[SCORE],,)</f>
        <v>10</v>
      </c>
    </row>
    <row r="146" spans="1:17" x14ac:dyDescent="0.25">
      <c r="A146" s="21">
        <f>DATE(SportClimbing[[#This Row],[Year]],_xlfn.XLOOKUP(SportClimbing[[#This Row],[Month]],MONTHS[MONTHS 2],MONTHS[MONTHS 3]),SportClimbing[[#This Row],[Day]])</f>
        <v>44983</v>
      </c>
      <c r="B146" s="21" t="b">
        <f ca="1">AND(SportClimbing[[#This Row],[Date]] &gt;= TODAY()-365, SportClimbing[[#This Row],[Date]] &lt;= TODAY())</f>
        <v>0</v>
      </c>
      <c r="C146">
        <v>26</v>
      </c>
      <c r="D146" t="s">
        <v>152</v>
      </c>
      <c r="E146">
        <v>2023</v>
      </c>
      <c r="F146" t="s">
        <v>326</v>
      </c>
      <c r="G146" t="s">
        <v>3</v>
      </c>
      <c r="H146" t="s">
        <v>262</v>
      </c>
      <c r="I146" t="s">
        <v>126</v>
      </c>
      <c r="J146" t="s">
        <v>328</v>
      </c>
      <c r="K146">
        <v>30</v>
      </c>
      <c r="L146" t="str">
        <f>IF(SportClimbing[[#This Row],[Height (m)]]&lt;11, "0-10", IF(SportClimbing[[#This Row],[Height (m)]]&lt;16, "11-15", IF(SportClimbing[[#This Row],[Height (m)]]&lt;21, "16-20", IF(SportClimbing[[#This Row],[Height (m)]]&lt;26, "21-25", IF(SportClimbing[[#This Row],[Height (m)]]&lt;31, "26-30", IF(SportClimbing[[#This Row],[Height (m)]]&lt;36, "31-35", "35+"))))))</f>
        <v>26-30</v>
      </c>
      <c r="M146" t="s">
        <v>231</v>
      </c>
      <c r="N146" t="s">
        <v>130</v>
      </c>
      <c r="O146">
        <f>IF(ISNUMBER(SportClimbing[[#This Row],[Total number of tries]])=TRUE, SportClimbing[[#This Row],[Total number of tries]], 1)</f>
        <v>1</v>
      </c>
      <c r="P146" t="str">
        <f>IF(ISNUMBER(SportClimbing[[#This Row],[Total number of tries]])=TRUE, "redpoint", SportClimbing[[#This Row],[Total number of tries]])</f>
        <v>onsight</v>
      </c>
      <c r="Q146">
        <f>_xlfn.XLOOKUP(SportClimbing[[#This Row],[Grade]],SCORE[GRADE],SCORE[SCORE],,)</f>
        <v>10</v>
      </c>
    </row>
    <row r="147" spans="1:17" x14ac:dyDescent="0.25">
      <c r="A147" s="21">
        <f>DATE(SportClimbing[[#This Row],[Year]],_xlfn.XLOOKUP(SportClimbing[[#This Row],[Month]],MONTHS[MONTHS 2],MONTHS[MONTHS 3]),SportClimbing[[#This Row],[Day]])</f>
        <v>44983</v>
      </c>
      <c r="B147" s="21" t="b">
        <f ca="1">AND(SportClimbing[[#This Row],[Date]] &gt;= TODAY()-365, SportClimbing[[#This Row],[Date]] &lt;= TODAY())</f>
        <v>0</v>
      </c>
      <c r="C147">
        <v>26</v>
      </c>
      <c r="D147" t="s">
        <v>152</v>
      </c>
      <c r="E147">
        <v>2023</v>
      </c>
      <c r="F147" t="s">
        <v>327</v>
      </c>
      <c r="G147" t="s">
        <v>3</v>
      </c>
      <c r="H147" t="s">
        <v>262</v>
      </c>
      <c r="I147" t="s">
        <v>126</v>
      </c>
      <c r="J147" t="s">
        <v>328</v>
      </c>
      <c r="K147">
        <v>25</v>
      </c>
      <c r="L147" t="str">
        <f>IF(SportClimbing[[#This Row],[Height (m)]]&lt;11, "0-10", IF(SportClimbing[[#This Row],[Height (m)]]&lt;16, "11-15", IF(SportClimbing[[#This Row],[Height (m)]]&lt;21, "16-20", IF(SportClimbing[[#This Row],[Height (m)]]&lt;26, "21-25", IF(SportClimbing[[#This Row],[Height (m)]]&lt;31, "26-30", IF(SportClimbing[[#This Row],[Height (m)]]&lt;36, "31-35", "35+"))))))</f>
        <v>21-25</v>
      </c>
      <c r="M147" t="s">
        <v>120</v>
      </c>
      <c r="N147" t="s">
        <v>11</v>
      </c>
      <c r="O147">
        <f>IF(ISNUMBER(SportClimbing[[#This Row],[Total number of tries]])=TRUE, SportClimbing[[#This Row],[Total number of tries]], 1)</f>
        <v>1</v>
      </c>
      <c r="P147" t="str">
        <f>IF(ISNUMBER(SportClimbing[[#This Row],[Total number of tries]])=TRUE, "redpoint", SportClimbing[[#This Row],[Total number of tries]])</f>
        <v>flash</v>
      </c>
      <c r="Q147">
        <f>_xlfn.XLOOKUP(SportClimbing[[#This Row],[Grade]],SCORE[GRADE],SCORE[SCORE],,)</f>
        <v>10</v>
      </c>
    </row>
    <row r="148" spans="1:17" x14ac:dyDescent="0.25">
      <c r="A148" s="21">
        <f>DATE(SportClimbing[[#This Row],[Year]],_xlfn.XLOOKUP(SportClimbing[[#This Row],[Month]],MONTHS[MONTHS 2],MONTHS[MONTHS 3]),SportClimbing[[#This Row],[Day]])</f>
        <v>44984</v>
      </c>
      <c r="B148" s="21" t="b">
        <f ca="1">AND(SportClimbing[[#This Row],[Date]] &gt;= TODAY()-365, SportClimbing[[#This Row],[Date]] &lt;= TODAY())</f>
        <v>0</v>
      </c>
      <c r="C148">
        <v>27</v>
      </c>
      <c r="D148" t="s">
        <v>152</v>
      </c>
      <c r="E148">
        <v>2023</v>
      </c>
      <c r="F148" t="s">
        <v>329</v>
      </c>
      <c r="G148" t="s">
        <v>3</v>
      </c>
      <c r="H148" t="s">
        <v>262</v>
      </c>
      <c r="I148" t="s">
        <v>126</v>
      </c>
      <c r="J148" t="s">
        <v>379</v>
      </c>
      <c r="K148">
        <v>16</v>
      </c>
      <c r="L148" t="str">
        <f>IF(SportClimbing[[#This Row],[Height (m)]]&lt;11, "0-10", IF(SportClimbing[[#This Row],[Height (m)]]&lt;16, "11-15", IF(SportClimbing[[#This Row],[Height (m)]]&lt;21, "16-20", IF(SportClimbing[[#This Row],[Height (m)]]&lt;26, "21-25", IF(SportClimbing[[#This Row],[Height (m)]]&lt;31, "26-30", IF(SportClimbing[[#This Row],[Height (m)]]&lt;36, "31-35", "35+"))))))</f>
        <v>16-20</v>
      </c>
      <c r="M148" t="s">
        <v>325</v>
      </c>
      <c r="N148" t="s">
        <v>130</v>
      </c>
      <c r="O148">
        <f>IF(ISNUMBER(SportClimbing[[#This Row],[Total number of tries]])=TRUE, SportClimbing[[#This Row],[Total number of tries]], 1)</f>
        <v>1</v>
      </c>
      <c r="P148" t="str">
        <f>IF(ISNUMBER(SportClimbing[[#This Row],[Total number of tries]])=TRUE, "redpoint", SportClimbing[[#This Row],[Total number of tries]])</f>
        <v>onsight</v>
      </c>
      <c r="Q148">
        <f>_xlfn.XLOOKUP(SportClimbing[[#This Row],[Grade]],SCORE[GRADE],SCORE[SCORE],,)</f>
        <v>10</v>
      </c>
    </row>
    <row r="149" spans="1:17" x14ac:dyDescent="0.25">
      <c r="A149" s="21">
        <f>DATE(SportClimbing[[#This Row],[Year]],_xlfn.XLOOKUP(SportClimbing[[#This Row],[Month]],MONTHS[MONTHS 2],MONTHS[MONTHS 3]),SportClimbing[[#This Row],[Day]])</f>
        <v>45009</v>
      </c>
      <c r="B149" s="21" t="b">
        <f ca="1">AND(SportClimbing[[#This Row],[Date]] &gt;= TODAY()-365, SportClimbing[[#This Row],[Date]] &lt;= TODAY())</f>
        <v>0</v>
      </c>
      <c r="C149">
        <v>24</v>
      </c>
      <c r="D149" t="s">
        <v>367</v>
      </c>
      <c r="E149">
        <v>2023</v>
      </c>
      <c r="F149" t="s">
        <v>331</v>
      </c>
      <c r="G149" t="s">
        <v>3</v>
      </c>
      <c r="H149" s="23" t="s">
        <v>298</v>
      </c>
      <c r="I149" s="23" t="s">
        <v>306</v>
      </c>
      <c r="J149" t="s">
        <v>333</v>
      </c>
      <c r="K149">
        <v>22</v>
      </c>
      <c r="L149" t="str">
        <f>IF(SportClimbing[[#This Row],[Height (m)]]&lt;11, "0-10", IF(SportClimbing[[#This Row],[Height (m)]]&lt;16, "11-15", IF(SportClimbing[[#This Row],[Height (m)]]&lt;21, "16-20", IF(SportClimbing[[#This Row],[Height (m)]]&lt;26, "21-25", IF(SportClimbing[[#This Row],[Height (m)]]&lt;31, "26-30", IF(SportClimbing[[#This Row],[Height (m)]]&lt;36, "31-35", "35+"))))))</f>
        <v>21-25</v>
      </c>
      <c r="M149" t="s">
        <v>332</v>
      </c>
      <c r="N149" t="s">
        <v>11</v>
      </c>
      <c r="O149">
        <f>IF(ISNUMBER(SportClimbing[[#This Row],[Total number of tries]])=TRUE, SportClimbing[[#This Row],[Total number of tries]], 1)</f>
        <v>1</v>
      </c>
      <c r="P149" t="str">
        <f>IF(ISNUMBER(SportClimbing[[#This Row],[Total number of tries]])=TRUE, "redpoint", SportClimbing[[#This Row],[Total number of tries]])</f>
        <v>flash</v>
      </c>
      <c r="Q149">
        <f>_xlfn.XLOOKUP(SportClimbing[[#This Row],[Grade]],SCORE[GRADE],SCORE[SCORE],,)</f>
        <v>10</v>
      </c>
    </row>
    <row r="150" spans="1:17" x14ac:dyDescent="0.25">
      <c r="A150" s="21">
        <f>DATE(SportClimbing[[#This Row],[Year]],_xlfn.XLOOKUP(SportClimbing[[#This Row],[Month]],MONTHS[MONTHS 2],MONTHS[MONTHS 3]),SportClimbing[[#This Row],[Day]])</f>
        <v>45073</v>
      </c>
      <c r="B150" s="21" t="b">
        <f ca="1">AND(SportClimbing[[#This Row],[Date]] &gt;= TODAY()-365, SportClimbing[[#This Row],[Date]] &lt;= TODAY())</f>
        <v>0</v>
      </c>
      <c r="C150">
        <v>27</v>
      </c>
      <c r="D150" t="s">
        <v>155</v>
      </c>
      <c r="E150">
        <v>2023</v>
      </c>
      <c r="F150" t="s">
        <v>335</v>
      </c>
      <c r="G150" t="s">
        <v>3</v>
      </c>
      <c r="H150" s="23" t="s">
        <v>298</v>
      </c>
      <c r="I150" t="s">
        <v>334</v>
      </c>
      <c r="J150" t="s">
        <v>335</v>
      </c>
      <c r="K150">
        <v>15</v>
      </c>
      <c r="L150" t="str">
        <f>IF(SportClimbing[[#This Row],[Height (m)]]&lt;11, "0-10", IF(SportClimbing[[#This Row],[Height (m)]]&lt;16, "11-15", IF(SportClimbing[[#This Row],[Height (m)]]&lt;21, "16-20", IF(SportClimbing[[#This Row],[Height (m)]]&lt;26, "21-25", IF(SportClimbing[[#This Row],[Height (m)]]&lt;31, "26-30", IF(SportClimbing[[#This Row],[Height (m)]]&lt;36, "31-35", "35+"))))))</f>
        <v>11-15</v>
      </c>
      <c r="M150" t="s">
        <v>370</v>
      </c>
      <c r="N150">
        <v>2</v>
      </c>
      <c r="O150">
        <f>IF(ISNUMBER(SportClimbing[[#This Row],[Total number of tries]])=TRUE, SportClimbing[[#This Row],[Total number of tries]], 1)</f>
        <v>2</v>
      </c>
      <c r="P150" t="str">
        <f>IF(ISNUMBER(SportClimbing[[#This Row],[Total number of tries]])=TRUE, "redpoint", SportClimbing[[#This Row],[Total number of tries]])</f>
        <v>redpoint</v>
      </c>
      <c r="Q150">
        <f>_xlfn.XLOOKUP(SportClimbing[[#This Row],[Grade]],SCORE[GRADE],SCORE[SCORE],,)</f>
        <v>10</v>
      </c>
    </row>
    <row r="151" spans="1:17" x14ac:dyDescent="0.25">
      <c r="A151" s="21">
        <f>DATE(SportClimbing[[#This Row],[Year]],_xlfn.XLOOKUP(SportClimbing[[#This Row],[Month]],MONTHS[MONTHS 2],MONTHS[MONTHS 3]),SportClimbing[[#This Row],[Day]])</f>
        <v>45094</v>
      </c>
      <c r="B151" s="21" t="b">
        <f ca="1">AND(SportClimbing[[#This Row],[Date]] &gt;= TODAY()-365, SportClimbing[[#This Row],[Date]] &lt;= TODAY())</f>
        <v>0</v>
      </c>
      <c r="C151">
        <v>17</v>
      </c>
      <c r="D151" t="s">
        <v>366</v>
      </c>
      <c r="E151">
        <v>2023</v>
      </c>
      <c r="F151" t="s">
        <v>336</v>
      </c>
      <c r="G151" t="s">
        <v>3</v>
      </c>
      <c r="H151" s="23" t="s">
        <v>298</v>
      </c>
      <c r="I151" t="s">
        <v>343</v>
      </c>
      <c r="J151" t="s">
        <v>337</v>
      </c>
      <c r="K151">
        <v>18</v>
      </c>
      <c r="L151" t="str">
        <f>IF(SportClimbing[[#This Row],[Height (m)]]&lt;11, "0-10", IF(SportClimbing[[#This Row],[Height (m)]]&lt;16, "11-15", IF(SportClimbing[[#This Row],[Height (m)]]&lt;21, "16-20", IF(SportClimbing[[#This Row],[Height (m)]]&lt;26, "21-25", IF(SportClimbing[[#This Row],[Height (m)]]&lt;31, "26-30", IF(SportClimbing[[#This Row],[Height (m)]]&lt;36, "31-35", "35+"))))))</f>
        <v>16-20</v>
      </c>
      <c r="M151" t="s">
        <v>370</v>
      </c>
      <c r="N151">
        <v>2</v>
      </c>
      <c r="O151">
        <f>IF(ISNUMBER(SportClimbing[[#This Row],[Total number of tries]])=TRUE, SportClimbing[[#This Row],[Total number of tries]], 1)</f>
        <v>2</v>
      </c>
      <c r="P151" t="str">
        <f>IF(ISNUMBER(SportClimbing[[#This Row],[Total number of tries]])=TRUE, "redpoint", SportClimbing[[#This Row],[Total number of tries]])</f>
        <v>redpoint</v>
      </c>
      <c r="Q151">
        <f>_xlfn.XLOOKUP(SportClimbing[[#This Row],[Grade]],SCORE[GRADE],SCORE[SCORE],,)</f>
        <v>10</v>
      </c>
    </row>
    <row r="152" spans="1:17" x14ac:dyDescent="0.25">
      <c r="A152" s="21">
        <f>DATE(SportClimbing[[#This Row],[Year]],_xlfn.XLOOKUP(SportClimbing[[#This Row],[Month]],MONTHS[MONTHS 2],MONTHS[MONTHS 3]),SportClimbing[[#This Row],[Day]])</f>
        <v>45110</v>
      </c>
      <c r="B152" s="21" t="b">
        <f ca="1">AND(SportClimbing[[#This Row],[Date]] &gt;= TODAY()-365, SportClimbing[[#This Row],[Date]] &lt;= TODAY())</f>
        <v>0</v>
      </c>
      <c r="C152">
        <v>3</v>
      </c>
      <c r="D152" t="s">
        <v>365</v>
      </c>
      <c r="E152">
        <v>2023</v>
      </c>
      <c r="F152" t="s">
        <v>340</v>
      </c>
      <c r="G152" t="s">
        <v>3</v>
      </c>
      <c r="H152" s="23" t="s">
        <v>298</v>
      </c>
      <c r="I152" t="s">
        <v>380</v>
      </c>
      <c r="J152" t="s">
        <v>342</v>
      </c>
      <c r="K152">
        <v>20</v>
      </c>
      <c r="L152" t="str">
        <f>IF(SportClimbing[[#This Row],[Height (m)]]&lt;11, "0-10", IF(SportClimbing[[#This Row],[Height (m)]]&lt;16, "11-15", IF(SportClimbing[[#This Row],[Height (m)]]&lt;21, "16-20", IF(SportClimbing[[#This Row],[Height (m)]]&lt;26, "21-25", IF(SportClimbing[[#This Row],[Height (m)]]&lt;31, "26-30", IF(SportClimbing[[#This Row],[Height (m)]]&lt;36, "31-35", "35+"))))))</f>
        <v>16-20</v>
      </c>
      <c r="M152" t="s">
        <v>338</v>
      </c>
      <c r="N152">
        <v>2</v>
      </c>
      <c r="O152">
        <f>IF(ISNUMBER(SportClimbing[[#This Row],[Total number of tries]])=TRUE, SportClimbing[[#This Row],[Total number of tries]], 1)</f>
        <v>2</v>
      </c>
      <c r="P152" t="str">
        <f>IF(ISNUMBER(SportClimbing[[#This Row],[Total number of tries]])=TRUE, "redpoint", SportClimbing[[#This Row],[Total number of tries]])</f>
        <v>redpoint</v>
      </c>
      <c r="Q152">
        <f>_xlfn.XLOOKUP(SportClimbing[[#This Row],[Grade]],SCORE[GRADE],SCORE[SCORE],,)</f>
        <v>10</v>
      </c>
    </row>
    <row r="153" spans="1:17" x14ac:dyDescent="0.25">
      <c r="A153" s="21">
        <f>DATE(SportClimbing[[#This Row],[Year]],_xlfn.XLOOKUP(SportClimbing[[#This Row],[Month]],MONTHS[MONTHS 2],MONTHS[MONTHS 3]),SportClimbing[[#This Row],[Day]])</f>
        <v>45110</v>
      </c>
      <c r="B153" s="21" t="b">
        <f ca="1">AND(SportClimbing[[#This Row],[Date]] &gt;= TODAY()-365, SportClimbing[[#This Row],[Date]] &lt;= TODAY())</f>
        <v>0</v>
      </c>
      <c r="C153">
        <v>3</v>
      </c>
      <c r="D153" t="s">
        <v>365</v>
      </c>
      <c r="E153">
        <v>2023</v>
      </c>
      <c r="F153" t="s">
        <v>341</v>
      </c>
      <c r="G153" t="s">
        <v>3</v>
      </c>
      <c r="H153" s="23" t="s">
        <v>298</v>
      </c>
      <c r="I153" t="s">
        <v>380</v>
      </c>
      <c r="J153" t="s">
        <v>342</v>
      </c>
      <c r="K153">
        <v>10</v>
      </c>
      <c r="L153" t="str">
        <f>IF(SportClimbing[[#This Row],[Height (m)]]&lt;11, "0-10", IF(SportClimbing[[#This Row],[Height (m)]]&lt;16, "11-15", IF(SportClimbing[[#This Row],[Height (m)]]&lt;21, "16-20", IF(SportClimbing[[#This Row],[Height (m)]]&lt;26, "21-25", IF(SportClimbing[[#This Row],[Height (m)]]&lt;31, "26-30", IF(SportClimbing[[#This Row],[Height (m)]]&lt;36, "31-35", "35+"))))))</f>
        <v>0-10</v>
      </c>
      <c r="M153" t="s">
        <v>338</v>
      </c>
      <c r="N153">
        <v>2</v>
      </c>
      <c r="O153">
        <f>IF(ISNUMBER(SportClimbing[[#This Row],[Total number of tries]])=TRUE, SportClimbing[[#This Row],[Total number of tries]], 1)</f>
        <v>2</v>
      </c>
      <c r="P153" t="str">
        <f>IF(ISNUMBER(SportClimbing[[#This Row],[Total number of tries]])=TRUE, "redpoint", SportClimbing[[#This Row],[Total number of tries]])</f>
        <v>redpoint</v>
      </c>
      <c r="Q153">
        <f>_xlfn.XLOOKUP(SportClimbing[[#This Row],[Grade]],SCORE[GRADE],SCORE[SCORE],,)</f>
        <v>10</v>
      </c>
    </row>
    <row r="154" spans="1:17" x14ac:dyDescent="0.25">
      <c r="A154" s="21">
        <f>DATE(SportClimbing[[#This Row],[Year]],_xlfn.XLOOKUP(SportClimbing[[#This Row],[Month]],MONTHS[MONTHS 2],MONTHS[MONTHS 3]),SportClimbing[[#This Row],[Day]])</f>
        <v>45110</v>
      </c>
      <c r="B154" s="21" t="b">
        <f ca="1">AND(SportClimbing[[#This Row],[Date]] &gt;= TODAY()-365, SportClimbing[[#This Row],[Date]] &lt;= TODAY())</f>
        <v>0</v>
      </c>
      <c r="C154">
        <v>3</v>
      </c>
      <c r="D154" t="s">
        <v>365</v>
      </c>
      <c r="E154">
        <v>2023</v>
      </c>
      <c r="F154" s="25" t="s">
        <v>339</v>
      </c>
      <c r="G154" t="s">
        <v>3</v>
      </c>
      <c r="H154" s="23" t="s">
        <v>298</v>
      </c>
      <c r="I154" t="s">
        <v>380</v>
      </c>
      <c r="J154" t="s">
        <v>342</v>
      </c>
      <c r="K154">
        <v>20</v>
      </c>
      <c r="L154" t="str">
        <f>IF(SportClimbing[[#This Row],[Height (m)]]&lt;11, "0-10", IF(SportClimbing[[#This Row],[Height (m)]]&lt;16, "11-15", IF(SportClimbing[[#This Row],[Height (m)]]&lt;21, "16-20", IF(SportClimbing[[#This Row],[Height (m)]]&lt;26, "21-25", IF(SportClimbing[[#This Row],[Height (m)]]&lt;31, "26-30", IF(SportClimbing[[#This Row],[Height (m)]]&lt;36, "31-35", "35+"))))))</f>
        <v>16-20</v>
      </c>
      <c r="M154" t="s">
        <v>338</v>
      </c>
      <c r="N154">
        <v>2</v>
      </c>
      <c r="O154">
        <f>IF(ISNUMBER(SportClimbing[[#This Row],[Total number of tries]])=TRUE, SportClimbing[[#This Row],[Total number of tries]], 1)</f>
        <v>2</v>
      </c>
      <c r="P154" t="str">
        <f>IF(ISNUMBER(SportClimbing[[#This Row],[Total number of tries]])=TRUE, "redpoint", SportClimbing[[#This Row],[Total number of tries]])</f>
        <v>redpoint</v>
      </c>
      <c r="Q154">
        <f>_xlfn.XLOOKUP(SportClimbing[[#This Row],[Grade]],SCORE[GRADE],SCORE[SCORE],,)</f>
        <v>10</v>
      </c>
    </row>
    <row r="155" spans="1:17" x14ac:dyDescent="0.25">
      <c r="A155" s="21">
        <f>DATE(SportClimbing[[#This Row],[Year]],_xlfn.XLOOKUP(SportClimbing[[#This Row],[Month]],MONTHS[MONTHS 2],MONTHS[MONTHS 3]),SportClimbing[[#This Row],[Day]])</f>
        <v>45186</v>
      </c>
      <c r="B155" s="21" t="b">
        <f ca="1">AND(SportClimbing[[#This Row],[Date]] &gt;= TODAY()-365, SportClimbing[[#This Row],[Date]] &lt;= TODAY())</f>
        <v>0</v>
      </c>
      <c r="C155">
        <v>17</v>
      </c>
      <c r="D155" t="s">
        <v>159</v>
      </c>
      <c r="E155">
        <v>2023</v>
      </c>
      <c r="F155" t="s">
        <v>344</v>
      </c>
      <c r="G155" t="s">
        <v>3</v>
      </c>
      <c r="H155" s="23" t="s">
        <v>298</v>
      </c>
      <c r="I155" t="s">
        <v>343</v>
      </c>
      <c r="J155" t="s">
        <v>337</v>
      </c>
      <c r="K155">
        <v>12</v>
      </c>
      <c r="L155" t="str">
        <f>IF(SportClimbing[[#This Row],[Height (m)]]&lt;11, "0-10", IF(SportClimbing[[#This Row],[Height (m)]]&lt;16, "11-15", IF(SportClimbing[[#This Row],[Height (m)]]&lt;21, "16-20", IF(SportClimbing[[#This Row],[Height (m)]]&lt;26, "21-25", IF(SportClimbing[[#This Row],[Height (m)]]&lt;31, "26-30", IF(SportClimbing[[#This Row],[Height (m)]]&lt;36, "31-35", "35+"))))))</f>
        <v>11-15</v>
      </c>
      <c r="M155" t="s">
        <v>332</v>
      </c>
      <c r="N155">
        <v>3</v>
      </c>
      <c r="O155">
        <f>IF(ISNUMBER(SportClimbing[[#This Row],[Total number of tries]])=TRUE, SportClimbing[[#This Row],[Total number of tries]], 1)</f>
        <v>3</v>
      </c>
      <c r="P155" t="str">
        <f>IF(ISNUMBER(SportClimbing[[#This Row],[Total number of tries]])=TRUE, "redpoint", SportClimbing[[#This Row],[Total number of tries]])</f>
        <v>redpoint</v>
      </c>
      <c r="Q155">
        <f>_xlfn.XLOOKUP(SportClimbing[[#This Row],[Grade]],SCORE[GRADE],SCORE[SCORE],,)</f>
        <v>10</v>
      </c>
    </row>
    <row r="156" spans="1:17" x14ac:dyDescent="0.25">
      <c r="A156" s="21">
        <f>DATE(SportClimbing[[#This Row],[Year]],_xlfn.XLOOKUP(SportClimbing[[#This Row],[Month]],MONTHS[MONTHS 2],MONTHS[MONTHS 3]),SportClimbing[[#This Row],[Day]])</f>
        <v>45227</v>
      </c>
      <c r="B156" s="21" t="b">
        <f ca="1">AND(SportClimbing[[#This Row],[Date]] &gt;= TODAY()-365, SportClimbing[[#This Row],[Date]] &lt;= TODAY())</f>
        <v>0</v>
      </c>
      <c r="C156">
        <v>28</v>
      </c>
      <c r="D156" t="s">
        <v>162</v>
      </c>
      <c r="E156">
        <v>2023</v>
      </c>
      <c r="F156" t="s">
        <v>375</v>
      </c>
      <c r="G156" t="s">
        <v>3</v>
      </c>
      <c r="H156" s="23" t="s">
        <v>298</v>
      </c>
      <c r="I156" t="s">
        <v>311</v>
      </c>
      <c r="J156" t="s">
        <v>371</v>
      </c>
      <c r="K156">
        <v>18</v>
      </c>
      <c r="L156" t="str">
        <f>IF(SportClimbing[[#This Row],[Height (m)]]&lt;11, "0-10", IF(SportClimbing[[#This Row],[Height (m)]]&lt;16, "11-15", IF(SportClimbing[[#This Row],[Height (m)]]&lt;21, "16-20", IF(SportClimbing[[#This Row],[Height (m)]]&lt;26, "21-25", IF(SportClimbing[[#This Row],[Height (m)]]&lt;31, "26-30", IF(SportClimbing[[#This Row],[Height (m)]]&lt;36, "31-35", "35+"))))))</f>
        <v>16-20</v>
      </c>
      <c r="M156" t="s">
        <v>374</v>
      </c>
      <c r="N156">
        <v>2</v>
      </c>
      <c r="O156">
        <f>IF(ISNUMBER(SportClimbing[[#This Row],[Total number of tries]])=TRUE, SportClimbing[[#This Row],[Total number of tries]], 1)</f>
        <v>2</v>
      </c>
      <c r="P156" t="str">
        <f>IF(ISNUMBER(SportClimbing[[#This Row],[Total number of tries]])=TRUE, "redpoint", SportClimbing[[#This Row],[Total number of tries]])</f>
        <v>redpoint</v>
      </c>
      <c r="Q156">
        <f>_xlfn.XLOOKUP(SportClimbing[[#This Row],[Grade]],SCORE[GRADE],SCORE[SCORE],,)</f>
        <v>10</v>
      </c>
    </row>
    <row r="157" spans="1:17" x14ac:dyDescent="0.25">
      <c r="A157" s="21">
        <f>DATE(SportClimbing[[#This Row],[Year]],_xlfn.XLOOKUP(SportClimbing[[#This Row],[Month]],MONTHS[MONTHS 2],MONTHS[MONTHS 3]),SportClimbing[[#This Row],[Day]])</f>
        <v>45234</v>
      </c>
      <c r="B157" s="21" t="b">
        <f ca="1">AND(SportClimbing[[#This Row],[Date]] &gt;= TODAY()-365, SportClimbing[[#This Row],[Date]] &lt;= TODAY())</f>
        <v>0</v>
      </c>
      <c r="C157">
        <v>4</v>
      </c>
      <c r="D157" t="s">
        <v>160</v>
      </c>
      <c r="E157">
        <v>2023</v>
      </c>
      <c r="F157" t="s">
        <v>376</v>
      </c>
      <c r="G157" t="s">
        <v>3</v>
      </c>
      <c r="H157" s="23" t="s">
        <v>298</v>
      </c>
      <c r="I157" t="s">
        <v>372</v>
      </c>
      <c r="J157" t="s">
        <v>373</v>
      </c>
      <c r="K157">
        <v>15</v>
      </c>
      <c r="L157" t="str">
        <f>IF(SportClimbing[[#This Row],[Height (m)]]&lt;11, "0-10", IF(SportClimbing[[#This Row],[Height (m)]]&lt;16, "11-15", IF(SportClimbing[[#This Row],[Height (m)]]&lt;21, "16-20", IF(SportClimbing[[#This Row],[Height (m)]]&lt;26, "21-25", IF(SportClimbing[[#This Row],[Height (m)]]&lt;31, "26-30", IF(SportClimbing[[#This Row],[Height (m)]]&lt;36, "31-35", "35+"))))))</f>
        <v>11-15</v>
      </c>
      <c r="M157" t="s">
        <v>374</v>
      </c>
      <c r="N157">
        <v>2</v>
      </c>
      <c r="O157">
        <f>IF(ISNUMBER(SportClimbing[[#This Row],[Total number of tries]])=TRUE, SportClimbing[[#This Row],[Total number of tries]], 1)</f>
        <v>2</v>
      </c>
      <c r="P157" t="str">
        <f>IF(ISNUMBER(SportClimbing[[#This Row],[Total number of tries]])=TRUE, "redpoint", SportClimbing[[#This Row],[Total number of tries]])</f>
        <v>redpoint</v>
      </c>
      <c r="Q157">
        <f>_xlfn.XLOOKUP(SportClimbing[[#This Row],[Grade]],SCORE[GRADE],SCORE[SCORE],,)</f>
        <v>10</v>
      </c>
    </row>
    <row r="158" spans="1:17" x14ac:dyDescent="0.25">
      <c r="A158" s="21">
        <f>DATE(SportClimbing[[#This Row],[Year]],_xlfn.XLOOKUP(SportClimbing[[#This Row],[Month]],MONTHS[MONTHS 2],MONTHS[MONTHS 3]),SportClimbing[[#This Row],[Day]])</f>
        <v>45234</v>
      </c>
      <c r="B158" s="21" t="b">
        <f ca="1">AND(SportClimbing[[#This Row],[Date]] &gt;= TODAY()-365, SportClimbing[[#This Row],[Date]] &lt;= TODAY())</f>
        <v>0</v>
      </c>
      <c r="C158">
        <v>4</v>
      </c>
      <c r="D158" t="s">
        <v>160</v>
      </c>
      <c r="E158">
        <v>2023</v>
      </c>
      <c r="F158" t="s">
        <v>377</v>
      </c>
      <c r="G158" t="s">
        <v>3</v>
      </c>
      <c r="H158" s="23" t="s">
        <v>298</v>
      </c>
      <c r="I158" t="s">
        <v>372</v>
      </c>
      <c r="J158" t="s">
        <v>373</v>
      </c>
      <c r="K158">
        <v>10</v>
      </c>
      <c r="L158" t="str">
        <f>IF(SportClimbing[[#This Row],[Height (m)]]&lt;11, "0-10", IF(SportClimbing[[#This Row],[Height (m)]]&lt;16, "11-15", IF(SportClimbing[[#This Row],[Height (m)]]&lt;21, "16-20", IF(SportClimbing[[#This Row],[Height (m)]]&lt;26, "21-25", IF(SportClimbing[[#This Row],[Height (m)]]&lt;31, "26-30", IF(SportClimbing[[#This Row],[Height (m)]]&lt;36, "31-35", "35+"))))))</f>
        <v>0-10</v>
      </c>
      <c r="M158" t="s">
        <v>374</v>
      </c>
      <c r="N158">
        <v>3</v>
      </c>
      <c r="O158">
        <f>IF(ISNUMBER(SportClimbing[[#This Row],[Total number of tries]])=TRUE, SportClimbing[[#This Row],[Total number of tries]], 1)</f>
        <v>3</v>
      </c>
      <c r="P158" t="str">
        <f>IF(ISNUMBER(SportClimbing[[#This Row],[Total number of tries]])=TRUE, "redpoint", SportClimbing[[#This Row],[Total number of tries]])</f>
        <v>redpoint</v>
      </c>
      <c r="Q158">
        <f>_xlfn.XLOOKUP(SportClimbing[[#This Row],[Grade]],SCORE[GRADE],SCORE[SCORE],,)</f>
        <v>10</v>
      </c>
    </row>
    <row r="159" spans="1:17" x14ac:dyDescent="0.25">
      <c r="A159" s="21">
        <f>DATE(SportClimbing[[#This Row],[Year]],_xlfn.XLOOKUP(SportClimbing[[#This Row],[Month]],MONTHS[MONTHS 2],MONTHS[MONTHS 3]),SportClimbing[[#This Row],[Day]])</f>
        <v>45319</v>
      </c>
      <c r="B159" s="21" t="b">
        <f ca="1">AND(SportClimbing[[#This Row],[Date]] &gt;= TODAY()-365, SportClimbing[[#This Row],[Date]] &lt;= TODAY())</f>
        <v>0</v>
      </c>
      <c r="C159">
        <v>28</v>
      </c>
      <c r="D159" t="s">
        <v>151</v>
      </c>
      <c r="E159">
        <v>2024</v>
      </c>
      <c r="F159" t="s">
        <v>383</v>
      </c>
      <c r="G159" t="s">
        <v>3</v>
      </c>
      <c r="H159" t="s">
        <v>298</v>
      </c>
      <c r="I159" s="23" t="s">
        <v>306</v>
      </c>
      <c r="J159" t="s">
        <v>333</v>
      </c>
      <c r="K159">
        <v>22</v>
      </c>
      <c r="L159" t="str">
        <f>IF(SportClimbing[[#This Row],[Height (m)]]&lt;11, "0-10", IF(SportClimbing[[#This Row],[Height (m)]]&lt;16, "11-15", IF(SportClimbing[[#This Row],[Height (m)]]&lt;21, "16-20", IF(SportClimbing[[#This Row],[Height (m)]]&lt;26, "21-25", IF(SportClimbing[[#This Row],[Height (m)]]&lt;31, "26-30", IF(SportClimbing[[#This Row],[Height (m)]]&lt;36, "31-35", "35+"))))))</f>
        <v>21-25</v>
      </c>
      <c r="M159" t="s">
        <v>332</v>
      </c>
      <c r="N159">
        <v>6</v>
      </c>
      <c r="O159">
        <f>IF(ISNUMBER(SportClimbing[[#This Row],[Total number of tries]])=TRUE, SportClimbing[[#This Row],[Total number of tries]], 1)</f>
        <v>6</v>
      </c>
      <c r="P159" t="str">
        <f>IF(ISNUMBER(SportClimbing[[#This Row],[Total number of tries]])=TRUE, "redpoint", SportClimbing[[#This Row],[Total number of tries]])</f>
        <v>redpoint</v>
      </c>
      <c r="Q159">
        <f>_xlfn.XLOOKUP(SportClimbing[[#This Row],[Grade]],SCORE[GRADE],SCORE[SCORE],,)</f>
        <v>10</v>
      </c>
    </row>
    <row r="160" spans="1:17" x14ac:dyDescent="0.25">
      <c r="A160" s="21">
        <f>DATE(SportClimbing[[#This Row],[Year]],_xlfn.XLOOKUP(SportClimbing[[#This Row],[Month]],MONTHS[MONTHS 2],MONTHS[MONTHS 3]),SportClimbing[[#This Row],[Day]])</f>
        <v>45361</v>
      </c>
      <c r="B160" s="21" t="b">
        <f ca="1">AND(SportClimbing[[#This Row],[Date]] &gt;= TODAY()-365, SportClimbing[[#This Row],[Date]] &lt;= TODAY())</f>
        <v>0</v>
      </c>
      <c r="C160">
        <v>10</v>
      </c>
      <c r="D160" t="s">
        <v>367</v>
      </c>
      <c r="E160">
        <v>2024</v>
      </c>
      <c r="F160" t="s">
        <v>384</v>
      </c>
      <c r="G160" t="s">
        <v>21</v>
      </c>
      <c r="H160" t="s">
        <v>298</v>
      </c>
      <c r="I160" s="23" t="s">
        <v>306</v>
      </c>
      <c r="J160" t="s">
        <v>307</v>
      </c>
      <c r="K160">
        <v>22</v>
      </c>
      <c r="L160" t="str">
        <f>IF(SportClimbing[[#This Row],[Height (m)]]&lt;11, "0-10", IF(SportClimbing[[#This Row],[Height (m)]]&lt;16, "11-15", IF(SportClimbing[[#This Row],[Height (m)]]&lt;21, "16-20", IF(SportClimbing[[#This Row],[Height (m)]]&lt;26, "21-25", IF(SportClimbing[[#This Row],[Height (m)]]&lt;31, "26-30", IF(SportClimbing[[#This Row],[Height (m)]]&lt;36, "31-35", "35+"))))))</f>
        <v>21-25</v>
      </c>
      <c r="M160" t="s">
        <v>370</v>
      </c>
      <c r="N160">
        <v>2</v>
      </c>
      <c r="O160">
        <f>IF(ISNUMBER(SportClimbing[[#This Row],[Total number of tries]])=TRUE, SportClimbing[[#This Row],[Total number of tries]], 1)</f>
        <v>2</v>
      </c>
      <c r="P160" t="str">
        <f>IF(ISNUMBER(SportClimbing[[#This Row],[Total number of tries]])=TRUE, "redpoint", SportClimbing[[#This Row],[Total number of tries]])</f>
        <v>redpoint</v>
      </c>
      <c r="Q160">
        <f>_xlfn.XLOOKUP(SportClimbing[[#This Row],[Grade]],SCORE[GRADE],SCORE[SCORE],,)</f>
        <v>15</v>
      </c>
    </row>
    <row r="161" spans="1:17" x14ac:dyDescent="0.25">
      <c r="A161" s="21">
        <f>DATE(SportClimbing[[#This Row],[Year]],_xlfn.XLOOKUP(SportClimbing[[#This Row],[Month]],MONTHS[MONTHS 2],MONTHS[MONTHS 3]),SportClimbing[[#This Row],[Day]])</f>
        <v>45371</v>
      </c>
      <c r="B161" s="21" t="b">
        <f ca="1">AND(SportClimbing[[#This Row],[Date]] &gt;= TODAY()-365, SportClimbing[[#This Row],[Date]] &lt;= TODAY())</f>
        <v>0</v>
      </c>
      <c r="C161">
        <v>20</v>
      </c>
      <c r="D161" t="s">
        <v>367</v>
      </c>
      <c r="E161">
        <v>2024</v>
      </c>
      <c r="F161" t="s">
        <v>385</v>
      </c>
      <c r="G161" t="s">
        <v>3</v>
      </c>
      <c r="H161" t="s">
        <v>298</v>
      </c>
      <c r="I161" s="23" t="s">
        <v>306</v>
      </c>
      <c r="J161" t="s">
        <v>333</v>
      </c>
      <c r="K161">
        <v>24</v>
      </c>
      <c r="L161" t="str">
        <f>IF(SportClimbing[[#This Row],[Height (m)]]&lt;11, "0-10", IF(SportClimbing[[#This Row],[Height (m)]]&lt;16, "11-15", IF(SportClimbing[[#This Row],[Height (m)]]&lt;21, "16-20", IF(SportClimbing[[#This Row],[Height (m)]]&lt;26, "21-25", IF(SportClimbing[[#This Row],[Height (m)]]&lt;31, "26-30", IF(SportClimbing[[#This Row],[Height (m)]]&lt;36, "31-35", "35+"))))))</f>
        <v>21-25</v>
      </c>
      <c r="M161" t="s">
        <v>332</v>
      </c>
      <c r="N161" t="s">
        <v>11</v>
      </c>
      <c r="O161">
        <f>IF(ISNUMBER(SportClimbing[[#This Row],[Total number of tries]])=TRUE, SportClimbing[[#This Row],[Total number of tries]], 1)</f>
        <v>1</v>
      </c>
      <c r="P161" t="str">
        <f>IF(ISNUMBER(SportClimbing[[#This Row],[Total number of tries]])=TRUE, "redpoint", SportClimbing[[#This Row],[Total number of tries]])</f>
        <v>flash</v>
      </c>
      <c r="Q161">
        <f>_xlfn.XLOOKUP(SportClimbing[[#This Row],[Grade]],SCORE[GRADE],SCORE[SCORE],,)</f>
        <v>10</v>
      </c>
    </row>
    <row r="162" spans="1:17" x14ac:dyDescent="0.25">
      <c r="A162" s="21">
        <f>DATE(SportClimbing[[#This Row],[Year]],_xlfn.XLOOKUP(SportClimbing[[#This Row],[Month]],MONTHS[MONTHS 2],MONTHS[MONTHS 3]),SportClimbing[[#This Row],[Day]])</f>
        <v>45391</v>
      </c>
      <c r="B162" s="21" t="b">
        <f ca="1">AND(SportClimbing[[#This Row],[Date]] &gt;= TODAY()-365, SportClimbing[[#This Row],[Date]] &lt;= TODAY())</f>
        <v>0</v>
      </c>
      <c r="C162">
        <v>9</v>
      </c>
      <c r="D162" t="s">
        <v>368</v>
      </c>
      <c r="E162">
        <v>2024</v>
      </c>
      <c r="F162" t="s">
        <v>386</v>
      </c>
      <c r="G162" t="s">
        <v>3</v>
      </c>
      <c r="H162" t="s">
        <v>298</v>
      </c>
      <c r="I162" s="23" t="s">
        <v>306</v>
      </c>
      <c r="J162" t="s">
        <v>333</v>
      </c>
      <c r="K162">
        <v>18</v>
      </c>
      <c r="L162" t="str">
        <f>IF(SportClimbing[[#This Row],[Height (m)]]&lt;11, "0-10", IF(SportClimbing[[#This Row],[Height (m)]]&lt;16, "11-15", IF(SportClimbing[[#This Row],[Height (m)]]&lt;21, "16-20", IF(SportClimbing[[#This Row],[Height (m)]]&lt;26, "21-25", IF(SportClimbing[[#This Row],[Height (m)]]&lt;31, "26-30", IF(SportClimbing[[#This Row],[Height (m)]]&lt;36, "31-35", "35+"))))))</f>
        <v>16-20</v>
      </c>
      <c r="M162" t="s">
        <v>332</v>
      </c>
      <c r="N162">
        <v>3</v>
      </c>
      <c r="O162">
        <f>IF(ISNUMBER(SportClimbing[[#This Row],[Total number of tries]])=TRUE, SportClimbing[[#This Row],[Total number of tries]], 1)</f>
        <v>3</v>
      </c>
      <c r="P162" t="str">
        <f>IF(ISNUMBER(SportClimbing[[#This Row],[Total number of tries]])=TRUE, "redpoint", SportClimbing[[#This Row],[Total number of tries]])</f>
        <v>redpoint</v>
      </c>
      <c r="Q162">
        <f>_xlfn.XLOOKUP(SportClimbing[[#This Row],[Grade]],SCORE[GRADE],SCORE[SCORE],,)</f>
        <v>10</v>
      </c>
    </row>
    <row r="163" spans="1:17" x14ac:dyDescent="0.25">
      <c r="A163" s="21">
        <f>DATE(SportClimbing[[#This Row],[Year]],_xlfn.XLOOKUP(SportClimbing[[#This Row],[Month]],MONTHS[MONTHS 2],MONTHS[MONTHS 3]),SportClimbing[[#This Row],[Day]])</f>
        <v>45391</v>
      </c>
      <c r="B163" s="21" t="b">
        <f ca="1">AND(SportClimbing[[#This Row],[Date]] &gt;= TODAY()-365, SportClimbing[[#This Row],[Date]] &lt;= TODAY())</f>
        <v>0</v>
      </c>
      <c r="C163">
        <v>9</v>
      </c>
      <c r="D163" t="s">
        <v>368</v>
      </c>
      <c r="E163">
        <v>2024</v>
      </c>
      <c r="F163" t="s">
        <v>387</v>
      </c>
      <c r="G163" t="s">
        <v>3</v>
      </c>
      <c r="H163" t="s">
        <v>298</v>
      </c>
      <c r="I163" s="23" t="s">
        <v>306</v>
      </c>
      <c r="J163" t="s">
        <v>333</v>
      </c>
      <c r="K163">
        <v>20</v>
      </c>
      <c r="L163" t="str">
        <f>IF(SportClimbing[[#This Row],[Height (m)]]&lt;11, "0-10", IF(SportClimbing[[#This Row],[Height (m)]]&lt;16, "11-15", IF(SportClimbing[[#This Row],[Height (m)]]&lt;21, "16-20", IF(SportClimbing[[#This Row],[Height (m)]]&lt;26, "21-25", IF(SportClimbing[[#This Row],[Height (m)]]&lt;31, "26-30", IF(SportClimbing[[#This Row],[Height (m)]]&lt;36, "31-35", "35+"))))))</f>
        <v>16-20</v>
      </c>
      <c r="M163" t="s">
        <v>332</v>
      </c>
      <c r="N163">
        <v>2</v>
      </c>
      <c r="O163">
        <f>IF(ISNUMBER(SportClimbing[[#This Row],[Total number of tries]])=TRUE, SportClimbing[[#This Row],[Total number of tries]], 1)</f>
        <v>2</v>
      </c>
      <c r="P163" t="str">
        <f>IF(ISNUMBER(SportClimbing[[#This Row],[Total number of tries]])=TRUE, "redpoint", SportClimbing[[#This Row],[Total number of tries]])</f>
        <v>redpoint</v>
      </c>
      <c r="Q163">
        <f>_xlfn.XLOOKUP(SportClimbing[[#This Row],[Grade]],SCORE[GRADE],SCORE[SCORE],,)</f>
        <v>10</v>
      </c>
    </row>
    <row r="164" spans="1:17" x14ac:dyDescent="0.25">
      <c r="A164" s="21">
        <f>DATE(SportClimbing[[#This Row],[Year]],_xlfn.XLOOKUP(SportClimbing[[#This Row],[Month]],MONTHS[MONTHS 2],MONTHS[MONTHS 3]),SportClimbing[[#This Row],[Day]])</f>
        <v>45413</v>
      </c>
      <c r="B164" s="21" t="b">
        <f ca="1">AND(SportClimbing[[#This Row],[Date]] &gt;= TODAY()-365, SportClimbing[[#This Row],[Date]] &lt;= TODAY())</f>
        <v>0</v>
      </c>
      <c r="C164">
        <v>1</v>
      </c>
      <c r="D164" t="s">
        <v>155</v>
      </c>
      <c r="E164">
        <v>2024</v>
      </c>
      <c r="F164" t="s">
        <v>389</v>
      </c>
      <c r="G164" t="s">
        <v>21</v>
      </c>
      <c r="H164" t="s">
        <v>390</v>
      </c>
      <c r="I164" t="s">
        <v>391</v>
      </c>
      <c r="J164" t="s">
        <v>391</v>
      </c>
      <c r="K164">
        <v>22</v>
      </c>
      <c r="L164" t="str">
        <f>IF(SportClimbing[[#This Row],[Height (m)]]&lt;11, "0-10", IF(SportClimbing[[#This Row],[Height (m)]]&lt;16, "11-15", IF(SportClimbing[[#This Row],[Height (m)]]&lt;21, "16-20", IF(SportClimbing[[#This Row],[Height (m)]]&lt;26, "21-25", IF(SportClimbing[[#This Row],[Height (m)]]&lt;31, "26-30", IF(SportClimbing[[#This Row],[Height (m)]]&lt;36, "31-35", "35+"))))))</f>
        <v>21-25</v>
      </c>
      <c r="M164" t="s">
        <v>392</v>
      </c>
      <c r="N164">
        <v>2</v>
      </c>
      <c r="O164">
        <f>IF(ISNUMBER(SportClimbing[[#This Row],[Total number of tries]])=TRUE, SportClimbing[[#This Row],[Total number of tries]], 1)</f>
        <v>2</v>
      </c>
      <c r="P164" t="str">
        <f>IF(ISNUMBER(SportClimbing[[#This Row],[Total number of tries]])=TRUE, "redpoint", SportClimbing[[#This Row],[Total number of tries]])</f>
        <v>redpoint</v>
      </c>
      <c r="Q164">
        <f>_xlfn.XLOOKUP(SportClimbing[[#This Row],[Grade]],SCORE[GRADE],SCORE[SCORE],,)</f>
        <v>15</v>
      </c>
    </row>
    <row r="165" spans="1:17" x14ac:dyDescent="0.25">
      <c r="A165" s="21">
        <v>45556</v>
      </c>
      <c r="B165" s="21" t="b">
        <f ca="1">AND(SportClimbing[[#This Row],[Date]] &gt;= TODAY()-365, SportClimbing[[#This Row],[Date]] &lt;= TODAY())</f>
        <v>0</v>
      </c>
      <c r="C165">
        <v>21</v>
      </c>
      <c r="D165" t="s">
        <v>159</v>
      </c>
      <c r="E165">
        <v>2024</v>
      </c>
      <c r="F165" t="s">
        <v>432</v>
      </c>
      <c r="G165" t="s">
        <v>29</v>
      </c>
      <c r="H165" t="s">
        <v>298</v>
      </c>
      <c r="I165" t="s">
        <v>433</v>
      </c>
      <c r="J165" t="s">
        <v>434</v>
      </c>
      <c r="K165">
        <v>20</v>
      </c>
      <c r="L165" t="str">
        <f>IF(SportClimbing[[#This Row],[Height (m)]]&lt;11, "0-10", IF(SportClimbing[[#This Row],[Height (m)]]&lt;16, "11-15", IF(SportClimbing[[#This Row],[Height (m)]]&lt;21, "16-20", IF(SportClimbing[[#This Row],[Height (m)]]&lt;26, "21-25", IF(SportClimbing[[#This Row],[Height (m)]]&lt;31, "26-30", IF(SportClimbing[[#This Row],[Height (m)]]&lt;36, "31-35", "35+"))))))</f>
        <v>16-20</v>
      </c>
      <c r="M165" t="s">
        <v>435</v>
      </c>
      <c r="N165">
        <v>5</v>
      </c>
      <c r="O165">
        <f>IF(ISNUMBER(SportClimbing[[#This Row],[Total number of tries]])=TRUE, SportClimbing[[#This Row],[Total number of tries]], 1)</f>
        <v>5</v>
      </c>
      <c r="P165" t="str">
        <f>IF(ISNUMBER(SportClimbing[[#This Row],[Total number of tries]])=TRUE, "redpoint", SportClimbing[[#This Row],[Total number of tries]])</f>
        <v>redpoint</v>
      </c>
      <c r="Q165">
        <f>_xlfn.XLOOKUP(SportClimbing[[#This Row],[Grade]],SCORE[GRADE],SCORE[SCORE],,)</f>
        <v>25</v>
      </c>
    </row>
    <row r="166" spans="1:17" x14ac:dyDescent="0.25">
      <c r="A166" s="21">
        <v>45557</v>
      </c>
      <c r="B166" s="22" t="b">
        <f ca="1">AND(SportClimbing[[#This Row],[Date]] &gt;= TODAY()-365, SportClimbing[[#This Row],[Date]] &lt;= TODAY())</f>
        <v>0</v>
      </c>
      <c r="C166">
        <v>22</v>
      </c>
      <c r="D166" t="s">
        <v>159</v>
      </c>
      <c r="E166">
        <v>2024</v>
      </c>
      <c r="F166" t="s">
        <v>436</v>
      </c>
      <c r="G166" t="s">
        <v>21</v>
      </c>
      <c r="H166" t="s">
        <v>298</v>
      </c>
      <c r="I166" t="s">
        <v>433</v>
      </c>
      <c r="J166" t="s">
        <v>434</v>
      </c>
      <c r="K166">
        <v>12</v>
      </c>
      <c r="L166" t="str">
        <f>IF(SportClimbing[[#This Row],[Height (m)]]&lt;11, "0-10", IF(SportClimbing[[#This Row],[Height (m)]]&lt;16, "11-15", IF(SportClimbing[[#This Row],[Height (m)]]&lt;21, "16-20", IF(SportClimbing[[#This Row],[Height (m)]]&lt;26, "21-25", IF(SportClimbing[[#This Row],[Height (m)]]&lt;31, "26-30", IF(SportClimbing[[#This Row],[Height (m)]]&lt;36, "31-35", "35+"))))))</f>
        <v>11-15</v>
      </c>
      <c r="M166" t="s">
        <v>332</v>
      </c>
      <c r="N166" t="s">
        <v>130</v>
      </c>
      <c r="O166" s="23">
        <f>IF(ISNUMBER(SportClimbing[[#This Row],[Total number of tries]])=TRUE, SportClimbing[[#This Row],[Total number of tries]], 1)</f>
        <v>1</v>
      </c>
      <c r="P166" t="str">
        <f>IF(ISNUMBER(SportClimbing[[#This Row],[Total number of tries]])=TRUE, "redpoint", SportClimbing[[#This Row],[Total number of tries]])</f>
        <v>onsight</v>
      </c>
      <c r="Q166">
        <f>_xlfn.XLOOKUP(SportClimbing[[#This Row],[Grade]],SCORE[GRADE],SCORE[SCORE],,)</f>
        <v>15</v>
      </c>
    </row>
    <row r="167" spans="1:17" x14ac:dyDescent="0.25">
      <c r="A167" s="21">
        <v>45557</v>
      </c>
      <c r="B167" s="22" t="b">
        <f ca="1">AND(SportClimbing[[#This Row],[Date]] &gt;= TODAY()-365, SportClimbing[[#This Row],[Date]] &lt;= TODAY())</f>
        <v>0</v>
      </c>
      <c r="C167">
        <v>22</v>
      </c>
      <c r="D167" t="s">
        <v>159</v>
      </c>
      <c r="E167">
        <v>2024</v>
      </c>
      <c r="F167" t="s">
        <v>437</v>
      </c>
      <c r="G167" t="s">
        <v>3</v>
      </c>
      <c r="H167" t="s">
        <v>298</v>
      </c>
      <c r="I167" t="s">
        <v>433</v>
      </c>
      <c r="J167" t="s">
        <v>434</v>
      </c>
      <c r="K167">
        <v>20</v>
      </c>
      <c r="L167" t="str">
        <f>IF(SportClimbing[[#This Row],[Height (m)]]&lt;11, "0-10", IF(SportClimbing[[#This Row],[Height (m)]]&lt;16, "11-15", IF(SportClimbing[[#This Row],[Height (m)]]&lt;21, "16-20", IF(SportClimbing[[#This Row],[Height (m)]]&lt;26, "21-25", IF(SportClimbing[[#This Row],[Height (m)]]&lt;31, "26-30", IF(SportClimbing[[#This Row],[Height (m)]]&lt;36, "31-35", "35+"))))))</f>
        <v>16-20</v>
      </c>
      <c r="M167" t="s">
        <v>332</v>
      </c>
      <c r="N167">
        <v>3</v>
      </c>
      <c r="O167" s="23">
        <f>IF(ISNUMBER(SportClimbing[[#This Row],[Total number of tries]])=TRUE, SportClimbing[[#This Row],[Total number of tries]], 1)</f>
        <v>3</v>
      </c>
      <c r="P167" t="str">
        <f>IF(ISNUMBER(SportClimbing[[#This Row],[Total number of tries]])=TRUE, "redpoint", SportClimbing[[#This Row],[Total number of tries]])</f>
        <v>redpoint</v>
      </c>
      <c r="Q167">
        <f>_xlfn.XLOOKUP(SportClimbing[[#This Row],[Grade]],SCORE[GRADE],SCORE[SCORE],,)</f>
        <v>10</v>
      </c>
    </row>
    <row r="168" spans="1:17" x14ac:dyDescent="0.25">
      <c r="A168" s="21">
        <f>DATE(SportClimbing[[#This Row],[Year]],_xlfn.XLOOKUP(SportClimbing[[#This Row],[Month]],MONTHS[MONTHS 2],MONTHS[MONTHS 3]),SportClimbing[[#This Row],[Day]])</f>
        <v>45571</v>
      </c>
      <c r="B168" s="21" t="b">
        <f ca="1">AND(SportClimbing[[#This Row],[Date]] &gt;= TODAY()-365, SportClimbing[[#This Row],[Date]] &lt;= TODAY())</f>
        <v>0</v>
      </c>
      <c r="C168">
        <v>6</v>
      </c>
      <c r="D168" t="s">
        <v>162</v>
      </c>
      <c r="E168">
        <v>2024</v>
      </c>
      <c r="F168" t="s">
        <v>443</v>
      </c>
      <c r="G168" t="s">
        <v>21</v>
      </c>
      <c r="H168" t="s">
        <v>298</v>
      </c>
      <c r="I168" t="s">
        <v>433</v>
      </c>
      <c r="J168" t="s">
        <v>434</v>
      </c>
      <c r="K168">
        <v>20</v>
      </c>
      <c r="L168" t="str">
        <f>IF(SportClimbing[[#This Row],[Height (m)]]&lt;11, "0-10", IF(SportClimbing[[#This Row],[Height (m)]]&lt;16, "11-15", IF(SportClimbing[[#This Row],[Height (m)]]&lt;21, "16-20", IF(SportClimbing[[#This Row],[Height (m)]]&lt;26, "21-25", IF(SportClimbing[[#This Row],[Height (m)]]&lt;31, "26-30", IF(SportClimbing[[#This Row],[Height (m)]]&lt;36, "31-35", "35+"))))))</f>
        <v>16-20</v>
      </c>
      <c r="M168" t="s">
        <v>435</v>
      </c>
      <c r="N168">
        <v>4</v>
      </c>
      <c r="O168">
        <f>IF(ISNUMBER(SportClimbing[[#This Row],[Total number of tries]])=TRUE, SportClimbing[[#This Row],[Total number of tries]], 1)</f>
        <v>4</v>
      </c>
      <c r="P168" t="str">
        <f>IF(ISNUMBER(SportClimbing[[#This Row],[Total number of tries]])=TRUE, "redpoint", SportClimbing[[#This Row],[Total number of tries]])</f>
        <v>redpoint</v>
      </c>
      <c r="Q168">
        <f>_xlfn.XLOOKUP(SportClimbing[[#This Row],[Grade]],SCORE[GRADE],SCORE[SCORE],,)</f>
        <v>15</v>
      </c>
    </row>
    <row r="169" spans="1:17" x14ac:dyDescent="0.25">
      <c r="A169" s="21">
        <v>45613</v>
      </c>
      <c r="B169" s="21" t="b">
        <f ca="1">AND(SportClimbing[[#This Row],[Date]] &gt;= TODAY()-365, SportClimbing[[#This Row],[Date]] &lt;= TODAY())</f>
        <v>1</v>
      </c>
      <c r="C169">
        <v>17</v>
      </c>
      <c r="D169" t="s">
        <v>160</v>
      </c>
      <c r="E169">
        <v>2024</v>
      </c>
      <c r="F169" t="s">
        <v>445</v>
      </c>
      <c r="G169" t="s">
        <v>69</v>
      </c>
      <c r="H169" t="s">
        <v>298</v>
      </c>
      <c r="I169" t="s">
        <v>306</v>
      </c>
      <c r="J169" t="s">
        <v>307</v>
      </c>
      <c r="K169">
        <v>18</v>
      </c>
      <c r="L169" t="str">
        <f>IF(SportClimbing[[#This Row],[Height (m)]]&lt;11, "0-10", IF(SportClimbing[[#This Row],[Height (m)]]&lt;16, "11-15", IF(SportClimbing[[#This Row],[Height (m)]]&lt;21, "16-20", IF(SportClimbing[[#This Row],[Height (m)]]&lt;26, "21-25", IF(SportClimbing[[#This Row],[Height (m)]]&lt;31, "26-30", IF(SportClimbing[[#This Row],[Height (m)]]&lt;36, "31-35", "35+"))))))</f>
        <v>16-20</v>
      </c>
      <c r="M169" t="s">
        <v>435</v>
      </c>
      <c r="N169">
        <v>24</v>
      </c>
      <c r="O169">
        <f>IF(ISNUMBER(SportClimbing[[#This Row],[Total number of tries]])=TRUE, SportClimbing[[#This Row],[Total number of tries]], 1)</f>
        <v>24</v>
      </c>
      <c r="P169" t="str">
        <f>IF(ISNUMBER(SportClimbing[[#This Row],[Total number of tries]])=TRUE, "redpoint", SportClimbing[[#This Row],[Total number of tries]])</f>
        <v>redpoint</v>
      </c>
      <c r="Q169">
        <f>_xlfn.XLOOKUP(SportClimbing[[#This Row],[Grade]],SCORE[GRADE],SCORE[SCORE],,)</f>
        <v>60</v>
      </c>
    </row>
    <row r="170" spans="1:17" x14ac:dyDescent="0.25">
      <c r="A170" s="21">
        <v>45720</v>
      </c>
      <c r="B170" s="21" t="b">
        <f ca="1">AND(SportClimbing[[#This Row],[Date]] &gt;= TODAY()-365, SportClimbing[[#This Row],[Date]] &lt;= TODAY())</f>
        <v>1</v>
      </c>
      <c r="C170">
        <v>4</v>
      </c>
      <c r="D170" t="s">
        <v>367</v>
      </c>
      <c r="E170">
        <v>2025</v>
      </c>
      <c r="F170" t="s">
        <v>447</v>
      </c>
      <c r="G170" t="s">
        <v>21</v>
      </c>
      <c r="H170" t="s">
        <v>262</v>
      </c>
      <c r="I170" t="s">
        <v>43</v>
      </c>
      <c r="J170" t="s">
        <v>61</v>
      </c>
      <c r="K170">
        <v>25</v>
      </c>
      <c r="L170" t="str">
        <f>IF(SportClimbing[[#This Row],[Height (m)]]&lt;11, "0-10", IF(SportClimbing[[#This Row],[Height (m)]]&lt;16, "11-15", IF(SportClimbing[[#This Row],[Height (m)]]&lt;21, "16-20", IF(SportClimbing[[#This Row],[Height (m)]]&lt;26, "21-25", IF(SportClimbing[[#This Row],[Height (m)]]&lt;31, "26-30", IF(SportClimbing[[#This Row],[Height (m)]]&lt;36, "31-35", "35+"))))))</f>
        <v>21-25</v>
      </c>
      <c r="M170" t="s">
        <v>332</v>
      </c>
      <c r="N170">
        <v>2</v>
      </c>
      <c r="O170">
        <f>IF(ISNUMBER(SportClimbing[[#This Row],[Total number of tries]])=TRUE, SportClimbing[[#This Row],[Total number of tries]], 1)</f>
        <v>2</v>
      </c>
      <c r="P170" t="str">
        <f>IF(ISNUMBER(SportClimbing[[#This Row],[Total number of tries]])=TRUE, "redpoint", SportClimbing[[#This Row],[Total number of tries]])</f>
        <v>redpoint</v>
      </c>
      <c r="Q170">
        <f>_xlfn.XLOOKUP(SportClimbing[[#This Row],[Grade]],SCORE[GRADE],SCORE[SCORE],,)</f>
        <v>15</v>
      </c>
    </row>
    <row r="171" spans="1:17" x14ac:dyDescent="0.25">
      <c r="A171" s="21">
        <v>45724</v>
      </c>
      <c r="B171" s="21" t="b">
        <f ca="1">AND(SportClimbing[[#This Row],[Date]] &gt;= TODAY()-365, SportClimbing[[#This Row],[Date]] &lt;= TODAY())</f>
        <v>1</v>
      </c>
      <c r="C171">
        <v>8</v>
      </c>
      <c r="D171" t="s">
        <v>367</v>
      </c>
      <c r="E171">
        <v>2025</v>
      </c>
      <c r="F171" t="s">
        <v>448</v>
      </c>
      <c r="G171" t="s">
        <v>21</v>
      </c>
      <c r="H171" t="s">
        <v>262</v>
      </c>
      <c r="I171" t="s">
        <v>450</v>
      </c>
      <c r="J171" t="s">
        <v>454</v>
      </c>
      <c r="K171">
        <v>8</v>
      </c>
      <c r="L171" t="str">
        <f>IF(SportClimbing[[#This Row],[Height (m)]]&lt;11, "0-10", IF(SportClimbing[[#This Row],[Height (m)]]&lt;16, "11-15", IF(SportClimbing[[#This Row],[Height (m)]]&lt;21, "16-20", IF(SportClimbing[[#This Row],[Height (m)]]&lt;26, "21-25", IF(SportClimbing[[#This Row],[Height (m)]]&lt;31, "26-30", IF(SportClimbing[[#This Row],[Height (m)]]&lt;36, "31-35", "35+"))))))</f>
        <v>0-10</v>
      </c>
      <c r="M171" t="s">
        <v>451</v>
      </c>
      <c r="N171">
        <v>2</v>
      </c>
      <c r="O171">
        <f>IF(ISNUMBER(SportClimbing[[#This Row],[Total number of tries]])=TRUE, SportClimbing[[#This Row],[Total number of tries]], 1)</f>
        <v>2</v>
      </c>
      <c r="P171" t="str">
        <f>IF(ISNUMBER(SportClimbing[[#This Row],[Total number of tries]])=TRUE, "redpoint", SportClimbing[[#This Row],[Total number of tries]])</f>
        <v>redpoint</v>
      </c>
      <c r="Q171">
        <f>_xlfn.XLOOKUP(SportClimbing[[#This Row],[Grade]],SCORE[GRADE],SCORE[SCORE],,)</f>
        <v>15</v>
      </c>
    </row>
    <row r="172" spans="1:17" x14ac:dyDescent="0.25">
      <c r="A172" s="21">
        <v>45724</v>
      </c>
      <c r="B172" s="21" t="b">
        <f ca="1">AND(SportClimbing[[#This Row],[Date]] &gt;= TODAY()-365, SportClimbing[[#This Row],[Date]] &lt;= TODAY())</f>
        <v>1</v>
      </c>
      <c r="C172">
        <v>8</v>
      </c>
      <c r="D172" t="s">
        <v>367</v>
      </c>
      <c r="E172">
        <v>2025</v>
      </c>
      <c r="F172" t="s">
        <v>456</v>
      </c>
      <c r="G172" t="s">
        <v>3</v>
      </c>
      <c r="H172" t="s">
        <v>262</v>
      </c>
      <c r="I172" t="s">
        <v>450</v>
      </c>
      <c r="J172" t="s">
        <v>454</v>
      </c>
      <c r="K172">
        <v>27</v>
      </c>
      <c r="L172" t="str">
        <f>IF(SportClimbing[[#This Row],[Height (m)]]&lt;11, "0-10", IF(SportClimbing[[#This Row],[Height (m)]]&lt;16, "11-15", IF(SportClimbing[[#This Row],[Height (m)]]&lt;21, "16-20", IF(SportClimbing[[#This Row],[Height (m)]]&lt;26, "21-25", IF(SportClimbing[[#This Row],[Height (m)]]&lt;31, "26-30", IF(SportClimbing[[#This Row],[Height (m)]]&lt;36, "31-35", "35+"))))))</f>
        <v>26-30</v>
      </c>
      <c r="M172" t="s">
        <v>451</v>
      </c>
      <c r="N172">
        <v>1</v>
      </c>
      <c r="O172">
        <v>1</v>
      </c>
      <c r="P172" t="s">
        <v>11</v>
      </c>
      <c r="Q172">
        <f>_xlfn.XLOOKUP(SportClimbing[[#This Row],[Grade]],SCORE[GRADE],SCORE[SCORE],,)</f>
        <v>10</v>
      </c>
    </row>
    <row r="173" spans="1:17" x14ac:dyDescent="0.25">
      <c r="A173" s="21">
        <v>45725</v>
      </c>
      <c r="B173" s="21" t="b">
        <f ca="1">AND(SportClimbing[[#This Row],[Date]] &gt;= TODAY()-365, SportClimbing[[#This Row],[Date]] &lt;= TODAY())</f>
        <v>1</v>
      </c>
      <c r="C173">
        <v>9</v>
      </c>
      <c r="D173" t="s">
        <v>367</v>
      </c>
      <c r="E173">
        <v>2025</v>
      </c>
      <c r="F173" t="s">
        <v>449</v>
      </c>
      <c r="G173" t="s">
        <v>21</v>
      </c>
      <c r="H173" t="s">
        <v>262</v>
      </c>
      <c r="I173" t="s">
        <v>43</v>
      </c>
      <c r="J173" t="s">
        <v>206</v>
      </c>
      <c r="K173">
        <v>22</v>
      </c>
      <c r="L173" t="str">
        <f>IF(SportClimbing[[#This Row],[Height (m)]]&lt;11, "0-10", IF(SportClimbing[[#This Row],[Height (m)]]&lt;16, "11-15", IF(SportClimbing[[#This Row],[Height (m)]]&lt;21, "16-20", IF(SportClimbing[[#This Row],[Height (m)]]&lt;26, "21-25", IF(SportClimbing[[#This Row],[Height (m)]]&lt;31, "26-30", IF(SportClimbing[[#This Row],[Height (m)]]&lt;36, "31-35", "35+"))))))</f>
        <v>21-25</v>
      </c>
      <c r="M173" t="s">
        <v>451</v>
      </c>
      <c r="N173">
        <v>5</v>
      </c>
      <c r="O173">
        <v>5</v>
      </c>
      <c r="P173" t="str">
        <f>IF(ISNUMBER(SportClimbing[[#This Row],[Total number of tries]])=TRUE, "redpoint", SportClimbing[[#This Row],[Total number of tries]])</f>
        <v>redpoint</v>
      </c>
      <c r="Q173">
        <f>_xlfn.XLOOKUP(SportClimbing[[#This Row],[Grade]],SCORE[GRADE],SCORE[SCORE],,)</f>
        <v>15</v>
      </c>
    </row>
    <row r="174" spans="1:17" x14ac:dyDescent="0.25">
      <c r="A174" s="21">
        <v>45725</v>
      </c>
      <c r="B174" s="21" t="b">
        <f ca="1">AND(SportClimbing[[#This Row],[Date]] &gt;= TODAY()-365, SportClimbing[[#This Row],[Date]] &lt;= TODAY())</f>
        <v>1</v>
      </c>
      <c r="C174">
        <v>9</v>
      </c>
      <c r="D174" t="s">
        <v>367</v>
      </c>
      <c r="E174">
        <v>2025</v>
      </c>
      <c r="F174" t="s">
        <v>455</v>
      </c>
      <c r="G174" t="s">
        <v>3</v>
      </c>
      <c r="H174" t="s">
        <v>262</v>
      </c>
      <c r="I174" t="s">
        <v>43</v>
      </c>
      <c r="J174" t="s">
        <v>206</v>
      </c>
      <c r="K174">
        <v>25</v>
      </c>
      <c r="L174" t="str">
        <f>IF(SportClimbing[[#This Row],[Height (m)]]&lt;11, "0-10", IF(SportClimbing[[#This Row],[Height (m)]]&lt;16, "11-15", IF(SportClimbing[[#This Row],[Height (m)]]&lt;21, "16-20", IF(SportClimbing[[#This Row],[Height (m)]]&lt;26, "21-25", IF(SportClimbing[[#This Row],[Height (m)]]&lt;31, "26-30", IF(SportClimbing[[#This Row],[Height (m)]]&lt;36, "31-35", "35+"))))))</f>
        <v>21-25</v>
      </c>
      <c r="M174" t="s">
        <v>451</v>
      </c>
      <c r="N174">
        <v>2</v>
      </c>
      <c r="O174">
        <f>IF(ISNUMBER(SportClimbing[[#This Row],[Total number of tries]])=TRUE, SportClimbing[[#This Row],[Total number of tries]], 1)</f>
        <v>2</v>
      </c>
      <c r="P174" t="str">
        <f>IF(ISNUMBER(SportClimbing[[#This Row],[Total number of tries]])=TRUE, "redpoint", SportClimbing[[#This Row],[Total number of tries]])</f>
        <v>redpoint</v>
      </c>
      <c r="Q174">
        <f>_xlfn.XLOOKUP(SportClimbing[[#This Row],[Grade]],SCORE[GRADE],SCORE[SCORE],,)</f>
        <v>10</v>
      </c>
    </row>
    <row r="175" spans="1:17" x14ac:dyDescent="0.25">
      <c r="A175" s="21">
        <v>45726</v>
      </c>
      <c r="B175" s="21" t="b">
        <f ca="1">AND(SportClimbing[[#This Row],[Date]] &gt;= TODAY()-365, SportClimbing[[#This Row],[Date]] &lt;= TODAY())</f>
        <v>1</v>
      </c>
      <c r="C175">
        <v>10</v>
      </c>
      <c r="D175" t="s">
        <v>367</v>
      </c>
      <c r="E175">
        <v>2025</v>
      </c>
      <c r="F175" t="s">
        <v>453</v>
      </c>
      <c r="G175" t="s">
        <v>21</v>
      </c>
      <c r="H175" t="s">
        <v>262</v>
      </c>
      <c r="I175" t="s">
        <v>43</v>
      </c>
      <c r="J175" t="s">
        <v>315</v>
      </c>
      <c r="K175">
        <v>30</v>
      </c>
      <c r="L175" t="str">
        <f>IF(SportClimbing[[#This Row],[Height (m)]]&lt;11, "0-10", IF(SportClimbing[[#This Row],[Height (m)]]&lt;16, "11-15", IF(SportClimbing[[#This Row],[Height (m)]]&lt;21, "16-20", IF(SportClimbing[[#This Row],[Height (m)]]&lt;26, "21-25", IF(SportClimbing[[#This Row],[Height (m)]]&lt;31, "26-30", IF(SportClimbing[[#This Row],[Height (m)]]&lt;36, "31-35", "35+"))))))</f>
        <v>26-30</v>
      </c>
      <c r="M175" t="s">
        <v>492</v>
      </c>
      <c r="N175">
        <v>3</v>
      </c>
      <c r="O175">
        <f>IF(ISNUMBER(SportClimbing[[#This Row],[Total number of tries]])=TRUE, SportClimbing[[#This Row],[Total number of tries]], 1)</f>
        <v>3</v>
      </c>
      <c r="P175" t="str">
        <f>IF(ISNUMBER(SportClimbing[[#This Row],[Total number of tries]])=TRUE, "redpoint", SportClimbing[[#This Row],[Total number of tries]])</f>
        <v>redpoint</v>
      </c>
      <c r="Q175">
        <f>_xlfn.XLOOKUP(SportClimbing[[#This Row],[Grade]],SCORE[GRADE],SCORE[SCORE],,)</f>
        <v>15</v>
      </c>
    </row>
    <row r="176" spans="1:17" x14ac:dyDescent="0.25">
      <c r="A176" s="21">
        <v>45732</v>
      </c>
      <c r="B176" s="21" t="b">
        <f ca="1">AND(SportClimbing[[#This Row],[Date]] &gt;= TODAY()-365, SportClimbing[[#This Row],[Date]] &lt;= TODAY())</f>
        <v>1</v>
      </c>
      <c r="C176">
        <v>16</v>
      </c>
      <c r="D176" t="s">
        <v>367</v>
      </c>
      <c r="E176">
        <v>2025</v>
      </c>
      <c r="F176" t="s">
        <v>457</v>
      </c>
      <c r="G176" t="s">
        <v>69</v>
      </c>
      <c r="H176" t="s">
        <v>262</v>
      </c>
      <c r="I176" t="s">
        <v>43</v>
      </c>
      <c r="J176" t="s">
        <v>91</v>
      </c>
      <c r="K176">
        <v>40</v>
      </c>
      <c r="L176" t="str">
        <f>IF(SportClimbing[[#This Row],[Height (m)]]&lt;11, "0-10", IF(SportClimbing[[#This Row],[Height (m)]]&lt;16, "11-15", IF(SportClimbing[[#This Row],[Height (m)]]&lt;21, "16-20", IF(SportClimbing[[#This Row],[Height (m)]]&lt;26, "21-25", IF(SportClimbing[[#This Row],[Height (m)]]&lt;31, "26-30", IF(SportClimbing[[#This Row],[Height (m)]]&lt;36, "31-35", "35+"))))))</f>
        <v>35+</v>
      </c>
      <c r="M176" t="s">
        <v>332</v>
      </c>
      <c r="N176">
        <v>8</v>
      </c>
      <c r="O176">
        <f>IF(ISNUMBER(SportClimbing[[#This Row],[Total number of tries]])=TRUE, SportClimbing[[#This Row],[Total number of tries]], 1)</f>
        <v>8</v>
      </c>
      <c r="P176" t="str">
        <f>IF(ISNUMBER(SportClimbing[[#This Row],[Total number of tries]])=TRUE, "redpoint", SportClimbing[[#This Row],[Total number of tries]])</f>
        <v>redpoint</v>
      </c>
      <c r="Q176">
        <f>_xlfn.XLOOKUP(SportClimbing[[#This Row],[Grade]],SCORE[GRADE],SCORE[SCORE],,)</f>
        <v>60</v>
      </c>
    </row>
    <row r="177" spans="1:17" x14ac:dyDescent="0.25">
      <c r="A177" s="21">
        <v>45733</v>
      </c>
      <c r="B177" s="21" t="b">
        <f ca="1">AND(SportClimbing[[#This Row],[Date]] &gt;= TODAY()-365, SportClimbing[[#This Row],[Date]] &lt;= TODAY())</f>
        <v>1</v>
      </c>
      <c r="C177">
        <v>17</v>
      </c>
      <c r="D177" t="s">
        <v>367</v>
      </c>
      <c r="E177">
        <v>2025</v>
      </c>
      <c r="F177" t="s">
        <v>458</v>
      </c>
      <c r="G177" t="s">
        <v>29</v>
      </c>
      <c r="H177" t="s">
        <v>262</v>
      </c>
      <c r="I177" t="s">
        <v>43</v>
      </c>
      <c r="J177" t="s">
        <v>63</v>
      </c>
      <c r="K177">
        <v>30</v>
      </c>
      <c r="L177" t="str">
        <f>IF(SportClimbing[[#This Row],[Height (m)]]&lt;11, "0-10", IF(SportClimbing[[#This Row],[Height (m)]]&lt;16, "11-15", IF(SportClimbing[[#This Row],[Height (m)]]&lt;21, "16-20", IF(SportClimbing[[#This Row],[Height (m)]]&lt;26, "21-25", IF(SportClimbing[[#This Row],[Height (m)]]&lt;31, "26-30", IF(SportClimbing[[#This Row],[Height (m)]]&lt;36, "31-35", "35+"))))))</f>
        <v>26-30</v>
      </c>
      <c r="M177" t="s">
        <v>332</v>
      </c>
      <c r="N177">
        <v>2</v>
      </c>
      <c r="O177">
        <f>IF(ISNUMBER(SportClimbing[[#This Row],[Total number of tries]])=TRUE, SportClimbing[[#This Row],[Total number of tries]], 1)</f>
        <v>2</v>
      </c>
      <c r="P177" t="str">
        <f>IF(ISNUMBER(SportClimbing[[#This Row],[Total number of tries]])=TRUE, "redpoint", SportClimbing[[#This Row],[Total number of tries]])</f>
        <v>redpoint</v>
      </c>
      <c r="Q177">
        <f>_xlfn.XLOOKUP(SportClimbing[[#This Row],[Grade]],SCORE[GRADE],SCORE[SCORE],,)</f>
        <v>25</v>
      </c>
    </row>
    <row r="178" spans="1:17" x14ac:dyDescent="0.25">
      <c r="A178" s="21">
        <v>45734</v>
      </c>
      <c r="B178" s="21" t="b">
        <f ca="1">AND(SportClimbing[[#This Row],[Date]] &gt;= TODAY()-365, SportClimbing[[#This Row],[Date]] &lt;= TODAY())</f>
        <v>1</v>
      </c>
      <c r="C178">
        <v>18</v>
      </c>
      <c r="D178" t="s">
        <v>367</v>
      </c>
      <c r="E178">
        <v>2025</v>
      </c>
      <c r="F178" t="s">
        <v>461</v>
      </c>
      <c r="G178" t="s">
        <v>3</v>
      </c>
      <c r="H178" t="s">
        <v>262</v>
      </c>
      <c r="I178" t="s">
        <v>459</v>
      </c>
      <c r="J178" t="s">
        <v>460</v>
      </c>
      <c r="K178">
        <v>16</v>
      </c>
      <c r="L178" t="str">
        <f>IF(SportClimbing[[#This Row],[Height (m)]]&lt;11, "0-10", IF(SportClimbing[[#This Row],[Height (m)]]&lt;16, "11-15", IF(SportClimbing[[#This Row],[Height (m)]]&lt;21, "16-20", IF(SportClimbing[[#This Row],[Height (m)]]&lt;26, "21-25", IF(SportClimbing[[#This Row],[Height (m)]]&lt;31, "26-30", IF(SportClimbing[[#This Row],[Height (m)]]&lt;36, "31-35", "35+"))))))</f>
        <v>16-20</v>
      </c>
      <c r="M178" t="s">
        <v>462</v>
      </c>
      <c r="N178">
        <v>3</v>
      </c>
      <c r="O178">
        <f>IF(ISNUMBER(SportClimbing[[#This Row],[Total number of tries]])=TRUE, SportClimbing[[#This Row],[Total number of tries]], 1)</f>
        <v>3</v>
      </c>
      <c r="P178" t="str">
        <f>IF(ISNUMBER(SportClimbing[[#This Row],[Total number of tries]])=TRUE, "redpoint", SportClimbing[[#This Row],[Total number of tries]])</f>
        <v>redpoint</v>
      </c>
      <c r="Q178">
        <f>_xlfn.XLOOKUP(SportClimbing[[#This Row],[Grade]],SCORE[GRADE],SCORE[SCORE],,)</f>
        <v>10</v>
      </c>
    </row>
    <row r="179" spans="1:17" x14ac:dyDescent="0.25">
      <c r="A179" s="21">
        <v>45738</v>
      </c>
      <c r="B179" s="21" t="b">
        <f ca="1">AND(SportClimbing[[#This Row],[Date]] &gt;= TODAY()-365, SportClimbing[[#This Row],[Date]] &lt;= TODAY())</f>
        <v>1</v>
      </c>
      <c r="C179">
        <v>22</v>
      </c>
      <c r="D179" t="s">
        <v>367</v>
      </c>
      <c r="E179">
        <v>2025</v>
      </c>
      <c r="F179" t="s">
        <v>464</v>
      </c>
      <c r="G179" t="s">
        <v>3</v>
      </c>
      <c r="H179" t="s">
        <v>262</v>
      </c>
      <c r="I179" t="s">
        <v>68</v>
      </c>
      <c r="J179" t="s">
        <v>463</v>
      </c>
      <c r="K179">
        <v>20</v>
      </c>
      <c r="L179" t="str">
        <f>IF(SportClimbing[[#This Row],[Height (m)]]&lt;11, "0-10", IF(SportClimbing[[#This Row],[Height (m)]]&lt;16, "11-15", IF(SportClimbing[[#This Row],[Height (m)]]&lt;21, "16-20", IF(SportClimbing[[#This Row],[Height (m)]]&lt;26, "21-25", IF(SportClimbing[[#This Row],[Height (m)]]&lt;31, "26-30", IF(SportClimbing[[#This Row],[Height (m)]]&lt;36, "31-35", "35+"))))))</f>
        <v>16-20</v>
      </c>
      <c r="M179" t="s">
        <v>332</v>
      </c>
      <c r="N179">
        <v>2</v>
      </c>
      <c r="O179">
        <f>IF(ISNUMBER(SportClimbing[[#This Row],[Total number of tries]])=TRUE, SportClimbing[[#This Row],[Total number of tries]], 1)</f>
        <v>2</v>
      </c>
      <c r="P179" t="str">
        <f>IF(ISNUMBER(SportClimbing[[#This Row],[Total number of tries]])=TRUE, "redpoint", SportClimbing[[#This Row],[Total number of tries]])</f>
        <v>redpoint</v>
      </c>
      <c r="Q179">
        <f>_xlfn.XLOOKUP(SportClimbing[[#This Row],[Grade]],SCORE[GRADE],SCORE[SCORE],,)</f>
        <v>10</v>
      </c>
    </row>
    <row r="180" spans="1:17" x14ac:dyDescent="0.25">
      <c r="A180" s="21">
        <v>45740</v>
      </c>
      <c r="B180" s="21" t="b">
        <f ca="1">AND(SportClimbing[[#This Row],[Date]] &gt;= TODAY()-365, SportClimbing[[#This Row],[Date]] &lt;= TODAY())</f>
        <v>1</v>
      </c>
      <c r="C180">
        <v>24</v>
      </c>
      <c r="D180" t="s">
        <v>367</v>
      </c>
      <c r="E180">
        <v>2025</v>
      </c>
      <c r="F180" t="s">
        <v>466</v>
      </c>
      <c r="G180" t="s">
        <v>29</v>
      </c>
      <c r="H180" t="s">
        <v>262</v>
      </c>
      <c r="I180" t="s">
        <v>43</v>
      </c>
      <c r="J180" t="s">
        <v>465</v>
      </c>
      <c r="K180">
        <v>19</v>
      </c>
      <c r="L180" t="str">
        <f>IF(SportClimbing[[#This Row],[Height (m)]]&lt;11, "0-10", IF(SportClimbing[[#This Row],[Height (m)]]&lt;16, "11-15", IF(SportClimbing[[#This Row],[Height (m)]]&lt;21, "16-20", IF(SportClimbing[[#This Row],[Height (m)]]&lt;26, "21-25", IF(SportClimbing[[#This Row],[Height (m)]]&lt;31, "26-30", IF(SportClimbing[[#This Row],[Height (m)]]&lt;36, "31-35", "35+"))))))</f>
        <v>16-20</v>
      </c>
      <c r="M180" t="s">
        <v>332</v>
      </c>
      <c r="N180">
        <v>3</v>
      </c>
      <c r="O180">
        <f>IF(ISNUMBER(SportClimbing[[#This Row],[Total number of tries]])=TRUE, SportClimbing[[#This Row],[Total number of tries]], 1)</f>
        <v>3</v>
      </c>
      <c r="P180" t="str">
        <f>IF(ISNUMBER(SportClimbing[[#This Row],[Total number of tries]])=TRUE, "redpoint", SportClimbing[[#This Row],[Total number of tries]])</f>
        <v>redpoint</v>
      </c>
      <c r="Q180">
        <f>_xlfn.XLOOKUP(SportClimbing[[#This Row],[Grade]],SCORE[GRADE],SCORE[SCORE],,)</f>
        <v>25</v>
      </c>
    </row>
    <row r="181" spans="1:17" x14ac:dyDescent="0.25">
      <c r="A181" s="21">
        <v>45740</v>
      </c>
      <c r="B181" s="21" t="b">
        <f ca="1">AND(SportClimbing[[#This Row],[Date]] &gt;= TODAY()-365, SportClimbing[[#This Row],[Date]] &lt;= TODAY())</f>
        <v>1</v>
      </c>
      <c r="C181">
        <v>24</v>
      </c>
      <c r="D181" t="s">
        <v>367</v>
      </c>
      <c r="E181">
        <v>2025</v>
      </c>
      <c r="F181" t="s">
        <v>467</v>
      </c>
      <c r="G181" t="s">
        <v>3</v>
      </c>
      <c r="H181" t="s">
        <v>262</v>
      </c>
      <c r="I181" t="s">
        <v>43</v>
      </c>
      <c r="J181" t="s">
        <v>465</v>
      </c>
      <c r="K181">
        <v>24</v>
      </c>
      <c r="L181" t="str">
        <f>IF(SportClimbing[[#This Row],[Height (m)]]&lt;11, "0-10", IF(SportClimbing[[#This Row],[Height (m)]]&lt;16, "11-15", IF(SportClimbing[[#This Row],[Height (m)]]&lt;21, "16-20", IF(SportClimbing[[#This Row],[Height (m)]]&lt;26, "21-25", IF(SportClimbing[[#This Row],[Height (m)]]&lt;31, "26-30", IF(SportClimbing[[#This Row],[Height (m)]]&lt;36, "31-35", "35+"))))))</f>
        <v>21-25</v>
      </c>
      <c r="M181" t="s">
        <v>332</v>
      </c>
      <c r="N181">
        <v>2</v>
      </c>
      <c r="O181">
        <f>IF(ISNUMBER(SportClimbing[[#This Row],[Total number of tries]])=TRUE, SportClimbing[[#This Row],[Total number of tries]], 1)</f>
        <v>2</v>
      </c>
      <c r="P181" t="str">
        <f>IF(ISNUMBER(SportClimbing[[#This Row],[Total number of tries]])=TRUE, "redpoint", SportClimbing[[#This Row],[Total number of tries]])</f>
        <v>redpoint</v>
      </c>
      <c r="Q181">
        <f>_xlfn.XLOOKUP(SportClimbing[[#This Row],[Grade]],SCORE[GRADE],SCORE[SCORE],,)</f>
        <v>10</v>
      </c>
    </row>
    <row r="182" spans="1:17" x14ac:dyDescent="0.25">
      <c r="A182" s="21">
        <v>45745</v>
      </c>
      <c r="B182" s="21" t="b">
        <f ca="1">AND(SportClimbing[[#This Row],[Date]] &gt;= TODAY()-365, SportClimbing[[#This Row],[Date]] &lt;= TODAY())</f>
        <v>1</v>
      </c>
      <c r="C182">
        <v>29</v>
      </c>
      <c r="D182" t="s">
        <v>367</v>
      </c>
      <c r="E182">
        <v>2025</v>
      </c>
      <c r="F182" t="s">
        <v>474</v>
      </c>
      <c r="G182" t="s">
        <v>3</v>
      </c>
      <c r="H182" t="s">
        <v>313</v>
      </c>
      <c r="I182" t="s">
        <v>468</v>
      </c>
      <c r="J182" t="s">
        <v>470</v>
      </c>
      <c r="K182">
        <v>15</v>
      </c>
      <c r="L182" t="str">
        <f>IF(SportClimbing[[#This Row],[Height (m)]]&lt;11, "0-10", IF(SportClimbing[[#This Row],[Height (m)]]&lt;16, "11-15", IF(SportClimbing[[#This Row],[Height (m)]]&lt;21, "16-20", IF(SportClimbing[[#This Row],[Height (m)]]&lt;26, "21-25", IF(SportClimbing[[#This Row],[Height (m)]]&lt;31, "26-30", IF(SportClimbing[[#This Row],[Height (m)]]&lt;36, "31-35", "35+"))))))</f>
        <v>11-15</v>
      </c>
      <c r="M182" t="s">
        <v>469</v>
      </c>
      <c r="N182" t="s">
        <v>130</v>
      </c>
      <c r="O182">
        <f>IF(ISNUMBER(SportClimbing[[#This Row],[Total number of tries]])=TRUE, SportClimbing[[#This Row],[Total number of tries]], 1)</f>
        <v>1</v>
      </c>
      <c r="P182" t="str">
        <f>IF(ISNUMBER(SportClimbing[[#This Row],[Total number of tries]])=TRUE, "redpoint", SportClimbing[[#This Row],[Total number of tries]])</f>
        <v>onsight</v>
      </c>
      <c r="Q182">
        <f>_xlfn.XLOOKUP(SportClimbing[[#This Row],[Grade]],SCORE[GRADE],SCORE[SCORE],,)</f>
        <v>10</v>
      </c>
    </row>
    <row r="183" spans="1:17" x14ac:dyDescent="0.25">
      <c r="A183" s="21">
        <v>45745</v>
      </c>
      <c r="B183" s="21" t="b">
        <f ca="1">AND(SportClimbing[[#This Row],[Date]] &gt;= TODAY()-365, SportClimbing[[#This Row],[Date]] &lt;= TODAY())</f>
        <v>1</v>
      </c>
      <c r="C183">
        <v>29</v>
      </c>
      <c r="D183" t="s">
        <v>367</v>
      </c>
      <c r="E183">
        <v>2025</v>
      </c>
      <c r="F183" t="s">
        <v>473</v>
      </c>
      <c r="G183" t="s">
        <v>29</v>
      </c>
      <c r="H183" t="s">
        <v>313</v>
      </c>
      <c r="I183" t="s">
        <v>468</v>
      </c>
      <c r="J183" t="s">
        <v>470</v>
      </c>
      <c r="K183">
        <v>15</v>
      </c>
      <c r="L183" t="str">
        <f>IF(SportClimbing[[#This Row],[Height (m)]]&lt;11, "0-10", IF(SportClimbing[[#This Row],[Height (m)]]&lt;16, "11-15", IF(SportClimbing[[#This Row],[Height (m)]]&lt;21, "16-20", IF(SportClimbing[[#This Row],[Height (m)]]&lt;26, "21-25", IF(SportClimbing[[#This Row],[Height (m)]]&lt;31, "26-30", IF(SportClimbing[[#This Row],[Height (m)]]&lt;36, "31-35", "35+"))))))</f>
        <v>11-15</v>
      </c>
      <c r="M183" t="s">
        <v>469</v>
      </c>
      <c r="N183">
        <v>3</v>
      </c>
      <c r="O183">
        <f>IF(ISNUMBER(SportClimbing[[#This Row],[Total number of tries]])=TRUE, SportClimbing[[#This Row],[Total number of tries]], 1)</f>
        <v>3</v>
      </c>
      <c r="P183" t="str">
        <f>IF(ISNUMBER(SportClimbing[[#This Row],[Total number of tries]])=TRUE, "redpoint", SportClimbing[[#This Row],[Total number of tries]])</f>
        <v>redpoint</v>
      </c>
      <c r="Q183">
        <f>_xlfn.XLOOKUP(SportClimbing[[#This Row],[Grade]],SCORE[GRADE],SCORE[SCORE],,)</f>
        <v>25</v>
      </c>
    </row>
    <row r="184" spans="1:17" x14ac:dyDescent="0.25">
      <c r="A184" s="21">
        <v>45746</v>
      </c>
      <c r="B184" s="21" t="b">
        <f ca="1">AND(SportClimbing[[#This Row],[Date]] &gt;= TODAY()-365, SportClimbing[[#This Row],[Date]] &lt;= TODAY())</f>
        <v>1</v>
      </c>
      <c r="C184">
        <v>30</v>
      </c>
      <c r="D184" t="s">
        <v>367</v>
      </c>
      <c r="E184">
        <v>2025</v>
      </c>
      <c r="F184" t="s">
        <v>471</v>
      </c>
      <c r="G184" t="s">
        <v>21</v>
      </c>
      <c r="H184" t="s">
        <v>313</v>
      </c>
      <c r="I184" t="s">
        <v>468</v>
      </c>
      <c r="J184" t="s">
        <v>472</v>
      </c>
      <c r="K184">
        <v>33</v>
      </c>
      <c r="L184" t="str">
        <f>IF(SportClimbing[[#This Row],[Height (m)]]&lt;11, "0-10", IF(SportClimbing[[#This Row],[Height (m)]]&lt;16, "11-15", IF(SportClimbing[[#This Row],[Height (m)]]&lt;21, "16-20", IF(SportClimbing[[#This Row],[Height (m)]]&lt;26, "21-25", IF(SportClimbing[[#This Row],[Height (m)]]&lt;31, "26-30", IF(SportClimbing[[#This Row],[Height (m)]]&lt;36, "31-35", "35+"))))))</f>
        <v>31-35</v>
      </c>
      <c r="M184" t="s">
        <v>469</v>
      </c>
      <c r="N184" t="s">
        <v>130</v>
      </c>
      <c r="O184">
        <f>IF(ISNUMBER(SportClimbing[[#This Row],[Total number of tries]])=TRUE, SportClimbing[[#This Row],[Total number of tries]], 1)</f>
        <v>1</v>
      </c>
      <c r="P184" t="str">
        <f>IF(ISNUMBER(SportClimbing[[#This Row],[Total number of tries]])=TRUE, "redpoint", SportClimbing[[#This Row],[Total number of tries]])</f>
        <v>onsight</v>
      </c>
      <c r="Q184">
        <f>_xlfn.XLOOKUP(SportClimbing[[#This Row],[Grade]],SCORE[GRADE],SCORE[SCORE],,)</f>
        <v>15</v>
      </c>
    </row>
    <row r="185" spans="1:17" x14ac:dyDescent="0.25">
      <c r="A185" s="21">
        <v>45753</v>
      </c>
      <c r="B185" s="21" t="b">
        <f ca="1">AND(SportClimbing[[#This Row],[Date]] &gt;= TODAY()-365, SportClimbing[[#This Row],[Date]] &lt;= TODAY())</f>
        <v>1</v>
      </c>
      <c r="C185">
        <v>6</v>
      </c>
      <c r="D185" t="s">
        <v>368</v>
      </c>
      <c r="E185">
        <v>2025</v>
      </c>
      <c r="F185" t="s">
        <v>475</v>
      </c>
      <c r="G185" t="s">
        <v>32</v>
      </c>
      <c r="H185" t="s">
        <v>298</v>
      </c>
      <c r="I185" t="s">
        <v>306</v>
      </c>
      <c r="J185" t="s">
        <v>333</v>
      </c>
      <c r="K185">
        <v>26</v>
      </c>
      <c r="L185" t="str">
        <f>IF(SportClimbing[[#This Row],[Height (m)]]&lt;11, "0-10", IF(SportClimbing[[#This Row],[Height (m)]]&lt;16, "11-15", IF(SportClimbing[[#This Row],[Height (m)]]&lt;21, "16-20", IF(SportClimbing[[#This Row],[Height (m)]]&lt;26, "21-25", IF(SportClimbing[[#This Row],[Height (m)]]&lt;31, "26-30", IF(SportClimbing[[#This Row],[Height (m)]]&lt;36, "31-35", "35+"))))))</f>
        <v>26-30</v>
      </c>
      <c r="M185" t="s">
        <v>469</v>
      </c>
      <c r="N185">
        <v>5</v>
      </c>
      <c r="O185">
        <f>IF(ISNUMBER(SportClimbing[[#This Row],[Total number of tries]])=TRUE, SportClimbing[[#This Row],[Total number of tries]], 1)</f>
        <v>5</v>
      </c>
      <c r="P185" t="str">
        <f>IF(ISNUMBER(SportClimbing[[#This Row],[Total number of tries]])=TRUE, "redpoint", SportClimbing[[#This Row],[Total number of tries]])</f>
        <v>redpoint</v>
      </c>
      <c r="Q185">
        <f>_xlfn.XLOOKUP(SportClimbing[[#This Row],[Grade]],SCORE[GRADE],SCORE[SCORE],,)</f>
        <v>40</v>
      </c>
    </row>
    <row r="186" spans="1:17" x14ac:dyDescent="0.25">
      <c r="A186" s="21">
        <v>45768</v>
      </c>
      <c r="B186" s="21" t="b">
        <f ca="1">AND(SportClimbing[[#This Row],[Date]] &gt;= TODAY()-365, SportClimbing[[#This Row],[Date]] &lt;= TODAY())</f>
        <v>1</v>
      </c>
      <c r="C186">
        <v>21</v>
      </c>
      <c r="D186" t="s">
        <v>368</v>
      </c>
      <c r="E186">
        <v>2025</v>
      </c>
      <c r="F186" t="s">
        <v>478</v>
      </c>
      <c r="G186" t="s">
        <v>21</v>
      </c>
      <c r="H186" t="s">
        <v>298</v>
      </c>
      <c r="I186" t="s">
        <v>306</v>
      </c>
      <c r="J186" t="s">
        <v>477</v>
      </c>
      <c r="K186">
        <v>22</v>
      </c>
      <c r="L186" t="str">
        <f>IF(SportClimbing[[#This Row],[Height (m)]]&lt;11, "0-10", IF(SportClimbing[[#This Row],[Height (m)]]&lt;16, "11-15", IF(SportClimbing[[#This Row],[Height (m)]]&lt;21, "16-20", IF(SportClimbing[[#This Row],[Height (m)]]&lt;26, "21-25", IF(SportClimbing[[#This Row],[Height (m)]]&lt;31, "26-30", IF(SportClimbing[[#This Row],[Height (m)]]&lt;36, "31-35", "35+"))))))</f>
        <v>21-25</v>
      </c>
      <c r="M186" t="s">
        <v>469</v>
      </c>
      <c r="N186">
        <v>6</v>
      </c>
      <c r="O186">
        <f>IF(ISNUMBER(SportClimbing[[#This Row],[Total number of tries]])=TRUE, SportClimbing[[#This Row],[Total number of tries]], 1)</f>
        <v>6</v>
      </c>
      <c r="P186" t="str">
        <f>IF(ISNUMBER(SportClimbing[[#This Row],[Total number of tries]])=TRUE, "redpoint", SportClimbing[[#This Row],[Total number of tries]])</f>
        <v>redpoint</v>
      </c>
      <c r="Q186">
        <f>_xlfn.XLOOKUP(SportClimbing[[#This Row],[Grade]],SCORE[GRADE],SCORE[SCORE],,)</f>
        <v>15</v>
      </c>
    </row>
    <row r="187" spans="1:17" x14ac:dyDescent="0.25">
      <c r="A187" s="21">
        <v>45774</v>
      </c>
      <c r="B187" s="21" t="b">
        <f ca="1">AND(SportClimbing[[#This Row],[Date]] &gt;= TODAY()-365, SportClimbing[[#This Row],[Date]] &lt;= TODAY())</f>
        <v>1</v>
      </c>
      <c r="C187">
        <v>27</v>
      </c>
      <c r="D187" t="s">
        <v>368</v>
      </c>
      <c r="E187">
        <v>2025</v>
      </c>
      <c r="F187" t="s">
        <v>483</v>
      </c>
      <c r="G187" t="s">
        <v>3</v>
      </c>
      <c r="H187" t="s">
        <v>298</v>
      </c>
      <c r="I187" t="s">
        <v>479</v>
      </c>
      <c r="J187" t="s">
        <v>480</v>
      </c>
      <c r="K187">
        <v>20</v>
      </c>
      <c r="L187" t="str">
        <f>IF(SportClimbing[[#This Row],[Height (m)]]&lt;11, "0-10", IF(SportClimbing[[#This Row],[Height (m)]]&lt;16, "11-15", IF(SportClimbing[[#This Row],[Height (m)]]&lt;21, "16-20", IF(SportClimbing[[#This Row],[Height (m)]]&lt;26, "21-25", IF(SportClimbing[[#This Row],[Height (m)]]&lt;31, "26-30", IF(SportClimbing[[#This Row],[Height (m)]]&lt;36, "31-35", "35+"))))))</f>
        <v>16-20</v>
      </c>
      <c r="M187" t="s">
        <v>469</v>
      </c>
      <c r="N187" t="s">
        <v>130</v>
      </c>
      <c r="O187">
        <f>IF(ISNUMBER(SportClimbing[[#This Row],[Total number of tries]])=TRUE, SportClimbing[[#This Row],[Total number of tries]], 1)</f>
        <v>1</v>
      </c>
      <c r="P187" t="str">
        <f>IF(ISNUMBER(SportClimbing[[#This Row],[Total number of tries]])=TRUE, "redpoint", SportClimbing[[#This Row],[Total number of tries]])</f>
        <v>onsight</v>
      </c>
      <c r="Q187">
        <f>_xlfn.XLOOKUP(SportClimbing[[#This Row],[Grade]],SCORE[GRADE],SCORE[SCORE],,)</f>
        <v>10</v>
      </c>
    </row>
    <row r="188" spans="1:17" x14ac:dyDescent="0.25">
      <c r="A188" s="21">
        <v>45774</v>
      </c>
      <c r="B188" s="21" t="b">
        <f ca="1">AND(SportClimbing[[#This Row],[Date]] &gt;= TODAY()-365, SportClimbing[[#This Row],[Date]] &lt;= TODAY())</f>
        <v>1</v>
      </c>
      <c r="C188">
        <v>27</v>
      </c>
      <c r="D188" t="s">
        <v>368</v>
      </c>
      <c r="E188">
        <v>2025</v>
      </c>
      <c r="F188" t="s">
        <v>481</v>
      </c>
      <c r="G188" t="s">
        <v>21</v>
      </c>
      <c r="H188" t="s">
        <v>298</v>
      </c>
      <c r="I188" t="s">
        <v>479</v>
      </c>
      <c r="J188" t="s">
        <v>480</v>
      </c>
      <c r="K188">
        <v>20</v>
      </c>
      <c r="L188" t="str">
        <f>IF(SportClimbing[[#This Row],[Height (m)]]&lt;11, "0-10", IF(SportClimbing[[#This Row],[Height (m)]]&lt;16, "11-15", IF(SportClimbing[[#This Row],[Height (m)]]&lt;21, "16-20", IF(SportClimbing[[#This Row],[Height (m)]]&lt;26, "21-25", IF(SportClimbing[[#This Row],[Height (m)]]&lt;31, "26-30", IF(SportClimbing[[#This Row],[Height (m)]]&lt;36, "31-35", "35+"))))))</f>
        <v>16-20</v>
      </c>
      <c r="M188" t="s">
        <v>469</v>
      </c>
      <c r="N188" t="s">
        <v>130</v>
      </c>
      <c r="O188">
        <f>IF(ISNUMBER(SportClimbing[[#This Row],[Total number of tries]])=TRUE, SportClimbing[[#This Row],[Total number of tries]], 1)</f>
        <v>1</v>
      </c>
      <c r="P188" t="str">
        <f>IF(ISNUMBER(SportClimbing[[#This Row],[Total number of tries]])=TRUE, "redpoint", SportClimbing[[#This Row],[Total number of tries]])</f>
        <v>onsight</v>
      </c>
      <c r="Q188">
        <f>_xlfn.XLOOKUP(SportClimbing[[#This Row],[Grade]],SCORE[GRADE],SCORE[SCORE],,)</f>
        <v>15</v>
      </c>
    </row>
    <row r="189" spans="1:17" x14ac:dyDescent="0.25">
      <c r="A189" s="21">
        <v>45774</v>
      </c>
      <c r="B189" s="21" t="b">
        <f ca="1">AND(SportClimbing[[#This Row],[Date]] &gt;= TODAY()-365, SportClimbing[[#This Row],[Date]] &lt;= TODAY())</f>
        <v>1</v>
      </c>
      <c r="C189">
        <v>27</v>
      </c>
      <c r="D189" t="s">
        <v>368</v>
      </c>
      <c r="E189">
        <v>2025</v>
      </c>
      <c r="F189" t="s">
        <v>482</v>
      </c>
      <c r="G189" t="s">
        <v>29</v>
      </c>
      <c r="H189" t="s">
        <v>298</v>
      </c>
      <c r="I189" t="s">
        <v>479</v>
      </c>
      <c r="J189" t="s">
        <v>480</v>
      </c>
      <c r="K189">
        <v>20</v>
      </c>
      <c r="L189" t="str">
        <f>IF(SportClimbing[[#This Row],[Height (m)]]&lt;11, "0-10", IF(SportClimbing[[#This Row],[Height (m)]]&lt;16, "11-15", IF(SportClimbing[[#This Row],[Height (m)]]&lt;21, "16-20", IF(SportClimbing[[#This Row],[Height (m)]]&lt;26, "21-25", IF(SportClimbing[[#This Row],[Height (m)]]&lt;31, "26-30", IF(SportClimbing[[#This Row],[Height (m)]]&lt;36, "31-35", "35+"))))))</f>
        <v>16-20</v>
      </c>
      <c r="M189" t="s">
        <v>469</v>
      </c>
      <c r="N189">
        <v>2</v>
      </c>
      <c r="O189">
        <f>IF(ISNUMBER(SportClimbing[[#This Row],[Total number of tries]])=TRUE, SportClimbing[[#This Row],[Total number of tries]], 1)</f>
        <v>2</v>
      </c>
      <c r="P189" t="str">
        <f>IF(ISNUMBER(SportClimbing[[#This Row],[Total number of tries]])=TRUE, "redpoint", SportClimbing[[#This Row],[Total number of tries]])</f>
        <v>redpoint</v>
      </c>
      <c r="Q189">
        <f>_xlfn.XLOOKUP(SportClimbing[[#This Row],[Grade]],SCORE[GRADE],SCORE[SCORE],,)</f>
        <v>25</v>
      </c>
    </row>
    <row r="190" spans="1:17" x14ac:dyDescent="0.25">
      <c r="A190" s="21">
        <v>45788</v>
      </c>
      <c r="B190" s="21" t="b">
        <f ca="1">AND(SportClimbing[[#This Row],[Date]] &gt;= TODAY()-365, SportClimbing[[#This Row],[Date]] &lt;= TODAY())</f>
        <v>1</v>
      </c>
      <c r="C190">
        <v>11</v>
      </c>
      <c r="D190" t="s">
        <v>155</v>
      </c>
      <c r="E190">
        <v>2025</v>
      </c>
      <c r="F190" t="s">
        <v>484</v>
      </c>
      <c r="G190" t="s">
        <v>3</v>
      </c>
      <c r="H190" t="s">
        <v>298</v>
      </c>
      <c r="I190" t="s">
        <v>486</v>
      </c>
      <c r="J190" t="s">
        <v>487</v>
      </c>
      <c r="K190">
        <v>10</v>
      </c>
      <c r="L190" t="str">
        <f>IF(SportClimbing[[#This Row],[Height (m)]]&lt;11, "0-10", IF(SportClimbing[[#This Row],[Height (m)]]&lt;16, "11-15", IF(SportClimbing[[#This Row],[Height (m)]]&lt;21, "16-20", IF(SportClimbing[[#This Row],[Height (m)]]&lt;26, "21-25", IF(SportClimbing[[#This Row],[Height (m)]]&lt;31, "26-30", IF(SportClimbing[[#This Row],[Height (m)]]&lt;36, "31-35", "35+"))))))</f>
        <v>0-10</v>
      </c>
      <c r="M190" t="s">
        <v>469</v>
      </c>
      <c r="N190">
        <v>2</v>
      </c>
      <c r="O190">
        <f>IF(ISNUMBER(SportClimbing[[#This Row],[Total number of tries]])=TRUE, SportClimbing[[#This Row],[Total number of tries]], 1)</f>
        <v>2</v>
      </c>
      <c r="P190" t="str">
        <f>IF(ISNUMBER(SportClimbing[[#This Row],[Total number of tries]])=TRUE, "redpoint", SportClimbing[[#This Row],[Total number of tries]])</f>
        <v>redpoint</v>
      </c>
      <c r="Q190">
        <f>_xlfn.XLOOKUP(SportClimbing[[#This Row],[Grade]],SCORE[GRADE],SCORE[SCORE],,)</f>
        <v>10</v>
      </c>
    </row>
    <row r="191" spans="1:17" x14ac:dyDescent="0.25">
      <c r="A191" s="21">
        <v>45788</v>
      </c>
      <c r="B191" s="21" t="b">
        <f ca="1">AND(SportClimbing[[#This Row],[Date]] &gt;= TODAY()-365, SportClimbing[[#This Row],[Date]] &lt;= TODAY())</f>
        <v>1</v>
      </c>
      <c r="C191">
        <v>11</v>
      </c>
      <c r="D191" t="s">
        <v>155</v>
      </c>
      <c r="E191">
        <v>2025</v>
      </c>
      <c r="F191" t="s">
        <v>485</v>
      </c>
      <c r="G191" t="s">
        <v>3</v>
      </c>
      <c r="H191" t="s">
        <v>298</v>
      </c>
      <c r="I191" t="s">
        <v>486</v>
      </c>
      <c r="J191" t="s">
        <v>487</v>
      </c>
      <c r="K191">
        <v>10</v>
      </c>
      <c r="L191" t="str">
        <f>IF(SportClimbing[[#This Row],[Height (m)]]&lt;11, "0-10", IF(SportClimbing[[#This Row],[Height (m)]]&lt;16, "11-15", IF(SportClimbing[[#This Row],[Height (m)]]&lt;21, "16-20", IF(SportClimbing[[#This Row],[Height (m)]]&lt;26, "21-25", IF(SportClimbing[[#This Row],[Height (m)]]&lt;31, "26-30", IF(SportClimbing[[#This Row],[Height (m)]]&lt;36, "31-35", "35+"))))))</f>
        <v>0-10</v>
      </c>
      <c r="M191" t="s">
        <v>469</v>
      </c>
      <c r="N191">
        <v>2</v>
      </c>
      <c r="O191">
        <f>IF(ISNUMBER(SportClimbing[[#This Row],[Total number of tries]])=TRUE, SportClimbing[[#This Row],[Total number of tries]], 1)</f>
        <v>2</v>
      </c>
      <c r="P191" t="str">
        <f>IF(ISNUMBER(SportClimbing[[#This Row],[Total number of tries]])=TRUE, "redpoint", SportClimbing[[#This Row],[Total number of tries]])</f>
        <v>redpoint</v>
      </c>
      <c r="Q191">
        <f>_xlfn.XLOOKUP(SportClimbing[[#This Row],[Grade]],SCORE[GRADE],SCORE[SCORE],,)</f>
        <v>10</v>
      </c>
    </row>
    <row r="192" spans="1:17" x14ac:dyDescent="0.25">
      <c r="A192" s="21">
        <v>45801</v>
      </c>
      <c r="B192" s="21" t="b">
        <f ca="1">AND(SportClimbing[[#This Row],[Date]] &gt;= TODAY()-365, SportClimbing[[#This Row],[Date]] &lt;= TODAY())</f>
        <v>1</v>
      </c>
      <c r="C192">
        <v>24</v>
      </c>
      <c r="D192" t="s">
        <v>155</v>
      </c>
      <c r="E192">
        <v>2025</v>
      </c>
      <c r="F192" t="s">
        <v>489</v>
      </c>
      <c r="G192" t="s">
        <v>69</v>
      </c>
      <c r="H192" t="s">
        <v>298</v>
      </c>
      <c r="I192" t="s">
        <v>334</v>
      </c>
      <c r="J192" t="s">
        <v>488</v>
      </c>
      <c r="K192">
        <v>25</v>
      </c>
      <c r="L192" t="str">
        <f>IF(SportClimbing[[#This Row],[Height (m)]]&lt;11, "0-10", IF(SportClimbing[[#This Row],[Height (m)]]&lt;16, "11-15", IF(SportClimbing[[#This Row],[Height (m)]]&lt;21, "16-20", IF(SportClimbing[[#This Row],[Height (m)]]&lt;26, "21-25", IF(SportClimbing[[#This Row],[Height (m)]]&lt;31, "26-30", IF(SportClimbing[[#This Row],[Height (m)]]&lt;36, "31-35", "35+"))))))</f>
        <v>21-25</v>
      </c>
      <c r="M192" t="s">
        <v>469</v>
      </c>
      <c r="N192">
        <v>5</v>
      </c>
      <c r="O192">
        <f>IF(ISNUMBER(SportClimbing[[#This Row],[Total number of tries]])=TRUE, SportClimbing[[#This Row],[Total number of tries]], 1)</f>
        <v>5</v>
      </c>
      <c r="P192" t="str">
        <f>IF(ISNUMBER(SportClimbing[[#This Row],[Total number of tries]])=TRUE, "redpoint", SportClimbing[[#This Row],[Total number of tries]])</f>
        <v>redpoint</v>
      </c>
      <c r="Q192">
        <f>_xlfn.XLOOKUP(SportClimbing[[#This Row],[Grade]],SCORE[GRADE],SCORE[SCORE],,)</f>
        <v>60</v>
      </c>
    </row>
    <row r="193" spans="1:17" x14ac:dyDescent="0.25">
      <c r="A193" s="21">
        <v>45835</v>
      </c>
      <c r="B193" s="21" t="b">
        <f ca="1">AND(SportClimbing[[#This Row],[Date]] &gt;= TODAY()-365, SportClimbing[[#This Row],[Date]] &lt;= TODAY())</f>
        <v>1</v>
      </c>
      <c r="C193">
        <v>27</v>
      </c>
      <c r="D193" t="s">
        <v>366</v>
      </c>
      <c r="E193">
        <v>2025</v>
      </c>
      <c r="F193" t="s">
        <v>490</v>
      </c>
      <c r="G193" t="s">
        <v>163</v>
      </c>
      <c r="H193" t="s">
        <v>298</v>
      </c>
      <c r="I193" t="s">
        <v>433</v>
      </c>
      <c r="J193" t="s">
        <v>434</v>
      </c>
      <c r="K193">
        <v>20</v>
      </c>
      <c r="L193" t="str">
        <f>IF(SportClimbing[[#This Row],[Height (m)]]&lt;11, "0-10", IF(SportClimbing[[#This Row],[Height (m)]]&lt;16, "11-15", IF(SportClimbing[[#This Row],[Height (m)]]&lt;21, "16-20", IF(SportClimbing[[#This Row],[Height (m)]]&lt;26, "21-25", IF(SportClimbing[[#This Row],[Height (m)]]&lt;31, "26-30", IF(SportClimbing[[#This Row],[Height (m)]]&lt;36, "31-35", "35+"))))))</f>
        <v>16-20</v>
      </c>
      <c r="M193" t="s">
        <v>435</v>
      </c>
      <c r="N193">
        <v>14</v>
      </c>
      <c r="O193">
        <f>IF(ISNUMBER(SportClimbing[[#This Row],[Total number of tries]])=TRUE, SportClimbing[[#This Row],[Total number of tries]], 1)</f>
        <v>14</v>
      </c>
      <c r="P193" t="str">
        <f>IF(ISNUMBER(SportClimbing[[#This Row],[Total number of tries]])=TRUE, "redpoint", SportClimbing[[#This Row],[Total number of tries]])</f>
        <v>redpoint</v>
      </c>
      <c r="Q193">
        <f>_xlfn.XLOOKUP(SportClimbing[[#This Row],[Grade]],SCORE[GRADE],SCORE[SCORE],,)</f>
        <v>80</v>
      </c>
    </row>
    <row r="194" spans="1:17" x14ac:dyDescent="0.25">
      <c r="A194" s="21">
        <f>DATE(SportClimbing[[#This Row],[Year]],_xlfn.XLOOKUP(SportClimbing[[#This Row],[Month]],MONTHS[MONTHS 2],MONTHS[MONTHS 3]),SportClimbing[[#This Row],[Day]])</f>
        <v>45861</v>
      </c>
      <c r="B194" s="21" t="b">
        <f ca="1">AND(SportClimbing[[#This Row],[Date]] &gt;= TODAY()-365, SportClimbing[[#This Row],[Date]] &lt;= TODAY())</f>
        <v>1</v>
      </c>
      <c r="C194">
        <v>23</v>
      </c>
      <c r="D194" t="s">
        <v>365</v>
      </c>
      <c r="E194">
        <v>2025</v>
      </c>
      <c r="F194" t="s">
        <v>499</v>
      </c>
      <c r="G194" t="s">
        <v>3</v>
      </c>
      <c r="H194" t="s">
        <v>261</v>
      </c>
      <c r="I194" t="s">
        <v>493</v>
      </c>
      <c r="J194" t="s">
        <v>495</v>
      </c>
      <c r="K194">
        <v>30</v>
      </c>
      <c r="L194" t="str">
        <f>IF(SportClimbing[[#This Row],[Height (m)]]&lt;11, "0-10", IF(SportClimbing[[#This Row],[Height (m)]]&lt;16, "11-15", IF(SportClimbing[[#This Row],[Height (m)]]&lt;21, "16-20", IF(SportClimbing[[#This Row],[Height (m)]]&lt;26, "21-25", IF(SportClimbing[[#This Row],[Height (m)]]&lt;31, "26-30", IF(SportClimbing[[#This Row],[Height (m)]]&lt;36, "31-35", "35+"))))))</f>
        <v>26-30</v>
      </c>
      <c r="M194" t="s">
        <v>469</v>
      </c>
      <c r="N194">
        <v>2</v>
      </c>
      <c r="O194">
        <f>IF(ISNUMBER(SportClimbing[[#This Row],[Total number of tries]])=TRUE, SportClimbing[[#This Row],[Total number of tries]], 1)</f>
        <v>2</v>
      </c>
      <c r="P194" t="str">
        <f>IF(ISNUMBER(SportClimbing[[#This Row],[Total number of tries]])=TRUE, "redpoint", SportClimbing[[#This Row],[Total number of tries]])</f>
        <v>redpoint</v>
      </c>
      <c r="Q194">
        <f>_xlfn.XLOOKUP(SportClimbing[[#This Row],[Grade]],SCORE[GRADE],SCORE[SCORE],,)</f>
        <v>10</v>
      </c>
    </row>
    <row r="195" spans="1:17" x14ac:dyDescent="0.25">
      <c r="A195" s="21">
        <f>DATE(SportClimbing[[#This Row],[Year]],_xlfn.XLOOKUP(SportClimbing[[#This Row],[Month]],MONTHS[MONTHS 2],MONTHS[MONTHS 3]),SportClimbing[[#This Row],[Day]])</f>
        <v>45865</v>
      </c>
      <c r="B195" s="21" t="b">
        <f ca="1">AND(SportClimbing[[#This Row],[Date]] &gt;= TODAY()-365, SportClimbing[[#This Row],[Date]] &lt;= TODAY())</f>
        <v>1</v>
      </c>
      <c r="C195">
        <v>27</v>
      </c>
      <c r="D195" t="s">
        <v>365</v>
      </c>
      <c r="E195">
        <v>2025</v>
      </c>
      <c r="F195" t="s">
        <v>496</v>
      </c>
      <c r="G195" t="s">
        <v>3</v>
      </c>
      <c r="H195" t="s">
        <v>261</v>
      </c>
      <c r="I195" t="s">
        <v>494</v>
      </c>
      <c r="J195" t="s">
        <v>498</v>
      </c>
      <c r="K195">
        <v>18</v>
      </c>
      <c r="L195" t="str">
        <f>IF(SportClimbing[[#This Row],[Height (m)]]&lt;11, "0-10", IF(SportClimbing[[#This Row],[Height (m)]]&lt;16, "11-15", IF(SportClimbing[[#This Row],[Height (m)]]&lt;21, "16-20", IF(SportClimbing[[#This Row],[Height (m)]]&lt;26, "21-25", IF(SportClimbing[[#This Row],[Height (m)]]&lt;31, "26-30", IF(SportClimbing[[#This Row],[Height (m)]]&lt;36, "31-35", "35+"))))))</f>
        <v>16-20</v>
      </c>
      <c r="M195" t="s">
        <v>469</v>
      </c>
      <c r="N195" t="s">
        <v>130</v>
      </c>
      <c r="O195">
        <f>IF(ISNUMBER(SportClimbing[[#This Row],[Total number of tries]])=TRUE, SportClimbing[[#This Row],[Total number of tries]], 1)</f>
        <v>1</v>
      </c>
      <c r="P195" t="str">
        <f>IF(ISNUMBER(SportClimbing[[#This Row],[Total number of tries]])=TRUE, "redpoint", SportClimbing[[#This Row],[Total number of tries]])</f>
        <v>onsight</v>
      </c>
      <c r="Q195">
        <f>_xlfn.XLOOKUP(SportClimbing[[#This Row],[Grade]],SCORE[GRADE],SCORE[SCORE],,)</f>
        <v>10</v>
      </c>
    </row>
    <row r="196" spans="1:17" x14ac:dyDescent="0.25">
      <c r="A196" s="21">
        <f>DATE(SportClimbing[[#This Row],[Year]],_xlfn.XLOOKUP(SportClimbing[[#This Row],[Month]],MONTHS[MONTHS 2],MONTHS[MONTHS 3]),SportClimbing[[#This Row],[Day]])</f>
        <v>45865</v>
      </c>
      <c r="B196" s="21" t="b">
        <f ca="1">AND(SportClimbing[[#This Row],[Date]] &gt;= TODAY()-365, SportClimbing[[#This Row],[Date]] &lt;= TODAY())</f>
        <v>1</v>
      </c>
      <c r="C196">
        <v>27</v>
      </c>
      <c r="D196" t="s">
        <v>365</v>
      </c>
      <c r="E196">
        <v>2025</v>
      </c>
      <c r="F196" t="s">
        <v>497</v>
      </c>
      <c r="G196" t="s">
        <v>3</v>
      </c>
      <c r="H196" t="s">
        <v>261</v>
      </c>
      <c r="I196" t="s">
        <v>494</v>
      </c>
      <c r="J196" t="s">
        <v>498</v>
      </c>
      <c r="K196">
        <v>22</v>
      </c>
      <c r="L196" t="str">
        <f>IF(SportClimbing[[#This Row],[Height (m)]]&lt;11, "0-10", IF(SportClimbing[[#This Row],[Height (m)]]&lt;16, "11-15", IF(SportClimbing[[#This Row],[Height (m)]]&lt;21, "16-20", IF(SportClimbing[[#This Row],[Height (m)]]&lt;26, "21-25", IF(SportClimbing[[#This Row],[Height (m)]]&lt;31, "26-30", IF(SportClimbing[[#This Row],[Height (m)]]&lt;36, "31-35", "35+"))))))</f>
        <v>21-25</v>
      </c>
      <c r="M196" t="s">
        <v>469</v>
      </c>
      <c r="N196" t="s">
        <v>130</v>
      </c>
      <c r="O196">
        <f>IF(ISNUMBER(SportClimbing[[#This Row],[Total number of tries]])=TRUE, SportClimbing[[#This Row],[Total number of tries]], 1)</f>
        <v>1</v>
      </c>
      <c r="P196" t="str">
        <f>IF(ISNUMBER(SportClimbing[[#This Row],[Total number of tries]])=TRUE, "redpoint", SportClimbing[[#This Row],[Total number of tries]])</f>
        <v>onsight</v>
      </c>
      <c r="Q196">
        <f>_xlfn.XLOOKUP(SportClimbing[[#This Row],[Grade]],SCORE[GRADE],SCORE[SCORE],,)</f>
        <v>10</v>
      </c>
    </row>
    <row r="197" spans="1:17" x14ac:dyDescent="0.25">
      <c r="A197" s="21">
        <f>DATE(SportClimbing[[#This Row],[Year]],_xlfn.XLOOKUP(SportClimbing[[#This Row],[Month]],MONTHS[MONTHS 2],MONTHS[MONTHS 3]),SportClimbing[[#This Row],[Day]])</f>
        <v>45867</v>
      </c>
      <c r="B197" s="21" t="b">
        <f ca="1">AND(SportClimbing[[#This Row],[Date]] &gt;= TODAY()-365, SportClimbing[[#This Row],[Date]] &lt;= TODAY())</f>
        <v>1</v>
      </c>
      <c r="C197">
        <v>29</v>
      </c>
      <c r="D197" t="s">
        <v>365</v>
      </c>
      <c r="E197">
        <v>2025</v>
      </c>
      <c r="F197" t="s">
        <v>503</v>
      </c>
      <c r="G197" t="s">
        <v>3</v>
      </c>
      <c r="H197" t="s">
        <v>261</v>
      </c>
      <c r="I197" t="s">
        <v>494</v>
      </c>
      <c r="J197" t="s">
        <v>502</v>
      </c>
      <c r="K197">
        <v>27</v>
      </c>
      <c r="L197" t="str">
        <f>IF(SportClimbing[[#This Row],[Height (m)]]&lt;11, "0-10", IF(SportClimbing[[#This Row],[Height (m)]]&lt;16, "11-15", IF(SportClimbing[[#This Row],[Height (m)]]&lt;21, "16-20", IF(SportClimbing[[#This Row],[Height (m)]]&lt;26, "21-25", IF(SportClimbing[[#This Row],[Height (m)]]&lt;31, "26-30", IF(SportClimbing[[#This Row],[Height (m)]]&lt;36, "31-35", "35+"))))))</f>
        <v>26-30</v>
      </c>
      <c r="M197" t="s">
        <v>469</v>
      </c>
      <c r="N197" t="s">
        <v>130</v>
      </c>
      <c r="O197">
        <f>IF(ISNUMBER(SportClimbing[[#This Row],[Total number of tries]])=TRUE, SportClimbing[[#This Row],[Total number of tries]], 1)</f>
        <v>1</v>
      </c>
      <c r="P197" t="str">
        <f>IF(ISNUMBER(SportClimbing[[#This Row],[Total number of tries]])=TRUE, "redpoint", SportClimbing[[#This Row],[Total number of tries]])</f>
        <v>onsight</v>
      </c>
      <c r="Q197">
        <f>_xlfn.XLOOKUP(SportClimbing[[#This Row],[Grade]],SCORE[GRADE],SCORE[SCORE],,)</f>
        <v>10</v>
      </c>
    </row>
    <row r="198" spans="1:17" x14ac:dyDescent="0.25">
      <c r="A198" s="21">
        <f>DATE(SportClimbing[[#This Row],[Year]],_xlfn.XLOOKUP(SportClimbing[[#This Row],[Month]],MONTHS[MONTHS 2],MONTHS[MONTHS 3]),SportClimbing[[#This Row],[Day]])</f>
        <v>45888</v>
      </c>
      <c r="B198" s="21" t="b">
        <f ca="1">AND(SportClimbing[[#This Row],[Date]] &gt;= TODAY()-365, SportClimbing[[#This Row],[Date]] &lt;= TODAY())</f>
        <v>1</v>
      </c>
      <c r="C198">
        <v>19</v>
      </c>
      <c r="D198" t="s">
        <v>158</v>
      </c>
      <c r="E198">
        <v>2025</v>
      </c>
      <c r="F198" t="s">
        <v>505</v>
      </c>
      <c r="G198" t="s">
        <v>29</v>
      </c>
      <c r="H198" t="s">
        <v>262</v>
      </c>
      <c r="I198" t="s">
        <v>501</v>
      </c>
      <c r="J198" t="s">
        <v>504</v>
      </c>
      <c r="K198">
        <v>30</v>
      </c>
      <c r="L198" t="str">
        <f>IF(SportClimbing[[#This Row],[Height (m)]]&lt;11, "0-10", IF(SportClimbing[[#This Row],[Height (m)]]&lt;16, "11-15", IF(SportClimbing[[#This Row],[Height (m)]]&lt;21, "16-20", IF(SportClimbing[[#This Row],[Height (m)]]&lt;26, "21-25", IF(SportClimbing[[#This Row],[Height (m)]]&lt;31, "26-30", IF(SportClimbing[[#This Row],[Height (m)]]&lt;36, "31-35", "35+"))))))</f>
        <v>26-30</v>
      </c>
      <c r="M198" t="s">
        <v>469</v>
      </c>
      <c r="N198" t="s">
        <v>130</v>
      </c>
      <c r="O198">
        <f>IF(ISNUMBER(SportClimbing[[#This Row],[Total number of tries]])=TRUE, SportClimbing[[#This Row],[Total number of tries]], 1)</f>
        <v>1</v>
      </c>
      <c r="P198" t="str">
        <f>IF(ISNUMBER(SportClimbing[[#This Row],[Total number of tries]])=TRUE, "redpoint", SportClimbing[[#This Row],[Total number of tries]])</f>
        <v>onsight</v>
      </c>
      <c r="Q198">
        <f>_xlfn.XLOOKUP(SportClimbing[[#This Row],[Grade]],SCORE[GRADE],SCORE[SCORE],,)</f>
        <v>25</v>
      </c>
    </row>
    <row r="199" spans="1:17" x14ac:dyDescent="0.25">
      <c r="A199" s="21">
        <f>DATE(SportClimbing[[#This Row],[Year]],_xlfn.XLOOKUP(SportClimbing[[#This Row],[Month]],MONTHS[MONTHS 2],MONTHS[MONTHS 3]),SportClimbing[[#This Row],[Day]])</f>
        <v>45889</v>
      </c>
      <c r="B199" s="21" t="b">
        <f ca="1">AND(SportClimbing[[#This Row],[Date]] &gt;= TODAY()-365, SportClimbing[[#This Row],[Date]] &lt;= TODAY())</f>
        <v>1</v>
      </c>
      <c r="C199">
        <v>20</v>
      </c>
      <c r="D199" t="s">
        <v>158</v>
      </c>
      <c r="E199">
        <v>2025</v>
      </c>
      <c r="F199" t="s">
        <v>500</v>
      </c>
      <c r="G199" t="s">
        <v>3</v>
      </c>
      <c r="H199" t="s">
        <v>262</v>
      </c>
      <c r="I199" t="s">
        <v>501</v>
      </c>
      <c r="J199" t="s">
        <v>506</v>
      </c>
      <c r="K199">
        <v>28</v>
      </c>
      <c r="L199" t="str">
        <f>IF(SportClimbing[[#This Row],[Height (m)]]&lt;11, "0-10", IF(SportClimbing[[#This Row],[Height (m)]]&lt;16, "11-15", IF(SportClimbing[[#This Row],[Height (m)]]&lt;21, "16-20", IF(SportClimbing[[#This Row],[Height (m)]]&lt;26, "21-25", IF(SportClimbing[[#This Row],[Height (m)]]&lt;31, "26-30", IF(SportClimbing[[#This Row],[Height (m)]]&lt;36, "31-35", "35+"))))))</f>
        <v>26-30</v>
      </c>
      <c r="M199" t="s">
        <v>469</v>
      </c>
      <c r="N199">
        <v>2</v>
      </c>
      <c r="O199">
        <f>IF(ISNUMBER(SportClimbing[[#This Row],[Total number of tries]])=TRUE, SportClimbing[[#This Row],[Total number of tries]], 1)</f>
        <v>2</v>
      </c>
      <c r="P199" t="str">
        <f>IF(ISNUMBER(SportClimbing[[#This Row],[Total number of tries]])=TRUE, "redpoint", SportClimbing[[#This Row],[Total number of tries]])</f>
        <v>redpoint</v>
      </c>
      <c r="Q199">
        <f>_xlfn.XLOOKUP(SportClimbing[[#This Row],[Grade]],SCORE[GRADE],SCORE[SCORE],,)</f>
        <v>10</v>
      </c>
    </row>
    <row r="200" spans="1:17" x14ac:dyDescent="0.25">
      <c r="A200" s="21">
        <f>DATE(SportClimbing[[#This Row],[Year]],_xlfn.XLOOKUP(SportClimbing[[#This Row],[Month]],MONTHS[MONTHS 2],MONTHS[MONTHS 3]),SportClimbing[[#This Row],[Day]])</f>
        <v>45894</v>
      </c>
      <c r="B200" s="21" t="b">
        <f ca="1">AND(SportClimbing[[#This Row],[Date]] &gt;= TODAY()-365, SportClimbing[[#This Row],[Date]] &lt;= TODAY())</f>
        <v>1</v>
      </c>
      <c r="C200">
        <v>25</v>
      </c>
      <c r="D200" t="s">
        <v>158</v>
      </c>
      <c r="E200">
        <v>2025</v>
      </c>
      <c r="F200" t="s">
        <v>507</v>
      </c>
      <c r="G200" t="s">
        <v>3</v>
      </c>
      <c r="H200" t="s">
        <v>261</v>
      </c>
      <c r="I200" t="s">
        <v>508</v>
      </c>
      <c r="J200" t="s">
        <v>509</v>
      </c>
      <c r="K200">
        <v>25</v>
      </c>
      <c r="L200" t="str">
        <f>IF(SportClimbing[[#This Row],[Height (m)]]&lt;11, "0-10", IF(SportClimbing[[#This Row],[Height (m)]]&lt;16, "11-15", IF(SportClimbing[[#This Row],[Height (m)]]&lt;21, "16-20", IF(SportClimbing[[#This Row],[Height (m)]]&lt;26, "21-25", IF(SportClimbing[[#This Row],[Height (m)]]&lt;31, "26-30", IF(SportClimbing[[#This Row],[Height (m)]]&lt;36, "31-35", "35+"))))))</f>
        <v>21-25</v>
      </c>
      <c r="M200" t="s">
        <v>469</v>
      </c>
      <c r="N200">
        <v>2</v>
      </c>
      <c r="O200">
        <f>IF(ISNUMBER(SportClimbing[[#This Row],[Total number of tries]])=TRUE, SportClimbing[[#This Row],[Total number of tries]], 1)</f>
        <v>2</v>
      </c>
      <c r="P200" t="str">
        <f>IF(ISNUMBER(SportClimbing[[#This Row],[Total number of tries]])=TRUE, "redpoint", SportClimbing[[#This Row],[Total number of tries]])</f>
        <v>redpoint</v>
      </c>
      <c r="Q200">
        <f>_xlfn.XLOOKUP(SportClimbing[[#This Row],[Grade]],SCORE[GRADE],SCORE[SCORE],,)</f>
        <v>10</v>
      </c>
    </row>
    <row r="201" spans="1:17" x14ac:dyDescent="0.25">
      <c r="A201" s="21">
        <v>45906</v>
      </c>
      <c r="B201" s="21" t="b">
        <f ca="1">AND(SportClimbing[[#This Row],[Date]] &gt;= TODAY()-365, SportClimbing[[#This Row],[Date]] &lt;= TODAY())</f>
        <v>1</v>
      </c>
      <c r="C201">
        <v>6</v>
      </c>
      <c r="D201" t="s">
        <v>159</v>
      </c>
      <c r="E201">
        <v>2025</v>
      </c>
      <c r="F201" t="s">
        <v>510</v>
      </c>
      <c r="G201" t="s">
        <v>3</v>
      </c>
      <c r="H201" t="s">
        <v>298</v>
      </c>
      <c r="I201" t="s">
        <v>514</v>
      </c>
      <c r="J201" t="s">
        <v>513</v>
      </c>
      <c r="K201">
        <v>11</v>
      </c>
      <c r="L201" t="str">
        <f>IF(SportClimbing[[#This Row],[Height (m)]]&lt;11, "0-10", IF(SportClimbing[[#This Row],[Height (m)]]&lt;16, "11-15", IF(SportClimbing[[#This Row],[Height (m)]]&lt;21, "16-20", IF(SportClimbing[[#This Row],[Height (m)]]&lt;26, "21-25", IF(SportClimbing[[#This Row],[Height (m)]]&lt;31, "26-30", IF(SportClimbing[[#This Row],[Height (m)]]&lt;36, "31-35", "35+"))))))</f>
        <v>11-15</v>
      </c>
      <c r="M201" t="s">
        <v>469</v>
      </c>
      <c r="N201">
        <v>2</v>
      </c>
      <c r="O201">
        <f>IF(ISNUMBER(SportClimbing[[#This Row],[Total number of tries]])=TRUE, SportClimbing[[#This Row],[Total number of tries]], 1)</f>
        <v>2</v>
      </c>
      <c r="P201" t="str">
        <f>IF(ISNUMBER(SportClimbing[[#This Row],[Total number of tries]])=TRUE, "redpoint", SportClimbing[[#This Row],[Total number of tries]])</f>
        <v>redpoint</v>
      </c>
      <c r="Q201">
        <f>_xlfn.XLOOKUP(SportClimbing[[#This Row],[Grade]],SCORE[GRADE],SCORE[SCORE],,)</f>
        <v>10</v>
      </c>
    </row>
    <row r="202" spans="1:17" x14ac:dyDescent="0.25">
      <c r="A202" s="21">
        <v>45906</v>
      </c>
      <c r="B202" s="21" t="b">
        <f ca="1">AND(SportClimbing[[#This Row],[Date]] &gt;= TODAY()-365, SportClimbing[[#This Row],[Date]] &lt;= TODAY())</f>
        <v>1</v>
      </c>
      <c r="C202">
        <v>6</v>
      </c>
      <c r="D202" t="s">
        <v>159</v>
      </c>
      <c r="E202">
        <v>2025</v>
      </c>
      <c r="F202" t="s">
        <v>511</v>
      </c>
      <c r="G202" t="s">
        <v>3</v>
      </c>
      <c r="H202" t="s">
        <v>298</v>
      </c>
      <c r="I202" t="s">
        <v>514</v>
      </c>
      <c r="J202" t="s">
        <v>512</v>
      </c>
      <c r="K202">
        <v>15</v>
      </c>
      <c r="L202" t="str">
        <f>IF(SportClimbing[[#This Row],[Height (m)]]&lt;11, "0-10", IF(SportClimbing[[#This Row],[Height (m)]]&lt;16, "11-15", IF(SportClimbing[[#This Row],[Height (m)]]&lt;21, "16-20", IF(SportClimbing[[#This Row],[Height (m)]]&lt;26, "21-25", IF(SportClimbing[[#This Row],[Height (m)]]&lt;31, "26-30", IF(SportClimbing[[#This Row],[Height (m)]]&lt;36, "31-35", "35+"))))))</f>
        <v>11-15</v>
      </c>
      <c r="M202" t="s">
        <v>469</v>
      </c>
      <c r="N202" t="s">
        <v>130</v>
      </c>
      <c r="O202">
        <f>IF(ISNUMBER(SportClimbing[[#This Row],[Total number of tries]])=TRUE, SportClimbing[[#This Row],[Total number of tries]], 1)</f>
        <v>1</v>
      </c>
      <c r="P202" t="str">
        <f>IF(ISNUMBER(SportClimbing[[#This Row],[Total number of tries]])=TRUE, "redpoint", SportClimbing[[#This Row],[Total number of tries]])</f>
        <v>onsight</v>
      </c>
      <c r="Q202">
        <f>_xlfn.XLOOKUP(SportClimbing[[#This Row],[Grade]],SCORE[GRADE],SCORE[SCORE],,)</f>
        <v>10</v>
      </c>
    </row>
    <row r="203" spans="1:17" x14ac:dyDescent="0.25">
      <c r="A203" s="21">
        <v>45948</v>
      </c>
      <c r="B203" s="21" t="b">
        <f ca="1">AND(SportClimbing[[#This Row],[Date]] &gt;= TODAY()-365, SportClimbing[[#This Row],[Date]] &lt;= TODAY())</f>
        <v>1</v>
      </c>
      <c r="C203">
        <v>18</v>
      </c>
      <c r="D203" t="s">
        <v>162</v>
      </c>
      <c r="E203">
        <v>2025</v>
      </c>
      <c r="F203" t="s">
        <v>517</v>
      </c>
      <c r="G203" t="s">
        <v>21</v>
      </c>
      <c r="H203" t="s">
        <v>313</v>
      </c>
      <c r="I203" t="s">
        <v>468</v>
      </c>
      <c r="J203" t="s">
        <v>518</v>
      </c>
      <c r="K203">
        <v>22</v>
      </c>
      <c r="L203" t="str">
        <f>IF(SportClimbing[[#This Row],[Height (m)]]&lt;11, "0-10", IF(SportClimbing[[#This Row],[Height (m)]]&lt;16, "11-15", IF(SportClimbing[[#This Row],[Height (m)]]&lt;21, "16-20", IF(SportClimbing[[#This Row],[Height (m)]]&lt;26, "21-25", IF(SportClimbing[[#This Row],[Height (m)]]&lt;31, "26-30", IF(SportClimbing[[#This Row],[Height (m)]]&lt;36, "31-35", "35+"))))))</f>
        <v>21-25</v>
      </c>
      <c r="M203" t="s">
        <v>435</v>
      </c>
      <c r="N203">
        <v>5</v>
      </c>
      <c r="O203">
        <f>IF(ISNUMBER(SportClimbing[[#This Row],[Total number of tries]])=TRUE, SportClimbing[[#This Row],[Total number of tries]], 1)</f>
        <v>5</v>
      </c>
      <c r="P203" t="str">
        <f>IF(ISNUMBER(SportClimbing[[#This Row],[Total number of tries]])=TRUE, "redpoint", SportClimbing[[#This Row],[Total number of tries]])</f>
        <v>redpoint</v>
      </c>
      <c r="Q203">
        <f>_xlfn.XLOOKUP(SportClimbing[[#This Row],[Grade]],SCORE[GRADE],SCORE[SCORE],,)</f>
        <v>15</v>
      </c>
    </row>
    <row r="204" spans="1:17" x14ac:dyDescent="0.25">
      <c r="A204" s="21">
        <v>45949</v>
      </c>
      <c r="B204" s="21" t="b">
        <f ca="1">AND(SportClimbing[[#This Row],[Date]] &gt;= TODAY()-365, SportClimbing[[#This Row],[Date]] &lt;= TODAY())</f>
        <v>1</v>
      </c>
      <c r="C204">
        <v>19</v>
      </c>
      <c r="D204" t="s">
        <v>162</v>
      </c>
      <c r="E204">
        <v>2025</v>
      </c>
      <c r="F204" t="s">
        <v>519</v>
      </c>
      <c r="G204" t="s">
        <v>3</v>
      </c>
      <c r="H204" t="s">
        <v>313</v>
      </c>
      <c r="I204" t="s">
        <v>468</v>
      </c>
      <c r="J204" t="s">
        <v>516</v>
      </c>
      <c r="K204">
        <v>18</v>
      </c>
      <c r="L204" t="str">
        <f>IF(SportClimbing[[#This Row],[Height (m)]]&lt;11, "0-10", IF(SportClimbing[[#This Row],[Height (m)]]&lt;16, "11-15", IF(SportClimbing[[#This Row],[Height (m)]]&lt;21, "16-20", IF(SportClimbing[[#This Row],[Height (m)]]&lt;26, "21-25", IF(SportClimbing[[#This Row],[Height (m)]]&lt;31, "26-30", IF(SportClimbing[[#This Row],[Height (m)]]&lt;36, "31-35", "35+"))))))</f>
        <v>16-20</v>
      </c>
      <c r="M204" t="s">
        <v>435</v>
      </c>
      <c r="N204">
        <v>2</v>
      </c>
      <c r="O204">
        <f>IF(ISNUMBER(SportClimbing[[#This Row],[Total number of tries]])=TRUE, SportClimbing[[#This Row],[Total number of tries]], 1)</f>
        <v>2</v>
      </c>
      <c r="P204" t="str">
        <f>IF(ISNUMBER(SportClimbing[[#This Row],[Total number of tries]])=TRUE, "redpoint", SportClimbing[[#This Row],[Total number of tries]])</f>
        <v>redpoint</v>
      </c>
      <c r="Q204">
        <f>_xlfn.XLOOKUP(SportClimbing[[#This Row],[Grade]],SCORE[GRADE],SCORE[SCORE],,)</f>
        <v>10</v>
      </c>
    </row>
    <row r="205" spans="1:17" x14ac:dyDescent="0.25">
      <c r="A205" s="21">
        <v>45949</v>
      </c>
      <c r="B205" s="21" t="b">
        <f ca="1">AND(SportClimbing[[#This Row],[Date]] &gt;= TODAY()-365, SportClimbing[[#This Row],[Date]] &lt;= TODAY())</f>
        <v>1</v>
      </c>
      <c r="C205">
        <v>19</v>
      </c>
      <c r="D205" t="s">
        <v>162</v>
      </c>
      <c r="E205">
        <v>2025</v>
      </c>
      <c r="F205" t="s">
        <v>520</v>
      </c>
      <c r="G205" t="s">
        <v>3</v>
      </c>
      <c r="H205" t="s">
        <v>313</v>
      </c>
      <c r="I205" t="s">
        <v>468</v>
      </c>
      <c r="J205" t="s">
        <v>516</v>
      </c>
      <c r="K205">
        <v>20</v>
      </c>
      <c r="L205" t="str">
        <f>IF(SportClimbing[[#This Row],[Height (m)]]&lt;11, "0-10", IF(SportClimbing[[#This Row],[Height (m)]]&lt;16, "11-15", IF(SportClimbing[[#This Row],[Height (m)]]&lt;21, "16-20", IF(SportClimbing[[#This Row],[Height (m)]]&lt;26, "21-25", IF(SportClimbing[[#This Row],[Height (m)]]&lt;31, "26-30", IF(SportClimbing[[#This Row],[Height (m)]]&lt;36, "31-35", "35+"))))))</f>
        <v>16-20</v>
      </c>
      <c r="M205" t="s">
        <v>435</v>
      </c>
      <c r="N205">
        <v>2</v>
      </c>
      <c r="O205">
        <f>IF(ISNUMBER(SportClimbing[[#This Row],[Total number of tries]])=TRUE, SportClimbing[[#This Row],[Total number of tries]], 1)</f>
        <v>2</v>
      </c>
      <c r="P205" t="str">
        <f>IF(ISNUMBER(SportClimbing[[#This Row],[Total number of tries]])=TRUE, "redpoint", SportClimbing[[#This Row],[Total number of tries]])</f>
        <v>redpoint</v>
      </c>
      <c r="Q205">
        <f>_xlfn.XLOOKUP(SportClimbing[[#This Row],[Grade]],SCORE[GRADE],SCORE[SCORE],,)</f>
        <v>10</v>
      </c>
    </row>
    <row r="206" spans="1:17" x14ac:dyDescent="0.25">
      <c r="A206" s="21">
        <v>45955</v>
      </c>
      <c r="B206" s="21" t="b">
        <f ca="1">AND(SportClimbing[[#This Row],[Date]] &gt;= TODAY()-365, SportClimbing[[#This Row],[Date]] &lt;= TODAY())</f>
        <v>1</v>
      </c>
      <c r="C206">
        <v>25</v>
      </c>
      <c r="D206" t="s">
        <v>162</v>
      </c>
      <c r="E206">
        <v>2025</v>
      </c>
      <c r="F206" t="s">
        <v>522</v>
      </c>
      <c r="G206" t="s">
        <v>29</v>
      </c>
      <c r="H206" t="s">
        <v>313</v>
      </c>
      <c r="I206" t="s">
        <v>468</v>
      </c>
      <c r="J206" t="s">
        <v>524</v>
      </c>
      <c r="K206">
        <v>30</v>
      </c>
      <c r="L206" t="str">
        <f>IF(SportClimbing[[#This Row],[Height (m)]]&lt;11, "0-10", IF(SportClimbing[[#This Row],[Height (m)]]&lt;16, "11-15", IF(SportClimbing[[#This Row],[Height (m)]]&lt;21, "16-20", IF(SportClimbing[[#This Row],[Height (m)]]&lt;26, "21-25", IF(SportClimbing[[#This Row],[Height (m)]]&lt;31, "26-30", IF(SportClimbing[[#This Row],[Height (m)]]&lt;36, "31-35", "35+"))))))</f>
        <v>26-30</v>
      </c>
      <c r="M206" t="s">
        <v>469</v>
      </c>
      <c r="N206">
        <v>2</v>
      </c>
      <c r="O206">
        <f>IF(ISNUMBER(SportClimbing[[#This Row],[Total number of tries]])=TRUE, SportClimbing[[#This Row],[Total number of tries]], 1)</f>
        <v>2</v>
      </c>
      <c r="P206" t="str">
        <f>IF(ISNUMBER(SportClimbing[[#This Row],[Total number of tries]])=TRUE, "redpoint", SportClimbing[[#This Row],[Total number of tries]])</f>
        <v>redpoint</v>
      </c>
      <c r="Q206">
        <f>_xlfn.XLOOKUP(SportClimbing[[#This Row],[Grade]],SCORE[GRADE],SCORE[SCORE],,)</f>
        <v>25</v>
      </c>
    </row>
    <row r="207" spans="1:17" x14ac:dyDescent="0.25">
      <c r="A207" s="21">
        <v>45955</v>
      </c>
      <c r="B207" s="21" t="b">
        <f ca="1">AND(SportClimbing[[#This Row],[Date]] &gt;= TODAY()-365, SportClimbing[[#This Row],[Date]] &lt;= TODAY())</f>
        <v>1</v>
      </c>
      <c r="C207">
        <v>25</v>
      </c>
      <c r="D207" t="s">
        <v>162</v>
      </c>
      <c r="E207">
        <v>2025</v>
      </c>
      <c r="F207" t="s">
        <v>521</v>
      </c>
      <c r="G207" t="s">
        <v>3</v>
      </c>
      <c r="H207" t="s">
        <v>313</v>
      </c>
      <c r="I207" t="s">
        <v>468</v>
      </c>
      <c r="J207" t="s">
        <v>524</v>
      </c>
      <c r="K207">
        <v>30</v>
      </c>
      <c r="L207" t="str">
        <f>IF(SportClimbing[[#This Row],[Height (m)]]&lt;11, "0-10", IF(SportClimbing[[#This Row],[Height (m)]]&lt;16, "11-15", IF(SportClimbing[[#This Row],[Height (m)]]&lt;21, "16-20", IF(SportClimbing[[#This Row],[Height (m)]]&lt;26, "21-25", IF(SportClimbing[[#This Row],[Height (m)]]&lt;31, "26-30", IF(SportClimbing[[#This Row],[Height (m)]]&lt;36, "31-35", "35+"))))))</f>
        <v>26-30</v>
      </c>
      <c r="M207" t="s">
        <v>469</v>
      </c>
      <c r="N207" t="s">
        <v>130</v>
      </c>
      <c r="O207">
        <f>IF(ISNUMBER(SportClimbing[[#This Row],[Total number of tries]])=TRUE, SportClimbing[[#This Row],[Total number of tries]], 1)</f>
        <v>1</v>
      </c>
      <c r="P207" t="str">
        <f>IF(ISNUMBER(SportClimbing[[#This Row],[Total number of tries]])=TRUE, "redpoint", SportClimbing[[#This Row],[Total number of tries]])</f>
        <v>onsight</v>
      </c>
      <c r="Q207">
        <f>_xlfn.XLOOKUP(SportClimbing[[#This Row],[Grade]],SCORE[GRADE],SCORE[SCORE],,)</f>
        <v>10</v>
      </c>
    </row>
    <row r="208" spans="1:17" x14ac:dyDescent="0.25">
      <c r="A208" s="21">
        <v>45955</v>
      </c>
      <c r="B208" s="21" t="b">
        <f ca="1">AND(SportClimbing[[#This Row],[Date]] &gt;= TODAY()-365, SportClimbing[[#This Row],[Date]] &lt;= TODAY())</f>
        <v>1</v>
      </c>
      <c r="C208">
        <v>25</v>
      </c>
      <c r="D208" t="s">
        <v>162</v>
      </c>
      <c r="E208">
        <v>2025</v>
      </c>
      <c r="F208" t="s">
        <v>523</v>
      </c>
      <c r="G208" t="s">
        <v>3</v>
      </c>
      <c r="H208" t="s">
        <v>313</v>
      </c>
      <c r="I208" t="s">
        <v>468</v>
      </c>
      <c r="J208" t="s">
        <v>524</v>
      </c>
      <c r="K208">
        <v>30</v>
      </c>
      <c r="L208" t="str">
        <f>IF(SportClimbing[[#This Row],[Height (m)]]&lt;11, "0-10", IF(SportClimbing[[#This Row],[Height (m)]]&lt;16, "11-15", IF(SportClimbing[[#This Row],[Height (m)]]&lt;21, "16-20", IF(SportClimbing[[#This Row],[Height (m)]]&lt;26, "21-25", IF(SportClimbing[[#This Row],[Height (m)]]&lt;31, "26-30", IF(SportClimbing[[#This Row],[Height (m)]]&lt;36, "31-35", "35+"))))))</f>
        <v>26-30</v>
      </c>
      <c r="M208" t="s">
        <v>469</v>
      </c>
      <c r="N208">
        <v>2</v>
      </c>
      <c r="O208">
        <f>IF(ISNUMBER(SportClimbing[[#This Row],[Total number of tries]])=TRUE, SportClimbing[[#This Row],[Total number of tries]], 1)</f>
        <v>2</v>
      </c>
      <c r="P208" t="str">
        <f>IF(ISNUMBER(SportClimbing[[#This Row],[Total number of tries]])=TRUE, "redpoint", SportClimbing[[#This Row],[Total number of tries]])</f>
        <v>redpoint</v>
      </c>
      <c r="Q208">
        <f>_xlfn.XLOOKUP(SportClimbing[[#This Row],[Grade]],SCORE[GRADE],SCORE[SCORE],,)</f>
        <v>10</v>
      </c>
    </row>
    <row r="209" spans="1:17" x14ac:dyDescent="0.25">
      <c r="A209" s="21">
        <v>45961</v>
      </c>
      <c r="B209" s="21" t="b">
        <f ca="1">AND(SportClimbing[[#This Row],[Date]] &gt;= TODAY()-365, SportClimbing[[#This Row],[Date]] &lt;= TODAY())</f>
        <v>1</v>
      </c>
      <c r="C209">
        <v>31</v>
      </c>
      <c r="D209" t="s">
        <v>162</v>
      </c>
      <c r="E209">
        <v>2025</v>
      </c>
      <c r="F209" t="s">
        <v>526</v>
      </c>
      <c r="G209" t="s">
        <v>21</v>
      </c>
      <c r="H209" t="s">
        <v>313</v>
      </c>
      <c r="I209" t="s">
        <v>468</v>
      </c>
      <c r="J209" t="s">
        <v>527</v>
      </c>
      <c r="K209">
        <v>27</v>
      </c>
      <c r="L209" t="str">
        <f>IF(SportClimbing[[#This Row],[Height (m)]]&lt;11, "0-10", IF(SportClimbing[[#This Row],[Height (m)]]&lt;16, "11-15", IF(SportClimbing[[#This Row],[Height (m)]]&lt;21, "16-20", IF(SportClimbing[[#This Row],[Height (m)]]&lt;26, "21-25", IF(SportClimbing[[#This Row],[Height (m)]]&lt;31, "26-30", IF(SportClimbing[[#This Row],[Height (m)]]&lt;36, "31-35", "35+"))))))</f>
        <v>26-30</v>
      </c>
      <c r="M209" t="s">
        <v>469</v>
      </c>
      <c r="N209">
        <v>2</v>
      </c>
      <c r="O209">
        <f>IF(ISNUMBER(SportClimbing[[#This Row],[Total number of tries]])=TRUE, SportClimbing[[#This Row],[Total number of tries]], 1)</f>
        <v>2</v>
      </c>
      <c r="P209" t="str">
        <f>IF(ISNUMBER(SportClimbing[[#This Row],[Total number of tries]])=TRUE, "redpoint", SportClimbing[[#This Row],[Total number of tries]])</f>
        <v>redpoint</v>
      </c>
      <c r="Q209">
        <f>_xlfn.XLOOKUP(SportClimbing[[#This Row],[Grade]],SCORE[GRADE],SCORE[SCORE],,)</f>
        <v>15</v>
      </c>
    </row>
    <row r="210" spans="1:17" x14ac:dyDescent="0.25">
      <c r="A210" s="21">
        <v>45961</v>
      </c>
      <c r="B210" s="21" t="b">
        <f ca="1">AND(SportClimbing[[#This Row],[Date]] &gt;= TODAY()-365, SportClimbing[[#This Row],[Date]] &lt;= TODAY())</f>
        <v>1</v>
      </c>
      <c r="C210">
        <v>31</v>
      </c>
      <c r="D210" t="s">
        <v>162</v>
      </c>
      <c r="E210">
        <v>2025</v>
      </c>
      <c r="F210" t="s">
        <v>525</v>
      </c>
      <c r="G210" t="s">
        <v>3</v>
      </c>
      <c r="H210" t="s">
        <v>313</v>
      </c>
      <c r="I210" t="s">
        <v>468</v>
      </c>
      <c r="J210" t="s">
        <v>527</v>
      </c>
      <c r="K210">
        <v>25</v>
      </c>
      <c r="L210" t="str">
        <f>IF(SportClimbing[[#This Row],[Height (m)]]&lt;11, "0-10", IF(SportClimbing[[#This Row],[Height (m)]]&lt;16, "11-15", IF(SportClimbing[[#This Row],[Height (m)]]&lt;21, "16-20", IF(SportClimbing[[#This Row],[Height (m)]]&lt;26, "21-25", IF(SportClimbing[[#This Row],[Height (m)]]&lt;31, "26-30", IF(SportClimbing[[#This Row],[Height (m)]]&lt;36, "31-35", "35+"))))))</f>
        <v>21-25</v>
      </c>
      <c r="M210" t="s">
        <v>469</v>
      </c>
      <c r="N210">
        <v>2</v>
      </c>
      <c r="O210">
        <f>IF(ISNUMBER(SportClimbing[[#This Row],[Total number of tries]])=TRUE, SportClimbing[[#This Row],[Total number of tries]], 1)</f>
        <v>2</v>
      </c>
      <c r="P210" t="str">
        <f>IF(ISNUMBER(SportClimbing[[#This Row],[Total number of tries]])=TRUE, "redpoint", SportClimbing[[#This Row],[Total number of tries]])</f>
        <v>redpoint</v>
      </c>
      <c r="Q210">
        <f>_xlfn.XLOOKUP(SportClimbing[[#This Row],[Grade]],SCORE[GRADE],SCORE[SCORE],,)</f>
        <v>10</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E5B40-F163-49B0-B208-8FE9E6886035}">
  <sheetPr codeName="Sheet2">
    <tabColor rgb="FF00B0F0"/>
    <pageSetUpPr fitToPage="1"/>
  </sheetPr>
  <dimension ref="A1:A4"/>
  <sheetViews>
    <sheetView showGridLines="0" tabSelected="1" topLeftCell="A16" zoomScale="115" zoomScaleNormal="115" workbookViewId="0">
      <selection activeCell="AB41" sqref="AB41"/>
    </sheetView>
  </sheetViews>
  <sheetFormatPr defaultColWidth="9.1796875" defaultRowHeight="12.5" x14ac:dyDescent="0.25"/>
  <cols>
    <col min="1" max="1" width="6" style="3" customWidth="1"/>
    <col min="2" max="16384" width="9.1796875" style="3"/>
  </cols>
  <sheetData>
    <row r="1" s="14" customFormat="1" x14ac:dyDescent="0.25"/>
    <row r="2" s="14" customFormat="1" x14ac:dyDescent="0.25"/>
    <row r="3" s="14" customFormat="1" x14ac:dyDescent="0.25"/>
    <row r="4" s="14" customFormat="1" x14ac:dyDescent="0.25"/>
  </sheetData>
  <pageMargins left="0.25" right="0.25" top="0.75" bottom="0.75" header="0.3" footer="0.3"/>
  <pageSetup paperSize="8" scale="85"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C2933-BCCC-41BA-ADF6-9C9561906489}">
  <sheetPr codeName="Sheet3">
    <tabColor theme="7" tint="0.59999389629810485"/>
  </sheetPr>
  <dimension ref="A2:AI127"/>
  <sheetViews>
    <sheetView topLeftCell="F1" workbookViewId="0">
      <selection activeCell="B25" sqref="B25"/>
    </sheetView>
  </sheetViews>
  <sheetFormatPr defaultRowHeight="12.5" x14ac:dyDescent="0.25"/>
  <cols>
    <col min="1" max="1" width="25.6328125" bestFit="1" customWidth="1"/>
    <col min="2" max="2" width="16" bestFit="1" customWidth="1"/>
    <col min="3" max="3" width="7.36328125" bestFit="1" customWidth="1"/>
    <col min="4" max="4" width="8.1796875" bestFit="1" customWidth="1"/>
    <col min="5" max="5" width="8.54296875" customWidth="1"/>
    <col min="6" max="6" width="13.1796875" bestFit="1" customWidth="1"/>
    <col min="7" max="7" width="15.7265625" bestFit="1" customWidth="1"/>
    <col min="8" max="8" width="4.1796875" customWidth="1"/>
    <col min="9" max="9" width="26.453125" bestFit="1" customWidth="1"/>
    <col min="10" max="10" width="14.08984375" bestFit="1" customWidth="1"/>
    <col min="11" max="11" width="2.453125" customWidth="1"/>
    <col min="12" max="12" width="13.1796875" bestFit="1" customWidth="1"/>
    <col min="13" max="13" width="17" bestFit="1" customWidth="1"/>
    <col min="14" max="14" width="4.7265625" customWidth="1"/>
    <col min="15" max="15" width="13.1796875" bestFit="1" customWidth="1"/>
    <col min="16" max="16" width="16.453125" bestFit="1" customWidth="1"/>
    <col min="17" max="17" width="2.7265625" customWidth="1"/>
    <col min="18" max="18" width="13.1796875" bestFit="1" customWidth="1"/>
    <col min="19" max="19" width="16.6328125" bestFit="1" customWidth="1"/>
    <col min="20" max="20" width="4.7265625" customWidth="1"/>
    <col min="21" max="21" width="13.1796875" bestFit="1" customWidth="1"/>
    <col min="22" max="22" width="13.7265625" bestFit="1" customWidth="1"/>
    <col min="23" max="23" width="13.453125" bestFit="1" customWidth="1"/>
    <col min="24" max="25" width="8.81640625" customWidth="1"/>
    <col min="26" max="26" width="4.7265625" customWidth="1"/>
    <col min="27" max="27" width="30.54296875" bestFit="1" customWidth="1"/>
    <col min="28" max="28" width="7.08984375" bestFit="1" customWidth="1"/>
    <col min="29" max="33" width="5.54296875" bestFit="1" customWidth="1"/>
    <col min="34" max="34" width="4" bestFit="1" customWidth="1"/>
    <col min="35" max="35" width="5.1796875" bestFit="1" customWidth="1"/>
    <col min="36" max="37" width="8" bestFit="1" customWidth="1"/>
    <col min="38" max="38" width="9.453125" bestFit="1" customWidth="1"/>
    <col min="39" max="46" width="8" bestFit="1" customWidth="1"/>
    <col min="47" max="47" width="8.26953125" bestFit="1" customWidth="1"/>
    <col min="48" max="53" width="8" bestFit="1" customWidth="1"/>
    <col min="54" max="54" width="9.453125" bestFit="1" customWidth="1"/>
    <col min="55" max="56" width="8" bestFit="1" customWidth="1"/>
    <col min="57" max="57" width="8.1796875" bestFit="1" customWidth="1"/>
    <col min="58" max="58" width="8" bestFit="1" customWidth="1"/>
    <col min="59" max="59" width="9.26953125" bestFit="1" customWidth="1"/>
    <col min="60" max="60" width="11.7265625" bestFit="1" customWidth="1"/>
  </cols>
  <sheetData>
    <row r="2" spans="1:33" s="11" customFormat="1" ht="15.5" x14ac:dyDescent="0.35">
      <c r="A2" s="30" t="s">
        <v>406</v>
      </c>
      <c r="B2" s="30"/>
      <c r="C2" s="30"/>
      <c r="F2" s="28" t="s">
        <v>427</v>
      </c>
      <c r="G2" s="28"/>
      <c r="I2" s="31" t="s">
        <v>417</v>
      </c>
      <c r="J2" s="31"/>
      <c r="K2" s="31"/>
      <c r="L2" s="31"/>
      <c r="M2" s="31"/>
      <c r="O2" s="29" t="s">
        <v>418</v>
      </c>
      <c r="P2" s="29"/>
      <c r="Q2" s="29"/>
      <c r="R2" s="29"/>
      <c r="S2" s="29"/>
      <c r="T2"/>
      <c r="U2" s="32" t="s">
        <v>440</v>
      </c>
      <c r="V2" s="32"/>
      <c r="W2" s="32"/>
      <c r="X2" s="32"/>
      <c r="Y2" s="32"/>
      <c r="AA2" s="27" t="s">
        <v>408</v>
      </c>
      <c r="AB2" s="27"/>
      <c r="AC2" s="27"/>
      <c r="AD2" s="27"/>
      <c r="AE2" s="27"/>
      <c r="AF2" s="27"/>
      <c r="AG2" s="27"/>
    </row>
    <row r="3" spans="1:33" x14ac:dyDescent="0.25">
      <c r="AA3" t="s">
        <v>409</v>
      </c>
      <c r="AB3" s="13">
        <f>PEARSON(SportClimbing[Height (m)], SportClimbing[Tries num. only excl. outliers])</f>
        <v>-7.3174698152675535E-2</v>
      </c>
      <c r="AC3" s="12"/>
    </row>
    <row r="4" spans="1:33" ht="13" x14ac:dyDescent="0.3">
      <c r="A4" s="1" t="s">
        <v>233</v>
      </c>
      <c r="B4" t="s">
        <v>393</v>
      </c>
      <c r="F4" s="1" t="s">
        <v>233</v>
      </c>
      <c r="G4" t="s">
        <v>396</v>
      </c>
      <c r="I4" s="1" t="s">
        <v>233</v>
      </c>
      <c r="J4" t="s">
        <v>398</v>
      </c>
      <c r="L4" s="5" t="s">
        <v>141</v>
      </c>
      <c r="M4" s="5" t="s">
        <v>398</v>
      </c>
      <c r="O4" s="1" t="s">
        <v>233</v>
      </c>
      <c r="P4" t="s">
        <v>395</v>
      </c>
      <c r="R4" s="1" t="s">
        <v>233</v>
      </c>
      <c r="S4" t="s">
        <v>394</v>
      </c>
      <c r="U4" s="1" t="s">
        <v>233</v>
      </c>
      <c r="V4" t="s">
        <v>444</v>
      </c>
      <c r="AA4" s="12" t="s">
        <v>410</v>
      </c>
      <c r="AB4" s="13">
        <f>RSQ(SportClimbing[Height (m)], SportClimbing[Tries num. only excl. outliers])</f>
        <v>5.3545364497351762E-3</v>
      </c>
      <c r="AC4" s="12"/>
    </row>
    <row r="5" spans="1:33" x14ac:dyDescent="0.25">
      <c r="A5" s="2" t="s">
        <v>3</v>
      </c>
      <c r="B5">
        <v>113</v>
      </c>
      <c r="F5" s="2">
        <v>2006</v>
      </c>
      <c r="G5">
        <v>1</v>
      </c>
      <c r="I5" s="2" t="s">
        <v>43</v>
      </c>
      <c r="J5">
        <v>52</v>
      </c>
      <c r="L5" s="6" t="str">
        <f t="shared" ref="L5:L14" si="0">IF($I5="Grand Total", "", $I5)</f>
        <v>Siurana</v>
      </c>
      <c r="M5" s="7">
        <f t="shared" ref="M5:M14" si="1">IF($I5="Grand Total", "", $J5)</f>
        <v>52</v>
      </c>
      <c r="O5" s="2" t="s">
        <v>469</v>
      </c>
      <c r="P5">
        <v>25</v>
      </c>
      <c r="R5" s="2" t="s">
        <v>411</v>
      </c>
      <c r="S5">
        <v>9</v>
      </c>
      <c r="U5" s="2">
        <v>2006</v>
      </c>
      <c r="V5">
        <v>10</v>
      </c>
    </row>
    <row r="6" spans="1:33" x14ac:dyDescent="0.25">
      <c r="A6" s="2" t="s">
        <v>21</v>
      </c>
      <c r="B6">
        <v>54</v>
      </c>
      <c r="F6" s="2">
        <v>2007</v>
      </c>
      <c r="G6">
        <v>1</v>
      </c>
      <c r="I6" s="2" t="s">
        <v>100</v>
      </c>
      <c r="J6">
        <v>16</v>
      </c>
      <c r="L6" s="6" t="str">
        <f t="shared" si="0"/>
        <v>Grau dels matxos</v>
      </c>
      <c r="M6" s="7">
        <f t="shared" si="1"/>
        <v>16</v>
      </c>
      <c r="O6" s="2" t="s">
        <v>132</v>
      </c>
      <c r="P6">
        <v>20</v>
      </c>
      <c r="R6" s="2" t="s">
        <v>412</v>
      </c>
      <c r="S6">
        <v>22</v>
      </c>
      <c r="U6" s="2">
        <v>2007</v>
      </c>
      <c r="V6">
        <v>10</v>
      </c>
    </row>
    <row r="7" spans="1:33" x14ac:dyDescent="0.25">
      <c r="A7" s="2" t="s">
        <v>29</v>
      </c>
      <c r="B7">
        <v>24</v>
      </c>
      <c r="F7" s="2">
        <v>2008</v>
      </c>
      <c r="G7">
        <v>2</v>
      </c>
      <c r="I7" s="2" t="s">
        <v>126</v>
      </c>
      <c r="J7">
        <v>13</v>
      </c>
      <c r="L7" s="6" t="str">
        <f t="shared" si="0"/>
        <v>Chulilla</v>
      </c>
      <c r="M7" s="7">
        <f t="shared" si="1"/>
        <v>13</v>
      </c>
      <c r="O7" s="2" t="s">
        <v>332</v>
      </c>
      <c r="P7">
        <v>14</v>
      </c>
      <c r="R7" s="2" t="s">
        <v>413</v>
      </c>
      <c r="S7">
        <v>69</v>
      </c>
      <c r="U7" s="2">
        <v>2008</v>
      </c>
      <c r="V7">
        <v>20</v>
      </c>
    </row>
    <row r="8" spans="1:33" x14ac:dyDescent="0.25">
      <c r="A8" s="2" t="s">
        <v>32</v>
      </c>
      <c r="B8">
        <v>11</v>
      </c>
      <c r="F8" s="2">
        <v>2009</v>
      </c>
      <c r="G8">
        <v>0</v>
      </c>
      <c r="I8" s="2" t="s">
        <v>22</v>
      </c>
      <c r="J8">
        <v>12</v>
      </c>
      <c r="L8" s="6" t="str">
        <f t="shared" si="0"/>
        <v>Gelida</v>
      </c>
      <c r="M8" s="7">
        <f t="shared" si="1"/>
        <v>12</v>
      </c>
      <c r="O8" s="2" t="s">
        <v>120</v>
      </c>
      <c r="P8">
        <v>11</v>
      </c>
      <c r="R8" s="2" t="s">
        <v>414</v>
      </c>
      <c r="S8">
        <v>62</v>
      </c>
      <c r="U8" s="2">
        <v>2009</v>
      </c>
      <c r="V8">
        <v>0</v>
      </c>
    </row>
    <row r="9" spans="1:33" x14ac:dyDescent="0.25">
      <c r="A9" s="2" t="s">
        <v>69</v>
      </c>
      <c r="B9">
        <v>5</v>
      </c>
      <c r="F9" s="2">
        <v>2010</v>
      </c>
      <c r="G9">
        <v>0</v>
      </c>
      <c r="I9" s="2" t="s">
        <v>306</v>
      </c>
      <c r="J9">
        <v>11</v>
      </c>
      <c r="L9" s="6" t="str">
        <f t="shared" si="0"/>
        <v>Martinswand</v>
      </c>
      <c r="M9" s="7">
        <f t="shared" si="1"/>
        <v>11</v>
      </c>
      <c r="O9" s="2" t="s">
        <v>370</v>
      </c>
      <c r="P9">
        <v>9</v>
      </c>
      <c r="R9" s="2" t="s">
        <v>415</v>
      </c>
      <c r="S9">
        <v>33</v>
      </c>
      <c r="U9" s="2">
        <v>2010</v>
      </c>
      <c r="V9">
        <v>0</v>
      </c>
    </row>
    <row r="10" spans="1:33" x14ac:dyDescent="0.25">
      <c r="A10" s="2" t="s">
        <v>163</v>
      </c>
      <c r="B10">
        <v>2</v>
      </c>
      <c r="C10" t="str" cm="1">
        <f t="array" ref="C10">INDEX(A4:A10,MAX((A4:A10&lt;&gt;"")*ROW(A4:A10))-ROW(A4)+1)</f>
        <v>7c+</v>
      </c>
      <c r="F10" s="2">
        <v>2011</v>
      </c>
      <c r="G10">
        <v>1</v>
      </c>
      <c r="I10" s="2" t="s">
        <v>468</v>
      </c>
      <c r="J10">
        <v>11</v>
      </c>
      <c r="L10" s="6" t="str">
        <f t="shared" si="0"/>
        <v>Arco</v>
      </c>
      <c r="M10" s="7">
        <f t="shared" si="1"/>
        <v>11</v>
      </c>
      <c r="O10" s="2" t="s">
        <v>131</v>
      </c>
      <c r="P10">
        <v>9</v>
      </c>
      <c r="R10" s="2" t="s">
        <v>416</v>
      </c>
      <c r="S10">
        <v>11</v>
      </c>
      <c r="U10" s="2">
        <v>2011</v>
      </c>
      <c r="V10">
        <v>10</v>
      </c>
    </row>
    <row r="11" spans="1:33" x14ac:dyDescent="0.25">
      <c r="A11" s="2" t="s">
        <v>232</v>
      </c>
      <c r="B11">
        <v>209</v>
      </c>
      <c r="C11">
        <f>GETPIVOTDATA("[Measures].[Count of Belayer]",$A$4)</f>
        <v>209</v>
      </c>
      <c r="F11" s="2">
        <v>2012</v>
      </c>
      <c r="G11">
        <v>3</v>
      </c>
      <c r="I11" s="2" t="s">
        <v>25</v>
      </c>
      <c r="J11">
        <v>7</v>
      </c>
      <c r="L11" s="6" t="str">
        <f t="shared" si="0"/>
        <v>Garraf</v>
      </c>
      <c r="M11" s="7">
        <f t="shared" si="1"/>
        <v>7</v>
      </c>
      <c r="O11" s="2" t="s">
        <v>164</v>
      </c>
      <c r="P11">
        <v>9</v>
      </c>
      <c r="R11" s="2" t="s">
        <v>381</v>
      </c>
      <c r="S11">
        <v>3</v>
      </c>
      <c r="U11" s="2">
        <v>2012</v>
      </c>
      <c r="V11">
        <v>40</v>
      </c>
    </row>
    <row r="12" spans="1:33" x14ac:dyDescent="0.25">
      <c r="F12" s="2">
        <v>2013</v>
      </c>
      <c r="G12">
        <v>16</v>
      </c>
      <c r="I12" s="2" t="s">
        <v>105</v>
      </c>
      <c r="J12">
        <v>7</v>
      </c>
      <c r="L12" s="6" t="str">
        <f t="shared" si="0"/>
        <v>Arbolí</v>
      </c>
      <c r="M12" s="7">
        <f t="shared" si="1"/>
        <v>7</v>
      </c>
      <c r="O12" s="2" t="s">
        <v>133</v>
      </c>
      <c r="P12">
        <v>8</v>
      </c>
      <c r="R12" s="2" t="s">
        <v>232</v>
      </c>
      <c r="S12">
        <v>209</v>
      </c>
      <c r="U12" s="2">
        <v>2013</v>
      </c>
      <c r="V12">
        <v>335</v>
      </c>
    </row>
    <row r="13" spans="1:33" x14ac:dyDescent="0.25">
      <c r="F13" s="2">
        <v>2014</v>
      </c>
      <c r="G13">
        <v>0</v>
      </c>
      <c r="I13" s="2" t="s">
        <v>68</v>
      </c>
      <c r="J13">
        <v>7</v>
      </c>
      <c r="L13" s="6" t="str">
        <f t="shared" si="0"/>
        <v>Margalef</v>
      </c>
      <c r="M13" s="7">
        <f t="shared" si="1"/>
        <v>7</v>
      </c>
      <c r="O13" s="2" t="s">
        <v>435</v>
      </c>
      <c r="P13">
        <v>7</v>
      </c>
      <c r="U13" s="2">
        <v>2014</v>
      </c>
      <c r="V13">
        <v>0</v>
      </c>
    </row>
    <row r="14" spans="1:33" ht="13" x14ac:dyDescent="0.3">
      <c r="A14" s="8" t="s">
        <v>140</v>
      </c>
      <c r="B14" s="8" t="s">
        <v>402</v>
      </c>
      <c r="C14" s="8" t="s">
        <v>393</v>
      </c>
      <c r="F14" s="2">
        <v>2015</v>
      </c>
      <c r="G14">
        <v>0</v>
      </c>
      <c r="I14" s="2" t="s">
        <v>49</v>
      </c>
      <c r="J14">
        <v>5</v>
      </c>
      <c r="L14" s="6" t="str">
        <f t="shared" si="0"/>
        <v>Font Soleia</v>
      </c>
      <c r="M14" s="7">
        <f t="shared" si="1"/>
        <v>5</v>
      </c>
      <c r="O14" s="2" t="s">
        <v>104</v>
      </c>
      <c r="P14">
        <v>5</v>
      </c>
      <c r="U14" s="2">
        <v>2015</v>
      </c>
      <c r="V14">
        <v>0</v>
      </c>
    </row>
    <row r="15" spans="1:33" x14ac:dyDescent="0.25">
      <c r="A15" s="7" t="s">
        <v>3</v>
      </c>
      <c r="B15" s="7">
        <f t="shared" ref="B15:B20" si="2">(LARGE($C$15:$C$20, 1)-C15)/2</f>
        <v>0</v>
      </c>
      <c r="C15" s="7">
        <f>IFERROR(GETPIVOTDATA("[Measures].[Count of Belayer]",$A$4,"[SportClimbing].[Grade]","[SportClimbing].[Grade].&amp;[7a]"), 0)</f>
        <v>113</v>
      </c>
      <c r="F15" s="2">
        <v>2016</v>
      </c>
      <c r="G15">
        <v>2</v>
      </c>
      <c r="I15" s="2" t="s">
        <v>433</v>
      </c>
      <c r="J15">
        <v>5</v>
      </c>
      <c r="L15" s="6" t="s">
        <v>401</v>
      </c>
      <c r="M15" s="7">
        <f>$M16-SUM($M5:$M14)</f>
        <v>68</v>
      </c>
      <c r="O15" s="4" t="s">
        <v>232</v>
      </c>
      <c r="P15">
        <v>209</v>
      </c>
      <c r="U15" s="2">
        <v>2016</v>
      </c>
      <c r="V15">
        <v>20</v>
      </c>
    </row>
    <row r="16" spans="1:33" ht="13" x14ac:dyDescent="0.3">
      <c r="A16" s="7" t="s">
        <v>21</v>
      </c>
      <c r="B16" s="7">
        <f t="shared" si="2"/>
        <v>29.5</v>
      </c>
      <c r="C16" s="7">
        <f>IFERROR(GETPIVOTDATA("[Measures].[Count of Belayer]",$A$4,"[SportClimbing].[Grade]","[SportClimbing].[Grade].&amp;[7a+]"), 0)</f>
        <v>54</v>
      </c>
      <c r="F16" s="2">
        <v>2017</v>
      </c>
      <c r="G16">
        <v>31</v>
      </c>
      <c r="I16" s="2" t="s">
        <v>77</v>
      </c>
      <c r="J16">
        <v>4</v>
      </c>
      <c r="L16" s="5" t="s">
        <v>232</v>
      </c>
      <c r="M16" s="5">
        <f>GETPIVOTDATA("[Measures].[Count of Belayer]",$I$4)</f>
        <v>209</v>
      </c>
      <c r="U16" s="2">
        <v>2017</v>
      </c>
      <c r="V16">
        <v>450</v>
      </c>
    </row>
    <row r="17" spans="1:35" x14ac:dyDescent="0.25">
      <c r="A17" s="7" t="s">
        <v>29</v>
      </c>
      <c r="B17" s="7">
        <f t="shared" si="2"/>
        <v>44.5</v>
      </c>
      <c r="C17" s="7">
        <f>IFERROR(GETPIVOTDATA("[Measures].[Count of Belayer]",$A$4,"[SportClimbing].[Grade]","[SportClimbing].[Grade].&amp;[7b]"), 0)</f>
        <v>24</v>
      </c>
      <c r="F17" s="2">
        <v>2018</v>
      </c>
      <c r="G17">
        <v>25</v>
      </c>
      <c r="I17" s="2" t="s">
        <v>1</v>
      </c>
      <c r="J17">
        <v>3</v>
      </c>
      <c r="U17" s="2">
        <v>2018</v>
      </c>
      <c r="V17">
        <v>500</v>
      </c>
    </row>
    <row r="18" spans="1:35" x14ac:dyDescent="0.25">
      <c r="A18" s="7" t="s">
        <v>32</v>
      </c>
      <c r="B18" s="7">
        <f t="shared" si="2"/>
        <v>51</v>
      </c>
      <c r="C18" s="7">
        <f>IFERROR(GETPIVOTDATA("[Measures].[Count of Belayer]",$A$4,"[SportClimbing].[Grade]","[SportClimbing].[Grade].&amp;[7b+]"), 0)</f>
        <v>11</v>
      </c>
      <c r="F18" s="2">
        <v>2019</v>
      </c>
      <c r="G18">
        <v>7</v>
      </c>
      <c r="I18" s="2" t="s">
        <v>15</v>
      </c>
      <c r="J18">
        <v>3</v>
      </c>
      <c r="S18" s="18"/>
      <c r="T18" s="18"/>
      <c r="U18" s="2">
        <v>2019</v>
      </c>
      <c r="V18">
        <v>110</v>
      </c>
      <c r="X18" s="18"/>
      <c r="Y18" s="18"/>
    </row>
    <row r="19" spans="1:35" x14ac:dyDescent="0.25">
      <c r="A19" s="7" t="s">
        <v>69</v>
      </c>
      <c r="B19" s="7">
        <f t="shared" si="2"/>
        <v>54</v>
      </c>
      <c r="C19" s="7">
        <f>IFERROR(GETPIVOTDATA("[Measures].[Count of Belayer]",$A$4,"[SportClimbing].[Grade]","[SportClimbing].[Grade].&amp;[7c]"), 0)</f>
        <v>5</v>
      </c>
      <c r="F19" s="2">
        <v>2020</v>
      </c>
      <c r="G19">
        <v>10</v>
      </c>
      <c r="I19" s="2" t="s">
        <v>76</v>
      </c>
      <c r="J19">
        <v>3</v>
      </c>
      <c r="L19" s="1" t="s">
        <v>233</v>
      </c>
      <c r="M19" t="s">
        <v>400</v>
      </c>
      <c r="S19" s="18"/>
      <c r="T19" s="18"/>
      <c r="U19" s="2">
        <v>2020</v>
      </c>
      <c r="V19">
        <v>190</v>
      </c>
      <c r="X19" s="18"/>
      <c r="Y19" s="18"/>
    </row>
    <row r="20" spans="1:35" x14ac:dyDescent="0.25">
      <c r="A20" s="7" t="s">
        <v>163</v>
      </c>
      <c r="B20" s="7">
        <f t="shared" si="2"/>
        <v>55.5</v>
      </c>
      <c r="C20" s="7">
        <f>IFERROR(GETPIVOTDATA("[Measures].[Count of Belayer]",$A$4,"[SportClimbing].[Grade]","[SportClimbing].[Grade].&amp;[7c+]"), 0)</f>
        <v>2</v>
      </c>
      <c r="F20" s="2">
        <v>2021</v>
      </c>
      <c r="G20">
        <v>17</v>
      </c>
      <c r="I20" s="2" t="s">
        <v>380</v>
      </c>
      <c r="J20">
        <v>3</v>
      </c>
      <c r="L20" s="2" t="s">
        <v>262</v>
      </c>
      <c r="M20">
        <v>145</v>
      </c>
      <c r="U20" s="2">
        <v>2021</v>
      </c>
      <c r="V20">
        <v>290</v>
      </c>
    </row>
    <row r="21" spans="1:35" ht="13" x14ac:dyDescent="0.3">
      <c r="A21" s="8" t="s">
        <v>232</v>
      </c>
      <c r="B21" s="8"/>
      <c r="C21" s="8">
        <f>GETPIVOTDATA("[Measures].[Count of Belayer]",$A$4)</f>
        <v>209</v>
      </c>
      <c r="F21" s="2">
        <v>2022</v>
      </c>
      <c r="G21">
        <v>19</v>
      </c>
      <c r="I21" s="2" t="s">
        <v>479</v>
      </c>
      <c r="J21">
        <v>3</v>
      </c>
      <c r="L21" s="2" t="s">
        <v>298</v>
      </c>
      <c r="M21">
        <v>36</v>
      </c>
      <c r="U21" s="2">
        <v>2022</v>
      </c>
      <c r="V21">
        <v>290</v>
      </c>
    </row>
    <row r="22" spans="1:35" x14ac:dyDescent="0.25">
      <c r="F22" s="2">
        <v>2023</v>
      </c>
      <c r="G22">
        <v>22</v>
      </c>
      <c r="I22" s="2" t="s">
        <v>70</v>
      </c>
      <c r="J22">
        <v>3</v>
      </c>
      <c r="L22" s="2" t="s">
        <v>261</v>
      </c>
      <c r="M22">
        <v>13</v>
      </c>
      <c r="R22" s="1" t="s">
        <v>422</v>
      </c>
      <c r="S22" t="s" vm="1">
        <v>423</v>
      </c>
      <c r="U22" s="2">
        <v>2023</v>
      </c>
      <c r="V22">
        <v>225</v>
      </c>
    </row>
    <row r="23" spans="1:35" x14ac:dyDescent="0.25">
      <c r="F23" s="2">
        <v>2024</v>
      </c>
      <c r="G23">
        <v>11</v>
      </c>
      <c r="I23" s="2" t="s">
        <v>494</v>
      </c>
      <c r="J23">
        <v>3</v>
      </c>
      <c r="L23" s="2" t="s">
        <v>313</v>
      </c>
      <c r="M23">
        <v>12</v>
      </c>
      <c r="U23" s="2">
        <v>2024</v>
      </c>
      <c r="V23">
        <v>195</v>
      </c>
    </row>
    <row r="24" spans="1:35" x14ac:dyDescent="0.25">
      <c r="A24" s="1" t="s">
        <v>233</v>
      </c>
      <c r="B24" t="s">
        <v>399</v>
      </c>
      <c r="E24">
        <f>INDEX(F5:F24,MATCH(MAX(G5:G24),G5:G24,0))</f>
        <v>2025</v>
      </c>
      <c r="F24" s="2">
        <v>2025</v>
      </c>
      <c r="G24">
        <v>41</v>
      </c>
      <c r="I24" s="2" t="s">
        <v>372</v>
      </c>
      <c r="J24">
        <v>2</v>
      </c>
      <c r="L24" s="2" t="s">
        <v>273</v>
      </c>
      <c r="M24">
        <v>2</v>
      </c>
      <c r="R24" s="1" t="s">
        <v>233</v>
      </c>
      <c r="S24" t="s">
        <v>420</v>
      </c>
      <c r="U24" s="2">
        <v>2025</v>
      </c>
      <c r="V24">
        <v>745</v>
      </c>
    </row>
    <row r="25" spans="1:35" ht="15.5" x14ac:dyDescent="0.35">
      <c r="A25" s="2" t="s">
        <v>348</v>
      </c>
      <c r="B25">
        <v>77</v>
      </c>
      <c r="F25" s="2" t="s">
        <v>232</v>
      </c>
      <c r="G25">
        <v>209</v>
      </c>
      <c r="I25" s="2" t="s">
        <v>486</v>
      </c>
      <c r="J25">
        <v>2</v>
      </c>
      <c r="L25" s="2" t="s">
        <v>390</v>
      </c>
      <c r="M25">
        <v>1</v>
      </c>
      <c r="R25" s="2" t="s">
        <v>469</v>
      </c>
      <c r="S25">
        <v>25</v>
      </c>
      <c r="U25" s="2" t="s">
        <v>232</v>
      </c>
      <c r="V25">
        <v>3440</v>
      </c>
      <c r="AA25" s="27" t="s">
        <v>476</v>
      </c>
      <c r="AB25" s="27"/>
      <c r="AC25" s="27"/>
      <c r="AD25" s="27"/>
      <c r="AE25" s="27"/>
      <c r="AF25" s="27"/>
      <c r="AG25" s="27"/>
    </row>
    <row r="26" spans="1:35" x14ac:dyDescent="0.25">
      <c r="A26" s="2" t="s">
        <v>130</v>
      </c>
      <c r="B26">
        <v>58</v>
      </c>
      <c r="I26" s="2" t="s">
        <v>311</v>
      </c>
      <c r="J26">
        <v>2</v>
      </c>
      <c r="L26" s="2" t="s">
        <v>232</v>
      </c>
      <c r="M26">
        <v>209</v>
      </c>
      <c r="R26" s="2" t="s">
        <v>332</v>
      </c>
      <c r="S26">
        <v>6</v>
      </c>
      <c r="AA26" t="s">
        <v>409</v>
      </c>
      <c r="AB26" s="13">
        <f>PEARSON(AB38:AH38, AB39:AH39)</f>
        <v>-6.5100622606924202E-2</v>
      </c>
      <c r="AC26" s="12"/>
    </row>
    <row r="27" spans="1:35" x14ac:dyDescent="0.25">
      <c r="A27" s="2" t="s">
        <v>349</v>
      </c>
      <c r="B27">
        <v>20</v>
      </c>
      <c r="F27" s="1" t="s">
        <v>233</v>
      </c>
      <c r="G27" t="s">
        <v>397</v>
      </c>
      <c r="I27" s="2" t="s">
        <v>289</v>
      </c>
      <c r="J27">
        <v>2</v>
      </c>
      <c r="R27" s="2" t="s">
        <v>435</v>
      </c>
      <c r="S27">
        <v>5</v>
      </c>
      <c r="U27" s="1" t="s">
        <v>233</v>
      </c>
      <c r="V27" t="s">
        <v>441</v>
      </c>
      <c r="AA27" s="12" t="s">
        <v>410</v>
      </c>
      <c r="AB27" s="13">
        <f>RSQ(AB38:AH38, AB39:AH39)</f>
        <v>4.2380910638091709E-3</v>
      </c>
      <c r="AC27" s="12"/>
    </row>
    <row r="28" spans="1:35" x14ac:dyDescent="0.25">
      <c r="A28" s="2" t="s">
        <v>11</v>
      </c>
      <c r="B28">
        <v>17</v>
      </c>
      <c r="F28" s="2" t="s">
        <v>151</v>
      </c>
      <c r="G28">
        <v>5</v>
      </c>
      <c r="I28" s="2" t="s">
        <v>501</v>
      </c>
      <c r="J28">
        <v>2</v>
      </c>
      <c r="R28" s="2" t="s">
        <v>451</v>
      </c>
      <c r="S28">
        <v>4</v>
      </c>
      <c r="U28" s="2" t="s">
        <v>132</v>
      </c>
      <c r="V28">
        <v>440</v>
      </c>
    </row>
    <row r="29" spans="1:35" ht="13" x14ac:dyDescent="0.3">
      <c r="A29" s="2" t="s">
        <v>351</v>
      </c>
      <c r="B29">
        <v>9</v>
      </c>
      <c r="F29" s="2" t="s">
        <v>152</v>
      </c>
      <c r="G29">
        <v>25</v>
      </c>
      <c r="I29" s="2" t="s">
        <v>334</v>
      </c>
      <c r="J29">
        <v>2</v>
      </c>
      <c r="L29" s="8" t="s">
        <v>140</v>
      </c>
      <c r="M29" s="8" t="s">
        <v>393</v>
      </c>
      <c r="R29" s="2" t="s">
        <v>492</v>
      </c>
      <c r="S29">
        <v>1</v>
      </c>
      <c r="U29" s="2" t="s">
        <v>469</v>
      </c>
      <c r="V29">
        <v>410</v>
      </c>
      <c r="AA29" s="1" t="s">
        <v>430</v>
      </c>
      <c r="AB29" s="1" t="s">
        <v>428</v>
      </c>
    </row>
    <row r="30" spans="1:35" x14ac:dyDescent="0.25">
      <c r="A30" s="2" t="s">
        <v>350</v>
      </c>
      <c r="B30">
        <v>9</v>
      </c>
      <c r="F30" s="2" t="s">
        <v>367</v>
      </c>
      <c r="G30">
        <v>25</v>
      </c>
      <c r="I30" s="2" t="s">
        <v>300</v>
      </c>
      <c r="J30">
        <v>2</v>
      </c>
      <c r="L30" s="7" t="s">
        <v>262</v>
      </c>
      <c r="M30" s="7">
        <f>GETPIVOTDATA("[Measures].[Count of Belayer]",$L$19,"[SportClimbing].[Country]","[SportClimbing].[Country].&amp;[Spain]")</f>
        <v>145</v>
      </c>
      <c r="U30" s="2" t="s">
        <v>332</v>
      </c>
      <c r="V30">
        <v>230</v>
      </c>
      <c r="AA30" s="1" t="s">
        <v>429</v>
      </c>
      <c r="AB30" t="s">
        <v>411</v>
      </c>
      <c r="AC30" t="s">
        <v>412</v>
      </c>
      <c r="AD30" t="s">
        <v>413</v>
      </c>
      <c r="AE30" t="s">
        <v>414</v>
      </c>
      <c r="AF30" t="s">
        <v>415</v>
      </c>
      <c r="AG30" t="s">
        <v>416</v>
      </c>
      <c r="AH30" t="s">
        <v>381</v>
      </c>
      <c r="AI30" t="s">
        <v>431</v>
      </c>
    </row>
    <row r="31" spans="1:35" x14ac:dyDescent="0.25">
      <c r="A31" s="2" t="s">
        <v>352</v>
      </c>
      <c r="B31">
        <v>5</v>
      </c>
      <c r="F31" s="2" t="s">
        <v>368</v>
      </c>
      <c r="G31">
        <v>32</v>
      </c>
      <c r="I31" s="2" t="s">
        <v>450</v>
      </c>
      <c r="J31">
        <v>2</v>
      </c>
      <c r="L31" s="7" t="s">
        <v>298</v>
      </c>
      <c r="M31" s="7">
        <f>GETPIVOTDATA("[Measures].[Count of Belayer]",$L$19,"[SportClimbing].[Country]","[SportClimbing].[Country].&amp;[Austria]")</f>
        <v>36</v>
      </c>
      <c r="U31" s="2" t="s">
        <v>435</v>
      </c>
      <c r="V31">
        <v>215</v>
      </c>
      <c r="AA31" s="2" t="s">
        <v>3</v>
      </c>
      <c r="AB31" s="19">
        <v>2.3333333333333335</v>
      </c>
      <c r="AC31" s="19">
        <v>2.8666666666666667</v>
      </c>
      <c r="AD31" s="19">
        <v>1.6</v>
      </c>
      <c r="AE31" s="19">
        <v>2.2068965517241379</v>
      </c>
      <c r="AF31" s="19">
        <v>1.3157894736842106</v>
      </c>
      <c r="AG31" s="19">
        <v>1</v>
      </c>
      <c r="AH31" s="19"/>
      <c r="AI31" s="19">
        <v>1.8938053097345133</v>
      </c>
    </row>
    <row r="32" spans="1:35" x14ac:dyDescent="0.25">
      <c r="A32" s="2" t="s">
        <v>354</v>
      </c>
      <c r="B32">
        <v>3</v>
      </c>
      <c r="F32" s="2" t="s">
        <v>155</v>
      </c>
      <c r="G32">
        <v>19</v>
      </c>
      <c r="I32" s="2" t="s">
        <v>514</v>
      </c>
      <c r="J32">
        <v>2</v>
      </c>
      <c r="L32" s="7" t="s">
        <v>261</v>
      </c>
      <c r="M32" s="7">
        <f>GETPIVOTDATA("[Measures].[Count of Belayer]",$L$19,"[SportClimbing].[Country]","[SportClimbing].[Country].&amp;[France]")</f>
        <v>13</v>
      </c>
      <c r="U32" s="2" t="s">
        <v>131</v>
      </c>
      <c r="V32">
        <v>195</v>
      </c>
      <c r="AA32" s="2" t="s">
        <v>21</v>
      </c>
      <c r="AB32" s="19">
        <v>1.5</v>
      </c>
      <c r="AC32" s="19">
        <v>2</v>
      </c>
      <c r="AD32" s="19">
        <v>2.2000000000000002</v>
      </c>
      <c r="AE32" s="19">
        <v>2.1818181818181817</v>
      </c>
      <c r="AF32" s="19">
        <v>3.2</v>
      </c>
      <c r="AG32" s="19">
        <v>1.25</v>
      </c>
      <c r="AH32" s="19">
        <v>1</v>
      </c>
      <c r="AI32" s="19">
        <v>2.1481481481481484</v>
      </c>
    </row>
    <row r="33" spans="1:35" x14ac:dyDescent="0.25">
      <c r="A33" s="2" t="s">
        <v>353</v>
      </c>
      <c r="B33">
        <v>3</v>
      </c>
      <c r="F33" s="2" t="s">
        <v>366</v>
      </c>
      <c r="G33">
        <v>16</v>
      </c>
      <c r="I33" s="2" t="s">
        <v>71</v>
      </c>
      <c r="J33">
        <v>2</v>
      </c>
      <c r="L33" s="7" t="s">
        <v>273</v>
      </c>
      <c r="M33" s="7">
        <f>GETPIVOTDATA("[Measures].[Count of Belayer]",$L$19,"[SportClimbing].[Country]","[SportClimbing].[Country].&amp;[Portugal]")</f>
        <v>2</v>
      </c>
      <c r="U33" s="2" t="s">
        <v>120</v>
      </c>
      <c r="V33">
        <v>160</v>
      </c>
      <c r="AA33" s="2" t="s">
        <v>29</v>
      </c>
      <c r="AB33" s="19">
        <v>3</v>
      </c>
      <c r="AC33" s="19">
        <v>3</v>
      </c>
      <c r="AD33" s="19">
        <v>3.25</v>
      </c>
      <c r="AE33" s="19">
        <v>5.25</v>
      </c>
      <c r="AF33" s="19">
        <v>2.3333333333333335</v>
      </c>
      <c r="AG33" s="19">
        <v>1.6666666666666667</v>
      </c>
      <c r="AH33" s="19"/>
      <c r="AI33" s="19">
        <v>3.125</v>
      </c>
    </row>
    <row r="34" spans="1:35" x14ac:dyDescent="0.25">
      <c r="A34" s="2" t="s">
        <v>346</v>
      </c>
      <c r="B34">
        <v>2</v>
      </c>
      <c r="F34" s="2" t="s">
        <v>365</v>
      </c>
      <c r="G34">
        <v>13</v>
      </c>
      <c r="I34" s="2" t="s">
        <v>343</v>
      </c>
      <c r="J34">
        <v>2</v>
      </c>
      <c r="L34" s="7" t="s">
        <v>313</v>
      </c>
      <c r="M34" s="7">
        <f>GETPIVOTDATA("[Measures].[Count of Belayer]",$L$19,"[SportClimbing].[Country]","[SportClimbing].[Country].&amp;[Italy]")</f>
        <v>12</v>
      </c>
      <c r="U34" s="2" t="s">
        <v>164</v>
      </c>
      <c r="V34">
        <v>155</v>
      </c>
      <c r="AA34" s="2" t="s">
        <v>32</v>
      </c>
      <c r="AB34" s="19"/>
      <c r="AC34" s="19"/>
      <c r="AD34" s="19">
        <v>5</v>
      </c>
      <c r="AE34" s="19">
        <v>8</v>
      </c>
      <c r="AF34" s="19">
        <v>3.6666666666666665</v>
      </c>
      <c r="AG34" s="19"/>
      <c r="AH34" s="19">
        <v>1</v>
      </c>
      <c r="AI34" s="19">
        <v>5.6363636363636367</v>
      </c>
    </row>
    <row r="35" spans="1:35" x14ac:dyDescent="0.25">
      <c r="A35" s="2" t="s">
        <v>347</v>
      </c>
      <c r="B35">
        <v>2</v>
      </c>
      <c r="F35" s="2" t="s">
        <v>158</v>
      </c>
      <c r="G35">
        <v>7</v>
      </c>
      <c r="I35" s="2" t="s">
        <v>493</v>
      </c>
      <c r="J35">
        <v>1</v>
      </c>
      <c r="L35" s="7" t="s">
        <v>390</v>
      </c>
      <c r="M35" s="7">
        <f>GETPIVOTDATA("[Measures].[Count of Belayer]",$L$19,"[SportClimbing].[Country]","[SportClimbing].[Country].&amp;[Germany]")</f>
        <v>1</v>
      </c>
      <c r="U35" s="2" t="s">
        <v>133</v>
      </c>
      <c r="V35">
        <v>125</v>
      </c>
      <c r="AA35" s="2" t="s">
        <v>69</v>
      </c>
      <c r="AB35" s="19"/>
      <c r="AC35" s="19"/>
      <c r="AD35" s="19">
        <v>14.5</v>
      </c>
      <c r="AE35" s="19">
        <v>6</v>
      </c>
      <c r="AF35" s="19"/>
      <c r="AG35" s="19"/>
      <c r="AH35" s="19">
        <v>8</v>
      </c>
      <c r="AI35" s="19">
        <v>9.8000000000000007</v>
      </c>
    </row>
    <row r="36" spans="1:35" ht="13" x14ac:dyDescent="0.3">
      <c r="A36" s="2" t="s">
        <v>446</v>
      </c>
      <c r="B36">
        <v>1</v>
      </c>
      <c r="F36" s="2" t="s">
        <v>159</v>
      </c>
      <c r="G36">
        <v>19</v>
      </c>
      <c r="I36" s="2" t="s">
        <v>278</v>
      </c>
      <c r="J36">
        <v>1</v>
      </c>
      <c r="L36" s="8" t="s">
        <v>232</v>
      </c>
      <c r="M36" s="8">
        <f>GETPIVOTDATA("[Measures].[Count of Belayer]",$A$4)</f>
        <v>209</v>
      </c>
      <c r="U36" s="2" t="s">
        <v>370</v>
      </c>
      <c r="V36">
        <v>100</v>
      </c>
      <c r="AA36" s="2" t="s">
        <v>163</v>
      </c>
      <c r="AB36" s="19"/>
      <c r="AC36" s="19"/>
      <c r="AD36" s="19">
        <v>27</v>
      </c>
      <c r="AE36" s="19"/>
      <c r="AF36" s="19"/>
      <c r="AG36" s="19"/>
      <c r="AH36" s="19"/>
      <c r="AI36" s="19">
        <v>27</v>
      </c>
    </row>
    <row r="37" spans="1:35" x14ac:dyDescent="0.25">
      <c r="A37" s="2" t="s">
        <v>491</v>
      </c>
      <c r="B37">
        <v>1</v>
      </c>
      <c r="F37" s="2" t="s">
        <v>162</v>
      </c>
      <c r="G37">
        <v>23</v>
      </c>
      <c r="I37" s="2" t="s">
        <v>286</v>
      </c>
      <c r="J37">
        <v>1</v>
      </c>
      <c r="U37" s="2" t="s">
        <v>146</v>
      </c>
      <c r="V37">
        <v>100</v>
      </c>
      <c r="AA37" s="2" t="s">
        <v>431</v>
      </c>
      <c r="AB37" s="19">
        <v>2.2222222222222223</v>
      </c>
      <c r="AC37" s="19">
        <v>2.6818181818181817</v>
      </c>
      <c r="AD37" s="19">
        <v>3.1304347826086958</v>
      </c>
      <c r="AE37" s="19">
        <v>2.9838709677419355</v>
      </c>
      <c r="AF37" s="19">
        <v>2</v>
      </c>
      <c r="AG37" s="19">
        <v>1.2727272727272727</v>
      </c>
      <c r="AH37" s="19">
        <v>3.3333333333333335</v>
      </c>
      <c r="AI37" s="19">
        <v>2.7272727272727271</v>
      </c>
    </row>
    <row r="38" spans="1:35" x14ac:dyDescent="0.25">
      <c r="A38" s="2" t="s">
        <v>452</v>
      </c>
      <c r="B38">
        <v>1</v>
      </c>
      <c r="F38" s="2" t="s">
        <v>160</v>
      </c>
      <c r="G38">
        <v>16</v>
      </c>
      <c r="I38" s="2" t="s">
        <v>123</v>
      </c>
      <c r="J38">
        <v>1</v>
      </c>
      <c r="U38" s="2" t="s">
        <v>232</v>
      </c>
      <c r="V38">
        <v>2130</v>
      </c>
      <c r="AA38" s="2"/>
      <c r="AB38" s="20">
        <v>10</v>
      </c>
      <c r="AC38" s="20">
        <v>15</v>
      </c>
      <c r="AD38" s="20">
        <v>20</v>
      </c>
      <c r="AE38" s="20">
        <v>25</v>
      </c>
      <c r="AF38" s="20">
        <v>30</v>
      </c>
      <c r="AG38" s="20">
        <v>35</v>
      </c>
      <c r="AH38" s="20">
        <v>40</v>
      </c>
      <c r="AI38" s="19"/>
    </row>
    <row r="39" spans="1:35" x14ac:dyDescent="0.25">
      <c r="A39" s="2" t="s">
        <v>382</v>
      </c>
      <c r="B39">
        <v>1</v>
      </c>
      <c r="F39" s="2" t="s">
        <v>161</v>
      </c>
      <c r="G39">
        <v>9</v>
      </c>
      <c r="I39" s="2" t="s">
        <v>274</v>
      </c>
      <c r="J39">
        <v>1</v>
      </c>
      <c r="AB39" s="7">
        <f>GETPIVOTDATA("[Measures].[Average of Tries num. only excl. outliers]",$AA$29,"[SportClimbing].[Height range (m)]","[SportClimbing].[Height range (m)].&amp;[0-10]")</f>
        <v>2.2222222222222223</v>
      </c>
      <c r="AC39" s="7">
        <f>GETPIVOTDATA("[Measures].[Average of Tries num. only excl. outliers]",$AA$29,"[SportClimbing].[Height range (m)]","[SportClimbing].[Height range (m)].&amp;[11-15]")</f>
        <v>2.6818181818181817</v>
      </c>
      <c r="AD39" s="7">
        <f>GETPIVOTDATA("[Measures].[Average of Tries num. only excl. outliers]",$AA$29,"[SportClimbing].[Height range (m)]","[SportClimbing].[Height range (m)].&amp;[16-20]")</f>
        <v>3.1304347826086958</v>
      </c>
      <c r="AE39" s="7">
        <f>GETPIVOTDATA("[Measures].[Average of Tries num. only excl. outliers]",$AA$29,"[SportClimbing].[Height range (m)]","[SportClimbing].[Height range (m)].&amp;[21-25]")</f>
        <v>2.9838709677419355</v>
      </c>
      <c r="AF39" s="7">
        <f>GETPIVOTDATA("[Measures].[Average of Tries num. only excl. outliers]",$AA$29,"[SportClimbing].[Height range (m)]","[SportClimbing].[Height range (m)].&amp;[26-30]")</f>
        <v>2</v>
      </c>
      <c r="AG39" s="7">
        <f>GETPIVOTDATA("[Measures].[Average of Tries num. only excl. outliers]",$AA$29,"[SportClimbing].[Height range (m)]","[SportClimbing].[Height range (m)].&amp;[31-35]")</f>
        <v>1.2727272727272727</v>
      </c>
      <c r="AH39" s="7">
        <f>GETPIVOTDATA("[Measures].[Average of Tries num. only excl. outliers]",$AA$29,"[SportClimbing].[Height range (m)]","[SportClimbing].[Height range (m)].&amp;[35+]")</f>
        <v>3.3333333333333335</v>
      </c>
    </row>
    <row r="40" spans="1:35" x14ac:dyDescent="0.25">
      <c r="A40" s="2" t="s">
        <v>232</v>
      </c>
      <c r="B40">
        <v>209</v>
      </c>
      <c r="F40" s="2" t="s">
        <v>232</v>
      </c>
      <c r="G40">
        <v>209</v>
      </c>
      <c r="I40" s="2" t="s">
        <v>8</v>
      </c>
      <c r="J40">
        <v>1</v>
      </c>
    </row>
    <row r="41" spans="1:35" x14ac:dyDescent="0.25">
      <c r="A41" s="2"/>
      <c r="F41" s="2"/>
      <c r="I41" s="2" t="s">
        <v>72</v>
      </c>
      <c r="J41">
        <v>1</v>
      </c>
    </row>
    <row r="42" spans="1:35" x14ac:dyDescent="0.25">
      <c r="I42" s="2" t="s">
        <v>265</v>
      </c>
      <c r="J42">
        <v>1</v>
      </c>
      <c r="U42" s="1" t="s">
        <v>233</v>
      </c>
      <c r="V42" t="s">
        <v>441</v>
      </c>
    </row>
    <row r="43" spans="1:35" x14ac:dyDescent="0.25">
      <c r="A43" s="1" t="s">
        <v>233</v>
      </c>
      <c r="B43" t="s">
        <v>424</v>
      </c>
      <c r="I43" s="2" t="s">
        <v>508</v>
      </c>
      <c r="J43">
        <v>1</v>
      </c>
      <c r="U43" s="2">
        <v>2006</v>
      </c>
      <c r="V43">
        <v>10</v>
      </c>
    </row>
    <row r="44" spans="1:35" x14ac:dyDescent="0.25">
      <c r="A44" s="2" t="s">
        <v>11</v>
      </c>
      <c r="B44" s="10">
        <v>8.6124401913875603E-2</v>
      </c>
      <c r="I44" s="2" t="s">
        <v>12</v>
      </c>
      <c r="J44">
        <v>1</v>
      </c>
      <c r="U44" s="26" t="s">
        <v>365</v>
      </c>
      <c r="V44">
        <v>10</v>
      </c>
    </row>
    <row r="45" spans="1:35" x14ac:dyDescent="0.25">
      <c r="A45" s="2" t="s">
        <v>130</v>
      </c>
      <c r="B45" s="10">
        <v>0.27751196172248804</v>
      </c>
      <c r="I45" s="2" t="s">
        <v>345</v>
      </c>
      <c r="J45">
        <v>1</v>
      </c>
      <c r="U45" s="2">
        <v>2007</v>
      </c>
      <c r="V45">
        <v>10</v>
      </c>
    </row>
    <row r="46" spans="1:35" x14ac:dyDescent="0.25">
      <c r="A46" s="2" t="s">
        <v>404</v>
      </c>
      <c r="B46" s="10">
        <v>0.63636363636363635</v>
      </c>
      <c r="I46" s="2" t="s">
        <v>18</v>
      </c>
      <c r="J46">
        <v>1</v>
      </c>
      <c r="U46" s="26" t="s">
        <v>365</v>
      </c>
      <c r="V46">
        <v>10</v>
      </c>
    </row>
    <row r="47" spans="1:35" x14ac:dyDescent="0.25">
      <c r="A47" s="2" t="s">
        <v>232</v>
      </c>
      <c r="B47" s="10">
        <v>1</v>
      </c>
      <c r="I47" s="2" t="s">
        <v>323</v>
      </c>
      <c r="J47">
        <v>1</v>
      </c>
      <c r="U47" s="2">
        <v>2008</v>
      </c>
      <c r="V47">
        <v>20</v>
      </c>
    </row>
    <row r="48" spans="1:35" x14ac:dyDescent="0.25">
      <c r="A48" s="2"/>
      <c r="B48" s="10"/>
      <c r="I48" s="2" t="s">
        <v>281</v>
      </c>
      <c r="J48">
        <v>1</v>
      </c>
      <c r="U48" s="26" t="s">
        <v>368</v>
      </c>
      <c r="V48">
        <v>10</v>
      </c>
    </row>
    <row r="49" spans="1:22" x14ac:dyDescent="0.25">
      <c r="I49" s="2" t="s">
        <v>391</v>
      </c>
      <c r="J49">
        <v>1</v>
      </c>
      <c r="U49" s="26" t="s">
        <v>155</v>
      </c>
      <c r="V49">
        <v>10</v>
      </c>
    </row>
    <row r="50" spans="1:22" x14ac:dyDescent="0.25">
      <c r="A50" s="1" t="s">
        <v>233</v>
      </c>
      <c r="B50" t="s">
        <v>425</v>
      </c>
      <c r="I50" s="2" t="s">
        <v>459</v>
      </c>
      <c r="J50">
        <v>1</v>
      </c>
      <c r="U50" s="2">
        <v>2011</v>
      </c>
      <c r="V50">
        <v>10</v>
      </c>
    </row>
    <row r="51" spans="1:22" x14ac:dyDescent="0.25">
      <c r="A51" s="2" t="s">
        <v>3</v>
      </c>
      <c r="B51" s="9">
        <v>1.8938053097345133</v>
      </c>
      <c r="I51" s="4" t="s">
        <v>232</v>
      </c>
      <c r="J51">
        <v>209</v>
      </c>
      <c r="U51" s="26" t="s">
        <v>158</v>
      </c>
      <c r="V51">
        <v>10</v>
      </c>
    </row>
    <row r="52" spans="1:22" x14ac:dyDescent="0.25">
      <c r="A52" s="2" t="s">
        <v>21</v>
      </c>
      <c r="B52" s="9">
        <v>2.1481481481481484</v>
      </c>
      <c r="U52" s="2">
        <v>2012</v>
      </c>
      <c r="V52">
        <v>40</v>
      </c>
    </row>
    <row r="53" spans="1:22" x14ac:dyDescent="0.25">
      <c r="A53" s="2" t="s">
        <v>29</v>
      </c>
      <c r="B53" s="9">
        <v>3.125</v>
      </c>
      <c r="U53" s="26" t="s">
        <v>368</v>
      </c>
      <c r="V53">
        <v>10</v>
      </c>
    </row>
    <row r="54" spans="1:22" x14ac:dyDescent="0.25">
      <c r="A54" s="2" t="s">
        <v>32</v>
      </c>
      <c r="B54" s="9">
        <v>5.6363636363636367</v>
      </c>
      <c r="U54" s="26" t="s">
        <v>160</v>
      </c>
      <c r="V54">
        <v>15</v>
      </c>
    </row>
    <row r="55" spans="1:22" x14ac:dyDescent="0.25">
      <c r="A55" s="2" t="s">
        <v>69</v>
      </c>
      <c r="B55" s="9">
        <v>9.8000000000000007</v>
      </c>
      <c r="U55" s="26" t="s">
        <v>161</v>
      </c>
      <c r="V55">
        <v>15</v>
      </c>
    </row>
    <row r="56" spans="1:22" x14ac:dyDescent="0.25">
      <c r="A56" s="2" t="s">
        <v>163</v>
      </c>
      <c r="B56" s="9">
        <v>27</v>
      </c>
      <c r="U56" s="2">
        <v>2013</v>
      </c>
      <c r="V56">
        <v>335</v>
      </c>
    </row>
    <row r="57" spans="1:22" x14ac:dyDescent="0.25">
      <c r="A57" s="2" t="s">
        <v>232</v>
      </c>
      <c r="B57" s="9">
        <v>2.7272727272727271</v>
      </c>
      <c r="U57" s="26" t="s">
        <v>151</v>
      </c>
      <c r="V57">
        <v>25</v>
      </c>
    </row>
    <row r="58" spans="1:22" x14ac:dyDescent="0.25">
      <c r="U58" s="26" t="s">
        <v>152</v>
      </c>
      <c r="V58">
        <v>85</v>
      </c>
    </row>
    <row r="59" spans="1:22" x14ac:dyDescent="0.25">
      <c r="A59" s="1" t="s">
        <v>426</v>
      </c>
      <c r="B59" s="1" t="s">
        <v>419</v>
      </c>
      <c r="U59" s="26" t="s">
        <v>367</v>
      </c>
      <c r="V59">
        <v>65</v>
      </c>
    </row>
    <row r="60" spans="1:22" x14ac:dyDescent="0.25">
      <c r="A60" s="1" t="s">
        <v>233</v>
      </c>
      <c r="B60" t="s">
        <v>11</v>
      </c>
      <c r="C60" t="s">
        <v>130</v>
      </c>
      <c r="D60" t="s">
        <v>404</v>
      </c>
      <c r="U60" s="26" t="s">
        <v>368</v>
      </c>
      <c r="V60">
        <v>110</v>
      </c>
    </row>
    <row r="61" spans="1:22" x14ac:dyDescent="0.25">
      <c r="A61" s="2" t="s">
        <v>3</v>
      </c>
      <c r="B61" s="15">
        <v>0.10619469026548672</v>
      </c>
      <c r="C61" s="15">
        <v>0.36283185840707965</v>
      </c>
      <c r="D61" s="15">
        <v>0.53097345132743368</v>
      </c>
      <c r="E61" s="15"/>
      <c r="U61" s="26" t="s">
        <v>155</v>
      </c>
      <c r="V61">
        <v>50</v>
      </c>
    </row>
    <row r="62" spans="1:22" x14ac:dyDescent="0.25">
      <c r="A62" s="2" t="s">
        <v>21</v>
      </c>
      <c r="B62" s="15">
        <v>9.2592592592592587E-2</v>
      </c>
      <c r="C62" s="15">
        <v>0.25925925925925924</v>
      </c>
      <c r="D62" s="15">
        <v>0.64814814814814814</v>
      </c>
      <c r="E62" s="15"/>
      <c r="U62" s="2">
        <v>2016</v>
      </c>
      <c r="V62">
        <v>20</v>
      </c>
    </row>
    <row r="63" spans="1:22" x14ac:dyDescent="0.25">
      <c r="A63" s="2" t="s">
        <v>29</v>
      </c>
      <c r="B63" s="15">
        <v>4.1666666666666664E-2</v>
      </c>
      <c r="C63" s="15">
        <v>8.3333333333333329E-2</v>
      </c>
      <c r="D63" s="15">
        <v>0.875</v>
      </c>
      <c r="E63" s="15"/>
      <c r="U63" s="26" t="s">
        <v>366</v>
      </c>
      <c r="V63">
        <v>10</v>
      </c>
    </row>
    <row r="64" spans="1:22" x14ac:dyDescent="0.25">
      <c r="A64" s="2" t="s">
        <v>32</v>
      </c>
      <c r="B64" s="15">
        <v>0</v>
      </c>
      <c r="C64" s="15">
        <v>9.0909090909090912E-2</v>
      </c>
      <c r="D64" s="15">
        <v>0.90909090909090906</v>
      </c>
      <c r="E64" s="15"/>
      <c r="U64" s="26" t="s">
        <v>160</v>
      </c>
      <c r="V64">
        <v>10</v>
      </c>
    </row>
    <row r="65" spans="1:22" x14ac:dyDescent="0.25">
      <c r="A65" s="2" t="s">
        <v>69</v>
      </c>
      <c r="B65" s="15">
        <v>0</v>
      </c>
      <c r="C65" s="15">
        <v>0</v>
      </c>
      <c r="D65" s="15">
        <v>1</v>
      </c>
      <c r="E65" s="15"/>
      <c r="U65" s="2">
        <v>2017</v>
      </c>
      <c r="V65">
        <v>450</v>
      </c>
    </row>
    <row r="66" spans="1:22" x14ac:dyDescent="0.25">
      <c r="A66" s="2" t="s">
        <v>163</v>
      </c>
      <c r="B66" s="15">
        <v>0</v>
      </c>
      <c r="C66" s="15">
        <v>0</v>
      </c>
      <c r="D66" s="15">
        <v>1</v>
      </c>
      <c r="E66" s="15"/>
      <c r="U66" s="26" t="s">
        <v>368</v>
      </c>
      <c r="V66">
        <v>35</v>
      </c>
    </row>
    <row r="67" spans="1:22" x14ac:dyDescent="0.25">
      <c r="U67" s="26" t="s">
        <v>155</v>
      </c>
      <c r="V67">
        <v>10</v>
      </c>
    </row>
    <row r="68" spans="1:22" ht="13" x14ac:dyDescent="0.3">
      <c r="A68" s="16" t="s">
        <v>233</v>
      </c>
      <c r="B68" s="16" t="s">
        <v>11</v>
      </c>
      <c r="C68" s="16" t="s">
        <v>130</v>
      </c>
      <c r="U68" s="26" t="s">
        <v>366</v>
      </c>
      <c r="V68">
        <v>35</v>
      </c>
    </row>
    <row r="69" spans="1:22" x14ac:dyDescent="0.25">
      <c r="A69" s="6" t="s">
        <v>3</v>
      </c>
      <c r="B69" s="17">
        <f>GETPIVOTDATA("[Measures].[Count of Belayer]",$A$59,"[SportClimbing].[Grade]","[SportClimbing].[Grade].&amp;[7a]","[SportClimbing].[onsight/flash/redpoint]","[SportClimbing].[onsight/flash/redpoint].&amp;[flash]")</f>
        <v>0.10619469026548672</v>
      </c>
      <c r="C69" s="17">
        <f>GETPIVOTDATA("[Measures].[Count of Belayer]",$A$59,"[SportClimbing].[Grade]","[SportClimbing].[Grade].&amp;[7a]","[SportClimbing].[onsight/flash/redpoint]","[SportClimbing].[onsight/flash/redpoint].&amp;[onsight]")</f>
        <v>0.36283185840707965</v>
      </c>
      <c r="U69" s="26" t="s">
        <v>365</v>
      </c>
      <c r="V69">
        <v>25</v>
      </c>
    </row>
    <row r="70" spans="1:22" x14ac:dyDescent="0.25">
      <c r="A70" s="6" t="s">
        <v>21</v>
      </c>
      <c r="B70" s="17">
        <f>GETPIVOTDATA("[Measures].[Count of Belayer]",$A$59,"[SportClimbing].[Grade]","[SportClimbing].[Grade].&amp;[7a+]","[SportClimbing].[onsight/flash/redpoint]","[SportClimbing].[onsight/flash/redpoint].&amp;[flash]")</f>
        <v>9.2592592592592587E-2</v>
      </c>
      <c r="C70" s="17">
        <f>GETPIVOTDATA("[Measures].[Count of Belayer]",$A$59,"[SportClimbing].[Grade]","[SportClimbing].[Grade].&amp;[7a+]","[SportClimbing].[onsight/flash/redpoint]","[SportClimbing].[onsight/flash/redpoint].&amp;[onsight]")</f>
        <v>0.25925925925925924</v>
      </c>
      <c r="U70" s="26" t="s">
        <v>158</v>
      </c>
      <c r="V70">
        <v>10</v>
      </c>
    </row>
    <row r="71" spans="1:22" x14ac:dyDescent="0.25">
      <c r="A71" s="6" t="s">
        <v>29</v>
      </c>
      <c r="B71" s="17">
        <f>GETPIVOTDATA("[Measures].[Count of Belayer]",$A$59,"[SportClimbing].[Grade]","[SportClimbing].[Grade].&amp;[7b]","[SportClimbing].[onsight/flash/redpoint]","[SportClimbing].[onsight/flash/redpoint].&amp;[flash]")</f>
        <v>4.1666666666666664E-2</v>
      </c>
      <c r="C71" s="17">
        <f>GETPIVOTDATA("[Measures].[Count of Belayer]",$A$59,"[SportClimbing].[Grade]","[SportClimbing].[Grade].&amp;[7b]","[SportClimbing].[onsight/flash/redpoint]","[SportClimbing].[onsight/flash/redpoint].&amp;[onsight]")</f>
        <v>8.3333333333333329E-2</v>
      </c>
      <c r="U71" s="26" t="s">
        <v>159</v>
      </c>
      <c r="V71">
        <v>80</v>
      </c>
    </row>
    <row r="72" spans="1:22" x14ac:dyDescent="0.25">
      <c r="A72" s="6" t="s">
        <v>32</v>
      </c>
      <c r="B72" s="17">
        <f>GETPIVOTDATA("[Measures].[Count of Belayer]",$A$59,"[SportClimbing].[Grade]","[SportClimbing].[Grade].&amp;[7b+]","[SportClimbing].[onsight/flash/redpoint]","[SportClimbing].[onsight/flash/redpoint].&amp;[flash]")</f>
        <v>0</v>
      </c>
      <c r="C72" s="17">
        <f>GETPIVOTDATA("[Measures].[Count of Belayer]",$A$59,"[SportClimbing].[Grade]","[SportClimbing].[Grade].&amp;[7b+]","[SportClimbing].[onsight/flash/redpoint]","[SportClimbing].[onsight/flash/redpoint].&amp;[onsight]")</f>
        <v>9.0909090909090912E-2</v>
      </c>
      <c r="U72" s="26" t="s">
        <v>162</v>
      </c>
      <c r="V72">
        <v>90</v>
      </c>
    </row>
    <row r="73" spans="1:22" x14ac:dyDescent="0.25">
      <c r="A73" s="6" t="s">
        <v>69</v>
      </c>
      <c r="B73" s="17">
        <f>GETPIVOTDATA("[Measures].[Count of Belayer]",$A$59,"[SportClimbing].[Grade]","[SportClimbing].[Grade].&amp;[7c]","[SportClimbing].[onsight/flash/redpoint]","[SportClimbing].[onsight/flash/redpoint].&amp;[flash]")</f>
        <v>0</v>
      </c>
      <c r="C73" s="17">
        <f>GETPIVOTDATA("[Measures].[Count of Belayer]",$A$59,"[SportClimbing].[Grade]","[SportClimbing].[Grade].&amp;[7c]","[SportClimbing].[onsight/flash/redpoint]","[SportClimbing].[onsight/flash/redpoint].&amp;[onsight]")</f>
        <v>0</v>
      </c>
      <c r="U73" s="26" t="s">
        <v>160</v>
      </c>
      <c r="V73">
        <v>25</v>
      </c>
    </row>
    <row r="74" spans="1:22" x14ac:dyDescent="0.25">
      <c r="A74" s="6" t="s">
        <v>163</v>
      </c>
      <c r="B74" s="17">
        <f>GETPIVOTDATA("[Measures].[Count of Belayer]",$A$59,"[SportClimbing].[Grade]","[SportClimbing].[Grade].&amp;[7c+]","[SportClimbing].[onsight/flash/redpoint]","[SportClimbing].[onsight/flash/redpoint].&amp;[flash]")</f>
        <v>0</v>
      </c>
      <c r="C74" s="17">
        <f>GETPIVOTDATA("[Measures].[Count of Belayer]",$A$59,"[SportClimbing].[Grade]","[SportClimbing].[Grade].&amp;[7c+]","[SportClimbing].[onsight/flash/redpoint]","[SportClimbing].[onsight/flash/redpoint].&amp;[onsight]")</f>
        <v>0</v>
      </c>
      <c r="U74" s="26" t="s">
        <v>161</v>
      </c>
      <c r="V74">
        <v>140</v>
      </c>
    </row>
    <row r="75" spans="1:22" x14ac:dyDescent="0.25">
      <c r="U75" s="2">
        <v>2018</v>
      </c>
      <c r="V75">
        <v>500</v>
      </c>
    </row>
    <row r="76" spans="1:22" x14ac:dyDescent="0.25">
      <c r="U76" s="26" t="s">
        <v>151</v>
      </c>
      <c r="V76">
        <v>65</v>
      </c>
    </row>
    <row r="77" spans="1:22" x14ac:dyDescent="0.25">
      <c r="U77" s="26" t="s">
        <v>152</v>
      </c>
      <c r="V77">
        <v>85</v>
      </c>
    </row>
    <row r="78" spans="1:22" x14ac:dyDescent="0.25">
      <c r="U78" s="26" t="s">
        <v>367</v>
      </c>
      <c r="V78">
        <v>85</v>
      </c>
    </row>
    <row r="79" spans="1:22" x14ac:dyDescent="0.25">
      <c r="U79" s="26" t="s">
        <v>368</v>
      </c>
      <c r="V79">
        <v>175</v>
      </c>
    </row>
    <row r="80" spans="1:22" x14ac:dyDescent="0.25">
      <c r="U80" s="26" t="s">
        <v>155</v>
      </c>
      <c r="V80">
        <v>25</v>
      </c>
    </row>
    <row r="81" spans="21:22" x14ac:dyDescent="0.25">
      <c r="U81" s="26" t="s">
        <v>366</v>
      </c>
      <c r="V81">
        <v>30</v>
      </c>
    </row>
    <row r="82" spans="21:22" x14ac:dyDescent="0.25">
      <c r="U82" s="26" t="s">
        <v>159</v>
      </c>
      <c r="V82">
        <v>10</v>
      </c>
    </row>
    <row r="83" spans="21:22" x14ac:dyDescent="0.25">
      <c r="U83" s="26" t="s">
        <v>160</v>
      </c>
      <c r="V83">
        <v>25</v>
      </c>
    </row>
    <row r="84" spans="21:22" x14ac:dyDescent="0.25">
      <c r="U84" s="2">
        <v>2019</v>
      </c>
      <c r="V84">
        <v>110</v>
      </c>
    </row>
    <row r="85" spans="21:22" x14ac:dyDescent="0.25">
      <c r="U85" s="26" t="s">
        <v>368</v>
      </c>
      <c r="V85">
        <v>35</v>
      </c>
    </row>
    <row r="86" spans="21:22" x14ac:dyDescent="0.25">
      <c r="U86" s="26" t="s">
        <v>159</v>
      </c>
      <c r="V86">
        <v>15</v>
      </c>
    </row>
    <row r="87" spans="21:22" x14ac:dyDescent="0.25">
      <c r="U87" s="26" t="s">
        <v>160</v>
      </c>
      <c r="V87">
        <v>60</v>
      </c>
    </row>
    <row r="88" spans="21:22" x14ac:dyDescent="0.25">
      <c r="U88" s="2">
        <v>2020</v>
      </c>
      <c r="V88">
        <v>190</v>
      </c>
    </row>
    <row r="89" spans="21:22" x14ac:dyDescent="0.25">
      <c r="U89" s="26" t="s">
        <v>158</v>
      </c>
      <c r="V89">
        <v>40</v>
      </c>
    </row>
    <row r="90" spans="21:22" x14ac:dyDescent="0.25">
      <c r="U90" s="26" t="s">
        <v>159</v>
      </c>
      <c r="V90">
        <v>80</v>
      </c>
    </row>
    <row r="91" spans="21:22" x14ac:dyDescent="0.25">
      <c r="U91" s="26" t="s">
        <v>162</v>
      </c>
      <c r="V91">
        <v>70</v>
      </c>
    </row>
    <row r="92" spans="21:22" x14ac:dyDescent="0.25">
      <c r="U92" s="2">
        <v>2021</v>
      </c>
      <c r="V92">
        <v>290</v>
      </c>
    </row>
    <row r="93" spans="21:22" x14ac:dyDescent="0.25">
      <c r="U93" s="26" t="s">
        <v>368</v>
      </c>
      <c r="V93">
        <v>35</v>
      </c>
    </row>
    <row r="94" spans="21:22" x14ac:dyDescent="0.25">
      <c r="U94" s="26" t="s">
        <v>155</v>
      </c>
      <c r="V94">
        <v>105</v>
      </c>
    </row>
    <row r="95" spans="21:22" x14ac:dyDescent="0.25">
      <c r="U95" s="26" t="s">
        <v>366</v>
      </c>
      <c r="V95">
        <v>140</v>
      </c>
    </row>
    <row r="96" spans="21:22" x14ac:dyDescent="0.25">
      <c r="U96" s="26" t="s">
        <v>160</v>
      </c>
      <c r="V96">
        <v>10</v>
      </c>
    </row>
    <row r="97" spans="21:22" x14ac:dyDescent="0.25">
      <c r="U97" s="2">
        <v>2022</v>
      </c>
      <c r="V97">
        <v>290</v>
      </c>
    </row>
    <row r="98" spans="21:22" x14ac:dyDescent="0.25">
      <c r="U98" s="26" t="s">
        <v>151</v>
      </c>
      <c r="V98">
        <v>80</v>
      </c>
    </row>
    <row r="99" spans="21:22" x14ac:dyDescent="0.25">
      <c r="U99" s="26" t="s">
        <v>152</v>
      </c>
      <c r="V99">
        <v>45</v>
      </c>
    </row>
    <row r="100" spans="21:22" x14ac:dyDescent="0.25">
      <c r="U100" s="26" t="s">
        <v>367</v>
      </c>
      <c r="V100">
        <v>10</v>
      </c>
    </row>
    <row r="101" spans="21:22" x14ac:dyDescent="0.25">
      <c r="U101" s="26" t="s">
        <v>155</v>
      </c>
      <c r="V101">
        <v>10</v>
      </c>
    </row>
    <row r="102" spans="21:22" x14ac:dyDescent="0.25">
      <c r="U102" s="26" t="s">
        <v>366</v>
      </c>
      <c r="V102">
        <v>25</v>
      </c>
    </row>
    <row r="103" spans="21:22" x14ac:dyDescent="0.25">
      <c r="U103" s="26" t="s">
        <v>365</v>
      </c>
      <c r="V103">
        <v>40</v>
      </c>
    </row>
    <row r="104" spans="21:22" x14ac:dyDescent="0.25">
      <c r="U104" s="26" t="s">
        <v>159</v>
      </c>
      <c r="V104">
        <v>15</v>
      </c>
    </row>
    <row r="105" spans="21:22" x14ac:dyDescent="0.25">
      <c r="U105" s="26" t="s">
        <v>162</v>
      </c>
      <c r="V105">
        <v>20</v>
      </c>
    </row>
    <row r="106" spans="21:22" x14ac:dyDescent="0.25">
      <c r="U106" s="26" t="s">
        <v>160</v>
      </c>
      <c r="V106">
        <v>45</v>
      </c>
    </row>
    <row r="107" spans="21:22" x14ac:dyDescent="0.25">
      <c r="U107" s="2">
        <v>2023</v>
      </c>
      <c r="V107">
        <v>225</v>
      </c>
    </row>
    <row r="108" spans="21:22" x14ac:dyDescent="0.25">
      <c r="U108" s="26" t="s">
        <v>152</v>
      </c>
      <c r="V108">
        <v>125</v>
      </c>
    </row>
    <row r="109" spans="21:22" x14ac:dyDescent="0.25">
      <c r="U109" s="26" t="s">
        <v>367</v>
      </c>
      <c r="V109">
        <v>10</v>
      </c>
    </row>
    <row r="110" spans="21:22" x14ac:dyDescent="0.25">
      <c r="U110" s="26" t="s">
        <v>155</v>
      </c>
      <c r="V110">
        <v>10</v>
      </c>
    </row>
    <row r="111" spans="21:22" x14ac:dyDescent="0.25">
      <c r="U111" s="26" t="s">
        <v>366</v>
      </c>
      <c r="V111">
        <v>10</v>
      </c>
    </row>
    <row r="112" spans="21:22" x14ac:dyDescent="0.25">
      <c r="U112" s="26" t="s">
        <v>365</v>
      </c>
      <c r="V112">
        <v>30</v>
      </c>
    </row>
    <row r="113" spans="21:22" x14ac:dyDescent="0.25">
      <c r="U113" s="26" t="s">
        <v>159</v>
      </c>
      <c r="V113">
        <v>10</v>
      </c>
    </row>
    <row r="114" spans="21:22" x14ac:dyDescent="0.25">
      <c r="U114" s="26" t="s">
        <v>162</v>
      </c>
      <c r="V114">
        <v>10</v>
      </c>
    </row>
    <row r="115" spans="21:22" x14ac:dyDescent="0.25">
      <c r="U115" s="26" t="s">
        <v>160</v>
      </c>
      <c r="V115">
        <v>20</v>
      </c>
    </row>
    <row r="116" spans="21:22" x14ac:dyDescent="0.25">
      <c r="U116" s="2">
        <v>2024</v>
      </c>
      <c r="V116">
        <v>195</v>
      </c>
    </row>
    <row r="117" spans="21:22" x14ac:dyDescent="0.25">
      <c r="U117" s="26" t="s">
        <v>151</v>
      </c>
      <c r="V117">
        <v>10</v>
      </c>
    </row>
    <row r="118" spans="21:22" x14ac:dyDescent="0.25">
      <c r="U118" s="26" t="s">
        <v>367</v>
      </c>
      <c r="V118">
        <v>25</v>
      </c>
    </row>
    <row r="119" spans="21:22" x14ac:dyDescent="0.25">
      <c r="U119" s="26" t="s">
        <v>368</v>
      </c>
      <c r="V119">
        <v>20</v>
      </c>
    </row>
    <row r="120" spans="21:22" x14ac:dyDescent="0.25">
      <c r="U120" s="26" t="s">
        <v>155</v>
      </c>
      <c r="V120">
        <v>15</v>
      </c>
    </row>
    <row r="121" spans="21:22" x14ac:dyDescent="0.25">
      <c r="U121" s="26" t="s">
        <v>159</v>
      </c>
      <c r="V121">
        <v>50</v>
      </c>
    </row>
    <row r="122" spans="21:22" x14ac:dyDescent="0.25">
      <c r="U122" s="26" t="s">
        <v>162</v>
      </c>
      <c r="V122">
        <v>15</v>
      </c>
    </row>
    <row r="123" spans="21:22" x14ac:dyDescent="0.25">
      <c r="U123" s="26" t="s">
        <v>160</v>
      </c>
      <c r="V123">
        <v>60</v>
      </c>
    </row>
    <row r="124" spans="21:22" x14ac:dyDescent="0.25">
      <c r="U124" s="2">
        <v>2025</v>
      </c>
      <c r="V124">
        <v>325</v>
      </c>
    </row>
    <row r="125" spans="21:22" x14ac:dyDescent="0.25">
      <c r="U125" s="26" t="s">
        <v>367</v>
      </c>
      <c r="V125">
        <v>270</v>
      </c>
    </row>
    <row r="126" spans="21:22" x14ac:dyDescent="0.25">
      <c r="U126" s="26" t="s">
        <v>368</v>
      </c>
      <c r="V126">
        <v>55</v>
      </c>
    </row>
    <row r="127" spans="21:22" x14ac:dyDescent="0.25">
      <c r="U127" s="2" t="s">
        <v>232</v>
      </c>
      <c r="V127">
        <v>3020</v>
      </c>
    </row>
  </sheetData>
  <mergeCells count="7">
    <mergeCell ref="AA25:AG25"/>
    <mergeCell ref="AA2:AG2"/>
    <mergeCell ref="F2:G2"/>
    <mergeCell ref="O2:S2"/>
    <mergeCell ref="A2:C2"/>
    <mergeCell ref="I2:M2"/>
    <mergeCell ref="U2:Y2"/>
  </mergeCells>
  <conditionalFormatting pivot="1" sqref="AB31:AI37">
    <cfRule type="colorScale" priority="1">
      <colorScale>
        <cfvo type="min"/>
        <cfvo type="percentile" val="50"/>
        <cfvo type="max"/>
        <color rgb="FF5A8AC6"/>
        <color rgb="FFFCFCFF"/>
        <color rgb="FFF8696B"/>
      </colorScale>
    </cfRule>
  </conditionalFormatting>
  <pageMargins left="0.7" right="0.7" top="0.75" bottom="0.75" header="0.3" footer="0.3"/>
  <drawing r:id="rId17"/>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EDF08-8F91-4AAA-8F54-2A151311C853}">
  <sheetPr codeName="Sheet4">
    <tabColor theme="9" tint="0.59999389629810485"/>
  </sheetPr>
  <dimension ref="A1:O21"/>
  <sheetViews>
    <sheetView workbookViewId="0">
      <selection activeCell="I13" sqref="I13"/>
    </sheetView>
  </sheetViews>
  <sheetFormatPr defaultRowHeight="12.5" x14ac:dyDescent="0.25"/>
  <cols>
    <col min="1" max="1" width="9.26953125" bestFit="1" customWidth="1"/>
    <col min="3" max="5" width="12.54296875" bestFit="1" customWidth="1"/>
    <col min="7" max="7" width="10.90625" bestFit="1" customWidth="1"/>
    <col min="8" max="8" width="9.7265625" bestFit="1" customWidth="1"/>
    <col min="9" max="14" width="9.7265625" customWidth="1"/>
  </cols>
  <sheetData>
    <row r="1" spans="1:15" x14ac:dyDescent="0.25">
      <c r="A1" t="s">
        <v>355</v>
      </c>
      <c r="C1" t="s">
        <v>363</v>
      </c>
      <c r="D1" t="s">
        <v>364</v>
      </c>
      <c r="E1" t="s">
        <v>369</v>
      </c>
      <c r="G1" t="s">
        <v>405</v>
      </c>
      <c r="I1" t="s">
        <v>442</v>
      </c>
      <c r="J1" t="s">
        <v>440</v>
      </c>
      <c r="L1" t="s">
        <v>442</v>
      </c>
      <c r="M1" t="s">
        <v>440</v>
      </c>
    </row>
    <row r="2" spans="1:15" x14ac:dyDescent="0.25">
      <c r="A2">
        <v>2006</v>
      </c>
      <c r="C2" t="s">
        <v>359</v>
      </c>
      <c r="D2" t="s">
        <v>151</v>
      </c>
      <c r="E2">
        <v>1</v>
      </c>
      <c r="G2" t="s">
        <v>3</v>
      </c>
      <c r="I2" t="s">
        <v>3</v>
      </c>
      <c r="J2">
        <v>10</v>
      </c>
      <c r="L2" t="s">
        <v>3</v>
      </c>
      <c r="M2">
        <v>1</v>
      </c>
    </row>
    <row r="3" spans="1:15" x14ac:dyDescent="0.25">
      <c r="A3">
        <v>2007</v>
      </c>
      <c r="C3" t="s">
        <v>360</v>
      </c>
      <c r="D3" t="s">
        <v>152</v>
      </c>
      <c r="E3">
        <v>2</v>
      </c>
      <c r="G3" t="s">
        <v>21</v>
      </c>
      <c r="I3" t="s">
        <v>21</v>
      </c>
      <c r="J3">
        <v>15</v>
      </c>
      <c r="L3" t="s">
        <v>21</v>
      </c>
      <c r="M3">
        <v>2</v>
      </c>
    </row>
    <row r="4" spans="1:15" x14ac:dyDescent="0.25">
      <c r="A4">
        <v>2008</v>
      </c>
      <c r="C4" t="s">
        <v>153</v>
      </c>
      <c r="D4" t="s">
        <v>367</v>
      </c>
      <c r="E4">
        <v>3</v>
      </c>
      <c r="G4" t="s">
        <v>29</v>
      </c>
      <c r="I4" t="s">
        <v>29</v>
      </c>
      <c r="J4">
        <v>25</v>
      </c>
      <c r="L4" t="s">
        <v>29</v>
      </c>
      <c r="M4">
        <v>3</v>
      </c>
    </row>
    <row r="5" spans="1:15" x14ac:dyDescent="0.25">
      <c r="A5">
        <v>2009</v>
      </c>
      <c r="C5" t="s">
        <v>154</v>
      </c>
      <c r="D5" t="s">
        <v>368</v>
      </c>
      <c r="E5">
        <v>4</v>
      </c>
      <c r="G5" t="s">
        <v>32</v>
      </c>
      <c r="I5" t="s">
        <v>32</v>
      </c>
      <c r="J5">
        <v>40</v>
      </c>
      <c r="L5" t="s">
        <v>32</v>
      </c>
      <c r="M5">
        <v>4</v>
      </c>
    </row>
    <row r="6" spans="1:15" x14ac:dyDescent="0.25">
      <c r="A6">
        <v>2010</v>
      </c>
      <c r="C6" t="s">
        <v>155</v>
      </c>
      <c r="D6" t="s">
        <v>155</v>
      </c>
      <c r="E6">
        <v>5</v>
      </c>
      <c r="G6" t="s">
        <v>69</v>
      </c>
      <c r="I6" t="s">
        <v>69</v>
      </c>
      <c r="J6">
        <v>60</v>
      </c>
      <c r="L6" t="s">
        <v>69</v>
      </c>
      <c r="M6">
        <v>5</v>
      </c>
    </row>
    <row r="7" spans="1:15" x14ac:dyDescent="0.25">
      <c r="A7">
        <v>2011</v>
      </c>
      <c r="C7" t="s">
        <v>156</v>
      </c>
      <c r="D7" t="s">
        <v>366</v>
      </c>
      <c r="E7">
        <v>6</v>
      </c>
      <c r="G7" t="s">
        <v>163</v>
      </c>
      <c r="I7" t="s">
        <v>163</v>
      </c>
      <c r="J7">
        <v>80</v>
      </c>
      <c r="L7" t="s">
        <v>163</v>
      </c>
      <c r="M7">
        <v>6</v>
      </c>
    </row>
    <row r="8" spans="1:15" x14ac:dyDescent="0.25">
      <c r="A8">
        <v>2012</v>
      </c>
      <c r="C8" t="s">
        <v>157</v>
      </c>
      <c r="D8" t="s">
        <v>365</v>
      </c>
      <c r="E8">
        <v>7</v>
      </c>
      <c r="G8" t="s">
        <v>439</v>
      </c>
      <c r="I8" t="s">
        <v>439</v>
      </c>
      <c r="J8">
        <v>100</v>
      </c>
      <c r="L8" t="s">
        <v>439</v>
      </c>
      <c r="M8">
        <v>7</v>
      </c>
    </row>
    <row r="9" spans="1:15" x14ac:dyDescent="0.25">
      <c r="A9">
        <v>2013</v>
      </c>
      <c r="C9" t="s">
        <v>356</v>
      </c>
      <c r="D9" t="s">
        <v>158</v>
      </c>
      <c r="E9">
        <v>8</v>
      </c>
      <c r="G9" t="s">
        <v>515</v>
      </c>
      <c r="I9" t="s">
        <v>515</v>
      </c>
      <c r="J9">
        <v>150</v>
      </c>
      <c r="L9" t="s">
        <v>515</v>
      </c>
      <c r="M9">
        <v>8</v>
      </c>
    </row>
    <row r="10" spans="1:15" x14ac:dyDescent="0.25">
      <c r="A10">
        <v>2014</v>
      </c>
      <c r="C10" t="s">
        <v>361</v>
      </c>
      <c r="D10" t="s">
        <v>159</v>
      </c>
      <c r="E10">
        <v>9</v>
      </c>
    </row>
    <row r="11" spans="1:15" x14ac:dyDescent="0.25">
      <c r="A11">
        <v>2015</v>
      </c>
      <c r="C11" t="s">
        <v>362</v>
      </c>
      <c r="D11" t="s">
        <v>162</v>
      </c>
      <c r="E11">
        <v>10</v>
      </c>
    </row>
    <row r="12" spans="1:15" x14ac:dyDescent="0.25">
      <c r="A12">
        <v>2016</v>
      </c>
      <c r="C12" t="s">
        <v>357</v>
      </c>
      <c r="D12" t="s">
        <v>160</v>
      </c>
      <c r="E12">
        <v>11</v>
      </c>
    </row>
    <row r="13" spans="1:15" x14ac:dyDescent="0.25">
      <c r="A13">
        <v>2017</v>
      </c>
      <c r="C13" t="s">
        <v>358</v>
      </c>
      <c r="D13" t="s">
        <v>161</v>
      </c>
      <c r="E13">
        <v>12</v>
      </c>
    </row>
    <row r="14" spans="1:15" x14ac:dyDescent="0.25">
      <c r="A14">
        <v>2018</v>
      </c>
    </row>
    <row r="15" spans="1:15" x14ac:dyDescent="0.25">
      <c r="A15">
        <v>2019</v>
      </c>
    </row>
    <row r="16" spans="1:15" x14ac:dyDescent="0.25">
      <c r="A16">
        <v>2020</v>
      </c>
    </row>
    <row r="17" spans="1:1" x14ac:dyDescent="0.25">
      <c r="A17">
        <v>2021</v>
      </c>
    </row>
    <row r="18" spans="1:1" x14ac:dyDescent="0.25">
      <c r="A18">
        <v>2022</v>
      </c>
    </row>
    <row r="19" spans="1:1" x14ac:dyDescent="0.25">
      <c r="A19">
        <v>2023</v>
      </c>
    </row>
    <row r="20" spans="1:1" x14ac:dyDescent="0.25">
      <c r="A20">
        <v>2024</v>
      </c>
    </row>
    <row r="21" spans="1:1" x14ac:dyDescent="0.25">
      <c r="A21">
        <v>2025</v>
      </c>
    </row>
  </sheetData>
  <phoneticPr fontId="2" type="noConversion"/>
  <pageMargins left="0.7" right="0.7" top="0.75" bottom="0.75" header="0.3" footer="0.3"/>
  <legacyDrawing r:id="rId1"/>
  <tableParts count="5">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F1C3DFF6-546E-410F-9BE2-038277E51682}">
  <ds:schemaRefs>
    <ds:schemaRef ds:uri="http://gemini/pivotcustomization/MeasureGridState"/>
  </ds:schemaRefs>
</ds:datastoreItem>
</file>

<file path=customXml/itemProps2.xml><?xml version="1.0" encoding="utf-8"?>
<ds:datastoreItem xmlns:ds="http://schemas.openxmlformats.org/officeDocument/2006/customXml" ds:itemID="{D64F9C9B-4F92-4D8A-82F3-574537A57134}">
  <ds:schemaRefs/>
</ds:datastoreItem>
</file>

<file path=customXml/itemProps3.xml><?xml version="1.0" encoding="utf-8"?>
<ds:datastoreItem xmlns:ds="http://schemas.openxmlformats.org/officeDocument/2006/customXml" ds:itemID="{770F313B-F554-4FA0-B7C8-2BB721D1E244}">
  <ds:schemaRefs>
    <ds:schemaRef ds:uri="http://gemini/pivotcustomization/ManualCalcMode"/>
  </ds:schemaRefs>
</ds:datastoreItem>
</file>

<file path=customXml/itemProps4.xml><?xml version="1.0" encoding="utf-8"?>
<ds:datastoreItem xmlns:ds="http://schemas.openxmlformats.org/officeDocument/2006/customXml" ds:itemID="{ADB7EC15-B468-4585-8BAA-F5359E923585}">
  <ds:schemaRefs>
    <ds:schemaRef ds:uri="http://gemini/pivotcustomization/TableWidget"/>
  </ds:schemaRefs>
</ds:datastoreItem>
</file>

<file path=customXml/itemProps5.xml><?xml version="1.0" encoding="utf-8"?>
<ds:datastoreItem xmlns:ds="http://schemas.openxmlformats.org/officeDocument/2006/customXml" ds:itemID="{41329B92-25FF-4F3F-A4A0-DDE64A58BE2A}">
  <ds:schemaRefs>
    <ds:schemaRef ds:uri="http://gemini/pivotcustomization/Diagrams"/>
  </ds:schemaRefs>
</ds:datastoreItem>
</file>

<file path=customXml/itemProps6.xml><?xml version="1.0" encoding="utf-8"?>
<ds:datastoreItem xmlns:ds="http://schemas.openxmlformats.org/officeDocument/2006/customXml" ds:itemID="{53BE68E1-6F92-4A1C-93DE-E308885B49CC}">
  <ds:schemaRefs>
    <ds:schemaRef ds:uri="http://gemini/pivotcustomization/ClientWindowXML"/>
  </ds:schemaRefs>
</ds:datastoreItem>
</file>

<file path=customXml/itemProps7.xml><?xml version="1.0" encoding="utf-8"?>
<ds:datastoreItem xmlns:ds="http://schemas.openxmlformats.org/officeDocument/2006/customXml" ds:itemID="{18E3C73A-E7C2-44AC-8229-922530DBB2CB}">
  <ds:schemaRefs>
    <ds:schemaRef ds:uri="http://gemini/pivotcustomization/TableXML_GRADES"/>
  </ds:schemaRefs>
</ds:datastoreItem>
</file>

<file path=customXml/itemProps8.xml><?xml version="1.0" encoding="utf-8"?>
<ds:datastoreItem xmlns:ds="http://schemas.openxmlformats.org/officeDocument/2006/customXml" ds:itemID="{4E7D7996-E24C-4A79-816F-264DE0E703E2}">
  <ds:schemaRefs>
    <ds:schemaRef ds:uri="http://gemini/pivotcustomization/ShowImplicitMeasures"/>
  </ds:schemaRefs>
</ds:datastoreItem>
</file>

<file path=customXml/itemProps9.xml><?xml version="1.0" encoding="utf-8"?>
<ds:datastoreItem xmlns:ds="http://schemas.openxmlformats.org/officeDocument/2006/customXml" ds:itemID="{8EA1DE6E-EEDE-465C-890A-110EE8903A8C}">
  <ds:schemaRefs>
    <ds:schemaRef ds:uri="http://gemini/pivotcustomization/TableXML_Years3"/>
  </ds:schemaRefs>
</ds:datastoreItem>
</file>

<file path=customXml/itemProps10.xml><?xml version="1.0" encoding="utf-8"?>
<ds:datastoreItem xmlns:ds="http://schemas.openxmlformats.org/officeDocument/2006/customXml" ds:itemID="{0BFDF83C-55EF-45CE-84C5-DA16D7BE9A86}">
  <ds:schemaRefs>
    <ds:schemaRef ds:uri="http://gemini/pivotcustomization/TableXML_Years"/>
  </ds:schemaRefs>
</ds:datastoreItem>
</file>

<file path=customXml/itemProps11.xml><?xml version="1.0" encoding="utf-8"?>
<ds:datastoreItem xmlns:ds="http://schemas.openxmlformats.org/officeDocument/2006/customXml" ds:itemID="{C8316F3B-9529-4A3D-BD1E-25FE735A6E57}">
  <ds:schemaRefs/>
</ds:datastoreItem>
</file>

<file path=customXml/itemProps12.xml><?xml version="1.0" encoding="utf-8"?>
<ds:datastoreItem xmlns:ds="http://schemas.openxmlformats.org/officeDocument/2006/customXml" ds:itemID="{CCB5A8B8-789C-43BE-854E-1DB53E81B2A1}">
  <ds:schemaRefs>
    <ds:schemaRef ds:uri="http://schemas.microsoft.com/DataMashup"/>
  </ds:schemaRefs>
</ds:datastoreItem>
</file>

<file path=customXml/itemProps13.xml><?xml version="1.0" encoding="utf-8"?>
<ds:datastoreItem xmlns:ds="http://schemas.openxmlformats.org/officeDocument/2006/customXml" ds:itemID="{05CB22FE-FECB-45E0-A3C8-8E9AAD8157A6}">
  <ds:schemaRefs/>
</ds:datastoreItem>
</file>

<file path=customXml/itemProps14.xml><?xml version="1.0" encoding="utf-8"?>
<ds:datastoreItem xmlns:ds="http://schemas.openxmlformats.org/officeDocument/2006/customXml" ds:itemID="{6D4FC956-7989-40ED-BA5E-1F697686E1A1}">
  <ds:schemaRefs>
    <ds:schemaRef ds:uri="http://gemini/pivotcustomization/TableOrder"/>
  </ds:schemaRefs>
</ds:datastoreItem>
</file>

<file path=customXml/itemProps15.xml><?xml version="1.0" encoding="utf-8"?>
<ds:datastoreItem xmlns:ds="http://schemas.openxmlformats.org/officeDocument/2006/customXml" ds:itemID="{3B1434EB-3BD9-4A05-A29D-45630C802FA9}">
  <ds:schemaRefs/>
</ds:datastoreItem>
</file>

<file path=customXml/itemProps16.xml><?xml version="1.0" encoding="utf-8"?>
<ds:datastoreItem xmlns:ds="http://schemas.openxmlformats.org/officeDocument/2006/customXml" ds:itemID="{DE5384C8-4EE0-48D0-BE86-A3A7DCB1A787}">
  <ds:schemaRefs>
    <ds:schemaRef ds:uri="http://gemini/pivotcustomization/ShowHidden"/>
  </ds:schemaRefs>
</ds:datastoreItem>
</file>

<file path=customXml/itemProps17.xml><?xml version="1.0" encoding="utf-8"?>
<ds:datastoreItem xmlns:ds="http://schemas.openxmlformats.org/officeDocument/2006/customXml" ds:itemID="{E2948CCF-8C3D-4458-B583-D98867966D63}">
  <ds:schemaRefs>
    <ds:schemaRef ds:uri="http://gemini/pivotcustomization/LinkedTableUpdateMode"/>
  </ds:schemaRefs>
</ds:datastoreItem>
</file>

<file path=customXml/itemProps18.xml><?xml version="1.0" encoding="utf-8"?>
<ds:datastoreItem xmlns:ds="http://schemas.openxmlformats.org/officeDocument/2006/customXml" ds:itemID="{A4D24252-5665-426C-9C48-C4A54AC52032}">
  <ds:schemaRefs>
    <ds:schemaRef ds:uri="http://gemini/pivotcustomization/TableXML_SportClimbing"/>
  </ds:schemaRefs>
</ds:datastoreItem>
</file>

<file path=customXml/itemProps19.xml><?xml version="1.0" encoding="utf-8"?>
<ds:datastoreItem xmlns:ds="http://schemas.openxmlformats.org/officeDocument/2006/customXml" ds:itemID="{6762C802-A2A4-49C2-8CE0-E1ADC23F5280}">
  <ds:schemaRefs>
    <ds:schemaRef ds:uri="http://gemini/pivotcustomization/TableXML_MONTHS"/>
  </ds:schemaRefs>
</ds:datastoreItem>
</file>

<file path=customXml/itemProps20.xml><?xml version="1.0" encoding="utf-8"?>
<ds:datastoreItem xmlns:ds="http://schemas.openxmlformats.org/officeDocument/2006/customXml" ds:itemID="{7FE0BF0E-6351-4D1D-9C4F-4CD0E584E04E}">
  <ds:schemaRefs/>
</ds:datastoreItem>
</file>

<file path=customXml/itemProps21.xml><?xml version="1.0" encoding="utf-8"?>
<ds:datastoreItem xmlns:ds="http://schemas.openxmlformats.org/officeDocument/2006/customXml" ds:itemID="{8E0F24F3-C0E9-449F-B688-77A7DFD38F09}">
  <ds:schemaRefs>
    <ds:schemaRef ds:uri="http://gemini/pivotcustomization/FormulaBarStat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DASHBOARD</vt:lpstr>
      <vt:lpstr>PIVOTS &amp; CALCULATIONS</vt:lpstr>
      <vt:lpstr>DATES &amp; GRADES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Malharin, Frederic (external - Service)</dc:creator>
  <cp:lastModifiedBy>Frédéric Malharin</cp:lastModifiedBy>
  <cp:lastPrinted>2025-07-08T10:47:21Z</cp:lastPrinted>
  <dcterms:created xsi:type="dcterms:W3CDTF">2018-02-26T15:29:07Z</dcterms:created>
  <dcterms:modified xsi:type="dcterms:W3CDTF">2025-11-11T11:48:13Z</dcterms:modified>
</cp:coreProperties>
</file>