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1.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Work\Dropbox\"/>
    </mc:Choice>
  </mc:AlternateContent>
  <xr:revisionPtr revIDLastSave="0" documentId="13_ncr:1_{1C9CF5FE-F557-47FC-8C24-52BB13A3EE7E}" xr6:coauthVersionLast="47" xr6:coauthVersionMax="47" xr10:uidLastSave="{00000000-0000-0000-0000-000000000000}"/>
  <bookViews>
    <workbookView xWindow="-28920" yWindow="-8610" windowWidth="29040" windowHeight="15840" tabRatio="714" activeTab="1" xr2:uid="{00000000-000D-0000-FFFF-FFFF00000000}"/>
  </bookViews>
  <sheets>
    <sheet name="DATA" sheetId="5" r:id="rId1"/>
    <sheet name="DASHBOARD" sheetId="13" r:id="rId2"/>
    <sheet name="PIVOTS &amp; CALCULATIONS" sheetId="16" r:id="rId3"/>
    <sheet name="DATES &amp; GRADES" sheetId="18" r:id="rId4"/>
  </sheets>
  <definedNames>
    <definedName name="_xlchart.v5.0" hidden="1">'PIVOTS &amp; CALCULATIONS'!$L$28</definedName>
    <definedName name="_xlchart.v5.1" hidden="1">'PIVOTS &amp; CALCULATIONS'!$L$29:$L$35</definedName>
    <definedName name="_xlchart.v5.2" hidden="1">'PIVOTS &amp; CALCULATIONS'!$M$28</definedName>
    <definedName name="_xlchart.v5.3" hidden="1">'PIVOTS &amp; CALCULATIONS'!$M$29:$M$35</definedName>
    <definedName name="_xlcn.WorksheetConnection_Sportclimbingdataanddashboard.xlsxGRADES" hidden="1">GRADES[]</definedName>
    <definedName name="_xlcn.WorksheetConnection_Sportclimbingdataanddashboard.xlsxMONTHS" hidden="1">MONTHS[]</definedName>
    <definedName name="_xlcn.WorksheetConnection_Sportclimbingdataanddashboard.xlsxSportClimbing" hidden="1">SportClimbing[]</definedName>
    <definedName name="_xlcn.WorksheetConnection_Sportclimbingdataanddashboard.xlsxYears" hidden="1">YEARS[]</definedName>
    <definedName name="Slicer_Belayer1">#N/A</definedName>
    <definedName name="Slicer_Crag">#N/A</definedName>
    <definedName name="Slicer_Grade">#N/A</definedName>
    <definedName name="Slicer_Height__m">#N/A</definedName>
    <definedName name="Slicer_Height_range__m">#N/A</definedName>
    <definedName name="Slicer_MONTHS_2">#N/A</definedName>
    <definedName name="Slicer_Total_number_of_tries">#N/A</definedName>
    <definedName name="Slicer_YEARS">#N/A</definedName>
  </definedNames>
  <calcPr calcId="191028"/>
  <pivotCaches>
    <pivotCache cacheId="0" r:id="rId5"/>
    <pivotCache cacheId="21" r:id="rId6"/>
    <pivotCache cacheId="24" r:id="rId7"/>
    <pivotCache cacheId="27" r:id="rId8"/>
    <pivotCache cacheId="30" r:id="rId9"/>
    <pivotCache cacheId="33" r:id="rId10"/>
    <pivotCache cacheId="36" r:id="rId11"/>
    <pivotCache cacheId="40" r:id="rId12"/>
    <pivotCache cacheId="43" r:id="rId13"/>
    <pivotCache cacheId="46" r:id="rId14"/>
    <pivotCache cacheId="49" r:id="rId15"/>
    <pivotCache cacheId="52" r:id="rId16"/>
    <pivotCache cacheId="55" r:id="rId17"/>
    <pivotCache cacheId="58" r:id="rId18"/>
    <pivotCache cacheId="61" r:id="rId19"/>
    <pivotCache cacheId="64" r:id="rId20"/>
    <pivotCache cacheId="67" r:id="rId21"/>
    <pivotCache cacheId="70" r:id="rId22"/>
  </pivotCaches>
  <extLst>
    <ext xmlns:x14="http://schemas.microsoft.com/office/spreadsheetml/2009/9/main" uri="{876F7934-8845-4945-9796-88D515C7AA90}">
      <x14:pivotCaches>
        <pivotCache cacheId="39"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Years" name="Years" connection="WorksheetConnection_Sport climbing data and dashboard.xlsx!Years"/>
          <x15:modelTable id="SportClimbing" name="SportClimbing" connection="WorksheetConnection_Sport climbing data and dashboard.xlsx!SportClimbing"/>
          <x15:modelTable id="MONTHS" name="MONTHS" connection="WorksheetConnection_Sport climbing data and dashboard.xlsx!MONTHS"/>
          <x15:modelTable id="GRADES" name="GRADES" connection="WorksheetConnection_Sport climbing data and dashboard.xlsx!GRADES"/>
        </x15:modelTables>
        <x15:modelRelationships>
          <x15:modelRelationship fromTable="SportClimbing" fromColumn="Year" toTable="Years" toColumn="YEARS"/>
          <x15:modelRelationship fromTable="SportClimbing" fromColumn="Month" toTable="MONTHS" toColumn="MONTHS 2"/>
          <x15:modelRelationship fromTable="SportClimbing" fromColumn="Grade" toTable="GRADES" toColumn="GRADE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5" i="5" l="1"/>
  <c r="L215" i="5"/>
  <c r="O215" i="5"/>
  <c r="P215" i="5"/>
  <c r="Q215" i="5"/>
  <c r="B211" i="5"/>
  <c r="Q214" i="5"/>
  <c r="P214" i="5"/>
  <c r="O214" i="5"/>
  <c r="L214" i="5"/>
  <c r="B214" i="5"/>
  <c r="Q213" i="5"/>
  <c r="P213" i="5"/>
  <c r="O213" i="5"/>
  <c r="L213" i="5"/>
  <c r="B213" i="5"/>
  <c r="Q212" i="5"/>
  <c r="P212" i="5"/>
  <c r="O212" i="5"/>
  <c r="L212" i="5"/>
  <c r="B212" i="5"/>
  <c r="AN32" i="16"/>
  <c r="AN10" i="16" a="1"/>
  <c r="AN10" i="16" s="1"/>
  <c r="L211" i="5"/>
  <c r="O211" i="5"/>
  <c r="P211" i="5"/>
  <c r="Q211" i="5"/>
  <c r="Q210" i="5"/>
  <c r="P210" i="5"/>
  <c r="O210" i="5"/>
  <c r="L210" i="5"/>
  <c r="B210" i="5"/>
  <c r="Q209" i="5"/>
  <c r="P209" i="5"/>
  <c r="O209" i="5"/>
  <c r="L209" i="5"/>
  <c r="B209" i="5"/>
  <c r="Q208" i="5"/>
  <c r="P208" i="5"/>
  <c r="O208" i="5"/>
  <c r="L208" i="5"/>
  <c r="B208" i="5"/>
  <c r="Q207" i="5"/>
  <c r="P207" i="5"/>
  <c r="O207" i="5"/>
  <c r="L207" i="5"/>
  <c r="B207" i="5"/>
  <c r="Q206" i="5"/>
  <c r="P206" i="5"/>
  <c r="O206" i="5"/>
  <c r="L206" i="5"/>
  <c r="B206" i="5"/>
  <c r="B205" i="5"/>
  <c r="L205" i="5"/>
  <c r="O205" i="5"/>
  <c r="P205" i="5"/>
  <c r="Q205" i="5"/>
  <c r="B204" i="5"/>
  <c r="L204" i="5"/>
  <c r="O204" i="5"/>
  <c r="P204" i="5"/>
  <c r="Q204" i="5"/>
  <c r="B203" i="5"/>
  <c r="L203" i="5"/>
  <c r="O203" i="5"/>
  <c r="P203" i="5"/>
  <c r="Q203" i="5"/>
  <c r="Q202" i="5"/>
  <c r="P202" i="5"/>
  <c r="O202" i="5"/>
  <c r="L202" i="5"/>
  <c r="B202" i="5"/>
  <c r="Q201" i="5"/>
  <c r="P201" i="5"/>
  <c r="O201" i="5"/>
  <c r="L201" i="5"/>
  <c r="B201" i="5"/>
  <c r="Q200" i="5"/>
  <c r="P200" i="5"/>
  <c r="O200" i="5"/>
  <c r="L200" i="5"/>
  <c r="A200" i="5"/>
  <c r="B200" i="5" s="1"/>
  <c r="Q199" i="5"/>
  <c r="P199" i="5"/>
  <c r="O199" i="5"/>
  <c r="L199" i="5"/>
  <c r="A199" i="5"/>
  <c r="B199" i="5" s="1"/>
  <c r="Q198" i="5"/>
  <c r="P198" i="5"/>
  <c r="O198" i="5"/>
  <c r="L198" i="5"/>
  <c r="A198" i="5"/>
  <c r="B198" i="5" s="1"/>
  <c r="Q197" i="5"/>
  <c r="P197" i="5"/>
  <c r="O197" i="5"/>
  <c r="L197" i="5"/>
  <c r="A197" i="5"/>
  <c r="B197" i="5" s="1"/>
  <c r="A196" i="5"/>
  <c r="B196" i="5" s="1"/>
  <c r="L196" i="5"/>
  <c r="O196" i="5"/>
  <c r="P196" i="5"/>
  <c r="Q196" i="5"/>
  <c r="A195" i="5"/>
  <c r="B195" i="5" s="1"/>
  <c r="L195" i="5"/>
  <c r="O195" i="5"/>
  <c r="P195" i="5"/>
  <c r="Q195" i="5"/>
  <c r="A194" i="5"/>
  <c r="B194" i="5" s="1"/>
  <c r="L194" i="5"/>
  <c r="O194" i="5"/>
  <c r="P194" i="5"/>
  <c r="Q194" i="5"/>
  <c r="O118" i="5"/>
  <c r="Q193" i="5"/>
  <c r="P193" i="5"/>
  <c r="O193" i="5"/>
  <c r="L193" i="5"/>
  <c r="B193" i="5"/>
  <c r="B192" i="5"/>
  <c r="L192" i="5"/>
  <c r="O192" i="5"/>
  <c r="P192" i="5"/>
  <c r="Q192" i="5"/>
  <c r="B191" i="5"/>
  <c r="L191" i="5"/>
  <c r="O191" i="5"/>
  <c r="P191" i="5"/>
  <c r="Q191" i="5"/>
  <c r="B190" i="5"/>
  <c r="L190" i="5"/>
  <c r="O190" i="5"/>
  <c r="P190" i="5"/>
  <c r="Q190" i="5"/>
  <c r="O187" i="5"/>
  <c r="Q189" i="5"/>
  <c r="P189" i="5"/>
  <c r="O189" i="5"/>
  <c r="L189" i="5"/>
  <c r="B189" i="5"/>
  <c r="Q188" i="5"/>
  <c r="P188" i="5"/>
  <c r="O188" i="5"/>
  <c r="L188" i="5"/>
  <c r="B188" i="5"/>
  <c r="Q187" i="5"/>
  <c r="P187" i="5"/>
  <c r="L187" i="5"/>
  <c r="B187" i="5"/>
  <c r="Q186" i="5"/>
  <c r="P186" i="5"/>
  <c r="O186" i="5"/>
  <c r="L186" i="5"/>
  <c r="B186"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B165" i="5"/>
  <c r="B166" i="5"/>
  <c r="B167" i="5"/>
  <c r="B169" i="5"/>
  <c r="B170" i="5"/>
  <c r="B171" i="5"/>
  <c r="B172" i="5"/>
  <c r="B173" i="5"/>
  <c r="B174" i="5"/>
  <c r="B175" i="5"/>
  <c r="B176" i="5"/>
  <c r="B177" i="5"/>
  <c r="B178" i="5"/>
  <c r="B179" i="5"/>
  <c r="B180" i="5"/>
  <c r="B181" i="5"/>
  <c r="B182" i="5"/>
  <c r="B183" i="5"/>
  <c r="B184" i="5"/>
  <c r="B185" i="5"/>
  <c r="O185" i="5"/>
  <c r="P185" i="5"/>
  <c r="Q185" i="5"/>
  <c r="Q181" i="5"/>
  <c r="P181" i="5"/>
  <c r="O181" i="5"/>
  <c r="O182" i="5"/>
  <c r="P182" i="5"/>
  <c r="Q182" i="5"/>
  <c r="O183" i="5"/>
  <c r="P183" i="5"/>
  <c r="Q183" i="5"/>
  <c r="Q184" i="5"/>
  <c r="P184" i="5"/>
  <c r="O184" i="5"/>
  <c r="Q180" i="5"/>
  <c r="P180" i="5"/>
  <c r="O180" i="5"/>
  <c r="Q179" i="5"/>
  <c r="P179" i="5"/>
  <c r="O179" i="5"/>
  <c r="Q178" i="5"/>
  <c r="P178" i="5"/>
  <c r="O178" i="5"/>
  <c r="Q177" i="5"/>
  <c r="P177" i="5"/>
  <c r="O177" i="5"/>
  <c r="O176" i="5"/>
  <c r="P176" i="5"/>
  <c r="Q176" i="5"/>
  <c r="Q175" i="5"/>
  <c r="P175" i="5"/>
  <c r="O175" i="5"/>
  <c r="Q174" i="5"/>
  <c r="P174" i="5"/>
  <c r="O174" i="5"/>
  <c r="Q173" i="5"/>
  <c r="P173" i="5"/>
  <c r="Q172" i="5"/>
  <c r="Q171" i="5"/>
  <c r="P171" i="5"/>
  <c r="O171" i="5"/>
  <c r="O170" i="5"/>
  <c r="P170" i="5"/>
  <c r="Q170" i="5"/>
  <c r="O169" i="5"/>
  <c r="P169" i="5"/>
  <c r="Q169" i="5"/>
  <c r="A168" i="5"/>
  <c r="B168" i="5" s="1"/>
  <c r="O168" i="5"/>
  <c r="P168" i="5"/>
  <c r="Q168"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O167" i="5"/>
  <c r="O166" i="5"/>
  <c r="P167" i="5"/>
  <c r="P166" i="5"/>
  <c r="O165" i="5"/>
  <c r="P165" i="5"/>
  <c r="A2" i="5"/>
  <c r="B2" i="5" s="1"/>
  <c r="A3" i="5"/>
  <c r="B3" i="5" s="1"/>
  <c r="A4" i="5"/>
  <c r="B4" i="5" s="1"/>
  <c r="A5" i="5"/>
  <c r="B5" i="5" s="1"/>
  <c r="A6" i="5"/>
  <c r="B6" i="5" s="1"/>
  <c r="A7" i="5"/>
  <c r="B7" i="5" s="1"/>
  <c r="A8" i="5"/>
  <c r="B8" i="5" s="1"/>
  <c r="A9" i="5"/>
  <c r="B9" i="5" s="1"/>
  <c r="A10" i="5"/>
  <c r="B10" i="5" s="1"/>
  <c r="A11" i="5"/>
  <c r="B11" i="5" s="1"/>
  <c r="A12" i="5"/>
  <c r="B12" i="5" s="1"/>
  <c r="A13" i="5"/>
  <c r="B13" i="5" s="1"/>
  <c r="A14" i="5"/>
  <c r="B14" i="5" s="1"/>
  <c r="A15" i="5"/>
  <c r="B15" i="5" s="1"/>
  <c r="A16" i="5"/>
  <c r="B16" i="5" s="1"/>
  <c r="A17" i="5"/>
  <c r="B17" i="5" s="1"/>
  <c r="A18" i="5"/>
  <c r="B18" i="5" s="1"/>
  <c r="A19" i="5"/>
  <c r="B19" i="5" s="1"/>
  <c r="A20" i="5"/>
  <c r="B20" i="5" s="1"/>
  <c r="A21" i="5"/>
  <c r="B21" i="5" s="1"/>
  <c r="A22" i="5"/>
  <c r="B22" i="5" s="1"/>
  <c r="A23" i="5"/>
  <c r="B23" i="5" s="1"/>
  <c r="A24" i="5"/>
  <c r="B24" i="5" s="1"/>
  <c r="A25" i="5"/>
  <c r="B25" i="5" s="1"/>
  <c r="A26" i="5"/>
  <c r="B26" i="5" s="1"/>
  <c r="A27" i="5"/>
  <c r="B27" i="5" s="1"/>
  <c r="A28" i="5"/>
  <c r="B28" i="5" s="1"/>
  <c r="A29" i="5"/>
  <c r="B29" i="5" s="1"/>
  <c r="A30" i="5"/>
  <c r="B30" i="5" s="1"/>
  <c r="A31" i="5"/>
  <c r="B31" i="5" s="1"/>
  <c r="A32" i="5"/>
  <c r="B32" i="5" s="1"/>
  <c r="A33" i="5"/>
  <c r="B33" i="5" s="1"/>
  <c r="A34" i="5"/>
  <c r="B34" i="5" s="1"/>
  <c r="A35" i="5"/>
  <c r="B35" i="5" s="1"/>
  <c r="A36" i="5"/>
  <c r="B36" i="5" s="1"/>
  <c r="A37" i="5"/>
  <c r="B37" i="5" s="1"/>
  <c r="A38" i="5"/>
  <c r="B38" i="5" s="1"/>
  <c r="A39" i="5"/>
  <c r="B39" i="5" s="1"/>
  <c r="A40" i="5"/>
  <c r="B40" i="5" s="1"/>
  <c r="A41" i="5"/>
  <c r="B41" i="5" s="1"/>
  <c r="A42" i="5"/>
  <c r="B42" i="5" s="1"/>
  <c r="A43" i="5"/>
  <c r="B43" i="5" s="1"/>
  <c r="A44" i="5"/>
  <c r="B44" i="5" s="1"/>
  <c r="A45" i="5"/>
  <c r="B45" i="5" s="1"/>
  <c r="A46" i="5"/>
  <c r="B46" i="5" s="1"/>
  <c r="A47" i="5"/>
  <c r="B47" i="5" s="1"/>
  <c r="A48" i="5"/>
  <c r="B48" i="5" s="1"/>
  <c r="A49" i="5"/>
  <c r="B49" i="5" s="1"/>
  <c r="A50" i="5"/>
  <c r="B50" i="5" s="1"/>
  <c r="A51" i="5"/>
  <c r="B51" i="5" s="1"/>
  <c r="A52" i="5"/>
  <c r="B52" i="5" s="1"/>
  <c r="A53" i="5"/>
  <c r="B53" i="5" s="1"/>
  <c r="A54" i="5"/>
  <c r="B54" i="5" s="1"/>
  <c r="A55" i="5"/>
  <c r="B55" i="5" s="1"/>
  <c r="A56" i="5"/>
  <c r="B56" i="5" s="1"/>
  <c r="A57" i="5"/>
  <c r="B57" i="5" s="1"/>
  <c r="A58" i="5"/>
  <c r="B58" i="5" s="1"/>
  <c r="A59" i="5"/>
  <c r="B59" i="5" s="1"/>
  <c r="A60" i="5"/>
  <c r="B60" i="5" s="1"/>
  <c r="A61" i="5"/>
  <c r="B61" i="5" s="1"/>
  <c r="A62" i="5"/>
  <c r="B62" i="5" s="1"/>
  <c r="A63" i="5"/>
  <c r="B63" i="5" s="1"/>
  <c r="A64" i="5"/>
  <c r="B64" i="5" s="1"/>
  <c r="A65" i="5"/>
  <c r="B65" i="5" s="1"/>
  <c r="A66" i="5"/>
  <c r="B66" i="5" s="1"/>
  <c r="A67" i="5"/>
  <c r="B67" i="5" s="1"/>
  <c r="A68" i="5"/>
  <c r="B68" i="5" s="1"/>
  <c r="A69" i="5"/>
  <c r="B69" i="5" s="1"/>
  <c r="A70" i="5"/>
  <c r="B70" i="5" s="1"/>
  <c r="A71" i="5"/>
  <c r="B71" i="5" s="1"/>
  <c r="A72" i="5"/>
  <c r="B72" i="5" s="1"/>
  <c r="A73" i="5"/>
  <c r="B73" i="5" s="1"/>
  <c r="A74" i="5"/>
  <c r="B74" i="5" s="1"/>
  <c r="A75" i="5"/>
  <c r="B75" i="5" s="1"/>
  <c r="A76" i="5"/>
  <c r="B76" i="5" s="1"/>
  <c r="A77" i="5"/>
  <c r="B77" i="5" s="1"/>
  <c r="A78" i="5"/>
  <c r="B78" i="5" s="1"/>
  <c r="A79" i="5"/>
  <c r="B79" i="5" s="1"/>
  <c r="A80" i="5"/>
  <c r="B80" i="5" s="1"/>
  <c r="A81" i="5"/>
  <c r="B81" i="5" s="1"/>
  <c r="A82" i="5"/>
  <c r="B82" i="5" s="1"/>
  <c r="A83" i="5"/>
  <c r="B83" i="5" s="1"/>
  <c r="A84" i="5"/>
  <c r="B84" i="5" s="1"/>
  <c r="A85" i="5"/>
  <c r="B85" i="5" s="1"/>
  <c r="A86" i="5"/>
  <c r="B86" i="5" s="1"/>
  <c r="A87" i="5"/>
  <c r="B87" i="5" s="1"/>
  <c r="A88" i="5"/>
  <c r="B88" i="5" s="1"/>
  <c r="A89" i="5"/>
  <c r="B89" i="5" s="1"/>
  <c r="A90" i="5"/>
  <c r="B90" i="5" s="1"/>
  <c r="A91" i="5"/>
  <c r="B91" i="5" s="1"/>
  <c r="A92" i="5"/>
  <c r="B92" i="5" s="1"/>
  <c r="A93" i="5"/>
  <c r="B93" i="5" s="1"/>
  <c r="A94" i="5"/>
  <c r="B94" i="5" s="1"/>
  <c r="A95" i="5"/>
  <c r="B95" i="5" s="1"/>
  <c r="A96" i="5"/>
  <c r="B96" i="5" s="1"/>
  <c r="A97" i="5"/>
  <c r="B97" i="5" s="1"/>
  <c r="A98" i="5"/>
  <c r="B98" i="5" s="1"/>
  <c r="A99" i="5"/>
  <c r="B99" i="5" s="1"/>
  <c r="A100" i="5"/>
  <c r="B100" i="5" s="1"/>
  <c r="A101" i="5"/>
  <c r="B101" i="5" s="1"/>
  <c r="A102" i="5"/>
  <c r="B102" i="5" s="1"/>
  <c r="A103" i="5"/>
  <c r="B103" i="5" s="1"/>
  <c r="A104" i="5"/>
  <c r="B104" i="5" s="1"/>
  <c r="A105" i="5"/>
  <c r="B105" i="5" s="1"/>
  <c r="A106" i="5"/>
  <c r="B106" i="5" s="1"/>
  <c r="A107" i="5"/>
  <c r="B107" i="5" s="1"/>
  <c r="A108" i="5"/>
  <c r="B108" i="5" s="1"/>
  <c r="A109" i="5"/>
  <c r="B109" i="5" s="1"/>
  <c r="A110" i="5"/>
  <c r="B110" i="5" s="1"/>
  <c r="A111" i="5"/>
  <c r="B111" i="5" s="1"/>
  <c r="A112" i="5"/>
  <c r="B112" i="5" s="1"/>
  <c r="A113" i="5"/>
  <c r="B113" i="5" s="1"/>
  <c r="A114" i="5"/>
  <c r="B114" i="5" s="1"/>
  <c r="A115" i="5"/>
  <c r="B115" i="5" s="1"/>
  <c r="A116" i="5"/>
  <c r="B116" i="5" s="1"/>
  <c r="A117" i="5"/>
  <c r="B117" i="5" s="1"/>
  <c r="A118" i="5"/>
  <c r="B118" i="5" s="1"/>
  <c r="A119" i="5"/>
  <c r="B119" i="5" s="1"/>
  <c r="A120" i="5"/>
  <c r="B120" i="5" s="1"/>
  <c r="A121" i="5"/>
  <c r="B121" i="5" s="1"/>
  <c r="A122" i="5"/>
  <c r="B122" i="5" s="1"/>
  <c r="A123" i="5"/>
  <c r="B123" i="5" s="1"/>
  <c r="A124" i="5"/>
  <c r="B124" i="5" s="1"/>
  <c r="A125" i="5"/>
  <c r="B125" i="5" s="1"/>
  <c r="A126" i="5"/>
  <c r="B126" i="5" s="1"/>
  <c r="A127" i="5"/>
  <c r="B127" i="5" s="1"/>
  <c r="A128" i="5"/>
  <c r="B128" i="5" s="1"/>
  <c r="A129" i="5"/>
  <c r="B129" i="5" s="1"/>
  <c r="A130" i="5"/>
  <c r="B130" i="5" s="1"/>
  <c r="A131" i="5"/>
  <c r="B131" i="5" s="1"/>
  <c r="A132" i="5"/>
  <c r="B132" i="5" s="1"/>
  <c r="A133" i="5"/>
  <c r="B133" i="5" s="1"/>
  <c r="A134" i="5"/>
  <c r="B134" i="5" s="1"/>
  <c r="A135" i="5"/>
  <c r="B135" i="5" s="1"/>
  <c r="A136" i="5"/>
  <c r="B136" i="5" s="1"/>
  <c r="A137" i="5"/>
  <c r="B137" i="5" s="1"/>
  <c r="A138" i="5"/>
  <c r="B138" i="5" s="1"/>
  <c r="A139" i="5"/>
  <c r="B139" i="5" s="1"/>
  <c r="A140" i="5"/>
  <c r="B140" i="5" s="1"/>
  <c r="A141" i="5"/>
  <c r="B141" i="5" s="1"/>
  <c r="A142" i="5"/>
  <c r="B142" i="5" s="1"/>
  <c r="A143" i="5"/>
  <c r="B143" i="5" s="1"/>
  <c r="A144" i="5"/>
  <c r="B144" i="5" s="1"/>
  <c r="A145" i="5"/>
  <c r="B145" i="5" s="1"/>
  <c r="A146" i="5"/>
  <c r="B146" i="5" s="1"/>
  <c r="A147" i="5"/>
  <c r="B147" i="5" s="1"/>
  <c r="A148" i="5"/>
  <c r="B148" i="5" s="1"/>
  <c r="A149" i="5"/>
  <c r="B149" i="5" s="1"/>
  <c r="A150" i="5"/>
  <c r="B150" i="5" s="1"/>
  <c r="A151" i="5"/>
  <c r="B151" i="5" s="1"/>
  <c r="A152" i="5"/>
  <c r="B152" i="5" s="1"/>
  <c r="A153" i="5"/>
  <c r="B153" i="5" s="1"/>
  <c r="A154" i="5"/>
  <c r="B154" i="5" s="1"/>
  <c r="A155" i="5"/>
  <c r="B155" i="5" s="1"/>
  <c r="A156" i="5"/>
  <c r="B156" i="5" s="1"/>
  <c r="A157" i="5"/>
  <c r="B157" i="5" s="1"/>
  <c r="A158" i="5"/>
  <c r="B158" i="5" s="1"/>
  <c r="A159" i="5"/>
  <c r="B159" i="5" s="1"/>
  <c r="A160" i="5"/>
  <c r="B160" i="5" s="1"/>
  <c r="A161" i="5"/>
  <c r="B161" i="5" s="1"/>
  <c r="A162" i="5"/>
  <c r="B162" i="5" s="1"/>
  <c r="A163" i="5"/>
  <c r="B163" i="5" s="1"/>
  <c r="A164" i="5"/>
  <c r="B164" i="5" s="1"/>
  <c r="M5" i="16"/>
  <c r="M6" i="16"/>
  <c r="M7" i="16"/>
  <c r="M8" i="16"/>
  <c r="M9" i="16"/>
  <c r="M10" i="16"/>
  <c r="M11" i="16"/>
  <c r="M12" i="16"/>
  <c r="M13" i="16"/>
  <c r="M14" i="16"/>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L6" i="16"/>
  <c r="L7" i="16"/>
  <c r="L8" i="16"/>
  <c r="L9" i="16"/>
  <c r="L10" i="16"/>
  <c r="L11" i="16"/>
  <c r="L12" i="16"/>
  <c r="L13" i="16"/>
  <c r="L14" i="16"/>
  <c r="L5" i="16"/>
  <c r="AD39" i="16"/>
  <c r="C73" i="16"/>
  <c r="C74" i="16"/>
  <c r="C69" i="16"/>
  <c r="M16" i="16"/>
  <c r="C16" i="16"/>
  <c r="B72" i="16"/>
  <c r="C19" i="16"/>
  <c r="B74" i="16"/>
  <c r="AG39" i="16"/>
  <c r="M32" i="16"/>
  <c r="C17" i="16"/>
  <c r="M30" i="16"/>
  <c r="C20" i="16"/>
  <c r="C72" i="16"/>
  <c r="AH39" i="16"/>
  <c r="C21" i="16"/>
  <c r="M31" i="16"/>
  <c r="B73" i="16"/>
  <c r="C18" i="16"/>
  <c r="AE39" i="16"/>
  <c r="M36" i="16"/>
  <c r="AN11" i="16"/>
  <c r="AC39" i="16"/>
  <c r="B69" i="16"/>
  <c r="M35" i="16"/>
  <c r="B70" i="16"/>
  <c r="AB39" i="16"/>
  <c r="C15" i="16"/>
  <c r="M34" i="16"/>
  <c r="M33" i="16"/>
  <c r="AF39" i="16"/>
  <c r="C70" i="16"/>
  <c r="B71" i="16"/>
  <c r="C71" i="16"/>
  <c r="M15" i="16" l="1"/>
  <c r="B15" i="16"/>
  <c r="B16" i="16"/>
  <c r="B17" i="16"/>
  <c r="B18" i="16"/>
  <c r="B19" i="16"/>
  <c r="B20" i="16"/>
  <c r="AB4" i="16"/>
  <c r="AB3" i="16"/>
  <c r="AB27" i="16"/>
  <c r="AB2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Frédéric Malharin</author>
  </authors>
  <commentList>
    <comment ref="O1" authorId="0" shapeId="0" xr:uid="{EDF05FA9-2004-42EF-9473-876A07276875}">
      <text>
        <r>
          <rPr>
            <b/>
            <sz val="11"/>
            <color indexed="81"/>
            <rFont val="Tahoma"/>
            <family val="2"/>
          </rPr>
          <t>Frédéric Malharin:</t>
        </r>
        <r>
          <rPr>
            <sz val="11"/>
            <color indexed="81"/>
            <rFont val="Tahoma"/>
            <family val="2"/>
          </rPr>
          <t xml:space="preserve">
These tables are here to help the data model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port climbing data and dashboard.xlsx!GRADES" type="102" refreshedVersion="8" minRefreshableVersion="5">
    <extLst>
      <ext xmlns:x15="http://schemas.microsoft.com/office/spreadsheetml/2010/11/main" uri="{DE250136-89BD-433C-8126-D09CA5730AF9}">
        <x15:connection id="GRADES">
          <x15:rangePr sourceName="_xlcn.WorksheetConnection_Sportclimbingdataanddashboard.xlsxGRADES"/>
        </x15:connection>
      </ext>
    </extLst>
  </connection>
  <connection id="3" xr16:uid="{00000000-0015-0000-FFFF-FFFF02000000}" name="WorksheetConnection_Sport climbing data and dashboard.xlsx!MONTHS" type="102" refreshedVersion="8" minRefreshableVersion="5">
    <extLst>
      <ext xmlns:x15="http://schemas.microsoft.com/office/spreadsheetml/2010/11/main" uri="{DE250136-89BD-433C-8126-D09CA5730AF9}">
        <x15:connection id="MONTHS">
          <x15:rangePr sourceName="_xlcn.WorksheetConnection_Sportclimbingdataanddashboard.xlsxMONTHS"/>
        </x15:connection>
      </ext>
    </extLst>
  </connection>
  <connection id="4" xr16:uid="{00000000-0015-0000-FFFF-FFFF03000000}" name="WorksheetConnection_Sport climbing data and dashboard.xlsx!SportClimbing" type="102" refreshedVersion="8" minRefreshableVersion="5">
    <extLst>
      <ext xmlns:x15="http://schemas.microsoft.com/office/spreadsheetml/2010/11/main" uri="{DE250136-89BD-433C-8126-D09CA5730AF9}">
        <x15:connection id="SportClimbing" autoDelete="1">
          <x15:rangePr sourceName="_xlcn.WorksheetConnection_Sportclimbingdataanddashboard.xlsxSportClimbing"/>
        </x15:connection>
      </ext>
    </extLst>
  </connection>
  <connection id="5" xr16:uid="{00000000-0015-0000-FFFF-FFFF04000000}" name="WorksheetConnection_Sport climbing data and dashboard.xlsx!Years" type="102" refreshedVersion="8" minRefreshableVersion="5">
    <extLst>
      <ext xmlns:x15="http://schemas.microsoft.com/office/spreadsheetml/2010/11/main" uri="{DE250136-89BD-433C-8126-D09CA5730AF9}">
        <x15:connection id="Years">
          <x15:rangePr sourceName="_xlcn.WorksheetConnection_Sportclimbingdataanddashboard.xlsxYears"/>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SportClimbing].[Date_filter].&amp;[True]}"/>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<sst xmlns="http://schemas.openxmlformats.org/spreadsheetml/2006/main" count="1972" uniqueCount="538">
  <si>
    <t>Gauche</t>
  </si>
  <si>
    <t>Roc d'Anglars</t>
  </si>
  <si>
    <t>Mégaboule</t>
  </si>
  <si>
    <t>7a</t>
  </si>
  <si>
    <t>Révélations</t>
  </si>
  <si>
    <t>Clin d'oeil à la Lune</t>
  </si>
  <si>
    <t>Thomas Bur</t>
  </si>
  <si>
    <t>Sex Machine</t>
  </si>
  <si>
    <t>Gorges de la Cesse</t>
  </si>
  <si>
    <t>Cassiopée</t>
  </si>
  <si>
    <t>Guhlm</t>
  </si>
  <si>
    <t>flash</t>
  </si>
  <si>
    <t>Carol</t>
  </si>
  <si>
    <t>Teddy</t>
  </si>
  <si>
    <t>Lola</t>
  </si>
  <si>
    <t>Rodellar</t>
  </si>
  <si>
    <t>Pared de la Virgen</t>
  </si>
  <si>
    <t>Shyamal</t>
  </si>
  <si>
    <t>Roc de la Lluna</t>
  </si>
  <si>
    <t>Sud</t>
  </si>
  <si>
    <t>De socials un 10</t>
  </si>
  <si>
    <t>7a+</t>
  </si>
  <si>
    <t>Gelida</t>
  </si>
  <si>
    <t>Centre</t>
  </si>
  <si>
    <t>David Valls</t>
  </si>
  <si>
    <t>Garraf</t>
  </si>
  <si>
    <t>Mala Dona</t>
  </si>
  <si>
    <t>Pasaba por aquí</t>
  </si>
  <si>
    <t>KA NO</t>
  </si>
  <si>
    <t>7b</t>
  </si>
  <si>
    <t>Amor suprem</t>
  </si>
  <si>
    <t>Neska polita</t>
  </si>
  <si>
    <t>7b+</t>
  </si>
  <si>
    <t>nº28</t>
  </si>
  <si>
    <t>Andres Villarroel</t>
  </si>
  <si>
    <t>nº26</t>
  </si>
  <si>
    <t>Xapes Negres</t>
  </si>
  <si>
    <t>Marc Ros</t>
  </si>
  <si>
    <t>Dave</t>
  </si>
  <si>
    <t>Dos peluts i un destí</t>
  </si>
  <si>
    <t>Merda de la serra</t>
  </si>
  <si>
    <t>Simply Extrem</t>
  </si>
  <si>
    <t>Las Garretes del Garraf</t>
  </si>
  <si>
    <t>Siurana</t>
  </si>
  <si>
    <t>L'aparador</t>
  </si>
  <si>
    <t>Brigadistak</t>
  </si>
  <si>
    <t>Lo dejé to blanco</t>
  </si>
  <si>
    <t>Calma Tensa</t>
  </si>
  <si>
    <t>Imperatriz Esmeralda</t>
  </si>
  <si>
    <t>Font Soleia</t>
  </si>
  <si>
    <t>Paret Gran</t>
  </si>
  <si>
    <t>Súbete a mi piel</t>
  </si>
  <si>
    <t>Daniel Perez</t>
  </si>
  <si>
    <t>Henry</t>
  </si>
  <si>
    <t>Garroma</t>
  </si>
  <si>
    <t>El Callejón</t>
  </si>
  <si>
    <t>Good feeling</t>
  </si>
  <si>
    <t>Cova de l'Arcada</t>
  </si>
  <si>
    <t>Juan y Fran se nos van</t>
  </si>
  <si>
    <t>Las ventanas</t>
  </si>
  <si>
    <t>Viagraman</t>
  </si>
  <si>
    <t>El Pati</t>
  </si>
  <si>
    <t>Sugopy</t>
  </si>
  <si>
    <t>Esperó Primavera</t>
  </si>
  <si>
    <t>Se m'apaga la baldufa</t>
  </si>
  <si>
    <t>Performance</t>
  </si>
  <si>
    <t>El Gruyere</t>
  </si>
  <si>
    <t>Requiem</t>
  </si>
  <si>
    <t>Margalef</t>
  </si>
  <si>
    <t>7c</t>
  </si>
  <si>
    <t>Montserrat norte</t>
  </si>
  <si>
    <t>Montserrat sur</t>
  </si>
  <si>
    <t>Collegats</t>
  </si>
  <si>
    <t>Fleck</t>
  </si>
  <si>
    <t>La Pedrera</t>
  </si>
  <si>
    <t>Crit de Panic</t>
  </si>
  <si>
    <t>Sadernes</t>
  </si>
  <si>
    <t>Mallorca</t>
  </si>
  <si>
    <t>Cala Sa Nau</t>
  </si>
  <si>
    <t>Cala Mitjana</t>
  </si>
  <si>
    <t>Balsa Boys</t>
  </si>
  <si>
    <t>Rich Bitch</t>
  </si>
  <si>
    <t>Attack of the Spindly Killer Fish</t>
  </si>
  <si>
    <t>water solo</t>
  </si>
  <si>
    <t>Brego</t>
  </si>
  <si>
    <t>Cetaci</t>
  </si>
  <si>
    <t>Cova dels Bombers</t>
  </si>
  <si>
    <t>Hervé</t>
  </si>
  <si>
    <t>Josuai Lama</t>
  </si>
  <si>
    <t>Tieme</t>
  </si>
  <si>
    <t>Beso de Cobra</t>
  </si>
  <si>
    <t>Siuranella Este</t>
  </si>
  <si>
    <t>Cova del Bisbe</t>
  </si>
  <si>
    <t>L'Herbolari</t>
  </si>
  <si>
    <t>El Cargol</t>
  </si>
  <si>
    <t>Jeketepeke</t>
  </si>
  <si>
    <t>Cojón prieto</t>
  </si>
  <si>
    <t>La panxa del bou</t>
  </si>
  <si>
    <t>Rauxa</t>
  </si>
  <si>
    <t>Huir para vivir</t>
  </si>
  <si>
    <t>Grau dels matxos</t>
  </si>
  <si>
    <t>Cingles</t>
  </si>
  <si>
    <t>Piano Piano</t>
  </si>
  <si>
    <t>No ho sé</t>
  </si>
  <si>
    <t>Angel</t>
  </si>
  <si>
    <t>Arbolí</t>
  </si>
  <si>
    <t>Can Gans Dionis</t>
  </si>
  <si>
    <t>Prendre la tête</t>
  </si>
  <si>
    <t>No m'enganyis mes</t>
  </si>
  <si>
    <t>Little Ted</t>
  </si>
  <si>
    <t>El Dard</t>
  </si>
  <si>
    <t>Pelu</t>
  </si>
  <si>
    <t>Mystiflower</t>
  </si>
  <si>
    <t>Mr Krek</t>
  </si>
  <si>
    <t>El Falcó</t>
  </si>
  <si>
    <t>El Salt de la Reina Mora</t>
  </si>
  <si>
    <t>Anys Bionics</t>
  </si>
  <si>
    <t>Can Simiro</t>
  </si>
  <si>
    <t>Manara Clic</t>
  </si>
  <si>
    <t>Fotut Futur</t>
  </si>
  <si>
    <t>Lena</t>
  </si>
  <si>
    <t>Megatrix</t>
  </si>
  <si>
    <t>Karla Mexicana</t>
  </si>
  <si>
    <t>Can Paulet</t>
  </si>
  <si>
    <t>Esquerra</t>
  </si>
  <si>
    <t>Qui s'ha mort</t>
  </si>
  <si>
    <t>Chulilla</t>
  </si>
  <si>
    <t>Sex shop</t>
  </si>
  <si>
    <t>Chorreras</t>
  </si>
  <si>
    <t>Oasis</t>
  </si>
  <si>
    <t>onsight</t>
  </si>
  <si>
    <t>Yoel</t>
  </si>
  <si>
    <t>Guy</t>
  </si>
  <si>
    <t>Gustavo</t>
  </si>
  <si>
    <t>Dale duro negro</t>
  </si>
  <si>
    <t>Los caminantes</t>
  </si>
  <si>
    <t>Day</t>
  </si>
  <si>
    <t>Month</t>
  </si>
  <si>
    <t>Year</t>
  </si>
  <si>
    <t>Route name</t>
  </si>
  <si>
    <t>Grade</t>
  </si>
  <si>
    <t>Crag</t>
  </si>
  <si>
    <t>Sector</t>
  </si>
  <si>
    <t>Height (m)</t>
  </si>
  <si>
    <t>Belayer</t>
  </si>
  <si>
    <t>Total number of tries</t>
  </si>
  <si>
    <t>Patrick</t>
  </si>
  <si>
    <t>Byron</t>
  </si>
  <si>
    <t>Juan</t>
  </si>
  <si>
    <t>Will</t>
  </si>
  <si>
    <t>Martyn</t>
  </si>
  <si>
    <t>Jan</t>
  </si>
  <si>
    <t>Feb</t>
  </si>
  <si>
    <t>March</t>
  </si>
  <si>
    <t>April</t>
  </si>
  <si>
    <t>May</t>
  </si>
  <si>
    <t>June</t>
  </si>
  <si>
    <t>July</t>
  </si>
  <si>
    <t>Aug</t>
  </si>
  <si>
    <t>Sep</t>
  </si>
  <si>
    <t>Nov</t>
  </si>
  <si>
    <t>Dec</t>
  </si>
  <si>
    <t>Oct</t>
  </si>
  <si>
    <t>7c+</t>
  </si>
  <si>
    <t>Kathy</t>
  </si>
  <si>
    <t>Curriculo vaginal</t>
  </si>
  <si>
    <t>Masters</t>
  </si>
  <si>
    <t>Zikrutiña mientras puedas</t>
  </si>
  <si>
    <t>Fantasía</t>
  </si>
  <si>
    <t>Ulises</t>
  </si>
  <si>
    <t>Ay Mamita</t>
  </si>
  <si>
    <t>Kat</t>
  </si>
  <si>
    <t>Bindelef</t>
  </si>
  <si>
    <t>La Mainadera</t>
  </si>
  <si>
    <t>Baby sitter</t>
  </si>
  <si>
    <t>Cabernet</t>
  </si>
  <si>
    <t>La forum de les postures</t>
  </si>
  <si>
    <t>Mar de fons</t>
  </si>
  <si>
    <t>La mía</t>
  </si>
  <si>
    <t>El Charlatán</t>
  </si>
  <si>
    <t>Culample 4</t>
  </si>
  <si>
    <t>Calendra</t>
  </si>
  <si>
    <t>Ladilla</t>
  </si>
  <si>
    <t>Castell s'Espasa dret</t>
  </si>
  <si>
    <t>El prohibitivo</t>
  </si>
  <si>
    <t>Esgraons al cel</t>
  </si>
  <si>
    <t>Montserrat Sur</t>
  </si>
  <si>
    <t>La Piula</t>
  </si>
  <si>
    <t>Menganos</t>
  </si>
  <si>
    <t>Bisexual</t>
  </si>
  <si>
    <t>Corral nou</t>
  </si>
  <si>
    <t>Bocadillo de calamares en el km 0</t>
  </si>
  <si>
    <t>Salmoneti a contra corrent</t>
  </si>
  <si>
    <t>Herbolari</t>
  </si>
  <si>
    <t>L'Olla</t>
  </si>
  <si>
    <t>Cargol treu banya</t>
  </si>
  <si>
    <t>Fisuterapia</t>
  </si>
  <si>
    <t>Lo més negre</t>
  </si>
  <si>
    <t>Salmo veintitrés</t>
  </si>
  <si>
    <t>Café del mar</t>
  </si>
  <si>
    <t>El Casot</t>
  </si>
  <si>
    <t>Can Codolar</t>
  </si>
  <si>
    <t>Cova de l'os</t>
  </si>
  <si>
    <t>Antonin</t>
  </si>
  <si>
    <t>Jihad</t>
  </si>
  <si>
    <t>La Siberiana</t>
  </si>
  <si>
    <t>Siuranella Centre</t>
  </si>
  <si>
    <t>Tikis Mikis</t>
  </si>
  <si>
    <t>Inti</t>
  </si>
  <si>
    <t>El ultimo poeta</t>
  </si>
  <si>
    <t>Cop de roc</t>
  </si>
  <si>
    <t>Laila</t>
  </si>
  <si>
    <t>Avui si que no m'enganyes</t>
  </si>
  <si>
    <t>page 4</t>
  </si>
  <si>
    <t>page 5</t>
  </si>
  <si>
    <t>No name num 93</t>
  </si>
  <si>
    <t>El Trapella num 90</t>
  </si>
  <si>
    <t>El Drac</t>
  </si>
  <si>
    <t>Gabo</t>
  </si>
  <si>
    <t>Pota de bou</t>
  </si>
  <si>
    <t>page 6</t>
  </si>
  <si>
    <t>ACDC</t>
  </si>
  <si>
    <t>Ca l'Onassis</t>
  </si>
  <si>
    <t>Ni me n'entero</t>
  </si>
  <si>
    <t>Ca la Isabel</t>
  </si>
  <si>
    <t>Bamboleiro</t>
  </si>
  <si>
    <t>Grau dels Masets Baix</t>
  </si>
  <si>
    <t>No hi ha pa per tant xoriço</t>
  </si>
  <si>
    <t>Can Melafots</t>
  </si>
  <si>
    <t>Ca l'Orro</t>
  </si>
  <si>
    <t>Lydia</t>
  </si>
  <si>
    <t>Bernardo</t>
  </si>
  <si>
    <t>Grand Total</t>
  </si>
  <si>
    <t>Row Labels</t>
  </si>
  <si>
    <t>Remulo y romo</t>
  </si>
  <si>
    <t>La Morena de Montsant</t>
  </si>
  <si>
    <t>Pako pintxo</t>
  </si>
  <si>
    <t>Clone Club</t>
  </si>
  <si>
    <t>Grau dels Masets Esquerra</t>
  </si>
  <si>
    <t>La Transformació</t>
  </si>
  <si>
    <t>Alpha</t>
  </si>
  <si>
    <t>Mainada de plafó</t>
  </si>
  <si>
    <t>page 2</t>
  </si>
  <si>
    <t>page 3</t>
  </si>
  <si>
    <t>?</t>
  </si>
  <si>
    <t>No pasarán</t>
  </si>
  <si>
    <t>Semen up</t>
  </si>
  <si>
    <t>Daniel Taupin</t>
  </si>
  <si>
    <t>Tsunami</t>
  </si>
  <si>
    <t>El Nas</t>
  </si>
  <si>
    <t>El Sunyer</t>
  </si>
  <si>
    <t>Bous i Esquellets</t>
  </si>
  <si>
    <t>Sean</t>
  </si>
  <si>
    <t>Las orelles del llop</t>
  </si>
  <si>
    <t>Emboirats</t>
  </si>
  <si>
    <t>Tiramilles</t>
  </si>
  <si>
    <t>Cala Varques - Metrosexual</t>
  </si>
  <si>
    <t>Sac de Gemecs</t>
  </si>
  <si>
    <t>Desvariant</t>
  </si>
  <si>
    <t>Ventolera Cosmica</t>
  </si>
  <si>
    <t>Country</t>
  </si>
  <si>
    <t>France</t>
  </si>
  <si>
    <t>Spain</t>
  </si>
  <si>
    <t>Donald</t>
  </si>
  <si>
    <t>Muro de lamentaciones</t>
  </si>
  <si>
    <t>Penyes Aragonesas (Castellón)</t>
  </si>
  <si>
    <t>LSD</t>
  </si>
  <si>
    <t>Dumbo love</t>
  </si>
  <si>
    <t>Blue agave</t>
  </si>
  <si>
    <t>El Magnate del tomate</t>
  </si>
  <si>
    <t>Tierra de Nadie</t>
  </si>
  <si>
    <t>La ciudad perdida de Muchapicha</t>
  </si>
  <si>
    <t>SPUF</t>
  </si>
  <si>
    <t>Portugal</t>
  </si>
  <si>
    <t>Fenda de Arrabida</t>
  </si>
  <si>
    <t>Carallon</t>
  </si>
  <si>
    <t>Vittorio</t>
  </si>
  <si>
    <t>Revelhao</t>
  </si>
  <si>
    <t>Atlantida</t>
  </si>
  <si>
    <t>Gaivotas</t>
  </si>
  <si>
    <t>Alexandre Marques</t>
  </si>
  <si>
    <t>Cavallers</t>
  </si>
  <si>
    <t>Kaos</t>
  </si>
  <si>
    <t>L'Obaga del Falcó</t>
  </si>
  <si>
    <t>L'Obaga</t>
  </si>
  <si>
    <t>Arseniac</t>
  </si>
  <si>
    <t>Le Fayet</t>
  </si>
  <si>
    <t>Thermes</t>
  </si>
  <si>
    <t>Kati Golovina</t>
  </si>
  <si>
    <t>Le Coupeau</t>
  </si>
  <si>
    <t>Chris Knight</t>
  </si>
  <si>
    <t>La Haine</t>
  </si>
  <si>
    <t>Left</t>
  </si>
  <si>
    <t>Right</t>
  </si>
  <si>
    <t>Doigts de fée pour un cœur de lion</t>
  </si>
  <si>
    <t>L'âge de cristal</t>
  </si>
  <si>
    <t>Combat des chefs</t>
  </si>
  <si>
    <t>Plan Plan</t>
  </si>
  <si>
    <t>Austria</t>
  </si>
  <si>
    <t>Maracuja</t>
  </si>
  <si>
    <t>Zillertal - Ewige Jagdgründe</t>
  </si>
  <si>
    <t>Wam</t>
  </si>
  <si>
    <t>Wig</t>
  </si>
  <si>
    <t xml:space="preserve">Schuh des Manitou </t>
  </si>
  <si>
    <t>Juman</t>
  </si>
  <si>
    <t>It's Easy</t>
  </si>
  <si>
    <t>Martinswand</t>
  </si>
  <si>
    <t>Dschungelbuch Hauptteil</t>
  </si>
  <si>
    <t>Kotitscha</t>
  </si>
  <si>
    <t>Blitzaktion</t>
  </si>
  <si>
    <t>Engelswand</t>
  </si>
  <si>
    <t>Ötztal</t>
  </si>
  <si>
    <t>Blockparty</t>
  </si>
  <si>
    <t>Italy</t>
  </si>
  <si>
    <t>Jugant amb foc</t>
  </si>
  <si>
    <t>Can Toni Gros</t>
  </si>
  <si>
    <t>L'esquitx</t>
  </si>
  <si>
    <t>Kun</t>
  </si>
  <si>
    <t>Mort de gana</t>
  </si>
  <si>
    <t>Enganyapardals</t>
  </si>
  <si>
    <t>Négociée</t>
  </si>
  <si>
    <t>Fumanchu</t>
  </si>
  <si>
    <t>Permagel</t>
  </si>
  <si>
    <t>Marxuquera</t>
  </si>
  <si>
    <t>Natasha</t>
  </si>
  <si>
    <t>Klaus Charfreitag</t>
  </si>
  <si>
    <t>Mikel</t>
  </si>
  <si>
    <t>Y un cacau más</t>
  </si>
  <si>
    <t>Cherales Grande</t>
  </si>
  <si>
    <t>Hijos de Caín</t>
  </si>
  <si>
    <t>Potente</t>
  </si>
  <si>
    <t xml:space="preserve">Wunderbare Welt der Schwerkraft </t>
  </si>
  <si>
    <t>Tibor</t>
  </si>
  <si>
    <t>Wunderbare Welt</t>
  </si>
  <si>
    <t>Berglsteinersee</t>
  </si>
  <si>
    <t>Secret Garden</t>
  </si>
  <si>
    <t>Bold Man</t>
  </si>
  <si>
    <t>Knappenwand</t>
  </si>
  <si>
    <t>Asier</t>
  </si>
  <si>
    <t>Was nicht passt wird passend gemacht</t>
  </si>
  <si>
    <t>Verschneidung links</t>
  </si>
  <si>
    <t>Gebi Crack</t>
  </si>
  <si>
    <t>Astholz</t>
  </si>
  <si>
    <t>Hundepension</t>
  </si>
  <si>
    <t>Dödl up</t>
  </si>
  <si>
    <t>Unterinn</t>
  </si>
  <si>
    <t>10</t>
  </si>
  <si>
    <t>14</t>
  </si>
  <si>
    <t>2</t>
  </si>
  <si>
    <t>3</t>
  </si>
  <si>
    <t>4</t>
  </si>
  <si>
    <t>5</t>
  </si>
  <si>
    <t>6</t>
  </si>
  <si>
    <t>7</t>
  </si>
  <si>
    <t>8</t>
  </si>
  <si>
    <t>YEARS</t>
  </si>
  <si>
    <t>August</t>
  </si>
  <si>
    <t>November</t>
  </si>
  <si>
    <t>December</t>
  </si>
  <si>
    <t>January</t>
  </si>
  <si>
    <t>February</t>
  </si>
  <si>
    <t>September</t>
  </si>
  <si>
    <t>October</t>
  </si>
  <si>
    <t>MONTHS 1</t>
  </si>
  <si>
    <t>MONTHS 2</t>
  </si>
  <si>
    <t>Jul</t>
  </si>
  <si>
    <t>Jun</t>
  </si>
  <si>
    <t>Mar</t>
  </si>
  <si>
    <t>Apr</t>
  </si>
  <si>
    <t>MONTHS 3</t>
  </si>
  <si>
    <t>Chris Awe</t>
  </si>
  <si>
    <t>Ötz</t>
  </si>
  <si>
    <t>Starkenbach</t>
  </si>
  <si>
    <t>Herbstwind</t>
  </si>
  <si>
    <t>Betka</t>
  </si>
  <si>
    <t>Hokus Pokus</t>
  </si>
  <si>
    <t>Tiramisu</t>
  </si>
  <si>
    <t>Türkischer Kaffee</t>
  </si>
  <si>
    <t>Height range (m)</t>
  </si>
  <si>
    <t>Perros</t>
  </si>
  <si>
    <t>Zillertal - Astholz</t>
  </si>
  <si>
    <t>35+</t>
  </si>
  <si>
    <t>12</t>
  </si>
  <si>
    <t>Vecchia Roma</t>
  </si>
  <si>
    <t>Mister Inzing</t>
  </si>
  <si>
    <t>Der keusche Josef aus dem Zillertal</t>
  </si>
  <si>
    <t>Viva die Fichte</t>
  </si>
  <si>
    <t>Die Null im Kondom</t>
  </si>
  <si>
    <t>L'os</t>
  </si>
  <si>
    <t>Glasierte Leiste</t>
  </si>
  <si>
    <t>Germany</t>
  </si>
  <si>
    <t>Bichlersee</t>
  </si>
  <si>
    <t>Nadine</t>
  </si>
  <si>
    <t>Count per grade</t>
  </si>
  <si>
    <t>Count per height</t>
  </si>
  <si>
    <t>Count per belayer</t>
  </si>
  <si>
    <t>Count per year</t>
  </si>
  <si>
    <t>Count per month</t>
  </si>
  <si>
    <t>Count per crag</t>
  </si>
  <si>
    <t>Count per number of attempts</t>
  </si>
  <si>
    <t>Count per country</t>
  </si>
  <si>
    <t>Other crags</t>
  </si>
  <si>
    <t>Dummy value</t>
  </si>
  <si>
    <t>onsight/flash/redpoint</t>
  </si>
  <si>
    <t>redpoint</t>
  </si>
  <si>
    <t>GRADES</t>
  </si>
  <si>
    <t>GRADES &amp; ATTEMPTS</t>
  </si>
  <si>
    <t>Tries num. only excl. outliers</t>
  </si>
  <si>
    <t>CORRELATION HEIGHT / NUMBER OF TRIES</t>
  </si>
  <si>
    <t>Pearson coeff</t>
  </si>
  <si>
    <t>R squared</t>
  </si>
  <si>
    <t>0-10</t>
  </si>
  <si>
    <t>11-15</t>
  </si>
  <si>
    <t>16-20</t>
  </si>
  <si>
    <t>21-25</t>
  </si>
  <si>
    <t>26-30</t>
  </si>
  <si>
    <t>31-35</t>
  </si>
  <si>
    <t>COUNTRIES &amp; PLACES</t>
  </si>
  <si>
    <t>HABITS &amp; PREFERENCES</t>
  </si>
  <si>
    <t>Column Labels</t>
  </si>
  <si>
    <t>Count per Belayer</t>
  </si>
  <si>
    <t>Date</t>
  </si>
  <si>
    <t>Date_filter</t>
  </si>
  <si>
    <t>True</t>
  </si>
  <si>
    <t>% of flash, OS, RP</t>
  </si>
  <si>
    <t>Avg Tries num. only excl. outliers</t>
  </si>
  <si>
    <t>% of flash and OS per grade</t>
  </si>
  <si>
    <t>TIME FEATURES</t>
  </si>
  <si>
    <t>Cols</t>
  </si>
  <si>
    <t>Rows</t>
  </si>
  <si>
    <t>Avg num. tries per grade &amp; height</t>
  </si>
  <si>
    <t>Total</t>
  </si>
  <si>
    <t>Little Lenny</t>
  </si>
  <si>
    <t>Silz</t>
  </si>
  <si>
    <t>Guanacho</t>
  </si>
  <si>
    <t>Christian</t>
  </si>
  <si>
    <t>Sisyphos</t>
  </si>
  <si>
    <t>Grissini Kombo</t>
  </si>
  <si>
    <t>Score</t>
  </si>
  <si>
    <t>8a</t>
  </si>
  <si>
    <t>SCORE</t>
  </si>
  <si>
    <t>Sum of Score</t>
  </si>
  <si>
    <t>GRADE</t>
  </si>
  <si>
    <t>Mei ... was bringts ma?</t>
  </si>
  <si>
    <t>Score per year</t>
  </si>
  <si>
    <t>Miss Easy</t>
  </si>
  <si>
    <t>24</t>
  </si>
  <si>
    <t>Crosta Panic</t>
  </si>
  <si>
    <t>Corta y dura</t>
  </si>
  <si>
    <t>Colze de nena</t>
  </si>
  <si>
    <t>Masriudoms</t>
  </si>
  <si>
    <t>Francesco</t>
  </si>
  <si>
    <t>1</t>
  </si>
  <si>
    <t>Humor de gos</t>
  </si>
  <si>
    <t>Cova d’en Marian</t>
  </si>
  <si>
    <t>La vileta</t>
  </si>
  <si>
    <t>? (left of forn de pa)</t>
  </si>
  <si>
    <t>Lua</t>
  </si>
  <si>
    <t>Menjapendulo</t>
  </si>
  <si>
    <t>Arboli</t>
  </si>
  <si>
    <t>Falcololo</t>
  </si>
  <si>
    <t>Bellini</t>
  </si>
  <si>
    <t>Yun</t>
  </si>
  <si>
    <t>Espadelles extension</t>
  </si>
  <si>
    <t>Guybrush</t>
  </si>
  <si>
    <t>Siuranella Sud</t>
  </si>
  <si>
    <t>Abre los ojos</t>
  </si>
  <si>
    <t>La secallona</t>
  </si>
  <si>
    <t>Arco</t>
  </si>
  <si>
    <t>Chrissi</t>
  </si>
  <si>
    <t>Giardino di Nato</t>
  </si>
  <si>
    <t>Cintura di Orione</t>
  </si>
  <si>
    <t>Lo slancio</t>
  </si>
  <si>
    <t>Sgeve d’autore</t>
  </si>
  <si>
    <t>Hundertwasser</t>
  </si>
  <si>
    <t>CORRELATION DIFFICULTY / NUMBER OF TRIES</t>
  </si>
  <si>
    <t>Bogen</t>
  </si>
  <si>
    <t>Down Under</t>
  </si>
  <si>
    <t>Zillertal -Monkey Island</t>
  </si>
  <si>
    <t>La Vita e Bella</t>
  </si>
  <si>
    <t>Stubentiger</t>
  </si>
  <si>
    <t>Schuppen Flipp</t>
  </si>
  <si>
    <t>Blue Ice</t>
  </si>
  <si>
    <t>Oktan</t>
  </si>
  <si>
    <t>Nirvana</t>
  </si>
  <si>
    <t>Achleiten</t>
  </si>
  <si>
    <t>Hauptsektor links</t>
  </si>
  <si>
    <t>Zeck</t>
  </si>
  <si>
    <t>Glücksgriff</t>
  </si>
  <si>
    <t>Fotznknecht</t>
  </si>
  <si>
    <t>40</t>
  </si>
  <si>
    <t>Luca</t>
  </si>
  <si>
    <t>Ailefroide</t>
  </si>
  <si>
    <t>Gorges du Tarn</t>
  </si>
  <si>
    <t>La gorge</t>
  </si>
  <si>
    <t>El fuego de la muerte</t>
  </si>
  <si>
    <t>Maitre lardon</t>
  </si>
  <si>
    <t>Shadocks</t>
  </si>
  <si>
    <t>Coconut shake</t>
  </si>
  <si>
    <t>Master of puppets</t>
  </si>
  <si>
    <t>Etxauri</t>
  </si>
  <si>
    <t>De que fas aqui?</t>
  </si>
  <si>
    <t>Farniente</t>
  </si>
  <si>
    <t>Kiriako norte</t>
  </si>
  <si>
    <t>Butxiko</t>
  </si>
  <si>
    <t>Gradas de Ciriza central</t>
  </si>
  <si>
    <t>Reve de singe</t>
  </si>
  <si>
    <t>Dent de la Rancune</t>
  </si>
  <si>
    <t>Nord</t>
  </si>
  <si>
    <t>Think Pink</t>
  </si>
  <si>
    <t>Goldstück</t>
  </si>
  <si>
    <t>Jonathan rechts</t>
  </si>
  <si>
    <t>Rammelstein</t>
  </si>
  <si>
    <t>Sautens</t>
  </si>
  <si>
    <t>8a+</t>
  </si>
  <si>
    <t>Cavedine</t>
  </si>
  <si>
    <t>Magnilie di cioccolato</t>
  </si>
  <si>
    <t>Falegnameria</t>
  </si>
  <si>
    <t>Orgasmatic L1</t>
  </si>
  <si>
    <t>Diaframma</t>
  </si>
  <si>
    <t>Claudia</t>
  </si>
  <si>
    <t>Vocheso</t>
  </si>
  <si>
    <t>Adalpreto</t>
  </si>
  <si>
    <t>Castel Madruzzo</t>
  </si>
  <si>
    <t>Papillon extension</t>
  </si>
  <si>
    <t>Madame Roquette</t>
  </si>
  <si>
    <t>Petra Marginis</t>
  </si>
  <si>
    <t>Bassilandia</t>
  </si>
  <si>
    <t>OVERVIEW</t>
  </si>
  <si>
    <t>Count of Belayer</t>
  </si>
  <si>
    <t>Kleopatra</t>
  </si>
  <si>
    <t>(blank)</t>
  </si>
  <si>
    <t>Moonwalk</t>
  </si>
  <si>
    <t>Zentral</t>
  </si>
  <si>
    <t>Bassilandia - Petra Marginis</t>
  </si>
  <si>
    <t>Il Mare Calmo</t>
  </si>
  <si>
    <t>Cucciolo d'uomo</t>
  </si>
  <si>
    <t>Extraterrestre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</si>
</sst>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 &quot;*&quot;"/>
    <numFmt numFmtId="165" formatCode="0.0%"/>
    <numFmt numFmtId="166" formatCode="0.00000"/>
    <numFmt numFmtId="167" formatCode="0.0000"/>
    <numFmt numFmtId="168" formatCode="[$-409]d/mmm/yyyy;@"/>
    <numFmt numFmtId="169" formatCode="0.0"/>
  </numFmts>
  <fonts count="10" x14ac:knownFonts="1">
    <font>
      <sz val="10"/>
      <name val="Arial"/>
      <family val="2"/>
    </font>
    <font>
      <sz val="10"/>
      <color theme="1"/>
      <name val="Arial"/>
      <family val="2"/>
    </font>
    <font>
      <sz val="8"/>
      <name val="Arial"/>
      <family val="2"/>
    </font>
    <font>
      <b/>
      <sz val="10"/>
      <color theme="1"/>
      <name val="Arial"/>
      <family val="2"/>
    </font>
    <font>
      <b/>
      <sz val="10"/>
      <name val="Arial"/>
      <family val="2"/>
    </font>
    <font>
      <b/>
      <sz val="10"/>
      <color theme="0"/>
      <name val="Arial"/>
      <family val="2"/>
    </font>
    <font>
      <b/>
      <sz val="12"/>
      <color theme="0"/>
      <name val="Arial"/>
      <family val="2"/>
    </font>
    <font>
      <sz val="12"/>
      <name val="Arial"/>
      <family val="2"/>
    </font>
    <font>
      <b/>
      <sz val="11"/>
      <color indexed="81"/>
      <name val="Tahoma"/>
      <family val="2"/>
    </font>
    <font>
      <sz val="11"/>
      <color indexed="81"/>
      <name val="Tahoma"/>
      <family val="2"/>
    </font>
  </fonts>
  <fills count="11">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rgb="FF0070C0"/>
        <bgColor indexed="64"/>
      </patternFill>
    </fill>
    <fill>
      <patternFill patternType="solid">
        <fgColor theme="9" tint="-0.249977111117893"/>
        <bgColor indexed="64"/>
      </patternFill>
    </fill>
    <fill>
      <patternFill patternType="solid">
        <fgColor rgb="FF7030A0"/>
        <bgColor indexed="64"/>
      </patternFill>
    </fill>
    <fill>
      <patternFill patternType="solid">
        <fgColor rgb="FFC00000"/>
        <bgColor indexed="64"/>
      </patternFill>
    </fill>
    <fill>
      <patternFill patternType="solid">
        <fgColor rgb="FF0066FF"/>
        <bgColor indexed="64"/>
      </patternFill>
    </fill>
    <fill>
      <patternFill patternType="solid">
        <fgColor theme="7" tint="0.79998168889431442"/>
        <bgColor theme="4" tint="0.79998168889431442"/>
      </patternFill>
    </fill>
    <fill>
      <patternFill patternType="solid">
        <fgColor rgb="FFFFC000"/>
        <bgColor indexed="64"/>
      </patternFill>
    </fill>
  </fills>
  <borders count="1">
    <border>
      <left/>
      <right/>
      <top/>
      <bottom/>
      <diagonal/>
    </border>
  </borders>
  <cellStyleXfs count="1">
    <xf numFmtId="0" fontId="0" fillId="0" borderId="0"/>
  </cellStyleXfs>
  <cellXfs count="37">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applyAlignment="1">
      <alignment horizontal="left"/>
    </xf>
    <xf numFmtId="0" fontId="3" fillId="3" borderId="0" xfId="0" applyFont="1" applyFill="1"/>
    <xf numFmtId="0" fontId="0" fillId="3" borderId="0" xfId="0" applyFill="1" applyAlignment="1">
      <alignment horizontal="left"/>
    </xf>
    <xf numFmtId="0" fontId="0" fillId="3" borderId="0" xfId="0" applyFill="1"/>
    <xf numFmtId="0" fontId="4" fillId="3" borderId="0" xfId="0" applyFont="1" applyFill="1"/>
    <xf numFmtId="2" fontId="0" fillId="0" borderId="0" xfId="0" applyNumberFormat="1"/>
    <xf numFmtId="165" fontId="0" fillId="0" borderId="0" xfId="0" applyNumberFormat="1"/>
    <xf numFmtId="0" fontId="7" fillId="0" borderId="0" xfId="0" applyFont="1"/>
    <xf numFmtId="166" fontId="0" fillId="0" borderId="0" xfId="0" applyNumberFormat="1"/>
    <xf numFmtId="167" fontId="0" fillId="0" borderId="0" xfId="0" applyNumberFormat="1"/>
    <xf numFmtId="0" fontId="0" fillId="4" borderId="0" xfId="0" applyFill="1"/>
    <xf numFmtId="9" fontId="0" fillId="0" borderId="0" xfId="0" applyNumberFormat="1"/>
    <xf numFmtId="0" fontId="3" fillId="9" borderId="0" xfId="0" applyFont="1" applyFill="1"/>
    <xf numFmtId="9" fontId="0" fillId="3" borderId="0" xfId="0" applyNumberFormat="1" applyFill="1"/>
    <xf numFmtId="14" fontId="0" fillId="0" borderId="0" xfId="0" applyNumberFormat="1"/>
    <xf numFmtId="169" fontId="0" fillId="0" borderId="0" xfId="0" applyNumberFormat="1"/>
    <xf numFmtId="1" fontId="0" fillId="3" borderId="0" xfId="0" applyNumberFormat="1" applyFill="1"/>
    <xf numFmtId="168" fontId="0" fillId="0" borderId="0" xfId="0" applyNumberFormat="1"/>
    <xf numFmtId="168" fontId="1" fillId="0" borderId="0" xfId="0" applyNumberFormat="1" applyFont="1"/>
    <xf numFmtId="0" fontId="1" fillId="0" borderId="0" xfId="0" applyFont="1"/>
    <xf numFmtId="0" fontId="5" fillId="0" borderId="0" xfId="0" applyFont="1"/>
    <xf numFmtId="0" fontId="0" fillId="0" borderId="0" xfId="0" applyAlignment="1">
      <alignment wrapText="1"/>
    </xf>
    <xf numFmtId="0" fontId="0" fillId="0" borderId="0" xfId="0" applyAlignment="1">
      <alignment horizontal="left" indent="1"/>
    </xf>
    <xf numFmtId="0" fontId="6" fillId="4" borderId="0" xfId="0" applyFont="1" applyFill="1" applyAlignment="1">
      <alignment horizontal="center"/>
    </xf>
    <xf numFmtId="0" fontId="6" fillId="7" borderId="0" xfId="0" applyFont="1" applyFill="1" applyAlignment="1">
      <alignment horizontal="center"/>
    </xf>
    <xf numFmtId="0" fontId="6" fillId="10" borderId="0" xfId="0" applyFont="1" applyFill="1" applyAlignment="1">
      <alignment horizontal="center"/>
    </xf>
    <xf numFmtId="0" fontId="6" fillId="8" borderId="0" xfId="0" applyFont="1" applyFill="1" applyAlignment="1">
      <alignment horizontal="center"/>
    </xf>
    <xf numFmtId="0" fontId="6" fillId="5" borderId="0" xfId="0" applyFont="1" applyFill="1" applyAlignment="1">
      <alignment horizontal="center"/>
    </xf>
    <xf numFmtId="0" fontId="6" fillId="6" borderId="0" xfId="0" applyFont="1" applyFill="1" applyAlignment="1">
      <alignment horizontal="center"/>
    </xf>
    <xf numFmtId="168" fontId="0" fillId="0" borderId="0" xfId="0" applyNumberFormat="1" applyFill="1"/>
    <xf numFmtId="0" fontId="0" fillId="0" borderId="0" xfId="0" applyFill="1"/>
    <xf numFmtId="0" fontId="0" fillId="0" borderId="0" xfId="0" applyNumberFormat="1" applyFill="1"/>
    <xf numFmtId="0" fontId="0" fillId="0" borderId="0" xfId="0" applyNumberFormat="1"/>
  </cellXfs>
  <cellStyles count="1">
    <cellStyle name="Normal" xfId="0" builtinId="0"/>
  </cellStyles>
  <dxfs count="35">
    <dxf>
      <numFmt numFmtId="13" formatCode="0%"/>
    </dxf>
    <dxf>
      <numFmt numFmtId="2" formatCode="0.00"/>
    </dxf>
    <dxf>
      <numFmt numFmtId="165" formatCode="0.0%"/>
    </dxf>
    <dxf>
      <numFmt numFmtId="169" formatCode="0.0"/>
    </dxf>
    <dxf>
      <numFmt numFmtId="13" formatCode="0%"/>
    </dxf>
    <dxf>
      <numFmt numFmtId="2" formatCode="0.00"/>
    </dxf>
    <dxf>
      <numFmt numFmtId="169" formatCode="0.0"/>
    </dxf>
    <dxf>
      <numFmt numFmtId="165" formatCode="0.0%"/>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8" formatCode="[$-409]d/mmm/yyyy;@"/>
      <fill>
        <patternFill patternType="none">
          <fgColor indexed="64"/>
          <bgColor indexed="65"/>
        </patternFill>
      </fill>
    </dxf>
    <dxf>
      <numFmt numFmtId="168" formatCode="[$-409]d/mmm/yyyy;@"/>
      <fill>
        <patternFill patternType="none">
          <fgColor indexed="64"/>
          <bgColor auto="1"/>
        </patternFill>
      </fill>
    </dxf>
    <dxf>
      <fill>
        <patternFill patternType="none">
          <fgColor indexed="64"/>
          <bgColor auto="1"/>
        </patternFill>
      </fill>
    </dxf>
    <dxf>
      <fill>
        <patternFill patternType="none">
          <fgColor indexed="64"/>
          <bgColor auto="1"/>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i val="0"/>
      </font>
    </dxf>
    <dxf>
      <border diagonalUp="0" diagonalDown="0">
        <left style="thin">
          <color rgb="FFDCDC00"/>
        </left>
        <right style="thin">
          <color rgb="FFDCDC00"/>
        </right>
        <top style="thin">
          <color rgb="FFDCDC00"/>
        </top>
        <bottom style="thin">
          <color rgb="FFDCDC00"/>
        </bottom>
        <vertical/>
        <horizontal/>
      </border>
    </dxf>
    <dxf>
      <font>
        <b/>
        <i val="0"/>
      </font>
    </dxf>
    <dxf>
      <border diagonalUp="0" diagonalDown="0">
        <left style="thin">
          <color rgb="FF00B0F0"/>
        </left>
        <right style="thin">
          <color rgb="FF00B0F0"/>
        </right>
        <top style="thin">
          <color rgb="FF00B0F0"/>
        </top>
        <bottom style="thin">
          <color rgb="FF00B0F0"/>
        </bottom>
        <vertical/>
        <horizontal/>
      </border>
    </dxf>
    <dxf>
      <font>
        <b/>
        <color theme="1"/>
      </font>
      <fill>
        <patternFill>
          <bgColor rgb="FF7030A0"/>
        </patternFill>
      </fill>
      <border>
        <bottom style="thin">
          <color theme="8"/>
        </bottom>
        <vertical/>
        <horizontal/>
      </border>
    </dxf>
    <dxf>
      <font>
        <color theme="1"/>
      </font>
      <fill>
        <patternFill patternType="none">
          <fgColor indexed="64"/>
          <bgColor auto="1"/>
        </patternFill>
      </fill>
      <border diagonalUp="0" diagonalDown="0">
        <left style="thin">
          <color rgb="FF7030A0"/>
        </left>
        <right style="thin">
          <color rgb="FF7030A0"/>
        </right>
        <top style="thin">
          <color rgb="FF7030A0"/>
        </top>
        <bottom style="thin">
          <color rgb="FF7030A0"/>
        </bottom>
        <vertical/>
        <horizontal/>
      </border>
    </dxf>
  </dxfs>
  <tableStyles count="4" defaultTableStyle="TableStyleMedium2" defaultPivotStyle="PivotStyleLight16">
    <tableStyle name="Belayer" pivot="0" table="0" count="10" xr9:uid="{3B852CD3-873F-4B46-B9AF-0EAC3BA7239A}">
      <tableStyleElement type="wholeTable" dxfId="34"/>
      <tableStyleElement type="headerRow" dxfId="33"/>
    </tableStyle>
    <tableStyle name="Grade" pivot="0" table="0" count="6" xr9:uid="{ED94F21A-451D-464A-A285-04162855CE44}">
      <tableStyleElement type="wholeTable" dxfId="32"/>
      <tableStyleElement type="headerRow" dxfId="31"/>
    </tableStyle>
    <tableStyle name="Month" pivot="0" table="0" count="7" xr9:uid="{F096F372-2D61-41E2-A87F-AB7019E4C738}">
      <tableStyleElement type="wholeTable" dxfId="30"/>
      <tableStyleElement type="headerRow" dxfId="29"/>
    </tableStyle>
    <tableStyle name="SlicerStyleDark2 2" pivot="0" table="0" count="10" xr9:uid="{E4FA39DE-804B-4527-94CC-BAFD02E974DF}">
      <tableStyleElement type="wholeTable" dxfId="28"/>
      <tableStyleElement type="headerRow" dxfId="27"/>
    </tableStyle>
  </tableStyles>
  <colors>
    <mruColors>
      <color rgb="FFFFFFFF"/>
      <color rgb="FFA453C9"/>
      <color rgb="FF97DCFF"/>
      <color rgb="FF66CCFF"/>
      <color rgb="FFDCDC00"/>
      <color rgb="FFF8E162"/>
      <color rgb="FFFCF7E0"/>
      <color rgb="FFF8E15C"/>
      <color rgb="FF0066FF"/>
      <color rgb="FFFFC8C8"/>
    </mruColors>
  </colors>
  <extLst>
    <ext xmlns:x14="http://schemas.microsoft.com/office/spreadsheetml/2009/9/main" uri="{46F421CA-312F-682f-3DD2-61675219B42D}">
      <x14:dxfs count="2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rgb="FFC00000"/>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gradientFill degree="90">
              <stop position="0">
                <color rgb="FFF8E162"/>
              </stop>
              <stop position="1">
                <color rgb="FFFCF7E0"/>
              </stop>
            </gradientFill>
          </fill>
        </dxf>
        <dxf>
          <fill>
            <gradientFill degree="90">
              <stop position="0">
                <color rgb="FFF8E162"/>
              </stop>
              <stop position="1">
                <color rgb="FFFCF7E0"/>
              </stop>
            </gradientFill>
          </fill>
        </dxf>
        <dxf>
          <fill>
            <gradientFill degree="90">
              <stop position="0">
                <color rgb="FFF8E162"/>
              </stop>
              <stop position="1">
                <color rgb="FFFCF7E0"/>
              </stop>
            </gradientFill>
          </fill>
        </dxf>
        <dxf>
          <font>
            <color theme="0"/>
          </font>
          <fill>
            <patternFill>
              <bgColor rgb="FFDCDC00"/>
            </patternFill>
          </fill>
        </dxf>
        <dxf>
          <fill>
            <patternFill>
              <bgColor theme="0" tint="-0.24994659260841701"/>
            </patternFill>
          </fill>
        </dxf>
        <dxf>
          <fill>
            <gradientFill degree="90">
              <stop position="0">
                <color rgb="FFF8E162"/>
              </stop>
              <stop position="1">
                <color rgb="FFFCF7E0"/>
              </stop>
            </gradientFill>
          </fill>
        </dxf>
        <dxf>
          <fill>
            <gradientFill degree="90">
              <stop position="0">
                <color rgb="FFF8E162"/>
              </stop>
              <stop position="1">
                <color rgb="FFFCF7E0"/>
              </stop>
            </gradientFill>
          </fill>
        </dxf>
        <dxf>
          <fill>
            <gradientFill degree="90">
              <stop position="0">
                <color rgb="FFF8E162"/>
              </stop>
              <stop position="1">
                <color rgb="FFFCF7E0"/>
              </stop>
            </gradientFill>
          </fill>
        </dxf>
        <dxf>
          <font>
            <color theme="0"/>
          </font>
          <fill>
            <patternFill>
              <bgColor rgb="FF00B0F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7030A0"/>
              <bgColor rgb="FF7030A0"/>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elayer">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Grade">
          <x14:slicerStyleElements>
            <x14:slicerStyleElement type="selectedItemWithData" dxfId="16"/>
            <x14:slicerStyleElement type="hoveredUnselectedItemWithData" dxfId="15"/>
            <x14:slicerStyleElement type="hoveredSelectedItemWithData" dxfId="14"/>
            <x14:slicerStyleElement type="hoveredSelectedItemWithNoData" dxfId="13"/>
          </x14:slicerStyleElements>
        </x14:slicerStyle>
        <x14:slicerStyle name="Month">
          <x14:slicerStyleElements>
            <x14:slicerStyleElement type="unselectedItemWithData" dxfId="12"/>
            <x14:slicerStyleElement type="selectedItemWithData" dxfId="11"/>
            <x14:slicerStyleElement type="hoveredUnselectedItemWithData" dxfId="10"/>
            <x14:slicerStyleElement type="hoveredSelectedItemWith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3.xml"/><Relationship Id="rId39" Type="http://schemas.openxmlformats.org/officeDocument/2006/relationships/customXml" Target="../customXml/item1.xml"/><Relationship Id="rId21" Type="http://schemas.openxmlformats.org/officeDocument/2006/relationships/pivotCacheDefinition" Target="pivotCache/pivotCacheDefinition17.xml"/><Relationship Id="rId34" Type="http://schemas.openxmlformats.org/officeDocument/2006/relationships/styles" Target="style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6.xml"/><Relationship Id="rId11" Type="http://schemas.openxmlformats.org/officeDocument/2006/relationships/pivotCacheDefinition" Target="pivotCache/pivotCacheDefinition7.xml"/><Relationship Id="rId24" Type="http://schemas.microsoft.com/office/2007/relationships/slicerCache" Target="slicerCaches/slicerCache1.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5" Type="http://schemas.openxmlformats.org/officeDocument/2006/relationships/pivotCacheDefinition" Target="pivotCache/pivotCacheDefinition1.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4.xml"/><Relationship Id="rId30" Type="http://schemas.microsoft.com/office/2007/relationships/slicerCache" Target="slicerCaches/slicerCache7.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pivotCacheDefinition" Target="pivotCache/pivotCacheDefinition4.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2.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16.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5.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6.xml"/><Relationship Id="rId31" Type="http://schemas.microsoft.com/office/2007/relationships/slicerCache" Target="slicerCaches/slicerCache8.xml"/><Relationship Id="rId44" Type="http://schemas.openxmlformats.org/officeDocument/2006/relationships/customXml" Target="../customXml/item6.xml"/><Relationship Id="rId52"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kern="1200" spc="0" baseline="0">
                <a:solidFill>
                  <a:sysClr val="windowText" lastClr="000000">
                    <a:lumMod val="65000"/>
                    <a:lumOff val="35000"/>
                  </a:sysClr>
                </a:solidFill>
              </a:rPr>
              <a:t>% OF FLASH &amp; ONSIGHT</a:t>
            </a:r>
          </a:p>
        </c:rich>
      </c:tx>
      <c:layout>
        <c:manualLayout>
          <c:xMode val="edge"/>
          <c:yMode val="edge"/>
          <c:x val="0.20467592592592593"/>
          <c:y val="2.314814814814814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456036745406818E-2"/>
          <c:y val="0.17171296296296296"/>
          <c:w val="0.88498840769903764"/>
          <c:h val="0.7353546952464276"/>
        </c:manualLayout>
      </c:layout>
      <c:areaChart>
        <c:grouping val="stacked"/>
        <c:varyColors val="0"/>
        <c:ser>
          <c:idx val="0"/>
          <c:order val="0"/>
          <c:tx>
            <c:strRef>
              <c:f>'PIVOTS &amp; CALCULATIONS'!$B$68</c:f>
              <c:strCache>
                <c:ptCount val="1"/>
                <c:pt idx="0">
                  <c:v>flash</c:v>
                </c:pt>
              </c:strCache>
            </c:strRef>
          </c:tx>
          <c:spPr>
            <a:solidFill>
              <a:srgbClr val="00B0F0"/>
            </a:solidFill>
            <a:ln>
              <a:noFill/>
            </a:ln>
            <a:effectLst/>
          </c:spPr>
          <c:dLbls>
            <c:dLbl>
              <c:idx val="0"/>
              <c:layout>
                <c:manualLayout>
                  <c:x val="2.7777777777777776E-2"/>
                  <c:y val="-4.62962962962979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F7-444B-8582-85C638544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CALCULATIONS'!$A$69:$A$74</c:f>
              <c:strCache>
                <c:ptCount val="6"/>
                <c:pt idx="0">
                  <c:v>7a</c:v>
                </c:pt>
                <c:pt idx="1">
                  <c:v>7a+</c:v>
                </c:pt>
                <c:pt idx="2">
                  <c:v>7b</c:v>
                </c:pt>
                <c:pt idx="3">
                  <c:v>7b+</c:v>
                </c:pt>
                <c:pt idx="4">
                  <c:v>7c</c:v>
                </c:pt>
                <c:pt idx="5">
                  <c:v>7c+</c:v>
                </c:pt>
              </c:strCache>
            </c:strRef>
          </c:cat>
          <c:val>
            <c:numRef>
              <c:f>'PIVOTS &amp; CALCULATIONS'!$B$69:$B$74</c:f>
              <c:numCache>
                <c:formatCode>0%</c:formatCode>
                <c:ptCount val="6"/>
                <c:pt idx="0">
                  <c:v>0.10256410256410256</c:v>
                </c:pt>
                <c:pt idx="1">
                  <c:v>9.2592592592592587E-2</c:v>
                </c:pt>
                <c:pt idx="2">
                  <c:v>4.1666666666666664E-2</c:v>
                </c:pt>
                <c:pt idx="3">
                  <c:v>0</c:v>
                </c:pt>
                <c:pt idx="4">
                  <c:v>0</c:v>
                </c:pt>
                <c:pt idx="5">
                  <c:v>0</c:v>
                </c:pt>
              </c:numCache>
            </c:numRef>
          </c:val>
          <c:extLst>
            <c:ext xmlns:c16="http://schemas.microsoft.com/office/drawing/2014/chart" uri="{C3380CC4-5D6E-409C-BE32-E72D297353CC}">
              <c16:uniqueId val="{00000001-2CF7-444B-8582-85C6385445BB}"/>
            </c:ext>
          </c:extLst>
        </c:ser>
        <c:ser>
          <c:idx val="1"/>
          <c:order val="1"/>
          <c:tx>
            <c:strRef>
              <c:f>'PIVOTS &amp; CALCULATIONS'!$C$68</c:f>
              <c:strCache>
                <c:ptCount val="1"/>
                <c:pt idx="0">
                  <c:v>onsight</c:v>
                </c:pt>
              </c:strCache>
            </c:strRef>
          </c:tx>
          <c:spPr>
            <a:solidFill>
              <a:srgbClr val="97DCFF"/>
            </a:solidFill>
            <a:ln>
              <a:noFill/>
            </a:ln>
            <a:effectLst/>
          </c:spPr>
          <c:dLbls>
            <c:dLbl>
              <c:idx val="0"/>
              <c:layout>
                <c:manualLayout>
                  <c:x val="3.333333333333331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F7-444B-8582-85C638544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CALCULATIONS'!$A$69:$A$74</c:f>
              <c:strCache>
                <c:ptCount val="6"/>
                <c:pt idx="0">
                  <c:v>7a</c:v>
                </c:pt>
                <c:pt idx="1">
                  <c:v>7a+</c:v>
                </c:pt>
                <c:pt idx="2">
                  <c:v>7b</c:v>
                </c:pt>
                <c:pt idx="3">
                  <c:v>7b+</c:v>
                </c:pt>
                <c:pt idx="4">
                  <c:v>7c</c:v>
                </c:pt>
                <c:pt idx="5">
                  <c:v>7c+</c:v>
                </c:pt>
              </c:strCache>
            </c:strRef>
          </c:cat>
          <c:val>
            <c:numRef>
              <c:f>'PIVOTS &amp; CALCULATIONS'!$C$69:$C$74</c:f>
              <c:numCache>
                <c:formatCode>0%</c:formatCode>
                <c:ptCount val="6"/>
                <c:pt idx="0">
                  <c:v>0.3504273504273504</c:v>
                </c:pt>
                <c:pt idx="1">
                  <c:v>0.25925925925925924</c:v>
                </c:pt>
                <c:pt idx="2">
                  <c:v>8.3333333333333329E-2</c:v>
                </c:pt>
                <c:pt idx="3">
                  <c:v>8.3333333333333329E-2</c:v>
                </c:pt>
                <c:pt idx="4">
                  <c:v>0</c:v>
                </c:pt>
                <c:pt idx="5">
                  <c:v>0</c:v>
                </c:pt>
              </c:numCache>
            </c:numRef>
          </c:val>
          <c:extLst>
            <c:ext xmlns:c16="http://schemas.microsoft.com/office/drawing/2014/chart" uri="{C3380CC4-5D6E-409C-BE32-E72D297353CC}">
              <c16:uniqueId val="{00000003-2CF7-444B-8582-85C6385445BB}"/>
            </c:ext>
          </c:extLst>
        </c:ser>
        <c:dLbls>
          <c:showLegendKey val="0"/>
          <c:showVal val="1"/>
          <c:showCatName val="0"/>
          <c:showSerName val="0"/>
          <c:showPercent val="0"/>
          <c:showBubbleSize val="0"/>
        </c:dLbls>
        <c:axId val="1542257343"/>
        <c:axId val="1542274623"/>
      </c:areaChart>
      <c:catAx>
        <c:axId val="15422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74623"/>
        <c:crosses val="autoZero"/>
        <c:auto val="1"/>
        <c:lblAlgn val="ctr"/>
        <c:lblOffset val="100"/>
        <c:noMultiLvlLbl val="0"/>
      </c:catAx>
      <c:valAx>
        <c:axId val="1542274623"/>
        <c:scaling>
          <c:orientation val="minMax"/>
          <c:max val="0.5"/>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57343"/>
        <c:crosses val="autoZero"/>
        <c:crossBetween val="midCat"/>
        <c:majorUnit val="0.1"/>
      </c:valAx>
      <c:spPr>
        <a:noFill/>
        <a:ln>
          <a:noFill/>
        </a:ln>
        <a:effectLst/>
      </c:spPr>
    </c:plotArea>
    <c:legend>
      <c:legendPos val="b"/>
      <c:layout>
        <c:manualLayout>
          <c:xMode val="edge"/>
          <c:yMode val="edge"/>
          <c:x val="0.37653849518810156"/>
          <c:y val="0.19502260134149893"/>
          <c:w val="0.35657370953630796"/>
          <c:h val="0.13020924467774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November 2025.xlsx]PIVOTS &amp; CALCULATIONS!% of flash, onsight, redpoint</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 OF FLASH, OS, RP</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CALCULATIONS'!$B$43</c:f>
              <c:strCache>
                <c:ptCount val="1"/>
                <c:pt idx="0">
                  <c:v>Total</c:v>
                </c:pt>
              </c:strCache>
            </c:strRef>
          </c:tx>
          <c:spPr>
            <a:solidFill>
              <a:srgbClr val="66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CALCULATIONS'!$A$44:$A$47</c:f>
              <c:strCache>
                <c:ptCount val="3"/>
                <c:pt idx="0">
                  <c:v>flash</c:v>
                </c:pt>
                <c:pt idx="1">
                  <c:v>onsight</c:v>
                </c:pt>
                <c:pt idx="2">
                  <c:v>redpoint</c:v>
                </c:pt>
              </c:strCache>
            </c:strRef>
          </c:cat>
          <c:val>
            <c:numRef>
              <c:f>'PIVOTS &amp; CALCULATIONS'!$B$44:$B$47</c:f>
              <c:numCache>
                <c:formatCode>0.0%</c:formatCode>
                <c:ptCount val="3"/>
                <c:pt idx="0">
                  <c:v>8.4112149532710276E-2</c:v>
                </c:pt>
                <c:pt idx="1">
                  <c:v>0.27102803738317754</c:v>
                </c:pt>
                <c:pt idx="2">
                  <c:v>0.64485981308411211</c:v>
                </c:pt>
              </c:numCache>
            </c:numRef>
          </c:val>
          <c:extLst>
            <c:ext xmlns:c16="http://schemas.microsoft.com/office/drawing/2014/chart" uri="{C3380CC4-5D6E-409C-BE32-E72D297353CC}">
              <c16:uniqueId val="{00000000-4709-4DE3-BA60-A916B1C4CF40}"/>
            </c:ext>
          </c:extLst>
        </c:ser>
        <c:dLbls>
          <c:showLegendKey val="0"/>
          <c:showVal val="0"/>
          <c:showCatName val="0"/>
          <c:showSerName val="0"/>
          <c:showPercent val="0"/>
          <c:showBubbleSize val="0"/>
        </c:dLbls>
        <c:gapWidth val="75"/>
        <c:overlap val="-50"/>
        <c:axId val="614700943"/>
        <c:axId val="614719663"/>
      </c:barChart>
      <c:catAx>
        <c:axId val="61470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19663"/>
        <c:crosses val="autoZero"/>
        <c:auto val="1"/>
        <c:lblAlgn val="ctr"/>
        <c:lblOffset val="100"/>
        <c:noMultiLvlLbl val="0"/>
      </c:catAx>
      <c:valAx>
        <c:axId val="61471966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0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November 2025.xlsx]PIVOTS &amp; CALCULATIONS!Average of Tries num. only excl. outliers</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AVG TRIES PER</a:t>
            </a:r>
            <a:r>
              <a:rPr lang="en-US" sz="1600" baseline="0"/>
              <a:t> ASCENT</a:t>
            </a:r>
            <a:endParaRPr lang="en-US" sz="1600"/>
          </a:p>
        </c:rich>
      </c:tx>
      <c:layout>
        <c:manualLayout>
          <c:xMode val="edge"/>
          <c:yMode val="edge"/>
          <c:x val="0.17712525517643626"/>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CALCULATIONS'!$B$50</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CALCULATIONS'!$A$51:$A$57</c:f>
              <c:strCache>
                <c:ptCount val="6"/>
                <c:pt idx="0">
                  <c:v>7a</c:v>
                </c:pt>
                <c:pt idx="1">
                  <c:v>7a+</c:v>
                </c:pt>
                <c:pt idx="2">
                  <c:v>7b</c:v>
                </c:pt>
                <c:pt idx="3">
                  <c:v>7b+</c:v>
                </c:pt>
                <c:pt idx="4">
                  <c:v>7c</c:v>
                </c:pt>
                <c:pt idx="5">
                  <c:v>7c+</c:v>
                </c:pt>
              </c:strCache>
            </c:strRef>
          </c:cat>
          <c:val>
            <c:numRef>
              <c:f>'PIVOTS &amp; CALCULATIONS'!$B$51:$B$57</c:f>
              <c:numCache>
                <c:formatCode>0.00</c:formatCode>
                <c:ptCount val="6"/>
                <c:pt idx="0">
                  <c:v>1.8974358974358974</c:v>
                </c:pt>
                <c:pt idx="1">
                  <c:v>2.1481481481481484</c:v>
                </c:pt>
                <c:pt idx="2">
                  <c:v>3.125</c:v>
                </c:pt>
                <c:pt idx="3">
                  <c:v>5.583333333333333</c:v>
                </c:pt>
                <c:pt idx="4">
                  <c:v>9.8000000000000007</c:v>
                </c:pt>
                <c:pt idx="5">
                  <c:v>27</c:v>
                </c:pt>
              </c:numCache>
            </c:numRef>
          </c:val>
          <c:extLst>
            <c:ext xmlns:c16="http://schemas.microsoft.com/office/drawing/2014/chart" uri="{C3380CC4-5D6E-409C-BE32-E72D297353CC}">
              <c16:uniqueId val="{00000003-9202-45AC-A3FC-AD960FC026A6}"/>
            </c:ext>
          </c:extLst>
        </c:ser>
        <c:dLbls>
          <c:dLblPos val="outEnd"/>
          <c:showLegendKey val="0"/>
          <c:showVal val="1"/>
          <c:showCatName val="0"/>
          <c:showSerName val="0"/>
          <c:showPercent val="0"/>
          <c:showBubbleSize val="0"/>
        </c:dLbls>
        <c:gapWidth val="75"/>
        <c:overlap val="-50"/>
        <c:axId val="1360983695"/>
        <c:axId val="1360959695"/>
      </c:barChart>
      <c:catAx>
        <c:axId val="136098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59695"/>
        <c:crosses val="autoZero"/>
        <c:auto val="1"/>
        <c:lblAlgn val="ctr"/>
        <c:lblOffset val="100"/>
        <c:noMultiLvlLbl val="0"/>
      </c:catAx>
      <c:valAx>
        <c:axId val="1360959695"/>
        <c:scaling>
          <c:orientation val="minMax"/>
        </c:scaling>
        <c:delete val="1"/>
        <c:axPos val="l"/>
        <c:numFmt formatCode="0.00" sourceLinked="1"/>
        <c:majorTickMark val="none"/>
        <c:minorTickMark val="none"/>
        <c:tickLblPos val="nextTo"/>
        <c:crossAx val="136098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GRADES PYRAMID</a:t>
            </a:r>
          </a:p>
        </c:rich>
      </c:tx>
      <c:layout>
        <c:manualLayout>
          <c:xMode val="edge"/>
          <c:yMode val="edge"/>
          <c:x val="0.35439814814814813"/>
          <c:y val="7.326007326007326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51851851851852"/>
          <c:y val="0.18300925925925926"/>
          <c:w val="0.85648148148148151"/>
          <c:h val="0.76606481481481481"/>
        </c:manualLayout>
      </c:layout>
      <c:barChart>
        <c:barDir val="bar"/>
        <c:grouping val="stacked"/>
        <c:varyColors val="0"/>
        <c:ser>
          <c:idx val="0"/>
          <c:order val="0"/>
          <c:spPr>
            <a:noFill/>
            <a:ln>
              <a:noFill/>
            </a:ln>
            <a:effectLst/>
          </c:spPr>
          <c:invertIfNegative val="0"/>
          <c:cat>
            <c:strRef>
              <c:f>'PIVOTS &amp; CALCULATIONS'!$A$15:$A$20</c:f>
              <c:strCache>
                <c:ptCount val="6"/>
                <c:pt idx="0">
                  <c:v>7a</c:v>
                </c:pt>
                <c:pt idx="1">
                  <c:v>7a+</c:v>
                </c:pt>
                <c:pt idx="2">
                  <c:v>7b</c:v>
                </c:pt>
                <c:pt idx="3">
                  <c:v>7b+</c:v>
                </c:pt>
                <c:pt idx="4">
                  <c:v>7c</c:v>
                </c:pt>
                <c:pt idx="5">
                  <c:v>7c+</c:v>
                </c:pt>
              </c:strCache>
            </c:strRef>
          </c:cat>
          <c:val>
            <c:numRef>
              <c:f>'PIVOTS &amp; CALCULATIONS'!$B$15:$B$20</c:f>
              <c:numCache>
                <c:formatCode>General</c:formatCode>
                <c:ptCount val="6"/>
                <c:pt idx="0">
                  <c:v>0</c:v>
                </c:pt>
                <c:pt idx="1">
                  <c:v>31.5</c:v>
                </c:pt>
                <c:pt idx="2">
                  <c:v>46.5</c:v>
                </c:pt>
                <c:pt idx="3">
                  <c:v>52.5</c:v>
                </c:pt>
                <c:pt idx="4">
                  <c:v>56</c:v>
                </c:pt>
                <c:pt idx="5">
                  <c:v>57.5</c:v>
                </c:pt>
              </c:numCache>
            </c:numRef>
          </c:val>
          <c:extLst>
            <c:ext xmlns:c16="http://schemas.microsoft.com/office/drawing/2014/chart" uri="{C3380CC4-5D6E-409C-BE32-E72D297353CC}">
              <c16:uniqueId val="{00000000-BFFF-4DB4-AE29-79FA336ADEEE}"/>
            </c:ext>
          </c:extLst>
        </c:ser>
        <c:ser>
          <c:idx val="1"/>
          <c:order val="1"/>
          <c:spPr>
            <a:solidFill>
              <a:srgbClr val="00B0F0"/>
            </a:solidFill>
            <a:ln>
              <a:noFill/>
            </a:ln>
            <a:effectLst/>
          </c:spPr>
          <c:invertIfNegative val="0"/>
          <c:dLbls>
            <c:dLbl>
              <c:idx val="0"/>
              <c:layout>
                <c:manualLayout>
                  <c:x val="0.39351851851851855"/>
                  <c:y val="-3.0864197530864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FF-4DB4-AE29-79FA336ADEEE}"/>
                </c:ext>
              </c:extLst>
            </c:dLbl>
            <c:dLbl>
              <c:idx val="1"/>
              <c:layout>
                <c:manualLayout>
                  <c:x val="0.28240740740740738"/>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61-4EBE-9CB6-9CAFB8506D71}"/>
                </c:ext>
              </c:extLst>
            </c:dLbl>
            <c:dLbl>
              <c:idx val="2"/>
              <c:layout>
                <c:manualLayout>
                  <c:x val="0.22222222222222221"/>
                  <c:y val="-3.0864197530864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61-4EBE-9CB6-9CAFB8506D71}"/>
                </c:ext>
              </c:extLst>
            </c:dLbl>
            <c:dLbl>
              <c:idx val="3"/>
              <c:layout>
                <c:manualLayout>
                  <c:x val="0.17592592592592585"/>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61-4EBE-9CB6-9CAFB8506D71}"/>
                </c:ext>
              </c:extLst>
            </c:dLbl>
            <c:dLbl>
              <c:idx val="4"/>
              <c:layout>
                <c:manualLayout>
                  <c:x val="0.1388888888888889"/>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61-4EBE-9CB6-9CAFB8506D71}"/>
                </c:ext>
              </c:extLst>
            </c:dLbl>
            <c:dLbl>
              <c:idx val="5"/>
              <c:layout>
                <c:manualLayout>
                  <c:x val="8.7962962962962965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61-4EBE-9CB6-9CAFB8506D7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 &amp; CALCULATIONS'!$A$15:$A$20</c:f>
              <c:strCache>
                <c:ptCount val="6"/>
                <c:pt idx="0">
                  <c:v>7a</c:v>
                </c:pt>
                <c:pt idx="1">
                  <c:v>7a+</c:v>
                </c:pt>
                <c:pt idx="2">
                  <c:v>7b</c:v>
                </c:pt>
                <c:pt idx="3">
                  <c:v>7b+</c:v>
                </c:pt>
                <c:pt idx="4">
                  <c:v>7c</c:v>
                </c:pt>
                <c:pt idx="5">
                  <c:v>7c+</c:v>
                </c:pt>
              </c:strCache>
            </c:strRef>
          </c:cat>
          <c:val>
            <c:numRef>
              <c:f>'PIVOTS &amp; CALCULATIONS'!$C$15:$C$20</c:f>
              <c:numCache>
                <c:formatCode>General</c:formatCode>
                <c:ptCount val="6"/>
                <c:pt idx="0">
                  <c:v>117</c:v>
                </c:pt>
                <c:pt idx="1">
                  <c:v>54</c:v>
                </c:pt>
                <c:pt idx="2">
                  <c:v>24</c:v>
                </c:pt>
                <c:pt idx="3">
                  <c:v>12</c:v>
                </c:pt>
                <c:pt idx="4">
                  <c:v>5</c:v>
                </c:pt>
                <c:pt idx="5">
                  <c:v>2</c:v>
                </c:pt>
              </c:numCache>
            </c:numRef>
          </c:val>
          <c:extLst>
            <c:ext xmlns:c16="http://schemas.microsoft.com/office/drawing/2014/chart" uri="{C3380CC4-5D6E-409C-BE32-E72D297353CC}">
              <c16:uniqueId val="{00000002-BFFF-4DB4-AE29-79FA336ADEEE}"/>
            </c:ext>
          </c:extLst>
        </c:ser>
        <c:dLbls>
          <c:showLegendKey val="0"/>
          <c:showVal val="0"/>
          <c:showCatName val="0"/>
          <c:showSerName val="0"/>
          <c:showPercent val="0"/>
          <c:showBubbleSize val="0"/>
        </c:dLbls>
        <c:gapWidth val="10"/>
        <c:overlap val="100"/>
        <c:axId val="1174629312"/>
        <c:axId val="1174631232"/>
      </c:barChart>
      <c:catAx>
        <c:axId val="1174629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31232"/>
        <c:crosses val="autoZero"/>
        <c:auto val="1"/>
        <c:lblAlgn val="ctr"/>
        <c:lblOffset val="100"/>
        <c:noMultiLvlLbl val="0"/>
      </c:catAx>
      <c:valAx>
        <c:axId val="1174631232"/>
        <c:scaling>
          <c:orientation val="minMax"/>
        </c:scaling>
        <c:delete val="1"/>
        <c:axPos val="b"/>
        <c:numFmt formatCode="General" sourceLinked="1"/>
        <c:majorTickMark val="out"/>
        <c:minorTickMark val="none"/>
        <c:tickLblPos val="nextTo"/>
        <c:crossAx val="117462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[Sport climbing data and dashboard - November 2025.xlsx]PIVOTS &amp; CALCULATIONS!Count per grade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tint val="50000"/>
            </a:schemeClr>
          </a:solidFill>
          <a:ln w="19050">
            <a:solidFill>
              <a:schemeClr val="lt1"/>
            </a:solidFill>
          </a:ln>
          <a:effectLst/>
        </c:spPr>
        <c:dLbl>
          <c:idx val="0"/>
          <c:layout>
            <c:manualLayout>
              <c:x val="0.13930348258706468"/>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5">
              <a:tint val="70000"/>
            </a:schemeClr>
          </a:solidFill>
          <a:ln w="19050">
            <a:solidFill>
              <a:schemeClr val="lt1"/>
            </a:solidFill>
          </a:ln>
          <a:effectLst/>
        </c:spPr>
        <c:dLbl>
          <c:idx val="0"/>
          <c:layout>
            <c:manualLayout>
              <c:x val="-0.16417910447761194"/>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tint val="90000"/>
            </a:schemeClr>
          </a:solidFill>
          <a:ln w="19050">
            <a:solidFill>
              <a:schemeClr val="lt1"/>
            </a:solidFill>
          </a:ln>
          <a:effectLst/>
        </c:spPr>
        <c:dLbl>
          <c:idx val="0"/>
          <c:layout>
            <c:manualLayout>
              <c:x val="-0.1840796019900497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shade val="90000"/>
            </a:schemeClr>
          </a:solidFill>
          <a:ln w="19050">
            <a:solidFill>
              <a:schemeClr val="lt1"/>
            </a:solidFill>
          </a:ln>
          <a:effectLst/>
        </c:spPr>
        <c:dLbl>
          <c:idx val="0"/>
          <c:layout>
            <c:manualLayout>
              <c:x val="-0.20895522388059701"/>
              <c:y val="-0.12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5">
              <a:shade val="70000"/>
            </a:schemeClr>
          </a:solidFill>
          <a:ln w="19050">
            <a:solidFill>
              <a:schemeClr val="lt1"/>
            </a:solidFill>
          </a:ln>
          <a:effectLst/>
        </c:spPr>
        <c:dLbl>
          <c:idx val="0"/>
          <c:layout>
            <c:manualLayout>
              <c:x val="-5.4726368159204022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5">
              <a:shade val="50000"/>
            </a:schemeClr>
          </a:solidFill>
          <a:ln w="19050">
            <a:solidFill>
              <a:schemeClr val="lt1"/>
            </a:solidFill>
          </a:ln>
          <a:effectLst/>
        </c:spPr>
        <c:dLbl>
          <c:idx val="0"/>
          <c:layout>
            <c:manualLayout>
              <c:x val="0.17910447761194029"/>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 &amp; CALCULATIONS'!$B$4</c:f>
              <c:strCache>
                <c:ptCount val="1"/>
                <c:pt idx="0">
                  <c:v>Total</c:v>
                </c:pt>
              </c:strCache>
            </c:strRef>
          </c:tx>
          <c:dPt>
            <c:idx val="0"/>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1-6B33-4F45-873A-00AF5FF30C91}"/>
              </c:ext>
            </c:extLst>
          </c:dPt>
          <c:dPt>
            <c:idx val="1"/>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3-6B33-4F45-873A-00AF5FF30C91}"/>
              </c:ext>
            </c:extLst>
          </c:dPt>
          <c:dPt>
            <c:idx val="2"/>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5-6B33-4F45-873A-00AF5FF30C91}"/>
              </c:ext>
            </c:extLst>
          </c:dPt>
          <c:dPt>
            <c:idx val="3"/>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7-6B33-4F45-873A-00AF5FF30C91}"/>
              </c:ext>
            </c:extLst>
          </c:dPt>
          <c:dPt>
            <c:idx val="4"/>
            <c:bubble3D val="0"/>
            <c:spPr>
              <a:solidFill>
                <a:schemeClr val="accent5">
                  <a:shade val="70000"/>
                </a:schemeClr>
              </a:solidFill>
              <a:ln w="19050">
                <a:solidFill>
                  <a:schemeClr val="lt1"/>
                </a:solidFill>
              </a:ln>
              <a:effectLst/>
            </c:spPr>
            <c:extLst>
              <c:ext xmlns:c16="http://schemas.microsoft.com/office/drawing/2014/chart" uri="{C3380CC4-5D6E-409C-BE32-E72D297353CC}">
                <c16:uniqueId val="{00000009-6B33-4F45-873A-00AF5FF30C91}"/>
              </c:ext>
            </c:extLst>
          </c:dPt>
          <c:dPt>
            <c:idx val="5"/>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B-6B33-4F45-873A-00AF5FF30C91}"/>
              </c:ext>
            </c:extLst>
          </c:dPt>
          <c:dLbls>
            <c:dLbl>
              <c:idx val="0"/>
              <c:layout>
                <c:manualLayout>
                  <c:x val="0.13930348258706468"/>
                  <c:y val="0.138888888888888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3-4F45-873A-00AF5FF30C91}"/>
                </c:ext>
              </c:extLst>
            </c:dLbl>
            <c:dLbl>
              <c:idx val="1"/>
              <c:layout>
                <c:manualLayout>
                  <c:x val="-0.16417910447761194"/>
                  <c:y val="0.129629629629629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33-4F45-873A-00AF5FF30C91}"/>
                </c:ext>
              </c:extLst>
            </c:dLbl>
            <c:dLbl>
              <c:idx val="2"/>
              <c:layout>
                <c:manualLayout>
                  <c:x val="-0.18407960199004975"/>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3-4F45-873A-00AF5FF30C91}"/>
                </c:ext>
              </c:extLst>
            </c:dLbl>
            <c:dLbl>
              <c:idx val="3"/>
              <c:layout>
                <c:manualLayout>
                  <c:x val="-0.20895522388059701"/>
                  <c:y val="-0.1296296296296296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33-4F45-873A-00AF5FF30C91}"/>
                </c:ext>
              </c:extLst>
            </c:dLbl>
            <c:dLbl>
              <c:idx val="4"/>
              <c:layout>
                <c:manualLayout>
                  <c:x val="-5.4726368159204022E-2"/>
                  <c:y val="-0.15277777777777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B33-4F45-873A-00AF5FF30C91}"/>
                </c:ext>
              </c:extLst>
            </c:dLbl>
            <c:dLbl>
              <c:idx val="5"/>
              <c:layout>
                <c:manualLayout>
                  <c:x val="0.17910447761194029"/>
                  <c:y val="-0.125000000000000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B33-4F45-873A-00AF5FF30C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CALCULATIONS'!$A$5:$A$11</c:f>
              <c:strCache>
                <c:ptCount val="6"/>
                <c:pt idx="0">
                  <c:v>7a</c:v>
                </c:pt>
                <c:pt idx="1">
                  <c:v>7a+</c:v>
                </c:pt>
                <c:pt idx="2">
                  <c:v>7b</c:v>
                </c:pt>
                <c:pt idx="3">
                  <c:v>7b+</c:v>
                </c:pt>
                <c:pt idx="4">
                  <c:v>7c</c:v>
                </c:pt>
                <c:pt idx="5">
                  <c:v>7c+</c:v>
                </c:pt>
              </c:strCache>
            </c:strRef>
          </c:cat>
          <c:val>
            <c:numRef>
              <c:f>'PIVOTS &amp; CALCULATIONS'!$B$5:$B$11</c:f>
              <c:numCache>
                <c:formatCode>General</c:formatCode>
                <c:ptCount val="6"/>
                <c:pt idx="0">
                  <c:v>117</c:v>
                </c:pt>
                <c:pt idx="1">
                  <c:v>54</c:v>
                </c:pt>
                <c:pt idx="2">
                  <c:v>24</c:v>
                </c:pt>
                <c:pt idx="3">
                  <c:v>12</c:v>
                </c:pt>
                <c:pt idx="4">
                  <c:v>5</c:v>
                </c:pt>
                <c:pt idx="5">
                  <c:v>2</c:v>
                </c:pt>
              </c:numCache>
            </c:numRef>
          </c:val>
          <c:extLst>
            <c:ext xmlns:c16="http://schemas.microsoft.com/office/drawing/2014/chart" uri="{C3380CC4-5D6E-409C-BE32-E72D297353CC}">
              <c16:uniqueId val="{0000000C-6B33-4F45-873A-00AF5FF30C9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0"/>
      <c:rotY val="1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 &amp; CALCULATIONS'!$A$15</c:f>
              <c:strCache>
                <c:ptCount val="1"/>
                <c:pt idx="0">
                  <c:v>7a</c:v>
                </c:pt>
              </c:strCache>
            </c:strRef>
          </c:tx>
          <c:spPr>
            <a:solidFill>
              <a:schemeClr val="accent1"/>
            </a:solidFill>
            <a:ln w="12700">
              <a:solidFill>
                <a:schemeClr val="tx1">
                  <a:lumMod val="75000"/>
                  <a:lumOff val="25000"/>
                </a:schemeClr>
              </a:solidFill>
            </a:ln>
            <a:effectLst/>
            <a:sp3d contourW="12700">
              <a:contourClr>
                <a:schemeClr val="tx1">
                  <a:lumMod val="75000"/>
                  <a:lumOff val="2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CALCULATIONS'!$C$15</c:f>
              <c:numCache>
                <c:formatCode>General</c:formatCode>
                <c:ptCount val="1"/>
                <c:pt idx="0">
                  <c:v>117</c:v>
                </c:pt>
              </c:numCache>
            </c:numRef>
          </c:val>
          <c:shape val="pyramidToMax"/>
          <c:extLst>
            <c:ext xmlns:c16="http://schemas.microsoft.com/office/drawing/2014/chart" uri="{C3380CC4-5D6E-409C-BE32-E72D297353CC}">
              <c16:uniqueId val="{00000000-63E8-4BFF-9399-3213331B5A09}"/>
            </c:ext>
          </c:extLst>
        </c:ser>
        <c:ser>
          <c:idx val="1"/>
          <c:order val="1"/>
          <c:tx>
            <c:strRef>
              <c:f>'PIVOTS &amp; CALCULATIONS'!$A$16</c:f>
              <c:strCache>
                <c:ptCount val="1"/>
                <c:pt idx="0">
                  <c:v>7a+</c:v>
                </c:pt>
              </c:strCache>
            </c:strRef>
          </c:tx>
          <c:spPr>
            <a:solidFill>
              <a:schemeClr val="accent2"/>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2.2662889518413599E-2"/>
                  <c:y val="5.4562874535232508E-17"/>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CALCULATIONS'!$C$16</c:f>
              <c:numCache>
                <c:formatCode>General</c:formatCode>
                <c:ptCount val="1"/>
                <c:pt idx="0">
                  <c:v>54</c:v>
                </c:pt>
              </c:numCache>
            </c:numRef>
          </c:val>
          <c:shape val="pyramidToMax"/>
          <c:extLst>
            <c:ext xmlns:c16="http://schemas.microsoft.com/office/drawing/2014/chart" uri="{C3380CC4-5D6E-409C-BE32-E72D297353CC}">
              <c16:uniqueId val="{00000002-63E8-4BFF-9399-3213331B5A09}"/>
            </c:ext>
          </c:extLst>
        </c:ser>
        <c:ser>
          <c:idx val="2"/>
          <c:order val="2"/>
          <c:tx>
            <c:strRef>
              <c:f>'PIVOTS &amp; CALCULATIONS'!$A$17</c:f>
              <c:strCache>
                <c:ptCount val="1"/>
                <c:pt idx="0">
                  <c:v>7b</c:v>
                </c:pt>
              </c:strCache>
            </c:strRef>
          </c:tx>
          <c:spPr>
            <a:solidFill>
              <a:schemeClr val="accent3"/>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20337301587301587"/>
                  <c:y val="-5.092592592592592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CALCULATIONS'!$C$17</c:f>
              <c:numCache>
                <c:formatCode>General</c:formatCode>
                <c:ptCount val="1"/>
                <c:pt idx="0">
                  <c:v>24</c:v>
                </c:pt>
              </c:numCache>
            </c:numRef>
          </c:val>
          <c:shape val="pyramidToMax"/>
          <c:extLst>
            <c:ext xmlns:c16="http://schemas.microsoft.com/office/drawing/2014/chart" uri="{C3380CC4-5D6E-409C-BE32-E72D297353CC}">
              <c16:uniqueId val="{00000003-63E8-4BFF-9399-3213331B5A09}"/>
            </c:ext>
          </c:extLst>
        </c:ser>
        <c:ser>
          <c:idx val="3"/>
          <c:order val="3"/>
          <c:tx>
            <c:strRef>
              <c:f>'PIVOTS &amp; CALCULATIONS'!$A$18</c:f>
              <c:strCache>
                <c:ptCount val="1"/>
                <c:pt idx="0">
                  <c:v>7b+</c:v>
                </c:pt>
              </c:strCache>
            </c:strRef>
          </c:tx>
          <c:spPr>
            <a:solidFill>
              <a:schemeClr val="accent4"/>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5"/>
                  <c:y val="-3.703703703703703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CALCULATIONS'!$C$18</c:f>
              <c:numCache>
                <c:formatCode>General</c:formatCode>
                <c:ptCount val="1"/>
                <c:pt idx="0">
                  <c:v>12</c:v>
                </c:pt>
              </c:numCache>
            </c:numRef>
          </c:val>
          <c:shape val="pyramidToMax"/>
          <c:extLst>
            <c:ext xmlns:c16="http://schemas.microsoft.com/office/drawing/2014/chart" uri="{C3380CC4-5D6E-409C-BE32-E72D297353CC}">
              <c16:uniqueId val="{00000005-63E8-4BFF-9399-3213331B5A09}"/>
            </c:ext>
          </c:extLst>
        </c:ser>
        <c:ser>
          <c:idx val="4"/>
          <c:order val="4"/>
          <c:tx>
            <c:strRef>
              <c:f>'PIVOTS &amp; CALCULATIONS'!$A$19</c:f>
              <c:strCache>
                <c:ptCount val="1"/>
                <c:pt idx="0">
                  <c:v>7c</c:v>
                </c:pt>
              </c:strCache>
            </c:strRef>
          </c:tx>
          <c:spPr>
            <a:solidFill>
              <a:schemeClr val="accent5"/>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9722222222222233"/>
                  <c:y val="-9.722222222222226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CALCULATIONS'!$C$19</c:f>
              <c:numCache>
                <c:formatCode>General</c:formatCode>
                <c:ptCount val="1"/>
                <c:pt idx="0">
                  <c:v>5</c:v>
                </c:pt>
              </c:numCache>
            </c:numRef>
          </c:val>
          <c:shape val="pyramidToMax"/>
          <c:extLst>
            <c:ext xmlns:c16="http://schemas.microsoft.com/office/drawing/2014/chart" uri="{C3380CC4-5D6E-409C-BE32-E72D297353CC}">
              <c16:uniqueId val="{00000007-63E8-4BFF-9399-3213331B5A09}"/>
            </c:ext>
          </c:extLst>
        </c:ser>
        <c:ser>
          <c:idx val="5"/>
          <c:order val="5"/>
          <c:tx>
            <c:strRef>
              <c:f>'PIVOTS &amp; CALCULATIONS'!$A$20</c:f>
              <c:strCache>
                <c:ptCount val="1"/>
                <c:pt idx="0">
                  <c:v>7c+</c:v>
                </c:pt>
              </c:strCache>
            </c:strRef>
          </c:tx>
          <c:spPr>
            <a:solidFill>
              <a:schemeClr val="accent6"/>
            </a:solidFill>
            <a:ln>
              <a:noFill/>
            </a:ln>
            <a:effectLst/>
            <a:sp3d/>
          </c:spPr>
          <c:invertIfNegative val="0"/>
          <c:dLbls>
            <c:dLbl>
              <c:idx val="0"/>
              <c:layout>
                <c:manualLayout>
                  <c:x val="-0.1247797283129977"/>
                  <c:y val="-0.13359794094439936"/>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CALCULATIONS'!$C$20</c:f>
              <c:numCache>
                <c:formatCode>General</c:formatCode>
                <c:ptCount val="1"/>
                <c:pt idx="0">
                  <c:v>2</c:v>
                </c:pt>
              </c:numCache>
            </c:numRef>
          </c:val>
          <c:shape val="pyramidToMax"/>
          <c:extLst>
            <c:ext xmlns:c16="http://schemas.microsoft.com/office/drawing/2014/chart" uri="{C3380CC4-5D6E-409C-BE32-E72D297353CC}">
              <c16:uniqueId val="{00000009-63E8-4BFF-9399-3213331B5A09}"/>
            </c:ext>
          </c:extLst>
        </c:ser>
        <c:dLbls>
          <c:showLegendKey val="0"/>
          <c:showVal val="1"/>
          <c:showCatName val="0"/>
          <c:showSerName val="0"/>
          <c:showPercent val="0"/>
          <c:showBubbleSize val="0"/>
        </c:dLbls>
        <c:gapWidth val="60"/>
        <c:gapDepth val="50"/>
        <c:shape val="pyramidToMax"/>
        <c:axId val="1174609152"/>
        <c:axId val="1174633152"/>
        <c:axId val="0"/>
      </c:bar3DChart>
      <c:catAx>
        <c:axId val="1174609152"/>
        <c:scaling>
          <c:orientation val="minMax"/>
        </c:scaling>
        <c:delete val="1"/>
        <c:axPos val="b"/>
        <c:numFmt formatCode="General" sourceLinked="1"/>
        <c:majorTickMark val="none"/>
        <c:minorTickMark val="none"/>
        <c:tickLblPos val="nextTo"/>
        <c:crossAx val="1174633152"/>
        <c:crosses val="autoZero"/>
        <c:auto val="1"/>
        <c:lblAlgn val="ctr"/>
        <c:lblOffset val="100"/>
        <c:noMultiLvlLbl val="0"/>
      </c:catAx>
      <c:valAx>
        <c:axId val="1174633152"/>
        <c:scaling>
          <c:orientation val="minMax"/>
        </c:scaling>
        <c:delete val="1"/>
        <c:axPos val="l"/>
        <c:numFmt formatCode="General" sourceLinked="1"/>
        <c:majorTickMark val="none"/>
        <c:minorTickMark val="none"/>
        <c:tickLblPos val="nextTo"/>
        <c:crossAx val="117460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[Sport climbing data and dashboard - November 2025.xlsx]PIVOTS &amp; CALCULATIONS!Count per number of attempts</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NUMBER OF TRIES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25925925925923E-2"/>
          <c:y val="0.13004629629629633"/>
          <c:w val="0.89814814814814814"/>
          <c:h val="0.68822506561679786"/>
        </c:manualLayout>
      </c:layout>
      <c:barChart>
        <c:barDir val="col"/>
        <c:grouping val="clustered"/>
        <c:varyColors val="0"/>
        <c:ser>
          <c:idx val="0"/>
          <c:order val="0"/>
          <c:tx>
            <c:strRef>
              <c:f>'PIVOTS &amp; CALCULATIONS'!$B$24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CALCULATIONS'!$A$25:$A$40</c:f>
              <c:strCache>
                <c:ptCount val="15"/>
                <c:pt idx="0">
                  <c:v>2</c:v>
                </c:pt>
                <c:pt idx="1">
                  <c:v>onsight</c:v>
                </c:pt>
                <c:pt idx="2">
                  <c:v>3</c:v>
                </c:pt>
                <c:pt idx="3">
                  <c:v>flash</c:v>
                </c:pt>
                <c:pt idx="4">
                  <c:v>5</c:v>
                </c:pt>
                <c:pt idx="5">
                  <c:v>4</c:v>
                </c:pt>
                <c:pt idx="6">
                  <c:v>6</c:v>
                </c:pt>
                <c:pt idx="7">
                  <c:v>8</c:v>
                </c:pt>
                <c:pt idx="8">
                  <c:v>7</c:v>
                </c:pt>
                <c:pt idx="9">
                  <c:v>10</c:v>
                </c:pt>
                <c:pt idx="10">
                  <c:v>14</c:v>
                </c:pt>
                <c:pt idx="11">
                  <c:v>24</c:v>
                </c:pt>
                <c:pt idx="12">
                  <c:v>40</c:v>
                </c:pt>
                <c:pt idx="13">
                  <c:v>1</c:v>
                </c:pt>
                <c:pt idx="14">
                  <c:v>12</c:v>
                </c:pt>
              </c:strCache>
            </c:strRef>
          </c:cat>
          <c:val>
            <c:numRef>
              <c:f>'PIVOTS &amp; CALCULATIONS'!$B$25:$B$40</c:f>
              <c:numCache>
                <c:formatCode>General</c:formatCode>
                <c:ptCount val="15"/>
                <c:pt idx="0">
                  <c:v>81</c:v>
                </c:pt>
                <c:pt idx="1">
                  <c:v>58</c:v>
                </c:pt>
                <c:pt idx="2">
                  <c:v>20</c:v>
                </c:pt>
                <c:pt idx="3">
                  <c:v>17</c:v>
                </c:pt>
                <c:pt idx="4">
                  <c:v>10</c:v>
                </c:pt>
                <c:pt idx="5">
                  <c:v>9</c:v>
                </c:pt>
                <c:pt idx="6">
                  <c:v>5</c:v>
                </c:pt>
                <c:pt idx="7">
                  <c:v>3</c:v>
                </c:pt>
                <c:pt idx="8">
                  <c:v>3</c:v>
                </c:pt>
                <c:pt idx="9">
                  <c:v>2</c:v>
                </c:pt>
                <c:pt idx="10">
                  <c:v>2</c:v>
                </c:pt>
                <c:pt idx="11">
                  <c:v>1</c:v>
                </c:pt>
                <c:pt idx="12">
                  <c:v>1</c:v>
                </c:pt>
                <c:pt idx="13">
                  <c:v>1</c:v>
                </c:pt>
                <c:pt idx="14">
                  <c:v>1</c:v>
                </c:pt>
              </c:numCache>
            </c:numRef>
          </c:val>
          <c:extLst>
            <c:ext xmlns:c16="http://schemas.microsoft.com/office/drawing/2014/chart" uri="{C3380CC4-5D6E-409C-BE32-E72D297353CC}">
              <c16:uniqueId val="{00000000-D314-47EC-838E-5351AE404291}"/>
            </c:ext>
          </c:extLst>
        </c:ser>
        <c:dLbls>
          <c:showLegendKey val="0"/>
          <c:showVal val="0"/>
          <c:showCatName val="0"/>
          <c:showSerName val="0"/>
          <c:showPercent val="0"/>
          <c:showBubbleSize val="0"/>
        </c:dLbls>
        <c:gapWidth val="75"/>
        <c:axId val="1225433552"/>
        <c:axId val="1220341056"/>
      </c:barChart>
      <c:catAx>
        <c:axId val="12254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341056"/>
        <c:crosses val="autoZero"/>
        <c:auto val="1"/>
        <c:lblAlgn val="ctr"/>
        <c:lblOffset val="100"/>
        <c:noMultiLvlLbl val="0"/>
      </c:catAx>
      <c:valAx>
        <c:axId val="1220341056"/>
        <c:scaling>
          <c:orientation val="minMax"/>
        </c:scaling>
        <c:delete val="1"/>
        <c:axPos val="l"/>
        <c:numFmt formatCode="General" sourceLinked="1"/>
        <c:majorTickMark val="none"/>
        <c:minorTickMark val="none"/>
        <c:tickLblPos val="nextTo"/>
        <c:crossAx val="122543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November 2025.xlsx]PIVOTS &amp; CALCULATIONS!Count per month</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FAVORITE MONTHS FOR SENDING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D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CALCULATIONS'!$G$27</c:f>
              <c:strCache>
                <c:ptCount val="1"/>
                <c:pt idx="0">
                  <c:v>Total</c:v>
                </c:pt>
              </c:strCache>
            </c:strRef>
          </c:tx>
          <c:spPr>
            <a:solidFill>
              <a:srgbClr val="DCD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CALCULATIONS'!$F$28:$F$40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&amp; CALCULATIONS'!$G$28:$G$40</c:f>
              <c:numCache>
                <c:formatCode>General</c:formatCode>
                <c:ptCount val="12"/>
                <c:pt idx="0">
                  <c:v>5</c:v>
                </c:pt>
                <c:pt idx="1">
                  <c:v>27</c:v>
                </c:pt>
                <c:pt idx="2">
                  <c:v>27</c:v>
                </c:pt>
                <c:pt idx="3">
                  <c:v>32</c:v>
                </c:pt>
                <c:pt idx="4">
                  <c:v>19</c:v>
                </c:pt>
                <c:pt idx="5">
                  <c:v>16</c:v>
                </c:pt>
                <c:pt idx="6">
                  <c:v>13</c:v>
                </c:pt>
                <c:pt idx="7">
                  <c:v>7</c:v>
                </c:pt>
                <c:pt idx="8">
                  <c:v>19</c:v>
                </c:pt>
                <c:pt idx="9">
                  <c:v>23</c:v>
                </c:pt>
                <c:pt idx="10">
                  <c:v>16</c:v>
                </c:pt>
                <c:pt idx="11">
                  <c:v>10</c:v>
                </c:pt>
              </c:numCache>
            </c:numRef>
          </c:val>
          <c:extLst>
            <c:ext xmlns:c16="http://schemas.microsoft.com/office/drawing/2014/chart" uri="{C3380CC4-5D6E-409C-BE32-E72D297353CC}">
              <c16:uniqueId val="{00000000-4D9C-4600-A757-0B302E3EF320}"/>
            </c:ext>
          </c:extLst>
        </c:ser>
        <c:dLbls>
          <c:showLegendKey val="0"/>
          <c:showVal val="0"/>
          <c:showCatName val="0"/>
          <c:showSerName val="0"/>
          <c:showPercent val="0"/>
          <c:showBubbleSize val="0"/>
        </c:dLbls>
        <c:gapWidth val="75"/>
        <c:axId val="226069424"/>
        <c:axId val="773902656"/>
      </c:barChart>
      <c:catAx>
        <c:axId val="2260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02656"/>
        <c:crosses val="autoZero"/>
        <c:auto val="1"/>
        <c:lblAlgn val="ctr"/>
        <c:lblOffset val="100"/>
        <c:noMultiLvlLbl val="0"/>
      </c:catAx>
      <c:valAx>
        <c:axId val="773902656"/>
        <c:scaling>
          <c:orientation val="minMax"/>
        </c:scaling>
        <c:delete val="1"/>
        <c:axPos val="l"/>
        <c:numFmt formatCode="General" sourceLinked="1"/>
        <c:majorTickMark val="none"/>
        <c:minorTickMark val="none"/>
        <c:tickLblPos val="nextTo"/>
        <c:crossAx val="2260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[Sport climbing data and dashboard - November 2025.xlsx]PIVOTS &amp; CALCULATIONS!Count per year</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ASCENTS OVER THE YEARS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CALCULATIONS'!$G$4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CALCULATIONS'!$F$5:$F$26</c:f>
              <c:strCach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(blank)</c:v>
                </c:pt>
              </c:strCache>
            </c:strRef>
          </c:cat>
          <c:val>
            <c:numRef>
              <c:f>'PIVOTS &amp; CALCULATIONS'!$G$5:$G$26</c:f>
              <c:numCache>
                <c:formatCode>General</c:formatCode>
                <c:ptCount val="21"/>
                <c:pt idx="0">
                  <c:v>1</c:v>
                </c:pt>
                <c:pt idx="1">
                  <c:v>1</c:v>
                </c:pt>
                <c:pt idx="2">
                  <c:v>2</c:v>
                </c:pt>
                <c:pt idx="3">
                  <c:v>0</c:v>
                </c:pt>
                <c:pt idx="4">
                  <c:v>0</c:v>
                </c:pt>
                <c:pt idx="5">
                  <c:v>1</c:v>
                </c:pt>
                <c:pt idx="6">
                  <c:v>3</c:v>
                </c:pt>
                <c:pt idx="7">
                  <c:v>16</c:v>
                </c:pt>
                <c:pt idx="8">
                  <c:v>0</c:v>
                </c:pt>
                <c:pt idx="9">
                  <c:v>0</c:v>
                </c:pt>
                <c:pt idx="10">
                  <c:v>2</c:v>
                </c:pt>
                <c:pt idx="11">
                  <c:v>31</c:v>
                </c:pt>
                <c:pt idx="12">
                  <c:v>25</c:v>
                </c:pt>
                <c:pt idx="13">
                  <c:v>7</c:v>
                </c:pt>
                <c:pt idx="14">
                  <c:v>10</c:v>
                </c:pt>
                <c:pt idx="15">
                  <c:v>17</c:v>
                </c:pt>
                <c:pt idx="16">
                  <c:v>19</c:v>
                </c:pt>
                <c:pt idx="17">
                  <c:v>22</c:v>
                </c:pt>
                <c:pt idx="18">
                  <c:v>11</c:v>
                </c:pt>
                <c:pt idx="19">
                  <c:v>42</c:v>
                </c:pt>
                <c:pt idx="20">
                  <c:v>4</c:v>
                </c:pt>
              </c:numCache>
            </c:numRef>
          </c:val>
          <c:extLst>
            <c:ext xmlns:c16="http://schemas.microsoft.com/office/drawing/2014/chart" uri="{C3380CC4-5D6E-409C-BE32-E72D297353CC}">
              <c16:uniqueId val="{00000000-6E00-4D5B-BDDD-F5F25119C631}"/>
            </c:ext>
          </c:extLst>
        </c:ser>
        <c:dLbls>
          <c:showLegendKey val="0"/>
          <c:showVal val="0"/>
          <c:showCatName val="0"/>
          <c:showSerName val="0"/>
          <c:showPercent val="0"/>
          <c:showBubbleSize val="0"/>
        </c:dLbls>
        <c:gapWidth val="75"/>
        <c:axId val="226068464"/>
        <c:axId val="941554400"/>
      </c:barChart>
      <c:catAx>
        <c:axId val="2260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54400"/>
        <c:crosses val="autoZero"/>
        <c:auto val="1"/>
        <c:lblAlgn val="ctr"/>
        <c:lblOffset val="100"/>
        <c:noMultiLvlLbl val="0"/>
      </c:catAx>
      <c:valAx>
        <c:axId val="941554400"/>
        <c:scaling>
          <c:orientation val="minMax"/>
        </c:scaling>
        <c:delete val="1"/>
        <c:axPos val="l"/>
        <c:numFmt formatCode="General" sourceLinked="1"/>
        <c:majorTickMark val="none"/>
        <c:minorTickMark val="none"/>
        <c:tickLblPos val="nextTo"/>
        <c:crossAx val="22606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November 2025.xlsx]PIVOTS &amp; CALCULATIONS!Distribution per height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ASCENTS PER HEIGHT</a:t>
            </a:r>
          </a:p>
        </c:rich>
      </c:tx>
      <c:layout>
        <c:manualLayout>
          <c:xMode val="edge"/>
          <c:yMode val="edge"/>
          <c:x val="0.2227029914529914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8382461807659"/>
          <c:y val="0.22785493827160494"/>
          <c:w val="0.80019222356820785"/>
          <c:h val="0.71813271604938267"/>
        </c:manualLayout>
      </c:layout>
      <c:barChart>
        <c:barDir val="bar"/>
        <c:grouping val="clustered"/>
        <c:varyColors val="0"/>
        <c:ser>
          <c:idx val="0"/>
          <c:order val="0"/>
          <c:tx>
            <c:strRef>
              <c:f>'PIVOTS &amp; CALCULATIONS'!$S$4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CALCULATIONS'!$R$5:$R$12</c:f>
              <c:strCache>
                <c:ptCount val="7"/>
                <c:pt idx="0">
                  <c:v>0-10</c:v>
                </c:pt>
                <c:pt idx="1">
                  <c:v>11-15</c:v>
                </c:pt>
                <c:pt idx="2">
                  <c:v>16-20</c:v>
                </c:pt>
                <c:pt idx="3">
                  <c:v>21-25</c:v>
                </c:pt>
                <c:pt idx="4">
                  <c:v>26-30</c:v>
                </c:pt>
                <c:pt idx="5">
                  <c:v>31-35</c:v>
                </c:pt>
                <c:pt idx="6">
                  <c:v>35+</c:v>
                </c:pt>
              </c:strCache>
            </c:strRef>
          </c:cat>
          <c:val>
            <c:numRef>
              <c:f>'PIVOTS &amp; CALCULATIONS'!$S$5:$S$12</c:f>
              <c:numCache>
                <c:formatCode>General</c:formatCode>
                <c:ptCount val="7"/>
                <c:pt idx="0">
                  <c:v>9</c:v>
                </c:pt>
                <c:pt idx="1">
                  <c:v>24</c:v>
                </c:pt>
                <c:pt idx="2">
                  <c:v>70</c:v>
                </c:pt>
                <c:pt idx="3">
                  <c:v>64</c:v>
                </c:pt>
                <c:pt idx="4">
                  <c:v>33</c:v>
                </c:pt>
                <c:pt idx="5">
                  <c:v>11</c:v>
                </c:pt>
                <c:pt idx="6">
                  <c:v>3</c:v>
                </c:pt>
              </c:numCache>
            </c:numRef>
          </c:val>
          <c:extLst>
            <c:ext xmlns:c16="http://schemas.microsoft.com/office/drawing/2014/chart" uri="{C3380CC4-5D6E-409C-BE32-E72D297353CC}">
              <c16:uniqueId val="{00000000-5739-43F3-87B1-E0C0AEB0BE3B}"/>
            </c:ext>
          </c:extLst>
        </c:ser>
        <c:dLbls>
          <c:showLegendKey val="0"/>
          <c:showVal val="0"/>
          <c:showCatName val="0"/>
          <c:showSerName val="0"/>
          <c:showPercent val="0"/>
          <c:showBubbleSize val="0"/>
        </c:dLbls>
        <c:gapWidth val="75"/>
        <c:axId val="1978030256"/>
        <c:axId val="1979940416"/>
      </c:barChart>
      <c:catAx>
        <c:axId val="1978030256"/>
        <c:scaling>
          <c:orientation val="minMax"/>
        </c:scaling>
        <c:delete val="0"/>
        <c:axPos val="l"/>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
              <c:y val="2.6716365315446688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40416"/>
        <c:crosses val="autoZero"/>
        <c:auto val="1"/>
        <c:lblAlgn val="ctr"/>
        <c:lblOffset val="100"/>
        <c:noMultiLvlLbl val="0"/>
      </c:catAx>
      <c:valAx>
        <c:axId val="1979940416"/>
        <c:scaling>
          <c:orientation val="minMax"/>
        </c:scaling>
        <c:delete val="1"/>
        <c:axPos val="b"/>
        <c:numFmt formatCode="General" sourceLinked="1"/>
        <c:majorTickMark val="none"/>
        <c:minorTickMark val="none"/>
        <c:tickLblPos val="nextTo"/>
        <c:crossAx val="197803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November 2025.xlsx]PIVOTS &amp; CALCULATIONS!Favorite Belayer</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FAVORITE PARTNERS</a:t>
            </a:r>
            <a:endParaRPr lang="en-US" sz="1400"/>
          </a:p>
        </c:rich>
      </c:tx>
      <c:layout>
        <c:manualLayout>
          <c:xMode val="edge"/>
          <c:yMode val="edge"/>
          <c:x val="0.20197499726596677"/>
          <c:y val="3.086419753086419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2"/>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5134281200632E-2"/>
          <c:y val="0.11271806140511506"/>
          <c:w val="0.93048973143759872"/>
          <c:h val="0.5675920161142648"/>
        </c:manualLayout>
      </c:layout>
      <c:barChart>
        <c:barDir val="col"/>
        <c:grouping val="clustered"/>
        <c:varyColors val="0"/>
        <c:ser>
          <c:idx val="0"/>
          <c:order val="0"/>
          <c:tx>
            <c:strRef>
              <c:f>'PIVOTS &amp; CALCULATIONS'!$P$4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CALCULATIONS'!$O$5:$O$15</c:f>
              <c:strCache>
                <c:ptCount val="10"/>
                <c:pt idx="0">
                  <c:v>Chrissi</c:v>
                </c:pt>
                <c:pt idx="1">
                  <c:v>Guy</c:v>
                </c:pt>
                <c:pt idx="2">
                  <c:v>Tibor</c:v>
                </c:pt>
                <c:pt idx="3">
                  <c:v>Lena</c:v>
                </c:pt>
                <c:pt idx="4">
                  <c:v>Chris Awe</c:v>
                </c:pt>
                <c:pt idx="5">
                  <c:v>Kathy</c:v>
                </c:pt>
                <c:pt idx="6">
                  <c:v>Yoel</c:v>
                </c:pt>
                <c:pt idx="7">
                  <c:v>Christian</c:v>
                </c:pt>
                <c:pt idx="8">
                  <c:v>Gustavo</c:v>
                </c:pt>
                <c:pt idx="9">
                  <c:v>Angel</c:v>
                </c:pt>
              </c:strCache>
            </c:strRef>
          </c:cat>
          <c:val>
            <c:numRef>
              <c:f>'PIVOTS &amp; CALCULATIONS'!$P$5:$P$15</c:f>
              <c:numCache>
                <c:formatCode>General</c:formatCode>
                <c:ptCount val="10"/>
                <c:pt idx="0">
                  <c:v>28</c:v>
                </c:pt>
                <c:pt idx="1">
                  <c:v>20</c:v>
                </c:pt>
                <c:pt idx="2">
                  <c:v>14</c:v>
                </c:pt>
                <c:pt idx="3">
                  <c:v>11</c:v>
                </c:pt>
                <c:pt idx="4">
                  <c:v>10</c:v>
                </c:pt>
                <c:pt idx="5">
                  <c:v>9</c:v>
                </c:pt>
                <c:pt idx="6">
                  <c:v>9</c:v>
                </c:pt>
                <c:pt idx="7">
                  <c:v>8</c:v>
                </c:pt>
                <c:pt idx="8">
                  <c:v>8</c:v>
                </c:pt>
                <c:pt idx="9">
                  <c:v>5</c:v>
                </c:pt>
              </c:numCache>
            </c:numRef>
          </c:val>
          <c:extLst>
            <c:ext xmlns:c16="http://schemas.microsoft.com/office/drawing/2014/chart" uri="{C3380CC4-5D6E-409C-BE32-E72D297353CC}">
              <c16:uniqueId val="{00000002-BF73-4A21-9604-683B3517292D}"/>
            </c:ext>
          </c:extLst>
        </c:ser>
        <c:dLbls>
          <c:dLblPos val="outEnd"/>
          <c:showLegendKey val="0"/>
          <c:showVal val="1"/>
          <c:showCatName val="0"/>
          <c:showSerName val="0"/>
          <c:showPercent val="0"/>
          <c:showBubbleSize val="0"/>
        </c:dLbls>
        <c:gapWidth val="75"/>
        <c:axId val="1225436432"/>
        <c:axId val="760647184"/>
      </c:barChart>
      <c:catAx>
        <c:axId val="122543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47184"/>
        <c:crosses val="autoZero"/>
        <c:auto val="1"/>
        <c:lblAlgn val="ctr"/>
        <c:lblOffset val="100"/>
        <c:noMultiLvlLbl val="0"/>
      </c:catAx>
      <c:valAx>
        <c:axId val="760647184"/>
        <c:scaling>
          <c:orientation val="minMax"/>
        </c:scaling>
        <c:delete val="1"/>
        <c:axPos val="l"/>
        <c:numFmt formatCode="General" sourceLinked="1"/>
        <c:majorTickMark val="out"/>
        <c:minorTickMark val="none"/>
        <c:tickLblPos val="nextTo"/>
        <c:crossAx val="12254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FAVORITE CRAGS</a:t>
            </a:r>
          </a:p>
        </c:rich>
      </c:tx>
      <c:layout>
        <c:manualLayout>
          <c:xMode val="edge"/>
          <c:yMode val="edge"/>
          <c:x val="0.2498811415020491"/>
          <c:y val="1.2903225806451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AC0000"/>
              </a:solidFill>
              <a:ln w="19050">
                <a:solidFill>
                  <a:schemeClr val="lt1"/>
                </a:solidFill>
              </a:ln>
              <a:effectLst/>
            </c:spPr>
            <c:extLst>
              <c:ext xmlns:c16="http://schemas.microsoft.com/office/drawing/2014/chart" uri="{C3380CC4-5D6E-409C-BE32-E72D297353CC}">
                <c16:uniqueId val="{00000001-67CB-427A-AF67-DE38FC4BE00E}"/>
              </c:ext>
            </c:extLst>
          </c:dPt>
          <c:dPt>
            <c:idx val="1"/>
            <c:bubble3D val="0"/>
            <c:spPr>
              <a:solidFill>
                <a:srgbClr val="BC0000"/>
              </a:solidFill>
              <a:ln w="19050">
                <a:solidFill>
                  <a:schemeClr val="lt1"/>
                </a:solidFill>
              </a:ln>
              <a:effectLst/>
            </c:spPr>
            <c:extLst>
              <c:ext xmlns:c16="http://schemas.microsoft.com/office/drawing/2014/chart" uri="{C3380CC4-5D6E-409C-BE32-E72D297353CC}">
                <c16:uniqueId val="{00000003-67CB-427A-AF67-DE38FC4BE00E}"/>
              </c:ext>
            </c:extLst>
          </c:dPt>
          <c:dPt>
            <c:idx val="2"/>
            <c:bubble3D val="0"/>
            <c:spPr>
              <a:solidFill>
                <a:srgbClr val="CC0000"/>
              </a:solidFill>
              <a:ln w="19050">
                <a:solidFill>
                  <a:schemeClr val="lt1"/>
                </a:solidFill>
              </a:ln>
              <a:effectLst/>
            </c:spPr>
            <c:extLst>
              <c:ext xmlns:c16="http://schemas.microsoft.com/office/drawing/2014/chart" uri="{C3380CC4-5D6E-409C-BE32-E72D297353CC}">
                <c16:uniqueId val="{00000005-67CB-427A-AF67-DE38FC4BE00E}"/>
              </c:ext>
            </c:extLst>
          </c:dPt>
          <c:dPt>
            <c:idx val="3"/>
            <c:bubble3D val="0"/>
            <c:spPr>
              <a:solidFill>
                <a:srgbClr val="DC0000"/>
              </a:solidFill>
              <a:ln w="19050">
                <a:solidFill>
                  <a:schemeClr val="lt1"/>
                </a:solidFill>
              </a:ln>
              <a:effectLst/>
            </c:spPr>
            <c:extLst>
              <c:ext xmlns:c16="http://schemas.microsoft.com/office/drawing/2014/chart" uri="{C3380CC4-5D6E-409C-BE32-E72D297353CC}">
                <c16:uniqueId val="{00000007-67CB-427A-AF67-DE38FC4BE00E}"/>
              </c:ext>
            </c:extLst>
          </c:dPt>
          <c:dPt>
            <c:idx val="4"/>
            <c:bubble3D val="0"/>
            <c:spPr>
              <a:solidFill>
                <a:srgbClr val="EC0000"/>
              </a:solidFill>
              <a:ln w="19050">
                <a:solidFill>
                  <a:schemeClr val="lt1"/>
                </a:solidFill>
              </a:ln>
              <a:effectLst/>
            </c:spPr>
            <c:extLst>
              <c:ext xmlns:c16="http://schemas.microsoft.com/office/drawing/2014/chart" uri="{C3380CC4-5D6E-409C-BE32-E72D297353CC}">
                <c16:uniqueId val="{00000009-67CB-427A-AF67-DE38FC4BE00E}"/>
              </c:ext>
            </c:extLst>
          </c:dPt>
          <c:dPt>
            <c:idx val="5"/>
            <c:bubble3D val="0"/>
            <c:spPr>
              <a:solidFill>
                <a:srgbClr val="FC0000"/>
              </a:solidFill>
              <a:ln w="19050">
                <a:solidFill>
                  <a:schemeClr val="lt1"/>
                </a:solidFill>
              </a:ln>
              <a:effectLst/>
            </c:spPr>
            <c:extLst>
              <c:ext xmlns:c16="http://schemas.microsoft.com/office/drawing/2014/chart" uri="{C3380CC4-5D6E-409C-BE32-E72D297353CC}">
                <c16:uniqueId val="{0000000B-67CB-427A-AF67-DE38FC4BE00E}"/>
              </c:ext>
            </c:extLst>
          </c:dPt>
          <c:dPt>
            <c:idx val="6"/>
            <c:bubble3D val="0"/>
            <c:spPr>
              <a:solidFill>
                <a:srgbClr val="FF3F3F"/>
              </a:solidFill>
              <a:ln w="19050">
                <a:solidFill>
                  <a:schemeClr val="lt1"/>
                </a:solidFill>
              </a:ln>
              <a:effectLst/>
            </c:spPr>
            <c:extLst>
              <c:ext xmlns:c16="http://schemas.microsoft.com/office/drawing/2014/chart" uri="{C3380CC4-5D6E-409C-BE32-E72D297353CC}">
                <c16:uniqueId val="{0000000D-67CB-427A-AF67-DE38FC4BE00E}"/>
              </c:ext>
            </c:extLst>
          </c:dPt>
          <c:dPt>
            <c:idx val="7"/>
            <c:bubble3D val="0"/>
            <c:spPr>
              <a:solidFill>
                <a:srgbClr val="FF5A5A"/>
              </a:solidFill>
              <a:ln w="19050">
                <a:solidFill>
                  <a:schemeClr val="lt1"/>
                </a:solidFill>
              </a:ln>
              <a:effectLst/>
            </c:spPr>
            <c:extLst>
              <c:ext xmlns:c16="http://schemas.microsoft.com/office/drawing/2014/chart" uri="{C3380CC4-5D6E-409C-BE32-E72D297353CC}">
                <c16:uniqueId val="{0000000F-67CB-427A-AF67-DE38FC4BE00E}"/>
              </c:ext>
            </c:extLst>
          </c:dPt>
          <c:dPt>
            <c:idx val="8"/>
            <c:bubble3D val="0"/>
            <c:spPr>
              <a:solidFill>
                <a:srgbClr val="FF7878"/>
              </a:solidFill>
              <a:ln w="19050">
                <a:solidFill>
                  <a:schemeClr val="lt1"/>
                </a:solidFill>
              </a:ln>
              <a:effectLst/>
            </c:spPr>
            <c:extLst>
              <c:ext xmlns:c16="http://schemas.microsoft.com/office/drawing/2014/chart" uri="{C3380CC4-5D6E-409C-BE32-E72D297353CC}">
                <c16:uniqueId val="{00000011-67CB-427A-AF67-DE38FC4BE00E}"/>
              </c:ext>
            </c:extLst>
          </c:dPt>
          <c:dPt>
            <c:idx val="9"/>
            <c:bubble3D val="0"/>
            <c:spPr>
              <a:solidFill>
                <a:srgbClr val="FF9696"/>
              </a:solidFill>
              <a:ln w="19050">
                <a:solidFill>
                  <a:schemeClr val="lt1"/>
                </a:solidFill>
              </a:ln>
              <a:effectLst/>
            </c:spPr>
            <c:extLst>
              <c:ext xmlns:c16="http://schemas.microsoft.com/office/drawing/2014/chart" uri="{C3380CC4-5D6E-409C-BE32-E72D297353CC}">
                <c16:uniqueId val="{00000013-67CB-427A-AF67-DE38FC4BE00E}"/>
              </c:ext>
            </c:extLst>
          </c:dPt>
          <c:dPt>
            <c:idx val="10"/>
            <c:bubble3D val="0"/>
            <c:spPr>
              <a:solidFill>
                <a:srgbClr val="FFC8C8"/>
              </a:solidFill>
              <a:ln w="19050">
                <a:solidFill>
                  <a:schemeClr val="lt1"/>
                </a:solidFill>
              </a:ln>
              <a:effectLst/>
            </c:spPr>
            <c:extLst>
              <c:ext xmlns:c16="http://schemas.microsoft.com/office/drawing/2014/chart" uri="{C3380CC4-5D6E-409C-BE32-E72D297353CC}">
                <c16:uniqueId val="{00000015-67CB-427A-AF67-DE38FC4BE00E}"/>
              </c:ext>
            </c:extLst>
          </c:dPt>
          <c:dLbls>
            <c:dLbl>
              <c:idx val="0"/>
              <c:layout>
                <c:manualLayout>
                  <c:x val="0"/>
                  <c:y val="-2.77777777777777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CB-427A-AF67-DE38FC4BE00E}"/>
                </c:ext>
              </c:extLst>
            </c:dLbl>
            <c:dLbl>
              <c:idx val="1"/>
              <c:layout>
                <c:manualLayout>
                  <c:x val="7.575757575757576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CB-427A-AF67-DE38FC4BE00E}"/>
                </c:ext>
              </c:extLst>
            </c:dLbl>
            <c:dLbl>
              <c:idx val="2"/>
              <c:layout>
                <c:manualLayout>
                  <c:x val="0.10101010101010101"/>
                  <c:y val="-4.166666666666666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CB-427A-AF67-DE38FC4BE00E}"/>
                </c:ext>
              </c:extLst>
            </c:dLbl>
            <c:dLbl>
              <c:idx val="3"/>
              <c:layout>
                <c:manualLayout>
                  <c:x val="0.13347763347763347"/>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CB-427A-AF67-DE38FC4BE00E}"/>
                </c:ext>
              </c:extLst>
            </c:dLbl>
            <c:dLbl>
              <c:idx val="4"/>
              <c:layout>
                <c:manualLayout>
                  <c:x val="7.9365079365079361E-2"/>
                  <c:y val="-1.6975112544026657E-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CB-427A-AF67-DE38FC4BE00E}"/>
                </c:ext>
              </c:extLst>
            </c:dLbl>
            <c:dLbl>
              <c:idx val="5"/>
              <c:layout>
                <c:manualLayout>
                  <c:x val="-8.2972582972582976E-2"/>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7CB-427A-AF67-DE38FC4BE00E}"/>
                </c:ext>
              </c:extLst>
            </c:dLbl>
            <c:dLbl>
              <c:idx val="6"/>
              <c:layout>
                <c:manualLayout>
                  <c:x val="-9.9203601012949658E-2"/>
                  <c:y val="1.5955490112455641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7CB-427A-AF67-DE38FC4BE00E}"/>
                </c:ext>
              </c:extLst>
            </c:dLbl>
            <c:dLbl>
              <c:idx val="7"/>
              <c:layout>
                <c:manualLayout>
                  <c:x val="-0.15668893317904395"/>
                  <c:y val="-5.3830817332737131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7CB-427A-AF67-DE38FC4BE00E}"/>
                </c:ext>
              </c:extLst>
            </c:dLbl>
            <c:dLbl>
              <c:idx val="8"/>
              <c:layout>
                <c:manualLayout>
                  <c:x val="-6.4935064935064929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7CB-427A-AF67-DE38FC4BE00E}"/>
                </c:ext>
              </c:extLst>
            </c:dLbl>
            <c:dLbl>
              <c:idx val="9"/>
              <c:layout>
                <c:manualLayout>
                  <c:x val="-5.772005772005772E-2"/>
                  <c:y val="-0.1435185185185185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7CB-427A-AF67-DE38FC4BE00E}"/>
                </c:ext>
              </c:extLst>
            </c:dLbl>
            <c:dLbl>
              <c:idx val="10"/>
              <c:layout>
                <c:manualLayout>
                  <c:x val="-3.6075036075036075E-3"/>
                  <c:y val="-5.55555555555555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7CB-427A-AF67-DE38FC4BE0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CALCULATIONS'!$L$5:$L$15</c:f>
              <c:strCache>
                <c:ptCount val="11"/>
                <c:pt idx="0">
                  <c:v>Siurana</c:v>
                </c:pt>
                <c:pt idx="1">
                  <c:v>Grau dels matxos</c:v>
                </c:pt>
                <c:pt idx="2">
                  <c:v>Arco</c:v>
                </c:pt>
                <c:pt idx="3">
                  <c:v>Chulilla</c:v>
                </c:pt>
                <c:pt idx="4">
                  <c:v>Martinswand</c:v>
                </c:pt>
                <c:pt idx="5">
                  <c:v>Gelida</c:v>
                </c:pt>
                <c:pt idx="6">
                  <c:v>Garraf</c:v>
                </c:pt>
                <c:pt idx="7">
                  <c:v>Arbolí</c:v>
                </c:pt>
                <c:pt idx="8">
                  <c:v>Margalef</c:v>
                </c:pt>
                <c:pt idx="9">
                  <c:v>Font Soleia</c:v>
                </c:pt>
                <c:pt idx="10">
                  <c:v>Other crags</c:v>
                </c:pt>
              </c:strCache>
            </c:strRef>
          </c:cat>
          <c:val>
            <c:numRef>
              <c:f>'PIVOTS &amp; CALCULATIONS'!$M$5:$M$15</c:f>
              <c:numCache>
                <c:formatCode>General</c:formatCode>
                <c:ptCount val="11"/>
                <c:pt idx="0">
                  <c:v>52</c:v>
                </c:pt>
                <c:pt idx="1">
                  <c:v>16</c:v>
                </c:pt>
                <c:pt idx="2">
                  <c:v>14</c:v>
                </c:pt>
                <c:pt idx="3">
                  <c:v>13</c:v>
                </c:pt>
                <c:pt idx="4">
                  <c:v>12</c:v>
                </c:pt>
                <c:pt idx="5">
                  <c:v>12</c:v>
                </c:pt>
                <c:pt idx="6">
                  <c:v>7</c:v>
                </c:pt>
                <c:pt idx="7">
                  <c:v>7</c:v>
                </c:pt>
                <c:pt idx="8">
                  <c:v>7</c:v>
                </c:pt>
                <c:pt idx="9">
                  <c:v>5</c:v>
                </c:pt>
                <c:pt idx="10">
                  <c:v>69</c:v>
                </c:pt>
              </c:numCache>
            </c:numRef>
          </c:val>
          <c:extLst>
            <c:ext xmlns:c16="http://schemas.microsoft.com/office/drawing/2014/chart" uri="{C3380CC4-5D6E-409C-BE32-E72D297353CC}">
              <c16:uniqueId val="{00000016-67CB-427A-AF67-DE38FC4BE00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November 2025.xlsx]PIVOTS &amp; CALCULATIONS!Count per crag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FAVORITE CRAGS</a:t>
            </a:r>
          </a:p>
        </c:rich>
      </c:tx>
      <c:layout>
        <c:manualLayout>
          <c:xMode val="edge"/>
          <c:yMode val="edge"/>
          <c:x val="0.308216216216216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CALCULATIONS'!$J$4</c:f>
              <c:strCache>
                <c:ptCount val="1"/>
                <c:pt idx="0">
                  <c:v>Total</c:v>
                </c:pt>
              </c:strCache>
            </c:strRef>
          </c:tx>
          <c:spPr>
            <a:solidFill>
              <a:srgbClr val="BC0000"/>
            </a:solidFill>
            <a:ln>
              <a:noFill/>
            </a:ln>
            <a:effectLst/>
          </c:spPr>
          <c:invertIfNegative val="0"/>
          <c:cat>
            <c:strRef>
              <c:f>'PIVOTS &amp; CALCULATIONS'!$I$5:$I$51</c:f>
              <c:strCache>
                <c:ptCount val="46"/>
                <c:pt idx="0">
                  <c:v>Siurana</c:v>
                </c:pt>
                <c:pt idx="1">
                  <c:v>Grau dels matxos</c:v>
                </c:pt>
                <c:pt idx="2">
                  <c:v>Arco</c:v>
                </c:pt>
                <c:pt idx="3">
                  <c:v>Chulilla</c:v>
                </c:pt>
                <c:pt idx="4">
                  <c:v>Martinswand</c:v>
                </c:pt>
                <c:pt idx="5">
                  <c:v>Gelida</c:v>
                </c:pt>
                <c:pt idx="6">
                  <c:v>Garraf</c:v>
                </c:pt>
                <c:pt idx="7">
                  <c:v>Arbolí</c:v>
                </c:pt>
                <c:pt idx="8">
                  <c:v>Margalef</c:v>
                </c:pt>
                <c:pt idx="9">
                  <c:v>Font Soleia</c:v>
                </c:pt>
                <c:pt idx="10">
                  <c:v>Silz</c:v>
                </c:pt>
                <c:pt idx="11">
                  <c:v>Mallorca</c:v>
                </c:pt>
                <c:pt idx="12">
                  <c:v>Rodellar</c:v>
                </c:pt>
                <c:pt idx="13">
                  <c:v>Montserrat norte</c:v>
                </c:pt>
                <c:pt idx="14">
                  <c:v>Roc d'Anglars</c:v>
                </c:pt>
                <c:pt idx="15">
                  <c:v>Sadernes</c:v>
                </c:pt>
                <c:pt idx="16">
                  <c:v>Zillertal -Monkey Island</c:v>
                </c:pt>
                <c:pt idx="17">
                  <c:v>Zillertal - Astholz</c:v>
                </c:pt>
                <c:pt idx="18">
                  <c:v>Berglsteinersee</c:v>
                </c:pt>
                <c:pt idx="19">
                  <c:v>Gorges du Tarn</c:v>
                </c:pt>
                <c:pt idx="20">
                  <c:v>Ötztal</c:v>
                </c:pt>
                <c:pt idx="21">
                  <c:v>Etxauri</c:v>
                </c:pt>
                <c:pt idx="22">
                  <c:v>Zillertal - Ewige Jagdgründe</c:v>
                </c:pt>
                <c:pt idx="23">
                  <c:v>Masriudoms</c:v>
                </c:pt>
                <c:pt idx="24">
                  <c:v>Starkenbach</c:v>
                </c:pt>
                <c:pt idx="25">
                  <c:v>Le Coupeau</c:v>
                </c:pt>
                <c:pt idx="26">
                  <c:v>Achleiten</c:v>
                </c:pt>
                <c:pt idx="27">
                  <c:v>Sautens</c:v>
                </c:pt>
                <c:pt idx="28">
                  <c:v>Montserrat sur</c:v>
                </c:pt>
                <c:pt idx="29">
                  <c:v>Hundepension</c:v>
                </c:pt>
                <c:pt idx="30">
                  <c:v>Ailefroide</c:v>
                </c:pt>
                <c:pt idx="31">
                  <c:v>Atlantida</c:v>
                </c:pt>
                <c:pt idx="32">
                  <c:v>Le Fayet</c:v>
                </c:pt>
                <c:pt idx="33">
                  <c:v>Can Paulet</c:v>
                </c:pt>
                <c:pt idx="34">
                  <c:v>Fenda de Arrabida</c:v>
                </c:pt>
                <c:pt idx="35">
                  <c:v>Gorges de la Cesse</c:v>
                </c:pt>
                <c:pt idx="36">
                  <c:v>Collegats</c:v>
                </c:pt>
                <c:pt idx="37">
                  <c:v>Penyes Aragonesas (Castellón)</c:v>
                </c:pt>
                <c:pt idx="38">
                  <c:v>Dent de la Rancune</c:v>
                </c:pt>
                <c:pt idx="39">
                  <c:v>Carol</c:v>
                </c:pt>
                <c:pt idx="40">
                  <c:v>Unterinn</c:v>
                </c:pt>
                <c:pt idx="41">
                  <c:v>Roc de la Lluna</c:v>
                </c:pt>
                <c:pt idx="42">
                  <c:v>Marxuquera</c:v>
                </c:pt>
                <c:pt idx="43">
                  <c:v>Cavallers</c:v>
                </c:pt>
                <c:pt idx="44">
                  <c:v>Bichlersee</c:v>
                </c:pt>
                <c:pt idx="45">
                  <c:v>Arboli</c:v>
                </c:pt>
              </c:strCache>
            </c:strRef>
          </c:cat>
          <c:val>
            <c:numRef>
              <c:f>'PIVOTS &amp; CALCULATIONS'!$J$5:$J$51</c:f>
              <c:numCache>
                <c:formatCode>General</c:formatCode>
                <c:ptCount val="46"/>
                <c:pt idx="0">
                  <c:v>52</c:v>
                </c:pt>
                <c:pt idx="1">
                  <c:v>16</c:v>
                </c:pt>
                <c:pt idx="2">
                  <c:v>14</c:v>
                </c:pt>
                <c:pt idx="3">
                  <c:v>13</c:v>
                </c:pt>
                <c:pt idx="4">
                  <c:v>12</c:v>
                </c:pt>
                <c:pt idx="5">
                  <c:v>12</c:v>
                </c:pt>
                <c:pt idx="6">
                  <c:v>7</c:v>
                </c:pt>
                <c:pt idx="7">
                  <c:v>7</c:v>
                </c:pt>
                <c:pt idx="8">
                  <c:v>7</c:v>
                </c:pt>
                <c:pt idx="9">
                  <c:v>5</c:v>
                </c:pt>
                <c:pt idx="10">
                  <c:v>5</c:v>
                </c:pt>
                <c:pt idx="11">
                  <c:v>4</c:v>
                </c:pt>
                <c:pt idx="12">
                  <c:v>3</c:v>
                </c:pt>
                <c:pt idx="13">
                  <c:v>3</c:v>
                </c:pt>
                <c:pt idx="14">
                  <c:v>3</c:v>
                </c:pt>
                <c:pt idx="15">
                  <c:v>3</c:v>
                </c:pt>
                <c:pt idx="16">
                  <c:v>3</c:v>
                </c:pt>
                <c:pt idx="17">
                  <c:v>3</c:v>
                </c:pt>
                <c:pt idx="18">
                  <c:v>3</c:v>
                </c:pt>
                <c:pt idx="19">
                  <c:v>3</c:v>
                </c:pt>
                <c:pt idx="20">
                  <c:v>2</c:v>
                </c:pt>
                <c:pt idx="21">
                  <c:v>2</c:v>
                </c:pt>
                <c:pt idx="22">
                  <c:v>2</c:v>
                </c:pt>
                <c:pt idx="23">
                  <c:v>2</c:v>
                </c:pt>
                <c:pt idx="24">
                  <c:v>2</c:v>
                </c:pt>
                <c:pt idx="25">
                  <c:v>2</c:v>
                </c:pt>
                <c:pt idx="26">
                  <c:v>2</c:v>
                </c:pt>
                <c:pt idx="27">
                  <c:v>2</c:v>
                </c:pt>
                <c:pt idx="28">
                  <c:v>2</c:v>
                </c:pt>
                <c:pt idx="29">
                  <c:v>2</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numCache>
            </c:numRef>
          </c:val>
          <c:extLst>
            <c:ext xmlns:c16="http://schemas.microsoft.com/office/drawing/2014/chart" uri="{C3380CC4-5D6E-409C-BE32-E72D297353CC}">
              <c16:uniqueId val="{00000000-8FAB-4B51-9372-04972A5DF2EA}"/>
            </c:ext>
          </c:extLst>
        </c:ser>
        <c:dLbls>
          <c:showLegendKey val="0"/>
          <c:showVal val="0"/>
          <c:showCatName val="0"/>
          <c:showSerName val="0"/>
          <c:showPercent val="0"/>
          <c:showBubbleSize val="0"/>
        </c:dLbls>
        <c:gapWidth val="75"/>
        <c:axId val="1232114992"/>
        <c:axId val="628608288"/>
      </c:barChart>
      <c:catAx>
        <c:axId val="123211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608288"/>
        <c:crosses val="autoZero"/>
        <c:auto val="1"/>
        <c:lblAlgn val="ctr"/>
        <c:lblOffset val="100"/>
        <c:noMultiLvlLbl val="0"/>
      </c:catAx>
      <c:valAx>
        <c:axId val="62860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1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November 2025.xlsx]PIVOTS &amp; CALCULATIONS!Count per country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37918215613382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577447335811647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85254027261462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9653035935563859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s>
    <c:plotArea>
      <c:layout/>
      <c:doughnutChart>
        <c:varyColors val="1"/>
        <c:ser>
          <c:idx val="0"/>
          <c:order val="0"/>
          <c:tx>
            <c:strRef>
              <c:f>'PIVOTS &amp; CALCULATIONS'!$M$19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55-45FC-BFD2-DDA1D04896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55-45FC-BFD2-DDA1D04896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55-45FC-BFD2-DDA1D04896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55-45FC-BFD2-DDA1D04896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55-45FC-BFD2-DDA1D04896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1A-4AEE-93A8-65A97D2187E0}"/>
              </c:ext>
            </c:extLst>
          </c:dPt>
          <c:dLbls>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D55-45FC-BFD2-DDA1D0489660}"/>
                </c:ext>
              </c:extLst>
            </c:dLbl>
            <c:dLbl>
              <c:idx val="1"/>
              <c:layout>
                <c:manualLayout>
                  <c:x val="-0.23791821561338289"/>
                  <c:y val="-5.092592592592592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D55-45FC-BFD2-DDA1D0489660}"/>
                </c:ext>
              </c:extLst>
            </c:dLbl>
            <c:dLbl>
              <c:idx val="2"/>
              <c:layout>
                <c:manualLayout>
                  <c:x val="0.16852540272614622"/>
                  <c:y val="-0.1342592592592592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D55-45FC-BFD2-DDA1D0489660}"/>
                </c:ext>
              </c:extLst>
            </c:dLbl>
            <c:dLbl>
              <c:idx val="3"/>
              <c:layout>
                <c:manualLayout>
                  <c:x val="-0.25774473358116479"/>
                  <c:y val="-0.1157407407407407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FD55-45FC-BFD2-DDA1D0489660}"/>
                </c:ext>
              </c:extLst>
            </c:dLbl>
            <c:dLbl>
              <c:idx val="4"/>
              <c:layout>
                <c:manualLayout>
                  <c:x val="-3.9653035935563859E-2"/>
                  <c:y val="-0.1481481481481481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FD55-45FC-BFD2-DDA1D04896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CALCULATIONS'!$L$20:$L$26</c:f>
              <c:strCache>
                <c:ptCount val="6"/>
                <c:pt idx="0">
                  <c:v>Spain</c:v>
                </c:pt>
                <c:pt idx="1">
                  <c:v>Austria</c:v>
                </c:pt>
                <c:pt idx="2">
                  <c:v>Italy</c:v>
                </c:pt>
                <c:pt idx="3">
                  <c:v>France</c:v>
                </c:pt>
                <c:pt idx="4">
                  <c:v>Portugal</c:v>
                </c:pt>
                <c:pt idx="5">
                  <c:v>Germany</c:v>
                </c:pt>
              </c:strCache>
            </c:strRef>
          </c:cat>
          <c:val>
            <c:numRef>
              <c:f>'PIVOTS &amp; CALCULATIONS'!$M$20:$M$26</c:f>
              <c:numCache>
                <c:formatCode>General</c:formatCode>
                <c:ptCount val="6"/>
                <c:pt idx="0">
                  <c:v>145</c:v>
                </c:pt>
                <c:pt idx="1">
                  <c:v>38</c:v>
                </c:pt>
                <c:pt idx="2">
                  <c:v>15</c:v>
                </c:pt>
                <c:pt idx="3">
                  <c:v>13</c:v>
                </c:pt>
                <c:pt idx="4">
                  <c:v>2</c:v>
                </c:pt>
                <c:pt idx="5">
                  <c:v>1</c:v>
                </c:pt>
              </c:numCache>
            </c:numRef>
          </c:val>
          <c:extLst>
            <c:ext xmlns:c16="http://schemas.microsoft.com/office/drawing/2014/chart" uri="{C3380CC4-5D6E-409C-BE32-E72D297353CC}">
              <c16:uniqueId val="{0000000A-FD55-45FC-BFD2-DDA1D048966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November 2025.xlsx]PIVOTS &amp; CALCULATIONS!Favorite Belayer last 12 months</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FAVORITE PARTNERS LAST 12 MONTHS</a:t>
            </a:r>
            <a:endParaRPr lang="en-US" sz="1400"/>
          </a:p>
        </c:rich>
      </c:tx>
      <c:layout>
        <c:manualLayout>
          <c:xMode val="edge"/>
          <c:yMode val="edge"/>
          <c:x val="0.28194444444444444"/>
          <c:y val="7.716049382716049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2"/>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5134281200632E-2"/>
          <c:y val="0.16442840478273549"/>
          <c:w val="0.93048973143759872"/>
          <c:h val="0.51357963935063677"/>
        </c:manualLayout>
      </c:layout>
      <c:barChart>
        <c:barDir val="col"/>
        <c:grouping val="clustered"/>
        <c:varyColors val="0"/>
        <c:ser>
          <c:idx val="0"/>
          <c:order val="0"/>
          <c:tx>
            <c:strRef>
              <c:f>'PIVOTS &amp; CALCULATIONS'!$S$24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CALCULATIONS'!$R$25:$R$28</c:f>
              <c:strCache>
                <c:ptCount val="4"/>
                <c:pt idx="0">
                  <c:v>Chrissi</c:v>
                </c:pt>
                <c:pt idx="1">
                  <c:v>Christian</c:v>
                </c:pt>
                <c:pt idx="2">
                  <c:v>Tibor</c:v>
                </c:pt>
                <c:pt idx="3">
                  <c:v>Chris Awe</c:v>
                </c:pt>
              </c:strCache>
            </c:strRef>
          </c:cat>
          <c:val>
            <c:numRef>
              <c:f>'PIVOTS &amp; CALCULATIONS'!$S$25:$S$28</c:f>
              <c:numCache>
                <c:formatCode>General</c:formatCode>
                <c:ptCount val="4"/>
                <c:pt idx="0">
                  <c:v>28</c:v>
                </c:pt>
                <c:pt idx="1">
                  <c:v>5</c:v>
                </c:pt>
                <c:pt idx="2">
                  <c:v>3</c:v>
                </c:pt>
                <c:pt idx="3">
                  <c:v>1</c:v>
                </c:pt>
              </c:numCache>
            </c:numRef>
          </c:val>
          <c:extLst>
            <c:ext xmlns:c16="http://schemas.microsoft.com/office/drawing/2014/chart" uri="{C3380CC4-5D6E-409C-BE32-E72D297353CC}">
              <c16:uniqueId val="{00000000-285A-4E21-BCC3-1BBDCEE1CE06}"/>
            </c:ext>
          </c:extLst>
        </c:ser>
        <c:dLbls>
          <c:dLblPos val="outEnd"/>
          <c:showLegendKey val="0"/>
          <c:showVal val="1"/>
          <c:showCatName val="0"/>
          <c:showSerName val="0"/>
          <c:showPercent val="0"/>
          <c:showBubbleSize val="0"/>
        </c:dLbls>
        <c:gapWidth val="75"/>
        <c:axId val="1225436432"/>
        <c:axId val="760647184"/>
      </c:barChart>
      <c:catAx>
        <c:axId val="122543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47184"/>
        <c:crosses val="autoZero"/>
        <c:auto val="1"/>
        <c:lblAlgn val="ctr"/>
        <c:lblOffset val="100"/>
        <c:noMultiLvlLbl val="0"/>
      </c:catAx>
      <c:valAx>
        <c:axId val="760647184"/>
        <c:scaling>
          <c:orientation val="minMax"/>
        </c:scaling>
        <c:delete val="1"/>
        <c:axPos val="l"/>
        <c:numFmt formatCode="General" sourceLinked="1"/>
        <c:majorTickMark val="out"/>
        <c:minorTickMark val="none"/>
        <c:tickLblPos val="nextTo"/>
        <c:crossAx val="12254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tries vs height of the route</a:t>
            </a:r>
          </a:p>
        </c:rich>
      </c:tx>
      <c:layout>
        <c:manualLayout>
          <c:xMode val="edge"/>
          <c:yMode val="edge"/>
          <c:x val="0.2122845581802274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27537182852142E-2"/>
          <c:y val="0.17171296296296296"/>
          <c:w val="0.87250240594925632"/>
          <c:h val="0.7060495042286381"/>
        </c:manualLayout>
      </c:layout>
      <c:scatterChart>
        <c:scatterStyle val="lineMarker"/>
        <c:varyColors val="0"/>
        <c:ser>
          <c:idx val="0"/>
          <c:order val="0"/>
          <c:tx>
            <c:strRef>
              <c:f>DATA!$O$1</c:f>
              <c:strCache>
                <c:ptCount val="1"/>
                <c:pt idx="0">
                  <c:v>Tries num. only excl. outliers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25400" cap="rnd">
                <a:solidFill>
                  <a:srgbClr val="C00000"/>
                </a:solidFill>
                <a:prstDash val="solid"/>
              </a:ln>
              <a:effectLst/>
            </c:spPr>
            <c:trendlineType val="linear"/>
            <c:dispRSqr val="1"/>
            <c:dispEq val="0"/>
            <c:trendlineLbl>
              <c:layout>
                <c:manualLayout>
                  <c:x val="9.5222440944881886E-2"/>
                  <c:y val="-6.3823636628754746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rendlineLbl>
          </c:trendline>
          <c:xVal>
            <c:numRef>
              <c:f>DATA!$K$2:$K$213</c:f>
              <c:numCache>
                <c:formatCode>General</c:formatCode>
                <c:ptCount val="212"/>
                <c:pt idx="0">
                  <c:v>15</c:v>
                </c:pt>
                <c:pt idx="1">
                  <c:v>25</c:v>
                </c:pt>
                <c:pt idx="2">
                  <c:v>25</c:v>
                </c:pt>
                <c:pt idx="3">
                  <c:v>18</c:v>
                </c:pt>
                <c:pt idx="4">
                  <c:v>20</c:v>
                </c:pt>
                <c:pt idx="5">
                  <c:v>20</c:v>
                </c:pt>
                <c:pt idx="6">
                  <c:v>25</c:v>
                </c:pt>
                <c:pt idx="7">
                  <c:v>25</c:v>
                </c:pt>
                <c:pt idx="8">
                  <c:v>25</c:v>
                </c:pt>
                <c:pt idx="9">
                  <c:v>18</c:v>
                </c:pt>
                <c:pt idx="10">
                  <c:v>12</c:v>
                </c:pt>
                <c:pt idx="11">
                  <c:v>25</c:v>
                </c:pt>
                <c:pt idx="12">
                  <c:v>20</c:v>
                </c:pt>
                <c:pt idx="13">
                  <c:v>20</c:v>
                </c:pt>
                <c:pt idx="14">
                  <c:v>20</c:v>
                </c:pt>
                <c:pt idx="15">
                  <c:v>20</c:v>
                </c:pt>
                <c:pt idx="16">
                  <c:v>18</c:v>
                </c:pt>
                <c:pt idx="17">
                  <c:v>25</c:v>
                </c:pt>
                <c:pt idx="18">
                  <c:v>30</c:v>
                </c:pt>
                <c:pt idx="19">
                  <c:v>30</c:v>
                </c:pt>
                <c:pt idx="20">
                  <c:v>25</c:v>
                </c:pt>
                <c:pt idx="21">
                  <c:v>20</c:v>
                </c:pt>
                <c:pt idx="22">
                  <c:v>22</c:v>
                </c:pt>
                <c:pt idx="23">
                  <c:v>18</c:v>
                </c:pt>
                <c:pt idx="24">
                  <c:v>15</c:v>
                </c:pt>
                <c:pt idx="25">
                  <c:v>25</c:v>
                </c:pt>
                <c:pt idx="26">
                  <c:v>20</c:v>
                </c:pt>
                <c:pt idx="27">
                  <c:v>20</c:v>
                </c:pt>
                <c:pt idx="28">
                  <c:v>25</c:v>
                </c:pt>
                <c:pt idx="29">
                  <c:v>32</c:v>
                </c:pt>
                <c:pt idx="30">
                  <c:v>25</c:v>
                </c:pt>
                <c:pt idx="31">
                  <c:v>25</c:v>
                </c:pt>
                <c:pt idx="32">
                  <c:v>25</c:v>
                </c:pt>
                <c:pt idx="33">
                  <c:v>35</c:v>
                </c:pt>
                <c:pt idx="34">
                  <c:v>30</c:v>
                </c:pt>
                <c:pt idx="35">
                  <c:v>25</c:v>
                </c:pt>
                <c:pt idx="36">
                  <c:v>10</c:v>
                </c:pt>
                <c:pt idx="37">
                  <c:v>10</c:v>
                </c:pt>
                <c:pt idx="38">
                  <c:v>12</c:v>
                </c:pt>
                <c:pt idx="39">
                  <c:v>25</c:v>
                </c:pt>
                <c:pt idx="40">
                  <c:v>20</c:v>
                </c:pt>
                <c:pt idx="41">
                  <c:v>30</c:v>
                </c:pt>
                <c:pt idx="42">
                  <c:v>25</c:v>
                </c:pt>
                <c:pt idx="43">
                  <c:v>25</c:v>
                </c:pt>
                <c:pt idx="44">
                  <c:v>28</c:v>
                </c:pt>
                <c:pt idx="45">
                  <c:v>30</c:v>
                </c:pt>
                <c:pt idx="46">
                  <c:v>25</c:v>
                </c:pt>
                <c:pt idx="47">
                  <c:v>25</c:v>
                </c:pt>
                <c:pt idx="48">
                  <c:v>25</c:v>
                </c:pt>
                <c:pt idx="49">
                  <c:v>25</c:v>
                </c:pt>
                <c:pt idx="50">
                  <c:v>20</c:v>
                </c:pt>
                <c:pt idx="51">
                  <c:v>20</c:v>
                </c:pt>
                <c:pt idx="52">
                  <c:v>30</c:v>
                </c:pt>
                <c:pt idx="53">
                  <c:v>30</c:v>
                </c:pt>
                <c:pt idx="54">
                  <c:v>38</c:v>
                </c:pt>
                <c:pt idx="55">
                  <c:v>20</c:v>
                </c:pt>
                <c:pt idx="56">
                  <c:v>25</c:v>
                </c:pt>
                <c:pt idx="57">
                  <c:v>20</c:v>
                </c:pt>
                <c:pt idx="58">
                  <c:v>25</c:v>
                </c:pt>
                <c:pt idx="59">
                  <c:v>12</c:v>
                </c:pt>
                <c:pt idx="60">
                  <c:v>32</c:v>
                </c:pt>
                <c:pt idx="61">
                  <c:v>32</c:v>
                </c:pt>
                <c:pt idx="62">
                  <c:v>32</c:v>
                </c:pt>
                <c:pt idx="63">
                  <c:v>18</c:v>
                </c:pt>
                <c:pt idx="64">
                  <c:v>20</c:v>
                </c:pt>
                <c:pt idx="65">
                  <c:v>18</c:v>
                </c:pt>
                <c:pt idx="66">
                  <c:v>30</c:v>
                </c:pt>
                <c:pt idx="67">
                  <c:v>30</c:v>
                </c:pt>
                <c:pt idx="68">
                  <c:v>25</c:v>
                </c:pt>
                <c:pt idx="69">
                  <c:v>35</c:v>
                </c:pt>
                <c:pt idx="70">
                  <c:v>35</c:v>
                </c:pt>
                <c:pt idx="71">
                  <c:v>25</c:v>
                </c:pt>
                <c:pt idx="72">
                  <c:v>25</c:v>
                </c:pt>
                <c:pt idx="73">
                  <c:v>30</c:v>
                </c:pt>
                <c:pt idx="74">
                  <c:v>10</c:v>
                </c:pt>
                <c:pt idx="75">
                  <c:v>25</c:v>
                </c:pt>
                <c:pt idx="76">
                  <c:v>25</c:v>
                </c:pt>
                <c:pt idx="77">
                  <c:v>12</c:v>
                </c:pt>
                <c:pt idx="78">
                  <c:v>25</c:v>
                </c:pt>
                <c:pt idx="79">
                  <c:v>12</c:v>
                </c:pt>
                <c:pt idx="80">
                  <c:v>22</c:v>
                </c:pt>
                <c:pt idx="81">
                  <c:v>25</c:v>
                </c:pt>
                <c:pt idx="82">
                  <c:v>30</c:v>
                </c:pt>
                <c:pt idx="83">
                  <c:v>13</c:v>
                </c:pt>
                <c:pt idx="84">
                  <c:v>25</c:v>
                </c:pt>
                <c:pt idx="85">
                  <c:v>20</c:v>
                </c:pt>
                <c:pt idx="86">
                  <c:v>30</c:v>
                </c:pt>
                <c:pt idx="87">
                  <c:v>30</c:v>
                </c:pt>
                <c:pt idx="88">
                  <c:v>20</c:v>
                </c:pt>
                <c:pt idx="89">
                  <c:v>35</c:v>
                </c:pt>
                <c:pt idx="90">
                  <c:v>22</c:v>
                </c:pt>
                <c:pt idx="91">
                  <c:v>25</c:v>
                </c:pt>
                <c:pt idx="92">
                  <c:v>25</c:v>
                </c:pt>
                <c:pt idx="93">
                  <c:v>25</c:v>
                </c:pt>
                <c:pt idx="94">
                  <c:v>25</c:v>
                </c:pt>
                <c:pt idx="95">
                  <c:v>20</c:v>
                </c:pt>
                <c:pt idx="96">
                  <c:v>28</c:v>
                </c:pt>
                <c:pt idx="97">
                  <c:v>30</c:v>
                </c:pt>
                <c:pt idx="98">
                  <c:v>30</c:v>
                </c:pt>
                <c:pt idx="99">
                  <c:v>18</c:v>
                </c:pt>
                <c:pt idx="100">
                  <c:v>40</c:v>
                </c:pt>
                <c:pt idx="101">
                  <c:v>15</c:v>
                </c:pt>
                <c:pt idx="102">
                  <c:v>20</c:v>
                </c:pt>
                <c:pt idx="103">
                  <c:v>25</c:v>
                </c:pt>
                <c:pt idx="104">
                  <c:v>20</c:v>
                </c:pt>
                <c:pt idx="105">
                  <c:v>20</c:v>
                </c:pt>
                <c:pt idx="106">
                  <c:v>16</c:v>
                </c:pt>
                <c:pt idx="107">
                  <c:v>20</c:v>
                </c:pt>
                <c:pt idx="108">
                  <c:v>25</c:v>
                </c:pt>
                <c:pt idx="109">
                  <c:v>18</c:v>
                </c:pt>
                <c:pt idx="110">
                  <c:v>18</c:v>
                </c:pt>
                <c:pt idx="111">
                  <c:v>22</c:v>
                </c:pt>
                <c:pt idx="112">
                  <c:v>18</c:v>
                </c:pt>
                <c:pt idx="113">
                  <c:v>18</c:v>
                </c:pt>
                <c:pt idx="114">
                  <c:v>18</c:v>
                </c:pt>
                <c:pt idx="115">
                  <c:v>25</c:v>
                </c:pt>
                <c:pt idx="116">
                  <c:v>20</c:v>
                </c:pt>
                <c:pt idx="117">
                  <c:v>15</c:v>
                </c:pt>
                <c:pt idx="118">
                  <c:v>35</c:v>
                </c:pt>
                <c:pt idx="119">
                  <c:v>20</c:v>
                </c:pt>
                <c:pt idx="120">
                  <c:v>35</c:v>
                </c:pt>
                <c:pt idx="121">
                  <c:v>20</c:v>
                </c:pt>
                <c:pt idx="122">
                  <c:v>23</c:v>
                </c:pt>
                <c:pt idx="123">
                  <c:v>23</c:v>
                </c:pt>
                <c:pt idx="124">
                  <c:v>15</c:v>
                </c:pt>
                <c:pt idx="125">
                  <c:v>16</c:v>
                </c:pt>
                <c:pt idx="126">
                  <c:v>16</c:v>
                </c:pt>
                <c:pt idx="127">
                  <c:v>16</c:v>
                </c:pt>
                <c:pt idx="128">
                  <c:v>27</c:v>
                </c:pt>
                <c:pt idx="129">
                  <c:v>20</c:v>
                </c:pt>
                <c:pt idx="130">
                  <c:v>18</c:v>
                </c:pt>
                <c:pt idx="131">
                  <c:v>15</c:v>
                </c:pt>
                <c:pt idx="132">
                  <c:v>20</c:v>
                </c:pt>
                <c:pt idx="133">
                  <c:v>12</c:v>
                </c:pt>
                <c:pt idx="134">
                  <c:v>10</c:v>
                </c:pt>
                <c:pt idx="135">
                  <c:v>15</c:v>
                </c:pt>
                <c:pt idx="136">
                  <c:v>18</c:v>
                </c:pt>
                <c:pt idx="137">
                  <c:v>25</c:v>
                </c:pt>
                <c:pt idx="138">
                  <c:v>28</c:v>
                </c:pt>
                <c:pt idx="139">
                  <c:v>20</c:v>
                </c:pt>
                <c:pt idx="140">
                  <c:v>28</c:v>
                </c:pt>
                <c:pt idx="141">
                  <c:v>18</c:v>
                </c:pt>
                <c:pt idx="142">
                  <c:v>25</c:v>
                </c:pt>
                <c:pt idx="143">
                  <c:v>18</c:v>
                </c:pt>
                <c:pt idx="144">
                  <c:v>30</c:v>
                </c:pt>
                <c:pt idx="145">
                  <c:v>25</c:v>
                </c:pt>
                <c:pt idx="146">
                  <c:v>16</c:v>
                </c:pt>
                <c:pt idx="147">
                  <c:v>22</c:v>
                </c:pt>
                <c:pt idx="148">
                  <c:v>15</c:v>
                </c:pt>
                <c:pt idx="149">
                  <c:v>18</c:v>
                </c:pt>
                <c:pt idx="150">
                  <c:v>20</c:v>
                </c:pt>
                <c:pt idx="151">
                  <c:v>10</c:v>
                </c:pt>
                <c:pt idx="152">
                  <c:v>20</c:v>
                </c:pt>
                <c:pt idx="153">
                  <c:v>12</c:v>
                </c:pt>
                <c:pt idx="154">
                  <c:v>18</c:v>
                </c:pt>
                <c:pt idx="155">
                  <c:v>15</c:v>
                </c:pt>
                <c:pt idx="156">
                  <c:v>10</c:v>
                </c:pt>
                <c:pt idx="157">
                  <c:v>22</c:v>
                </c:pt>
                <c:pt idx="158">
                  <c:v>22</c:v>
                </c:pt>
                <c:pt idx="159">
                  <c:v>24</c:v>
                </c:pt>
                <c:pt idx="160">
                  <c:v>18</c:v>
                </c:pt>
                <c:pt idx="161">
                  <c:v>20</c:v>
                </c:pt>
                <c:pt idx="162">
                  <c:v>22</c:v>
                </c:pt>
                <c:pt idx="163">
                  <c:v>20</c:v>
                </c:pt>
                <c:pt idx="164">
                  <c:v>12</c:v>
                </c:pt>
                <c:pt idx="165">
                  <c:v>20</c:v>
                </c:pt>
                <c:pt idx="166">
                  <c:v>20</c:v>
                </c:pt>
                <c:pt idx="167">
                  <c:v>18</c:v>
                </c:pt>
                <c:pt idx="168">
                  <c:v>25</c:v>
                </c:pt>
                <c:pt idx="169">
                  <c:v>8</c:v>
                </c:pt>
                <c:pt idx="170">
                  <c:v>27</c:v>
                </c:pt>
                <c:pt idx="171">
                  <c:v>22</c:v>
                </c:pt>
                <c:pt idx="172">
                  <c:v>25</c:v>
                </c:pt>
                <c:pt idx="173">
                  <c:v>30</c:v>
                </c:pt>
                <c:pt idx="174">
                  <c:v>40</c:v>
                </c:pt>
                <c:pt idx="175">
                  <c:v>30</c:v>
                </c:pt>
                <c:pt idx="176">
                  <c:v>16</c:v>
                </c:pt>
                <c:pt idx="177">
                  <c:v>20</c:v>
                </c:pt>
                <c:pt idx="178">
                  <c:v>19</c:v>
                </c:pt>
                <c:pt idx="179">
                  <c:v>24</c:v>
                </c:pt>
                <c:pt idx="180">
                  <c:v>15</c:v>
                </c:pt>
                <c:pt idx="181">
                  <c:v>15</c:v>
                </c:pt>
                <c:pt idx="182">
                  <c:v>33</c:v>
                </c:pt>
                <c:pt idx="183">
                  <c:v>26</c:v>
                </c:pt>
                <c:pt idx="184">
                  <c:v>22</c:v>
                </c:pt>
                <c:pt idx="185">
                  <c:v>20</c:v>
                </c:pt>
                <c:pt idx="186">
                  <c:v>20</c:v>
                </c:pt>
                <c:pt idx="187">
                  <c:v>20</c:v>
                </c:pt>
                <c:pt idx="188">
                  <c:v>10</c:v>
                </c:pt>
                <c:pt idx="189">
                  <c:v>10</c:v>
                </c:pt>
                <c:pt idx="190">
                  <c:v>25</c:v>
                </c:pt>
                <c:pt idx="191">
                  <c:v>20</c:v>
                </c:pt>
                <c:pt idx="192">
                  <c:v>30</c:v>
                </c:pt>
                <c:pt idx="193">
                  <c:v>18</c:v>
                </c:pt>
                <c:pt idx="194">
                  <c:v>22</c:v>
                </c:pt>
                <c:pt idx="195">
                  <c:v>27</c:v>
                </c:pt>
                <c:pt idx="196">
                  <c:v>30</c:v>
                </c:pt>
                <c:pt idx="197">
                  <c:v>28</c:v>
                </c:pt>
                <c:pt idx="198">
                  <c:v>25</c:v>
                </c:pt>
                <c:pt idx="199">
                  <c:v>11</c:v>
                </c:pt>
                <c:pt idx="200">
                  <c:v>15</c:v>
                </c:pt>
                <c:pt idx="201">
                  <c:v>22</c:v>
                </c:pt>
                <c:pt idx="202">
                  <c:v>18</c:v>
                </c:pt>
                <c:pt idx="203">
                  <c:v>20</c:v>
                </c:pt>
                <c:pt idx="204">
                  <c:v>30</c:v>
                </c:pt>
                <c:pt idx="205">
                  <c:v>30</c:v>
                </c:pt>
                <c:pt idx="206">
                  <c:v>30</c:v>
                </c:pt>
                <c:pt idx="207">
                  <c:v>27</c:v>
                </c:pt>
                <c:pt idx="208">
                  <c:v>25</c:v>
                </c:pt>
                <c:pt idx="209">
                  <c:v>22</c:v>
                </c:pt>
                <c:pt idx="210">
                  <c:v>25</c:v>
                </c:pt>
                <c:pt idx="211">
                  <c:v>20</c:v>
                </c:pt>
              </c:numCache>
            </c:numRef>
          </c:xVal>
          <c:yVal>
            <c:numRef>
              <c:f>DATA!$O$2:$O$213</c:f>
              <c:numCache>
                <c:formatCode>General</c:formatCode>
                <c:ptCount val="212"/>
                <c:pt idx="0">
                  <c:v>7</c:v>
                </c:pt>
                <c:pt idx="1">
                  <c:v>4</c:v>
                </c:pt>
                <c:pt idx="2">
                  <c:v>1</c:v>
                </c:pt>
                <c:pt idx="3">
                  <c:v>2</c:v>
                </c:pt>
                <c:pt idx="4">
                  <c:v>2</c:v>
                </c:pt>
                <c:pt idx="5">
                  <c:v>2</c:v>
                </c:pt>
                <c:pt idx="6">
                  <c:v>4</c:v>
                </c:pt>
                <c:pt idx="7">
                  <c:v>1</c:v>
                </c:pt>
                <c:pt idx="8">
                  <c:v>7</c:v>
                </c:pt>
                <c:pt idx="9">
                  <c:v>1</c:v>
                </c:pt>
                <c:pt idx="10">
                  <c:v>12</c:v>
                </c:pt>
                <c:pt idx="11">
                  <c:v>2</c:v>
                </c:pt>
                <c:pt idx="12">
                  <c:v>1</c:v>
                </c:pt>
                <c:pt idx="13">
                  <c:v>1</c:v>
                </c:pt>
                <c:pt idx="14">
                  <c:v>2</c:v>
                </c:pt>
                <c:pt idx="15">
                  <c:v>2</c:v>
                </c:pt>
                <c:pt idx="16">
                  <c:v>8</c:v>
                </c:pt>
                <c:pt idx="17">
                  <c:v>14</c:v>
                </c:pt>
                <c:pt idx="18">
                  <c:v>1</c:v>
                </c:pt>
                <c:pt idx="19">
                  <c:v>1</c:v>
                </c:pt>
                <c:pt idx="20">
                  <c:v>2</c:v>
                </c:pt>
                <c:pt idx="21">
                  <c:v>2</c:v>
                </c:pt>
                <c:pt idx="22">
                  <c:v>10</c:v>
                </c:pt>
                <c:pt idx="23">
                  <c:v>2</c:v>
                </c:pt>
                <c:pt idx="24">
                  <c:v>2</c:v>
                </c:pt>
                <c:pt idx="25">
                  <c:v>1</c:v>
                </c:pt>
                <c:pt idx="26">
                  <c:v>2</c:v>
                </c:pt>
                <c:pt idx="27">
                  <c:v>3</c:v>
                </c:pt>
                <c:pt idx="28">
                  <c:v>8</c:v>
                </c:pt>
                <c:pt idx="29">
                  <c:v>1</c:v>
                </c:pt>
                <c:pt idx="30">
                  <c:v>3</c:v>
                </c:pt>
                <c:pt idx="31">
                  <c:v>1</c:v>
                </c:pt>
                <c:pt idx="32">
                  <c:v>1</c:v>
                </c:pt>
                <c:pt idx="33">
                  <c:v>2</c:v>
                </c:pt>
                <c:pt idx="34">
                  <c:v>1</c:v>
                </c:pt>
                <c:pt idx="35">
                  <c:v>3</c:v>
                </c:pt>
                <c:pt idx="36">
                  <c:v>1</c:v>
                </c:pt>
                <c:pt idx="37">
                  <c:v>1</c:v>
                </c:pt>
                <c:pt idx="38">
                  <c:v>2</c:v>
                </c:pt>
                <c:pt idx="39">
                  <c:v>1</c:v>
                </c:pt>
                <c:pt idx="40">
                  <c:v>5</c:v>
                </c:pt>
                <c:pt idx="41">
                  <c:v>3</c:v>
                </c:pt>
                <c:pt idx="42">
                  <c:v>2</c:v>
                </c:pt>
                <c:pt idx="43">
                  <c:v>1</c:v>
                </c:pt>
                <c:pt idx="44">
                  <c:v>3</c:v>
                </c:pt>
                <c:pt idx="45">
                  <c:v>1</c:v>
                </c:pt>
                <c:pt idx="46">
                  <c:v>2</c:v>
                </c:pt>
                <c:pt idx="47">
                  <c:v>4</c:v>
                </c:pt>
                <c:pt idx="48">
                  <c:v>6</c:v>
                </c:pt>
                <c:pt idx="49">
                  <c:v>2</c:v>
                </c:pt>
                <c:pt idx="50">
                  <c:v>1</c:v>
                </c:pt>
                <c:pt idx="51">
                  <c:v>3</c:v>
                </c:pt>
                <c:pt idx="52">
                  <c:v>1</c:v>
                </c:pt>
                <c:pt idx="53">
                  <c:v>2</c:v>
                </c:pt>
                <c:pt idx="54">
                  <c:v>1</c:v>
                </c:pt>
                <c:pt idx="55">
                  <c:v>1</c:v>
                </c:pt>
                <c:pt idx="56">
                  <c:v>2</c:v>
                </c:pt>
                <c:pt idx="57">
                  <c:v>2</c:v>
                </c:pt>
                <c:pt idx="58">
                  <c:v>10</c:v>
                </c:pt>
                <c:pt idx="59">
                  <c:v>3</c:v>
                </c:pt>
                <c:pt idx="60">
                  <c:v>1</c:v>
                </c:pt>
                <c:pt idx="61">
                  <c:v>2</c:v>
                </c:pt>
                <c:pt idx="62">
                  <c:v>1</c:v>
                </c:pt>
                <c:pt idx="63">
                  <c:v>2</c:v>
                </c:pt>
                <c:pt idx="64">
                  <c:v>5</c:v>
                </c:pt>
                <c:pt idx="65">
                  <c:v>2</c:v>
                </c:pt>
                <c:pt idx="66">
                  <c:v>2</c:v>
                </c:pt>
                <c:pt idx="67">
                  <c:v>4</c:v>
                </c:pt>
                <c:pt idx="68">
                  <c:v>2</c:v>
                </c:pt>
                <c:pt idx="69">
                  <c:v>1</c:v>
                </c:pt>
                <c:pt idx="70">
                  <c:v>1</c:v>
                </c:pt>
                <c:pt idx="71">
                  <c:v>1</c:v>
                </c:pt>
                <c:pt idx="72">
                  <c:v>2</c:v>
                </c:pt>
                <c:pt idx="73">
                  <c:v>1</c:v>
                </c:pt>
                <c:pt idx="74">
                  <c:v>3</c:v>
                </c:pt>
                <c:pt idx="75">
                  <c:v>1</c:v>
                </c:pt>
                <c:pt idx="76">
                  <c:v>1</c:v>
                </c:pt>
                <c:pt idx="77">
                  <c:v>1</c:v>
                </c:pt>
                <c:pt idx="78">
                  <c:v>2</c:v>
                </c:pt>
                <c:pt idx="79">
                  <c:v>2</c:v>
                </c:pt>
                <c:pt idx="80">
                  <c:v>1</c:v>
                </c:pt>
                <c:pt idx="81">
                  <c:v>2</c:v>
                </c:pt>
                <c:pt idx="82">
                  <c:v>2</c:v>
                </c:pt>
                <c:pt idx="83">
                  <c:v>2</c:v>
                </c:pt>
                <c:pt idx="84">
                  <c:v>1</c:v>
                </c:pt>
                <c:pt idx="85">
                  <c:v>2</c:v>
                </c:pt>
                <c:pt idx="86">
                  <c:v>3</c:v>
                </c:pt>
                <c:pt idx="87">
                  <c:v>2</c:v>
                </c:pt>
                <c:pt idx="88">
                  <c:v>2</c:v>
                </c:pt>
                <c:pt idx="89">
                  <c:v>2</c:v>
                </c:pt>
                <c:pt idx="90">
                  <c:v>6</c:v>
                </c:pt>
                <c:pt idx="91">
                  <c:v>1</c:v>
                </c:pt>
                <c:pt idx="92">
                  <c:v>4</c:v>
                </c:pt>
                <c:pt idx="93">
                  <c:v>1</c:v>
                </c:pt>
                <c:pt idx="94">
                  <c:v>1</c:v>
                </c:pt>
                <c:pt idx="95">
                  <c:v>1</c:v>
                </c:pt>
                <c:pt idx="96">
                  <c:v>4</c:v>
                </c:pt>
                <c:pt idx="97">
                  <c:v>2</c:v>
                </c:pt>
                <c:pt idx="98">
                  <c:v>1</c:v>
                </c:pt>
                <c:pt idx="99">
                  <c:v>1</c:v>
                </c:pt>
                <c:pt idx="100">
                  <c:v>1</c:v>
                </c:pt>
                <c:pt idx="101">
                  <c:v>2</c:v>
                </c:pt>
                <c:pt idx="102">
                  <c:v>1</c:v>
                </c:pt>
                <c:pt idx="103">
                  <c:v>4</c:v>
                </c:pt>
                <c:pt idx="104">
                  <c:v>1</c:v>
                </c:pt>
                <c:pt idx="105">
                  <c:v>5</c:v>
                </c:pt>
                <c:pt idx="106">
                  <c:v>6</c:v>
                </c:pt>
                <c:pt idx="107">
                  <c:v>1</c:v>
                </c:pt>
                <c:pt idx="108">
                  <c:v>2</c:v>
                </c:pt>
                <c:pt idx="109">
                  <c:v>1</c:v>
                </c:pt>
                <c:pt idx="110">
                  <c:v>2</c:v>
                </c:pt>
                <c:pt idx="111">
                  <c:v>7</c:v>
                </c:pt>
                <c:pt idx="112">
                  <c:v>1</c:v>
                </c:pt>
                <c:pt idx="113">
                  <c:v>1</c:v>
                </c:pt>
                <c:pt idx="114">
                  <c:v>2</c:v>
                </c:pt>
                <c:pt idx="115">
                  <c:v>1</c:v>
                </c:pt>
                <c:pt idx="116">
                  <c:v>40</c:v>
                </c:pt>
                <c:pt idx="117">
                  <c:v>1</c:v>
                </c:pt>
                <c:pt idx="118">
                  <c:v>1</c:v>
                </c:pt>
                <c:pt idx="119">
                  <c:v>1</c:v>
                </c:pt>
                <c:pt idx="120">
                  <c:v>1</c:v>
                </c:pt>
                <c:pt idx="121">
                  <c:v>1</c:v>
                </c:pt>
                <c:pt idx="122">
                  <c:v>3</c:v>
                </c:pt>
                <c:pt idx="123">
                  <c:v>1</c:v>
                </c:pt>
                <c:pt idx="124">
                  <c:v>3</c:v>
                </c:pt>
                <c:pt idx="125">
                  <c:v>2</c:v>
                </c:pt>
                <c:pt idx="126">
                  <c:v>2</c:v>
                </c:pt>
                <c:pt idx="127">
                  <c:v>2</c:v>
                </c:pt>
                <c:pt idx="128">
                  <c:v>5</c:v>
                </c:pt>
                <c:pt idx="129">
                  <c:v>1</c:v>
                </c:pt>
                <c:pt idx="130">
                  <c:v>1</c:v>
                </c:pt>
                <c:pt idx="131">
                  <c:v>3</c:v>
                </c:pt>
                <c:pt idx="132">
                  <c:v>1</c:v>
                </c:pt>
                <c:pt idx="133">
                  <c:v>2</c:v>
                </c:pt>
                <c:pt idx="134">
                  <c:v>4</c:v>
                </c:pt>
                <c:pt idx="135">
                  <c:v>2</c:v>
                </c:pt>
                <c:pt idx="136">
                  <c:v>1</c:v>
                </c:pt>
                <c:pt idx="137">
                  <c:v>2</c:v>
                </c:pt>
                <c:pt idx="138">
                  <c:v>1</c:v>
                </c:pt>
                <c:pt idx="139">
                  <c:v>2</c:v>
                </c:pt>
                <c:pt idx="140">
                  <c:v>1</c:v>
                </c:pt>
                <c:pt idx="141">
                  <c:v>2</c:v>
                </c:pt>
                <c:pt idx="142">
                  <c:v>2</c:v>
                </c:pt>
                <c:pt idx="143">
                  <c:v>1</c:v>
                </c:pt>
                <c:pt idx="144">
                  <c:v>1</c:v>
                </c:pt>
                <c:pt idx="145">
                  <c:v>1</c:v>
                </c:pt>
                <c:pt idx="146">
                  <c:v>1</c:v>
                </c:pt>
                <c:pt idx="147">
                  <c:v>1</c:v>
                </c:pt>
                <c:pt idx="148">
                  <c:v>2</c:v>
                </c:pt>
                <c:pt idx="149">
                  <c:v>2</c:v>
                </c:pt>
                <c:pt idx="150">
                  <c:v>2</c:v>
                </c:pt>
                <c:pt idx="151">
                  <c:v>2</c:v>
                </c:pt>
                <c:pt idx="152">
                  <c:v>2</c:v>
                </c:pt>
                <c:pt idx="153">
                  <c:v>3</c:v>
                </c:pt>
                <c:pt idx="154">
                  <c:v>2</c:v>
                </c:pt>
                <c:pt idx="155">
                  <c:v>2</c:v>
                </c:pt>
                <c:pt idx="156">
                  <c:v>3</c:v>
                </c:pt>
                <c:pt idx="157">
                  <c:v>6</c:v>
                </c:pt>
                <c:pt idx="158">
                  <c:v>2</c:v>
                </c:pt>
                <c:pt idx="159">
                  <c:v>1</c:v>
                </c:pt>
                <c:pt idx="160">
                  <c:v>3</c:v>
                </c:pt>
                <c:pt idx="161">
                  <c:v>2</c:v>
                </c:pt>
                <c:pt idx="162">
                  <c:v>2</c:v>
                </c:pt>
                <c:pt idx="163">
                  <c:v>5</c:v>
                </c:pt>
                <c:pt idx="164">
                  <c:v>1</c:v>
                </c:pt>
                <c:pt idx="165">
                  <c:v>3</c:v>
                </c:pt>
                <c:pt idx="166">
                  <c:v>4</c:v>
                </c:pt>
                <c:pt idx="167">
                  <c:v>24</c:v>
                </c:pt>
                <c:pt idx="168">
                  <c:v>2</c:v>
                </c:pt>
                <c:pt idx="169">
                  <c:v>2</c:v>
                </c:pt>
                <c:pt idx="170">
                  <c:v>1</c:v>
                </c:pt>
                <c:pt idx="171">
                  <c:v>5</c:v>
                </c:pt>
                <c:pt idx="172">
                  <c:v>2</c:v>
                </c:pt>
                <c:pt idx="173">
                  <c:v>3</c:v>
                </c:pt>
                <c:pt idx="174">
                  <c:v>8</c:v>
                </c:pt>
                <c:pt idx="175">
                  <c:v>2</c:v>
                </c:pt>
                <c:pt idx="176">
                  <c:v>3</c:v>
                </c:pt>
                <c:pt idx="177">
                  <c:v>2</c:v>
                </c:pt>
                <c:pt idx="178">
                  <c:v>3</c:v>
                </c:pt>
                <c:pt idx="179">
                  <c:v>2</c:v>
                </c:pt>
                <c:pt idx="180">
                  <c:v>1</c:v>
                </c:pt>
                <c:pt idx="181">
                  <c:v>3</c:v>
                </c:pt>
                <c:pt idx="182">
                  <c:v>1</c:v>
                </c:pt>
                <c:pt idx="183">
                  <c:v>5</c:v>
                </c:pt>
                <c:pt idx="184">
                  <c:v>6</c:v>
                </c:pt>
                <c:pt idx="185">
                  <c:v>1</c:v>
                </c:pt>
                <c:pt idx="186">
                  <c:v>1</c:v>
                </c:pt>
                <c:pt idx="187">
                  <c:v>2</c:v>
                </c:pt>
                <c:pt idx="188">
                  <c:v>2</c:v>
                </c:pt>
                <c:pt idx="189">
                  <c:v>2</c:v>
                </c:pt>
                <c:pt idx="190">
                  <c:v>5</c:v>
                </c:pt>
                <c:pt idx="191">
                  <c:v>14</c:v>
                </c:pt>
                <c:pt idx="192">
                  <c:v>2</c:v>
                </c:pt>
                <c:pt idx="193">
                  <c:v>1</c:v>
                </c:pt>
                <c:pt idx="194">
                  <c:v>1</c:v>
                </c:pt>
                <c:pt idx="195">
                  <c:v>1</c:v>
                </c:pt>
                <c:pt idx="196">
                  <c:v>1</c:v>
                </c:pt>
                <c:pt idx="197">
                  <c:v>2</c:v>
                </c:pt>
                <c:pt idx="198">
                  <c:v>2</c:v>
                </c:pt>
                <c:pt idx="199">
                  <c:v>2</c:v>
                </c:pt>
                <c:pt idx="200">
                  <c:v>1</c:v>
                </c:pt>
                <c:pt idx="201">
                  <c:v>5</c:v>
                </c:pt>
                <c:pt idx="202">
                  <c:v>2</c:v>
                </c:pt>
                <c:pt idx="203">
                  <c:v>2</c:v>
                </c:pt>
                <c:pt idx="204">
                  <c:v>2</c:v>
                </c:pt>
                <c:pt idx="205">
                  <c:v>1</c:v>
                </c:pt>
                <c:pt idx="206">
                  <c:v>2</c:v>
                </c:pt>
                <c:pt idx="207">
                  <c:v>2</c:v>
                </c:pt>
                <c:pt idx="208">
                  <c:v>2</c:v>
                </c:pt>
                <c:pt idx="209">
                  <c:v>2</c:v>
                </c:pt>
                <c:pt idx="210">
                  <c:v>2</c:v>
                </c:pt>
                <c:pt idx="211">
                  <c:v>2</c:v>
                </c:pt>
              </c:numCache>
            </c:numRef>
          </c:yVal>
          <c:smooth val="0"/>
          <c:extLst>
            <c:ext xmlns:c16="http://schemas.microsoft.com/office/drawing/2014/chart" uri="{C3380CC4-5D6E-409C-BE32-E72D297353CC}">
              <c16:uniqueId val="{00000000-C054-485E-B0BB-85D1FEDD616C}"/>
            </c:ext>
          </c:extLst>
        </c:ser>
        <c:dLbls>
          <c:showLegendKey val="0"/>
          <c:showVal val="0"/>
          <c:showCatName val="0"/>
          <c:showSerName val="0"/>
          <c:showPercent val="0"/>
          <c:showBubbleSize val="0"/>
        </c:dLbls>
        <c:axId val="476432623"/>
        <c:axId val="476429743"/>
      </c:scatterChart>
      <c:valAx>
        <c:axId val="476432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85450568678915129"/>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29743"/>
        <c:crosses val="autoZero"/>
        <c:crossBetween val="midCat"/>
      </c:valAx>
      <c:valAx>
        <c:axId val="47642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tries</a:t>
                </a:r>
              </a:p>
            </c:rich>
          </c:tx>
          <c:layout>
            <c:manualLayout>
              <c:xMode val="edge"/>
              <c:yMode val="edge"/>
              <c:x val="0"/>
              <c:y val="3.3140492855059787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2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tries vs height</a:t>
            </a:r>
          </a:p>
        </c:rich>
      </c:tx>
      <c:layout>
        <c:manualLayout>
          <c:xMode val="edge"/>
          <c:yMode val="edge"/>
          <c:x val="0.3298529868135220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27537182852142E-2"/>
          <c:y val="0.17171296296296296"/>
          <c:w val="0.87250240594925632"/>
          <c:h val="0.706049504228638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5400" cap="rnd">
                <a:solidFill>
                  <a:srgbClr val="C00000"/>
                </a:solidFill>
                <a:prstDash val="solid"/>
              </a:ln>
              <a:effectLst/>
            </c:spPr>
            <c:trendlineType val="linear"/>
            <c:dispRSqr val="1"/>
            <c:dispEq val="1"/>
            <c:trendlineLbl>
              <c:layout>
                <c:manualLayout>
                  <c:x val="0.12064627740440567"/>
                  <c:y val="0.39613664661627773"/>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rendlineLbl>
          </c:trendline>
          <c:xVal>
            <c:numRef>
              <c:f>'PIVOTS &amp; CALCULATIONS'!$AB$38:$AH$38</c:f>
              <c:numCache>
                <c:formatCode>0</c:formatCode>
                <c:ptCount val="7"/>
                <c:pt idx="0">
                  <c:v>10</c:v>
                </c:pt>
                <c:pt idx="1">
                  <c:v>15</c:v>
                </c:pt>
                <c:pt idx="2">
                  <c:v>20</c:v>
                </c:pt>
                <c:pt idx="3">
                  <c:v>25</c:v>
                </c:pt>
                <c:pt idx="4">
                  <c:v>30</c:v>
                </c:pt>
                <c:pt idx="5">
                  <c:v>35</c:v>
                </c:pt>
                <c:pt idx="6">
                  <c:v>40</c:v>
                </c:pt>
              </c:numCache>
            </c:numRef>
          </c:xVal>
          <c:yVal>
            <c:numRef>
              <c:f>'PIVOTS &amp; CALCULATIONS'!$AB$39:$AH$39</c:f>
              <c:numCache>
                <c:formatCode>General</c:formatCode>
                <c:ptCount val="7"/>
                <c:pt idx="0">
                  <c:v>2.2222222222222223</c:v>
                </c:pt>
                <c:pt idx="1">
                  <c:v>2.75</c:v>
                </c:pt>
                <c:pt idx="2">
                  <c:v>3.1142857142857143</c:v>
                </c:pt>
                <c:pt idx="3">
                  <c:v>2.953125</c:v>
                </c:pt>
                <c:pt idx="4">
                  <c:v>2</c:v>
                </c:pt>
                <c:pt idx="5">
                  <c:v>1.2727272727272727</c:v>
                </c:pt>
                <c:pt idx="6">
                  <c:v>3.3333333333333335</c:v>
                </c:pt>
              </c:numCache>
            </c:numRef>
          </c:yVal>
          <c:smooth val="0"/>
          <c:extLst>
            <c:ext xmlns:c16="http://schemas.microsoft.com/office/drawing/2014/chart" uri="{C3380CC4-5D6E-409C-BE32-E72D297353CC}">
              <c16:uniqueId val="{00000002-6171-479D-AD29-456BEA44DE45}"/>
            </c:ext>
          </c:extLst>
        </c:ser>
        <c:dLbls>
          <c:showLegendKey val="0"/>
          <c:showVal val="0"/>
          <c:showCatName val="0"/>
          <c:showSerName val="0"/>
          <c:showPercent val="0"/>
          <c:showBubbleSize val="0"/>
        </c:dLbls>
        <c:axId val="476432623"/>
        <c:axId val="476429743"/>
      </c:scatterChart>
      <c:valAx>
        <c:axId val="476432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85450568678915129"/>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29743"/>
        <c:crosses val="autoZero"/>
        <c:crossBetween val="midCat"/>
      </c:valAx>
      <c:valAx>
        <c:axId val="47642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tries</a:t>
                </a:r>
              </a:p>
            </c:rich>
          </c:tx>
          <c:layout>
            <c:manualLayout>
              <c:xMode val="edge"/>
              <c:yMode val="edge"/>
              <c:x val="0"/>
              <c:y val="3.3140492855059787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2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25AD160-6F02-404C-8289-8DB4921FE5EA}">
          <cx:dataLabels>
            <cx:visibility seriesName="0" categoryName="0" value="1"/>
          </cx:dataLabels>
          <cx:dataId val="0"/>
          <cx:layoutPr>
            <cx:geography cultureLanguage="en-US" cultureRegion="ES" attribution="Powered by Bing">
              <cx:geoCache provider="{E9337A44-BEBE-4D9F-B70C-5C5E7DAFC167}">
                <cx:binary>zHpbk544lu1fqfDzwSUBAtTRNREj4Lvl/W77hUinMyWBJEAIEPr1Z2fXJap8qrt6IubETD44w4BA
2tp77bWW8u8v/m8v6vXZ/uC1MtPfXvxPH4Rzw99+/HF6Ea/6efqo5Yvtp/7NfXzp9Y/925t8ef3x
m31epeE/xginP76IZ+te/Yf/+Du8jb/25/3Ls5O9uZlf7Xb7Os3KTf/i3p/e+uGln417H87hTT99
uO6tm/mz+vDDq3HSbffb8PrThz889OGHH79/1f/z2R8UzMzN32BsQj9mRYxpTvIPP6je8F+uR/lH
CjeKnCb05x+4//NHL581DPx3pvKPiTx/+2Zfp+mHX37/fuQfJv77G3Lqy59XXvbvs7y+/8eyfvxj
ZP/j799dgIV+d+V3wf8+Kn916/vY7+3zt9dfY/DPAv//7/N3w7M0f/X5P8bnX+17ij4mFGGU4V+2
t/jj9icfCUmTLMMY/fyDf/32z9v/l9P5873/Zdh3G//L1e93vb77n9/1/5wnZ+Xzr4v/Z/v+Xwh8
/pEUOcpR+seCw+lHnCJaFAn504D/GxP585D/NvC7oP92/fuw/+f/gmI7ume1/TcGHdI5JoSgIv0t
uL8DOxx/xNn7jeLnu+i7ZP/L2fx55H8Z9l3cf7n6fdSP/wuivrPP5uUvMe6/kOvZxyxOC0TjP+Z6
/DElRZKnNP8FfOivW/0zuPz1PP484L+O+y7iv17+PuS72/95fNm/Wv1s/htTneCPiGJa5Bn6rW//
PtUB9wvI87z4Jde/S/V/Yz5/HvvfBn4X/N+ufx/9qv7viP4/b7i/db/q2T3X/6BLv2v5//ruP5YI
HO67of+Kdf3MjY7ffvqAKcT0NxL2/orviJN6Nt9+TfjfBrw+T+6nD/F7FyB5RjGmcRZnlHz4YX19
v/PeH+KYFjQjKUkxwtmHHwzQQfHTB5J+hK6RYEowRWlMMyinqZ/fb6X0I0JAT3OapwVJCIz6dW3X
vdp4b34LxC///8HM+rqXxk3vKyHJhx+Gnx98nyl0rSKNC5wTRNIiS5MCPjW8PN8CC35//v/kOEp5
VlBaEm89M8uw7tN4+dIu5FIm3r+Om5e1LXiZRpTJmIxsankdbahjRs8R2zZdhq5P2CbjshHiRLCs
jLnrKX4MtGcYa9bE2LONZqVrZNWT6eTTvuTdejk36Jg24bii7cSHUR3kMJzn3FeiH8vCjm8Kuzc/
kYFFcf4FxfoCRy3DgtzoTVV2xIdkG86E48/RMO+HaT2PZ35rND1Lk+k86qOCOdd/Hb17lWR7E1ly
dGZ4QmGqzBzXMx3LPJvrUScH6pvayeIblTmp4my+M8XySQyuXGy3R+36lumx7mW3SyL+ZbSkTKU5
SYUfVEiPi0WypHQ9URuObQi29IPGbBPrtab0rKdtvBMJuQyNW2tiqCq3yDwmbSh55M+22Tw0U7fb
5qAroQJh0SbfxBxvTOh253F80bUQF2cVQ9wfp0gcg5GXUVSU2SYmForps8+Sr7b1KctJfJoKSY56
0p9AHLVsEZNgws5tvUVZwYI3F/lMcNlPudnxicL+pf396n1bppjbson68FTME3prtpB+U4iqqzzW
6ApjmWC2+mHYr46E8zxeirTWc+pvxxS566Jdlnu36CVla9QOj81iMWfYt+Mu7votrrT1k2Z2aeez
pE+nR4A9rUuawNQi0lDOeGKmYz+jpSJW42oTW9xUqRlxtRCxsjj0oczmteFsRd5cb41pfcVN7+bK
dEN7tiZ44qVQcyKYndYkO3Sd47f9LOgnumq1H4jvR7Zs6kWn1FdJQ0s9+XMbI8VcF9/Jbh0Zz4Wt
MuE6JgdtF9bxLN8qS4lT5ZCNaqgGuw2ODWuWhnIjrvuiuzgRVduldGIFF0GUU6PTQ9tnhrnVtVc2
tbIeXNJcYjuMa2lgXuo8ikK4SXMb+zLWa3LfhrR4psMkxB0wn/dYreqrW3O/kwWNWS/FvBsidAMK
MFzFc5+WY7c4wQzJP1GPvi5r/IkvRt74Dr5BMhxd0lFdqxbpB0TGI49Xe2NJqHzBi7oxhd83w4xO
Zh1HFruclHlkzH5Z21MswtkQcVEtIzkfV3zeNfjRLU3L9OSuXJEcGz6XuJVH2+i2UjiTTDTL53ls
r0YcEpYrfT2kcenQE2k2z8YM7fUyPvHZHkOI+tJs9iJSWx3S+Xxp+VWWk23vrfu0JKmvjOxqP2d6
N2NXTXFSE52eGhe9jEPD0ta0dbapnnV9fIND38LzdrfEY172eWsrKcU9KAHOlsGgtjZYgKDXZZpx
V/YruRhp8ml18jUp0meqo3KdCWLByp1CeV4uq04YSZVmyqMXOTefs2E7ZYEvpUCZquM5vbAqRDWB
xDmtOSmqtaC7tgmEMxQXVR+GpCqKsaJuG3ZJlth9YfVxwHNc+Tb2spzbhF6nXVdFTV8jT+s4MoGJ
PjkQklQNcl3ZjLREIVoZyvynOUmrPll3uIM9yhNcNb08rADHDVmukWlqZcX5iMS0710iSmmfBUoM
a1NVT5s8o/1wiCV6zG13tmpndoRH551tdgLplm2JL9g4uKsxiTvWpblnxYI+e2lvAxI3uDf1JPjL
6MQBr8PJpHLY5yu+CMl8263uoFZxkXYPYWgMW60sk9EfRtlOrB2yOyLDo3GuVG3zFoftVTbJ+caX
S9KMFwklp2yLH6Qm9TB3Z6NpWYimOuFyZTTPT4XdKNNu3XGRmjJbkh1RS3fql8VVomsvV4KZWreX
2IoLpKI7PVsAyuysj2KWoKya8Xqb8a3iyXTgmdotytU+NMdYL5Xi2/nazqUhmy3bXhyRo4YNknTV
5mDlPB2h9FtfR2ba6dZcdZGBTPIXKsM3C1yzREJ12z5jc7eUUd7scCaeQr5dFcLXfnLlpCC6Lk4e
zAxdsei+ttZWFEFSZ9CDtuGtmzRn89Bj1hU+VK43krU9eZtzWac87NdEvzRhk8wKl10sRl102TCx
xvnzJHgWpd3XaPNlCBm/iIpu33VZlaxLy0ZjVUl9cjS4+xqo5yy107fVmaV0c7Fzi7lqwrBP1xEK
TIwMifxhQeilHdrLzlh7NvrlYsyLbVfI9USiIKHNNHOZaHudyBliIgxrJrqnvvuabWB2tPo8Sv0d
jqJL0m41LczZFKMqjM2D6FGZKHvQrTdsCfCuDRys2qLwZcrJTqOhXJPhkOH2W2pTJjd3RwpbTi26
HOLmCnyNA+KNrCOUH/o+vWu29U7M7lOOKC+3RCYso/620R1DDU1Z3zS+llMXVdOWNqWUyd2I24c0
i8eSF+LOvROXvKFJqWyylDnpe2Z17Cs90v0cLKmC7r/QJX17nwES22OWL/AIXibm86bGUl+necGh
utDGZDYitm64u+y6FhCjMepIWyxLFwrM8mipkMnvC6j5BSUZa4LBLCL4WRISynhbSY3D8NyH9tqb
XFzZLn6KIvoUyUWWG0Dr3nl+GEPxrU3nxw3P95lfWJRPZyRp6jmgnCml+9Mmu/hgtJvKInYvQOsO
viGX0ar3gPf+NE/5kynCVQNsAsfuLS2KZz/I2xE6ZaSzz4jKuyRNBqaS9ckbrFgBAJOM+d0ol2rT
/BzHxtUbGVemIa/OFsLj3ajX/YT9lcIWnrc7qpuRpfOCSjHpFZqW3488PRtzrllI00Pe9FdNlzqW
0EVVkY00m7xey3VILEC1jpi1CdCQprlVGa0SjlrGMY9Z3OX5bpG+PZdRjCsa+i/aFJVY1ecs694g
g44pgUIQYtzbxr6sUw80iiyf41EWbC7SFWqlyEs5TN9IPx61HM8V8p4RL/AO4A+4qBBlbCc2bZAh
WfZp8MAJxkCu1ihzzNBZllj7wLwkaG87PLGhB/gSCnHm/QgQIuEmItW2dMNJ+xT4cjbTnRlMvabR
vgcathNmPnSDk3cyWUw5Y3NAoniEgoMvpOuBi+FijeeqI1tSJc7rV6GimUXI+VrFK8Ba21bzLG5p
B9Npsqkrl0lPLIeK5MFELNFpdKBzemmiDTOdbvcFVdMxcagBmOHHYsanNVLQLuTCTF7UmqakBFZQ
kpAmdUG3akjnDZgaB/Y1N2XIl/EM+hSqCz+dz1HzyGNoFk0EiJ706qiitJKWHOJBwx4P0AZrtU2U
0WR7moues3GBBfTz1AG/mGIGfPOOpOFMKfMlTlbOQo5u8kxNTCctYm3eX+LGHMUogXF13d6OxZnL
0LFz3bgflokw2kCOZSmBKbv+XAtxOermKjbmSH2wzIb5oG0+XuO+oVcRmuczoeLuzPfZ7XsrihvF
dwb6QW3S5RWSe2SgrH0JrJSXckOvWbS+5qI3AN7FazO0bxgiU3IgbHuRoc8qvEzYdTsdBnSeJlKd
zXTitR/CrcdhepF50Yq6K+xyFiHfnM9WkjL4cAuAs5aoEVdzspBrhYFK1RENEjEck66vrOFrzGYj
4irttkncu2CHBYp74fced3LfYRAyLO6bOGOJBHFzSqgiqFTBRfsx6sTO+66khh7WNrwgLtkYD1kZ
Q6uMW7qPBrczzXoW5wvjUl2C0KgyO8HveWJpr+4nvxC2DrGM95FEEkiEySy83eQ7xUfgIdNMRbtX
cm0f8tSnFw3qG6jrd/rXo5VBDdhPM7AWy6Qixf1EF8uGxGiWiVnAvyizuyYAEPfblWx4lfH1U6Ps
LuYGmHb7gJO0nrv+CmQBVDatlmHOGbHRUzcE0I+8XKPhBETguimavY3zg23G/Qpgswldgpzez13B
Yup91fq24oTsRzLXSI71OECiIQMMaqpnq86Kbr7cMiDOc4PPSIBOuvTTwZutliCyekHqZaaXJMJA
InDF07lqk+LWdIFJjq+VGo8yoYxHtLZzUQ9NtEvwXA9pujcgH12SgEr2N4sVn7NRf0J2PfnI3/BE
XAjcH0jcHVfCj0bGd1omtUodcHFcOWjGkfIgDoGqcrGYat76cpjMkw24HIZuH61ZKTZ/6kN+nRcN
E21+taVF6VaILNKnpMurrbdM4VuTrbVIVNkH+TUCYcJQkY1sSNsrlG31KLpdD6LV+6IFcb0dHVJl
TqOySyYGaqdcoL3ZhnwrPL+GmgWyJRSbIlfSZbuZ0u0g8zBD2y3ggh6ZRvaCpog5nJywd3Vss3WX
i3xyoIJFPlwa11lI7CVFbYWRJf7YxrMdjnME3a9ODI9l1VHcn5yZYiCUJjTMjY166KbM3gPC3HSU
c6a0gGbQFAwly11jxT4xzgMGkn0xD89r/qTwyjYjy6i3wN4kFzV4Mjmj9MvQyusIr/eFyvZ54psG
lKx3O2wRv0sBACaOScFSMnfvrHB8WIpp6auCGwF9uAj5SRdoBvaY6uQiHgZ/NOtkxsr3LQCBo8pm
DC8hLfXWRVcu9P0rD1JFpXQN9OlIgwRSnIQnETgPFckTdWvjpD2+U/x61XQEnWAb0HKduF6jIq4m
4/IqGeMoK5N20K7SZD1047g8RWBxAPsSrbngchDjeYbXrrvIlyaJZzZJnWRfVsUzgdnULb6927om
qXUqQfjWfvPTdRyFNOd1ADejM2wLYe6vdAqMGZd5iDt5SK3O/H2MFzl9BkeKT28oCOkz1nk3uCpL
8Gg+txpUJHD36S5KDXYsgMD9HI39t8yp9iYykRt3BcK83pYgBVu6NFmAncVxhYtNH+ZEFp9ItC5v
Kk5QlW7KX3qetgfwMR6pXopX2Cd61irbMrXkvmUTj/JDbDcM7L6dhs+jH/ClNsg9ZG02HafJJG21
dT49LTpWlvVLItKTU7JT0BpzObGk0UN7jadO7rIFNYrlJoBM4n79EkeqHZjXou2eBWzzBjCLcfI0
+3lOwDPImq+rjB0IYMT5u+HTEEPKLu2mxlUNMDMIfRf55yLV8bDXKN6AhiuL1l0GlkmvQQGvc/xF
YxE51jqZiazMeqLBJIIl2tuuwAvtyxZv/YTLjMbh6EIIC6McF+RTB9OY9oOQub2WLsBsyzVX9lxv
xTTuR7NMck9NVJyH1c77TkA0PxuXDf4LIMnwmeI2stfQvJP2otMe7DujoEXkeGvBRMAtiLYkfUmV
ULcrtTqATUPJsjdTBNGfZJJTNmS85Uw3glZUJQ86z9UlyiRyDM9te741yH5FgWsQt6I4ja1JWEH6
7OCaVTKj4reWt+bBRJH7kkOdPuVr+9y3fXfsU8KvWs6Xc5JJMAynHLuTMrjZ69l/WSMfnrtGgDyS
QR91Og4sGwp7jaJ02Y9hwidwRxxhLo0NG4lugMVmA6CFXdeIdVsAT6WPyw0NyRnZnLzyoKjPUJSP
DwlYQ8s10U7V60jxzDDwX8n0koRjvJroKMFMPXWK523l6NIeJqPyCxFG1bGFq3Aj0EJMvcgWp3sq
vLA7zrOw3Bpw7Y88jyko1ww/9ApESOta2VQmo65Mh81cDD3vzuKZylI7HR+n1ZvdsohMMBpm8aJE
klyO47ocxBo7A+7X0O9DIOCq5lEOJdA2CgiDcMOVn7nley6m4j6Zx3AR8LJdtCA0u3M/oXHXF+R6
7ubkMnOtuIntEJUoir9sPsJlbORWD8hMGagn8ACWIWuW07xyfQkHQVm59R1Sldy2ZreZfBsY2TZ7
LTJnvgLGrtd8RtDm3ZQB1yvEKRAyyXq1tPIyHhidZnhvGvdlg3DEcOPcnidqrNJ4y3cppGlteLiz
akx30dK/Q61rwBUh8ZON8reitcMZJl36tKaF6SuI01m7CuCVa2jOUDGtFbAkucO+WEBgg5BtCaj0
Qg2iHnAMVl8EdlEWJfme0kF/2xR9xP2Ws0LF5mTH/FBwet94iSsg2j0Q7I2Cu035rpWirQoTHuW0
jtUC1IrB+VdTgjSY9nTIZO02E8p2y4qypcn11I/dbk6j+5wiQPpxTGusCn5VWHE0VKuKbwPsLCSD
O2uFBOe8yyQ0uobvgwBagnrS1YAKYy3XVF6piC4gFtN8bNgWTSQwOq5veouWq4bI7HVsx3WXdP4G
WtVa5SYBdyR2muW9AaSZ1DQHFikM5qJoH3mbCTALGpmfjAenJcz0iDIxQXhIY5mx23xqcNRfeGXG
e8A4cPnSsHHoblr2J4qKkwTXqo5y2Z6Uj0Q5mH6tm8n6UgEBO8vjvN2H1vm0Kmw6KhAzFl03tAcR
P3QGFLMlR9xuSf9uioPJkjTZMZrBPY1n1d0QryE0I7THzxMduotN5eih2MYZ6JXU4M/D7IFITod8
m0WZLgs51yH3Z0VYnloeQVWM3cHPS9ExvJKlBI9gLkmzokO2kfgZym5hIATUJY0Qrp1qVK3cfDH1
i1nYBB7gHhxeYP8iEme0cYEtRdN/6zROmW9ze1qaPD+iPhlK3/J1qzO9ma8OKM3eB012cFzwWaxW
f6USRztwXceSYJ98KTKXnjSPlnIe8fg4bSt+W1Yn7js6LHXss09OjTOQ8nY7jgC8lk26X56SwSzt
rjBo30TDV9HRJYLYdM1aLo0XjBRDBtRsINWcAhRoFQsG74kvMsmbuxbBCUnU9u0bwKdnaGxGEDpz
DjxMFl2ZTWo9dXzEXxqQsWcpnR9ExoFMJE3IzuMJnHjZRethcmi91QudTm2Sd0dX+OeUuocmWqIa
NK68z+bBHQcErAM4S3+wvuEHocBcL3s1twdVDDELU0or1Nm9MXG7s92gdsTlcRVLMgEbaedTzhO3
x1rH90tBwnEwYzimVqW7rsnkqcVOPzaWA37NpL+3oIKu826SF9iuPSQo1+9uYPI0KtANJNWnzenO
V1EGThxwmH3Dc7zHOWpOwDpDZYNu9lParzsiYvhTrAY0VzLlrOEdPfowStatK9kFu7asxb2oaJNd
5BkYNFHaf5uWzYBSy8NBDNHDhHAH0KEoa63pLkCBPvkR9LcfxHLkQwqSK9OADsJjEH/qvWFaCGgR
RQAjmVi+FTnUFyMNepO06x1zfaSOUx7yu3TsuruwLNNZtzlVkcG20MSS+WXRTXQ3Z6u/4OD71UgX
0w56+KOZla1Ts8WssGuoBAVbF8kOdjIK6+Mo/X2P3SfcLSbUUxiiqUpaQmrebNP23qrhCKcd/Y6D
kDuLDB7bstVwDLj6LWIBRFKVo9AdqB2uaK9NGQssDiFtP8HRFgbVseU1TwsFRTJt34qlSE7giNGz
WSK+sTRuxLMYgrhecBD7fIKzDbZo3mS1iHixHPvFyqcBFxI8oD4GG733j0MxqM9h7QmGA0G63o18
6xLWOR1dRsvQn4R2zVmfAIdnQTjMSPbuEymS2VPuAn6CU9fW79toRMeJAmfmYVpfkJyTSsXNSQ3v
cj3F0Z6jDX0FzoDOUWz7Q5414qbowalIedTBqm3dyCDugQxsN5tv6YnEFF3xheszz0d+7FTmjhkc
wAAN6ue0K5XcoJknUaNuYko2FuciyFJOxSUGTwYSzfEqOPl1bFs4I5T9uBTMb4ofkzxfz3U3r2fA
oC+lHPN9kthjPEj1bKXsZ1b4Lm9Z03oAjkbNj326TECvXLSj27xd5saexWIOUK5gd5fJJOSNmzpS
50N0D+wbvrZEF03XNwcd/MBgSR14MSALMSGgi3uwGxlReCYVQcawoovX10V7W/FFjrYGWCUnnCSh
7NYwHYQeyTOAolMMwid2cIwcg533pLO8PQcO2ku2KGFAQ3F/Nk9ZVJHV611nRjAnwI+9joTKahPR
6TGMGvyICF3TzMNxDs5uIwUOxdaM8xV0GQif9WEn6AwtwBBZWiMmUHyydWdxPFkWWqgu6CfLDsxe
cVqd7cAF9O6YF2NcIqrHq2UBqtDbcFi6RTMJZ8X9LZ3yttZN2rHNz+jLDKLtMBTc3SdS6mOC8vGF
N2HdtXbJjnC6LoF+5Ue+aQxCup8+q8UvX9GiNNljt5prt6QuZqMk/NyNKZiP05YPlfQpelzaNNQ2
pPQmnRr+ycWyr4YeDgQ8XtOkAjulqw2SbbW2hYVzkkx8slDSewe4gFkrELVlnHuvWIRRfqaacWMd
MdlX3mBd+WaIztUWvqmQJXuyWAVnyGtyhL8dmBArMn+LTNrdZ2COmmzWbNbJucw3OFtu6LRDOTBH
xoc+HBDIzQtRWFMJgjVQ6sCvh9ECULYge5umA3s3l90B/LPmVBD3Ak0bHdetqXJLN2ggaj5sYzKW
wIU3f4A3+5e8TfS3ZMthMcu4lYOMmisObuuV6iKQnya8n126WauD6fIlrtCwyH0Re/rI0w3S2AtQ
HfFibyTf6Oe+n7c3uSk4d3v3/PmKyAOaJp6zLESfgM8UDz7vt9pDSjgGNuT0OKUdcJm4R/HEZNrn
oaLZ4ut8hE2HyE/ZN8O7Ma6hcbSuBI453oE+AXRJLQ5wXusL+EOF/0vOuTXHjWNb+hehAyAAEniZ
B17yqlRKsmzZfmFYlgSS4BW889fPyqqubrvPmZozzxNRUVEuy84LyY291/rW5uxcC3C1sWOp3OVL
iylonZfsDbKq2lU9TnUlaUx19gRMpzhCKvESrxuLHW88tptTn2L6zNrY0PZLKzt1GFxBYb2lxYvt
V3PsHHssrWze8pzAuzSqjrdUsB1EpgdqZnuXe1wlRlYYV5e5P/spcz9HDcN86TwRimCtYdym+B6o
d9dbePid42hX/TmCO7WE6VqkeFCn9dQsy/eGq+puSPljLT2+z6BU/RTO916ayuosKvuG32nYTeAS
cv8uHSCLu25cApiTw3e/6LLzILYsNqMR12YeHzfj66TgDjJ7k5J7tJ/8efIU/BLPh9EGmSjaOr+B
JTtiIuvAKZSlt6mQWZp+26YSNxAk/H4O2wX9dJdN63AsMO1jwoffJNUMKzkwdiebvkVZCLKdKP1y
AVmSwZyux+JE9FhEaeG5Fz7wckdcll9rFPNjUBbVs06ztzZV20uzCgh9qS7ZlfeCQq1eBi5wrixz
EMGWgaRLu0c7Tc6PKBueRpHJk5tW/gSHe31Rck1fmzYrdrRiPKrGIv1K7e2v1EXfB8nkOPrBeul+
tkTbWI4F9LYbtuVCj2+6S8TQBnMYDMsrZMlcJ12Tb/jiZqA2+L71gTUCzlhfNyBu1im10ZIy/aDn
sTi3JSfwVWa0DBDE+QtdXBN1YML3dmvlabwdd+vKLkKk2fdtW7PXZlzUi2uMPnPcEABGstEcceti
kCDlmPAg9eMiA+fipsBccf6Yexxhza6XdLyjG0uYHetIaPcVADtkJOf6x3Q1HNNJrqNi9FTYUwLV
rNNFhNp2knMWHF09mjNgBHpMCXx0nrfXvuw+F6V4Itn24Qn/e9DLe6AP5Oq5AuO4WD/NjOpQwTMO
ZZu9Cbvcy5HUMC/wGR28un2b07diSz+npj+XgvDwVxDtNyzqZ9OuDqLfP8n9f/3yfz03Ff75gzb/
9/+8gf///tXlr8TA3/7U/r25MY/9f/7QjWv7198FRuufnNuNJvvtF/8FbPsL77r95P/0N/+HXJv4
O6ztXzjx+x+o3R9cG/7An1gbCwDYelAvPJ9zKn0fv/Mn1qb/ASpNU1BtHtxXDWjxX1jbjV1jvvAV
oDMK0ZWCRfsLa/P/wQP8f8oZDzx6+62/Pvdv1w8I33+HtXGO1/8Na4NeqFmAhgR9lhY8uGFvv2Bt
BWIRmdpANEFSqM4sV3tI1T9hVyzncs12elhwkJFuiiav9KOS1dkzGrZxDcu2ah5ntb3yfMVcNeYq
5qQX0VD1mL+4DzdgHLsYPSTkaf+FDVt9xzlqVKeDLB5KPd5lAQOz4Jb6RQDqDOEWW9gJcgxRKDWk
+vxE+gwjBtmuTc4ee1t4CYCeIcY5K44eZvBHHJF9aLXVO+KPd+XtIK8y9HCeb8NO8Oxk+1JGazGr
d0AJFNoGvByeQvzPpuDYLr4uw6yetk8lCMMvTau658q086W3CzvWjW33KlPrAeIbmqJqE/sCyQFg
bq15Kct1wpuuAiBQXeZeCZ2H97nR520l3+TmTWdWAjtZggnD/KhQ3amHMWMBxLaWFvRTOdQHHPb5
riuAgwwULmoq0vxs8+ojr4AmFHWeztBk4ONw2p+J1u5q1er2QaFI3C2lNZCN6jjFzBsu+s3fxuUG
dWCmwtSVFDj8k7qT+rLB6D/ntdz2q2FNMgg3PdcqWNKdVNWYhlO9NgnecQOVbMxxqMPCvu9w+4bQ
TLPPGc/ch91W+aUM5pnB9slhWE22Wve1IS7y7RAVBqY3tCVYhpBUIqJWlnRerc9+kQ1xh6EtRMfd
fC0Drr8pPphk8k32Nqczzi+JrjhURdv1IVRtHyoF8bfQBgT+EM6a70U1BncrLNMoq1UDYmEYksBS
ve/r1j92KhhDWXhlkuF5iru6FSZMO28Lx3xQ+0KDkyHdRn9OOBEi3ZQC6gSVd4vftlEByevoybXe
m6aoEqhUSdvkJ4jqedRudBXRBECsg6KL3rtxcVoM5YkzmIaRzPLuHCx2P21TK/Gt8DxMWwgsWZ4d
MED5SUPG4KJMHuwZ3hoYA/4BAgnUzLq2kerc9KQyN39uerTrSqExWAnJz01a23shqxU0QQANNpfl
pWV8vhrKphi+Rho3Pbk3aW2APmX7Ks2zk+rkdVr7+kggJ98xtVXhoMy3YUOvHs+DgkbmpcQdptk2
STFKfUgn8cCD8ssS3Jpj2tujsLO992Y5RBC6rqReTSzGG4lRzeobQau2CDRiq+dVYSZhv9Wy+zYU
zkuKGacctL3iS+YFEPdsj5nOh/V6WlL+ARHZXMbcgBI0IMWCis6JhaUZI4fD4WjQs5Y9OdTEoD3H
fTK005su/PWCsxaVwpINc4pWOPaJ3mPA9ZNpzmBdpgQTrzdOLBzX+r0aAZ3Z3rzCI+hhiW9NtZcd
v5Nb6odduryIasyTvq/k02rsAq/jDxt7ug+GYf6Ud2V+hAv3oXrZnIWCKLjZisQ+aI9irKAhO4v5
BpitPAyAru69aaOfNqhVyUb4ezUw9ORdTuIJLt9lzPqvnbr5RdMURF06vva1yx/rbfyoM4WRJy/n
z9uSH2vq6B3oRBRKv51bfKYhXyJNLNrcgcEzbqgpHjDCbZEi6XeNZ7B579QYnK3vq2cffdvnmdny
jKem/1wVvR/DX5+v8ET6eBISl1LUBoMVZIosmCsHyxKk4ZwH4/M0LRI3klzOAUG1rAvdHwNZjQd/
a7c7beY3O6NIT4uujhBDah4NcNhiY6r8g8Flu6pNLHdlDRNTkG35VBhPRwL+W0xw6CQrUJYKikPp
rnrD/en5QbgwkT7nSqIs2S5TCW8r8dSCwKxiRX110YzXL3TMx49lGPpj6lX8Hr0t7B9vtfYkXVle
ps6VdehK4yUMLFYRtj1jP8eZd0fn33q1sXCJde0GYHCETemcd2fgiF4y15UX9EqoqABAdgBKv7mp
M4fKdi/oqeZDubogKWuItmaGASbqqQbpTKpEa97uvJmZx6DhH4MfjHcFmJNd1gE8RUHj0Yox4sG5
7J6mU3VoSNvFnSwUDbMeroTp2/Eu70gFgKs/VHCNGAzpYcBMk453/jx/R6uAgoAJI6KTkfcThiYT
8hZnUMbX/H4O9GYhWpHtZ0AYi/LOLKeiBe0IlGctgXLkKCXc7w6wfflXKSa4UqqFXtB4FEKjP5tD
WbYQR5q5uze8JW0khVs/Q16abexMBdyyqxYqEjePdAy3ETp/N7g3qMKJSGeGeWhowRXXQh6DqgOA
WVRZIui0RY0Q844OGMUygwdPFJBBe4CcYIQgEONqAhyY0ux+Fih6CM1skWtXsRslCeJFYvLqIMmB
Tcyql81jGIcWx4P3ClU8JozQ46BHN8WLRYmtTL09DF1VRkbW9EQIJuzdMBn/Pi+MBTB7E9RbBhtu
UO842shhUOsXsZUULkKVrz8AlNqPrsGZOXCpdnTGxd4qUeJ9ZcvZIDcI4xyfP1iXLinN9O5qNYYj
hkgNCygUXYAhEXO4H88+ToS17a8NneZwmGYQ96U5tcP43fmQQ3LhznmAed0vTRnTxS9wdrlt76H0
n50PPXow3YeTRCaZ5MPFH3MXVjN81akid3yYFOoCP+DQG+O5nLIfW7/2AP3goTUe/Aigfj9HWGJo
D9R7kZqn0pVZMmhSn8uWmbgvffUSSDnuMcq86aH45sZ+TdyNYML4+tRPeRWXBe7JxWcc6pdhsQKN
/DRTOOokA83tq51XNmheNhDn8SzT4Wsa0DLxBWlOclvxBQydy24Q8GWB47H3Gm84Ta2F9uSDobZ0
lMeiLKO+1t9HsEChpV4o1DBcWVkBUmKrRZPTt7eGrYdCFIpW9tdx3L6lW/4gRU+f9TKim7QYj7j2
0wiOcwa1jbbPebG+jcsqLrl0mM3SQsTAi7mMIG41EdIPLJyWQQESheAeyx7geO0PDKZx4Cc5hPWj
W6fmDhIhLnmzsNMS5HCuZOoPSetoGjNvbL+KGXeE6319TqfR7lwOXBsEwsEPaj/qt6E5aMLMpQjq
8aWYyvqkPZ3tDLPtJcu3NHJmWvdrJtw9BL+mj9pgyPNYDNLdjSseGxjDqGW89+8RSq3AaKuHVgIL
Wkr5CXMAzKVypXGx5tUuzQ6mNsuXoGIKb5P31zp19hvApXQ3unX9NgRiw00FrRvdFo9RWs7r5vsp
+GzbwBVqADrKat+kst2N5KaY2c3MH0MZlKDg6Q/lTey559PPQJtTKYEWaV3QH4Mk/qHfRnXyUd+C
bYigaK4YAUIt2BL3FYMqOfnVMdDrpR95l7DA+HGdmiVi8BkfEVh4QmPKjqPMPmvP8KhRTRtlaUtj
U/XmUEAleKygkGueJWh4ZjBt6IRm8JM5/6FvyvCaQSLnzSKuXY0RQg3rfGg8odcIfEH6Ujulf85c
b+eCmWGvZk1OVTcyCfQdgkggkEQQlTu0wfJiFqRkulksiXAv86wOJJM/NJc76wPL4cL7Yii8zMbb
wQEKrbdd/Ql5AFHujOp2rs+OrXfDWOh9kAE6K4iPIrugHG80bMF93S3W0RjMO4aNTA8Pgb+eWWMg
YJe1AcpkZbmj7c0envBsvOAuE0XigVXY973wsph6RTCiGHOPIJdgnnM7wiEK+gxlyWZ4XdwOxX4G
XN+3fDgRLv2E4jE9jwKfqS8L4IxqsGkapSqXuzSFF97T+klyr35CY09DDW3o2hqvAxNUDGjFcu8z
/IaLBcyf4LxqwDLOLmQt+ryppaB9G6RTtowOn7ph4EnWduxhLmlmogVs2IFv5VaG41Lh4fC9fH3s
pg54zi3KtWtRWA8UcSpQi+yTTdufI8hKe1+nHtdRaRr+ba6C7mPKUxYaj81RO3skLm3nPkD8WSAd
2/ieBjlOtJSP163BGc0tIiJrVdizbkl3qfDnWFiv07oLNoBLkWmNmCB76QWBrO1tatc+hGvoPTg/
+DJptaHQpIciS+0uG2v+LXBFEwL8H6+jh6yCoIB6+3pmUFkpnLgt118N/HdAVcP8XSnvPas7MRwA
jiHw0c/8hzNNczYwNt7bupircO2mU4ARLMxmQKbpUNUAFTpykuD77oTd6sNMRX3nk3c3wWjAtRjC
vFjkqe7c+zCx9iqBSMQdZpV9wZcgatkGzAwGqTi4aqbHjHgypP083rNylV+nWncoen2vP2i+oGIL
SqY9uJ7dQgxsubxo1jhrIX61GXEM8bMOdp7ByAGZu1zLdycC+2kc0vZpqpf+kVUbZMh5+z6kdQUV
byvfddHkLkYQalsTOrWAoau8Lh77EaIyARgZMUTxcJH1HHLYy1HZVF4EJ977xpAgu3Y09b4NC+uO
rZXVxZu3bu856d1XdDUJ6rudI9AGwoPlhgYHDKsIEWRK14hCxvfxXLPmrih0F0I+U/u2g/QHzsHh
ujm37FLb+vuaXjAdkw63olBvrZyqZMoIxXi+Wu9Km1q/lo6wfbERiJCtk5cUcb8dXWtyyqc6izJU
8Gs/keUlmJYV/YvnP/Rs7Xd+CfkUKI30z8Cu9b2yPAB0OWwndLotGG10IlCYgT9g2Jhey9lIt88x
y0UgT2jkuEO34nol7lbPsCc2gADWLQ+aBKhrDqwcfVOTkwZSoR0gf/Chv3AAXuCymtU8jG5ABk+w
6cH6Cz7foEj3FQfZvNPIQl4k23BvcAtb1kff6lkPaic30kSkpS8qTTcH/jxfDqIq1fcJeaoporba
AGvQnDx5VldxEJA3CtEnC4s1fauc8MKqLuFxAeyCklk0UBmmVN9rwKJ3DuJNPBSBwmXBQcp6+bCk
Hbi7sWZ5kraQJerAZzh0moC9iDLlDwXpcaz1fluye9/akYDJwXjjdy2LrCGISRCFI5sxr7mDXfEA
yFhOcSBkrLyGxHwt1CN6FMSe0rk4U1dMSTNXLDKBDzIFadGntFzyx7Y1H50XVPcFa4Oo7ub0I0cE
bYYcYBQwovxh0e26z2wdsdrR3Qi4cD+mm3dYW8+D9dear7MNxKmY5cvc1N1VDPXy4Hk31KFAtgof
C2g2T9ODEuNw7pD1+norhTuc2vbqtfX6eaZIP6C6kSdjPblfMYqgFclxFwH1OAowvWACfAc+sGKJ
4gRPWhXoR+q88VHNXYsZ0q1I9Sg6aR94b+ECSGBCtnE5VJ+zYNulahbAGar5nML5PqkZWFvbGYKw
GlPvIi82wD1q2DXwkCM8Q+sekA1uD6bE+gYoaL2g7YfwHeCKqHavt0mAIbVZcS6Xrb4PGg0Hv+jt
iuewEsfMWfAhCwJcbub7VYvd1mt1DEDQ4M8HmC9od+rmtXpsAVBcOlKIHQjs9cLhmydkKPGMwfyP
NSK+T0ta+xdPzeN1neRyqAADfVFNMdmw1Z4YISUs4z23g0JgK0cbVuC3HpZhyXdZnttw8LKntXL8
uuLajiGaE54QA8K5zJYveaHKR+nfhlYRpC9AlGgimf3KiKNRRXoWb8sCBKOpdsisICI2uTZGw7d9
1nL8qj0KQnm+TVrNCuMYfkoWhE1n0PJ3/gAscwuG9uC6RUZysd6lKEQWGtPQHdqfKXEQL/ZKuDTZ
fNSbQDK2x5lYRQuZz4ud+X3fARN3dvseANN47pt5eU2h7EWiXL73y+yP4eJ7DIS8A8s4NGMLzWxN
vaTF8p6wIzSNKlc1JeQ6hJ6CuazBhmUDDg00IrXtWwRjp2NliQ8NhaHV3tLvnrFMoGD7tUDFWdLY
NNr+YDUuXeqZ4cQrjTyfzUtUTczA4AVNjssOTOO9Bkx5t0782EFuiwHAJqYrMMroJogonekJNyho
B28OXjFQ9Huae0D2cW3wQi7Yl1sGW2dmHrmnHjp810BIHkAyh84s/pHO0wZxlJsg2tYhveJua+Yw
77vytC1p/jQ4pKZDrSaoVSDtDwP6jxAvq6C7uv4ATaVaQ5VPuCwGse0p7nsv80OMXMvVs+NAEWMp
vXvMK+zBzfWNok4LP9KYLiIR9MVLS02J7HSXezHmpeVjrrr8KuANY1yeoCfabEF8bNbLCSq8wSSP
vy8PtdwmdqdU2z1YAZurXwJ8dY0/0ivs1u5tHZrtw5YlWDCIhzYJQKBwnIhei6tovntqkVeCSr7z
FlaevGnKm2jWMnska10nmwHzNo8YxmfgGodtmfpvg9lMbLREN83L9kmPXX5xs26SavbQRWfLt9JU
iJj1DQHQNHSeeh7TZfsokbG6IAIy7Zpy01XoeQSeGcyGaKQV6Ipmccm62upJezKz6I/WG/jT9XkM
tc9dF6MPS2ErUPUW7Iaq2ckLcMJbsJeXrm/rGBPYel0ad9e7PHhKRct3S8CLb5mynR9JTEfnEaRg
TBY/cTC1vkOEa5/7QUOxLaA0l8EyfKE9biokhUDFI6kYnLGZCUPe/Ag442stepEourr7siv4fqi9
EUBqCrEot4H+7PyxPTR+Oe+nCjIcQXTmkZPbwbBMJU6hAPLddOOCIYXUadhvq7rf6iqL8cyQu4wz
8QpiKr9k3AMBa4B6ndPaTYlSCwOBss2PW4FkJp98usH494s6WgKUCCsL9oJi8jo2XXdsFqVDAdkr
AUK77mokry5wkfGMpKbAszDLbf5RlwN5dL2t7olz41ubw6CFuCmRjKYpe6iyqo1HLgsTZ+m24MFV
HLDBAKP6gCZD/mSist/XLeX7yYwlxusZAcQeFOfLWNXQmstCY29AwbMS7RNmEYQcAY5RgawVsObz
RKav3oinImrBPj/gdQAOpghCZKw+Lw4zSyeheprbiDQojT0pWPLwT1/uN9fpV9/uVxvv/0vXUP2t
a/jXapZ/m4a3n//TNIQ1KLQGdSDkH8Ygx4qqP01DIv8B3095Gh6gDBSUGfh1fy3DwP4TRSk8Rckk
437g/ds1ZP+AnBX4SiBuwGGm/T8tw8C+jV8sQykCIRSMRyzpEBS/Unh3v1qGtgMKmyItjrRSB3dw
YcX2RVipT7Wr+js0d5RGvxiq/41P+V9eEU6Ax7j0PPiA+GqwVOfXV6QVIll902Pcrl0d8UwGEKXg
RNEIVcy1O+nl2+PfvyT73RjF58K2EYWVJLgUt3/+0xhtOpk3KbW3M3mDbl5Ma4UisqQFDzcQTtFi
2iDxgcIViAiW5iuYACLC1YiPhbvyFfEwDNIG7N2LHvisdn//9m6f+N/bSG7v7rYoBXkSKW6mrcLi
lV+/EdD4fjoYji6yWbceHUHvr3G69f5VwiZBBLmcVVzLZh3jv39hdjOEf3tl3xO4h5jwbu51cDO0
f33lfAS5ljkCPnmS2E3QUMX3puQIFLZNNlLkAChicrnvuetoWsfOXX5bH1KKHgg9Ci6sBvDKefmE
zmwgfxIKqCX/B0MbW2L+893BxmbCF3hIbq727+8OYbummn3ElNu0QSElnPkPTvRL2DhbIByOOSg4
IE4LtRoU5OrvQR42H42CWBHB7+m/j3LIH6uxtuSS9Tl66tUnuv2/vk39+y0N697nHvbTYDxBJAVx
Ifr7G61UjiS2xJdRyFQeASS7BJ+mOFtb0gOIyremLLaEgSv5kplZvCLwjyNBlMFwxXFW3q2Fkd/A
nAq09Ui0PBKcvWDsSwsLVwEeOnYwEr7ynHRZ3OYZW+N+QpZ6BIEGs3aekHm3q82QOtZlhsGBDNvD
vOpyeRSAs1+3tPHFAZnyEcmfdgS6+7AVXm1CosGTPha62ryEu4Hn4E8aVSBrlmcNxvPBuGXalYwh
pp35c77sTVBjWQHYYdFDdUcaXIYTPJThU+Bky3ChFvUakBHRCQePpD+OJRl20yqrGixcW2C9w0AC
pFlZ0GJTR4F7jkB4dUc3tr2HKaJO1+PmB0Ea0mYgUHqQmSsiBNGJAyYyLz+wpcRH+rIG/4llJUzk
d2uOUznkm0WD5lP8jVu7Ipwz0Um0sHArD4c1zM9ygFYRFQFAarEFwl3qvG9o6NEF/yZL6WHCvhmZ
kWmsRaTeIRSEzQQbwpaCzpiCO0zZUPXBYC77lVD6anyZoon0NvwgKLUxgivj0GzOpju1qWFiB0wi
K5+nfujPCtISCWfMZet1pGgPQtZ05RcWiB7arNHqDTQjQCnpsMeiYuOyRJXegld0TD34txbTEOz0
cnnwxY3i2FIqz2RCVjosSXbTj1SPktY2iv5E9sLa3SKL7WuwlVgMg7LyVhnsF8G+GcTH+0Zvt0kS
YsDSlR5CjgBS18IbaTQPoNHA247ZI9oW9ZY3tyzRmgO93/raB6nP2KPU3uBOaWFnRKAKqZfnUUzI
pjjeZHpXZQqTvK67B2mW2oUdQjwvBIVlOqQ88z+1sm2WoySTqkIk6eZHZUW+YqjGcBMyp3OZoHFr
jp3Ewh1iB3bipfpRVaRaYI809sc2COL9hFLudj21xdsKrLsL4XqiUjm+LiyRY408SVX/oZmfZ3Rd
b6wcadiNQ7/nuTf9xCdW2ZFrD2bVtC3DAVFSfj+ksjoaf+xfYEPckujYuFMimRVDq4ag1A8NSH5E
GQDPeiuutjKJ6bMOUj9ppp222FuEnTTitlGoHdhuAbCdYaguULznnv3cjHJ5OOSp9wLyJpVgAaF/
R81UuIODuTOGKQ6HHWjXd38wxTNGb/3RkU5ihsOf11GPxRrPTQucKOQqyE/MLSRarQqwLIi3idz6
9lMhCDzEbqgBWTbUIqUOjAMpLy9AbcFF9sJ2tYYmFFMIdtr0KFrbvG4nZEzkJ7EV8jVf1vrqFngs
PuiE0Ix1cOxyhM6bxvcJmlx0l62E14Jx2sciiWYARLpDRy3drhwFBteOkfdGaYdNGsuWjAyx0ahu
UmDKYs0g+Dej/Wh6OAFogm0BP4BMt1mEQBtwRuk9cFYZ97nbnqhtsX+gUOJsDfzUpcAWqMs6kFGf
S2S/IzYhUR6OwwIDxwO53sLr1RGMeDxjdLtaTSCLtGACvt4EOoAkvuEXr8+CXT925gGDUL4vrIU0
TdKhTyY5eI/WbAid9j0/BBD5IjE28kunITchJ59rrPtpyLbTDgYLNoN5zQ6rfxT0ZxPYaESG6bSO
3bqnXSmHu8aU4shruu6LrEEsrCZTjz1N9fgJx335qvycXwrmpl1VIZn7OLBtzmKuFfy6bvO6p4py
7Q5QZMfHlfsZjeCP+DBgtbLnaaizZFqX7YHUyIhKOmMRg6IlChgiTtgX1W/fuenFGNaN8HebDm5H
jmmEerRjU5HHCnd6e8yhkegDTmGSHic8ClU890u2gzMD1stZcd8HHuL1M3LVk0fnGJkqEnm2GGPE
s7DTrJQPk5qPMAWem1R5d3Za191Mhj2Uy30XsJ9VuT21VL/3rH1ijU4gp7yuxlwdfFWQnw85Af4l
XQ91jjuWhWUPk5aPBoU0Y5/K1r9A/sh3/Y3UXxDjWaoO/2V5FXXIf4U3PxvsQLV9vo33u86TPnZP
6OIAfgYbM5THjzjegpiYvMBeAwafm5huj3swgFkyD6+T6DBU4SUCHDkNpluF71EAzPzSFC6l8UDJ
AeP0AmrcKYgx8Hfr/ORu2FwE7bQ9jwWD4OVo2UIWQbArFHb8UXQb0nng2y/+LeAQM5LRXZDPDisf
8IWm2N0mkWyNVKrIpzY3ZoeqnIFVLXyw5CWvSnlIU0PVZVZWqgSqQv/cUJRSr4DVupttlUB2H9On
uuNbLKBizoDmTQv2n6XmVCFPjgZ3kHewb7YdnMql36O/mCPtFpmBUZ2XezsXUPiVHmd3h5Vy2B4z
0a2NfE6LKdYwfjB2MjEdmHLyvvM79OwrF9BimwbJtWhdghUyDqbyJzBvLR5hAoU5Elklv3VjkGG7
E/ZUAIMGWBsWYDymXYDm6TOe2e6uWOmKfWAE4Frophqox1q1DxsK0K7g0E+SqTflG6IJ/PYdBcnq
GDZM8XaVIgRCXDwHaOg1toxVwBRXXvkenEIiHgOSp1i6pO0HhCDyuRtbLAmxZV4fscvJIPstrIvs
/2bvvHY0R5rt+kLiD7pkkrefN+VtV90QXW2Y9EmTdE9/FmsAHSMdCbrXzQCDme4yH5kZsWPvFVJ2
2whF9xWAXPhDudiJLk0d6WpLFtGvz33qxdwXWDeOyq6b02of2U1DEgHcatr7ulw79drNivvQiqYP
45b6yc9Ee5lLO3wc+M+3+ODehzDrLjL33dvaI7LkzoyTjHJ751PQ+12jIIhOCUPrv1nnyVcQYd2+
rWPzi9+s+MAyRMSwT3li+PHidle2LiQCIBPte9DUDKSCafGg25liN1ft1+TW036hgYNmgJjSuXk7
b3JdTjvefe7+1UM8nkxSOJ86J9kRtnl0cZpaarBXfJ+ImlV1yP2h570HBLLU5A9hZE2XoOyGI4HL
fEdaadjHo07fM0m5t+ggvCBANeTn9cQnaQCgHHxLAG8htjbeDIF3TZNsuJQxoADCdvzDRmOcbbzr
oeZ1M7E5x16WHPGSzMSz8Njc1Y53HcGcPZlCjKDmEm84Qy1I9o2lwwcsbc5LrkR1xajV3M1Szw8z
3iOC+EUVHXKU/n3sBDSV9nS2wNJ80o9CpovG6THi1jiGNvarvSz95V4BUtjYOhsJUCPec6OJ5nfl
+vENk3CH+ZDVvXo06Kds9ptLGTGgccc6eWjs/Jpk3b1c4upGz8Z2yS/El0Ra5ypr8x9BXI8/RWzq
V0OJcyyK4NEmmkflNsOcqrujb9kQWORQ3LRGYCWwwdkozMdo7Y65XaxS7nCdZlxoxYjmR9yyaKN+
T86RLrEp9YuHasTsnYnHXK1WnFCpDZq6cxxnoIm4RvZR0pu7KJfVdgxKdXVJzaMFh0QQvKm79/I8
PqNSK87acb7One4vehitFwotZ9eKyrpizFsIZfNx87k3bbZrYFrsZsZJb4Rki2Po6eU6VtUIVlJ8
Ka1K6hDT7Ef8lvsyT4cj/IU/DYb2CBfhUu5THLHXxlqyjVLAcio4h/cQIuoXR3XVLUADxHkfg+V+
Uh4l9GxNeJfy8RDKNZehZYD6Ps8nrKRipy0zX0u/6l7Ukv+NxrD7jRcrJ7g1YcdRbhKCB3IRoeEm
HnWSFcfC7i1qfFVFu6BaETrkouM6PlBwV1c/WMiXu8APe4gAn7nHsDJhAMW503V3chLWpi5qoJMk
/7fKy/DeVVQe8UJ7PgQZH3Gak7LMl0cT9u6L9FV2mpqhOhQjdmIyXE10a7Ju2VSmXXD+EGayvZZQ
Befur4jK8I8ErbfB/8g9E8cuHMvYugVemh/nzg9fIz+mYer7YrxaeL/2TDffiCpx5goBarSA/TFE
REGcut9ZBJkvfY3cvoEFST/lDFz9RWOXdCtjcmO1EG+ohe192kzLTawD0jp98sxnMm3wvQLiU3F3
MNH4FgJ72M7zVJyn2X7ofNJBnsUlDRtvPhSlPKo5rfZe2pcaWy2PyBAwnLZdh+OlnIdDNaYcRzm9
i8Pd8pISgjtZlFLnkPqCLq7yfhUBYLjSjE9erzGawl9Q70wyH8A0LAfLDf8ENmxPPm3ma1wt5yhN
CaIb3E9NfwftYbxyFtCvjVb5TL22nABtFVvlutylUwoaleD+pir9sNzGkTT7qCnm42AxebEjrveE
1/uE3kXMP3M/SjmqI2Ra773MZHTbzBi3Rc0oQmD3PMiRHHaXR19MzJ7dgWmnjrMWRI0DEtIp6kPg
zieLF2hTEXHDOxJmv6uiGN/HMuRXMCXTdA7HduPNSwWdsoACOspcAnbT+oBgzowkKG2KGqHiE3ye
H6lQy6HzPUMLJsyMrp2QCx90sV28MDDncApgn5bG9GQIsc49q2ZRGAaYm2Bvo0WAyknxYRfVV9zX
7wXcm9/N3GdX/mB5LzvMmOe4MeLWT3RWQUtt/R8JDtZLMNTDnVWI+WduOe3D6Ojv+cncnGwhfvra
DvptELb6diAk8bPwbf0QZHZ2aXwLRqRbeQ9+V/pbu6a9GJ3UfqSNFJcYF+1RV0bjufZ1iQVC4ctv
C3OxqnC87ck8PtYEwu+aNOJfS+LOxlge5LrJQs/wx8/WH5yvcuzLnW0xfjqKigHvJmfedIryKgdA
hMx1FoHs+AedQOc1I4mjOnjVcrF/xxaZxMiE82+PJ/w4inA6tLLGBd8pp7iWcdVthWX0cSpogvZR
nDecCr5PSsEOZAQzbprSBg9Z6b1KOF5mH9eConPpo/d6KaDf4YcWfwarM/0WJlTz2Okie/MWvtIu
04N5jKU1X6aWqGeR5+2vuJmiUw5u5Uddj/UlqcRvK8V55s9Rt7UCT75Qtj8Xg0hvmow+Fh/28jiG
nv0OUUFh3pnMybZt9ZX7IX4VLPCIAQFlVtsf68LuAMIs0Q3jN2qkPtcvIa75R1u2Fa5x05+whNnk
LxE3SPcN28r07hGPAjaCsXqcZq12vjCPhjjfr6Kbkq1X1uNtPowfZJcKjwvLZjRXT+T1IToP9pET
qd3WeZ2AqawtoTYYWIjeGkv/mFrR7MY6t65JkOX9+gvXG2Mnt6XTyV1QWFWDayYLLl41YQqbyhL1
hirWZ0CO63DpJ5PAzPVJEc7tHD/pAhPxafAissBLO2GGcefgjxyDZd84Y3ark/q59OKp/qXgMwzM
WV1ROY9JKYd5UyNm3A95IeL9CNrP2U6t7Vwc05JZkGZxQ+a/0+jv8f5N6q1Bcho3TqDtLyfSwXyI
i9F8RhRe+WFom+jIJNTiKQQhxMjL8R+HvEVTgvWDYDb7IKRxGeCdwmIp5wzKkNfihT8g21EdlzPe
zqtoBkAHbpvP4Smq4qg/VxBP3BvtJuhntRUP7sZphJsRxnSsXYYTdj44wI6O3HxwMmvM3Q8cp1X+
syFqg7aNeyQDoSoj8QOPQOfcqXwogr/Ibrlu+T6GHmsZXnQOT6JxvokPXknJjeuk1c69H+Dz4GAZ
uuwA3yL/PThe+eLSEBA8KsxTxFUdX6U/Fm992RZvdE+4dWFx+Z9LmwfmmFaQDe5sQijpMSXgthdi
9O8MbxntecaQctdMCsjFTNd6m9TAmc4lAuKMchF3D60bx9VFuqZvNnUFIwvQUnlTFdqamSKrtdys
i6k6MjRLKTWH5FGJWDIoNwjDPFok/rZVpYu/RCSTduc4IhCvsDf74ojxiTNdOW5R7BNXIxcCCu8b
rHLjiG+CAS8oPnuqCj7PFrjvghqZn7wmYGzQMnYF4AvJczp2sKhg53bN9EBihNc7SAJ/eFJgRNz7
iWQCv2TKzmqbo9+9xJrHE4uCPS/QArsRU/vSO/12gesGijNu0e7U0FJM9DECtR5jwDA1NiCoBK41
3QYZkIRt4kjzzpRjJNKtCvEUkKGAvCmsZuvhdW25N3itngUUnluqcnWbYIKGQYqbT2FJYt607Xgg
7G1K9SlJ+RAR2UrjYzFxwpyRfDFmSOdDVDJiXZx8Mbti6lO97anAdlGdjvJx8VJfkpSP0+DsDSno
zEp74HAg6/KbqZp+UwYLjpwg6224oRRtKE5ZNb1AXACCkS4BeZ5gmLlABh+yFkzvcQVJuTiO1FTr
3/hrHejYcyRee0Abz53nVb97iYcjcKHjdQM2bczEDracWjLEFzgMCFeV03g0Xiz8kyAn3J1J2k/h
uW4xUu9UC/5iM4yiu8GSgF2fsgobkDeLrQEu+1Z0FhQShUpNxK3R0UpdqMWrsGfwcG00kUiiUJY/
l2YkmoY0zg09VWGwCbUcyve0r2AzhmUn078kRtDoHSVNfupGiIaYPVNsd0gwXXSTcNceI9EqvUlD
6NAHvmvv5wByCjaoFWOTqWfyFMSOefI8YAQXKADpDwDg7UuIkQyKdp4c0Rh4XOwwkCF0Jrhqpx4u
eU5ULbcx3umE9F7tJcB3Ur/kNc4W/KdHAgEUVZbluA+ikaV3nYuKn7on0licLTetyHkNjeTSxuxL
uh35fd4qB6r8VGHHuMeMx6HWE8HbFnNP+jbtvfJiB1SIe/o0Huwxo9bfBQKwQCrWkjO1y/HZ7xVp
E1VjJtnYNO28b6a0znM3cMyPhaScmAn1AE9YU++03wHU5aCjVI2ntjwtbZnfdWEfufceE1MXMcKh
rNJzQHDAkj4/QssbOTAbt2gB3e9n3QZG/mciYRjsfVq8O5cf0tvpgbFm2OHf3U6mrT87MYL9a8bV
3BZ3ffGMlhv+TBvA5rPbKMLF2iveXApOzYuae28LPk+0pwg74+D7GuJM7vD1mVc6b7wb1hUPPGim
LkJYOdvpWNFUfz9asnRz0B91Aa4rS2J4uS6Q1zu/rcRXPCA6l33Dy2mSno9OOZMNM2QUOIbSgZIb
Oiaw7p3nQ0vcg0jVhzysqVwzQig3DC1nvYt837/z8Y0mW1PY9hEeBLbIILawE0svAbeAFU3xtEOi
OtsQJMZj5dTedLTFUnBbtIpxClgguNn1CEJgWw56rPckGzFuc2gVcm9Kt7mvoojzjgvY7NA4iBzS
3JTVjcnG8abzl5AeUfZy+RH4Zf1rllKwcgAj9HwV9EbTY6eqhNIUs0uznfFwjLs2rJvXsZeaYHdZ
M9iYrSwcnr7HVlAnyhJQYIrppmLq9VV3Y3Q3gIuYD93khhWdu5swpo108pxng+ueBssJ9gEvGz5W
ZaI3bD24q8o87J+iFM3kHGIfInMYJX+6yAVaUifUc3XqR2c1IBVtlj7s34TAuLFrTestmzovV7RS
wzW3wSg83pBFjPQBPGV0FFaIwN+j8JP97FxuBUVApN4kVXUDcbiKr3kYlcFvg+F7fsiivknu2qDn
5RUgdfsbeyL/RNyE6eK1A3SynOqhZ3ZI7+wVZxH18bJrWktD523L9m9bW3DcrcXK37TX2PN1xLgW
f7hLsDTRxp3i4ux1Ttv/tPFar8jXtTIInRHerciHSO5D9InmmdgfGV9FplQ7xHGA8YXK36H+wOoO
OjSfAfunouXHJXeO+C3RWo7aEAstJbfEFxiEFB/OBPrJPKDIZ90jbiv3dTFLLfck473pYNddIvBj
CSPuzeqnLVnZtoOufs0rx30ycGUPcLCdd1nky68Eb+CtWGqH1leIK1H25d0XNe7TuuueZLLUJz2T
tBMJEDKvD8JTTql037iYmF3t2JqAwiJXXD9fydW22TGGlc+kavpfeSkTHp+I2KatVPPA4Lr44+h2
+NstyZTyVkFiWIqheUqBgEcYtsrwGmjMfTsLMBJITZf48gg26F3aU3rqMAf1btTD7VSL/IR3HH90
Ng4mi7J3J3seBZmrZpdZifhTpmWIVc+T7u0wZ8BZhsq+V74n5ElhVnAv6xSuILKi4V/UWU+MU4gT
LRXGOmSS+ksrHXCAG2CAh9mGbB+YRv304BCdQKbS/ZOOuAYsDriwOaLbBo4VXcDCMioEnHOnIu3u
g7nvwy3eRaKq/iR8iyFI7BzLQi3PANkCmxlWZfubhCUtt2sK8FSgDv50e+ymuMDze94gbKxSFRSU
UnVmzWYUaIaMoZhyD9lN77uBCxGSx5A5dFqBiKXLPQxRE+X7WpbqfkFrTYDdYm1tRIIf1Xf0kGzc
Ji6fF1GovwyvOewc0rl7Vdp2tkVO1t62hXuKkVv10E393N9T01awbrTX7Zocs2BTmJqP1cm3GZmD
8xyNmCzD0HwEi1PsTGPaG3dZkrNTFwzGnPhdhAhb51nEVraVTl2L/ZKN7fuKKAtTP7vTZnjF6zlz
Fdb5fkbNumFiijNOq3zaWn6bPtX9KGC/hIZsG3DObRt34tJPuCICzzIvCjDtz7kY6xsHT8UDQioP
/jI21cEWREkm0fBsRElKBjXm4tjyrZHHimo3PoN/A7kcDxZRokDDDolKu1FfpddZF4Zu2xCHa7u1
srQ9qmWEMWvxBXd+OGbBZqQz3uaTeLYnMCdYR2rw2XYoid5k/snld8Z4mib/Acw1Dmotxvp2iXV0
pjku3pg2lGRzjYvAVikG86RNvK0/ssUlq0z9OaUD99w4q/p11KG8S5ds/og0BJkI5zS+1tZ5rxyA
ribuuVLTukWs8HJoygcDXYbpcVlchcVNPldukBwSyFM7sMZ/LZapnESlIX6tnqDt/1CjM/NRQ69Z
rAhN1MAXItuTwuYV0PS4IuP6kqUIUp1L5LcIx+qfBU3/revkP5tx8HKEnhvQC2BBcIUXeKvX4z8w
FFrOS7vSijM3wzgLocMT1yU2w69RuMza7FLek5Cmqvw/W3H+FwsJu48wkOD1sh0qN/FfviybEiZS
eD0j7MqSBGwKGP7AGflt7zsAaiBLqyH8v3xNx179Pf/u/+GHjdYorislMx1b+tF/cdisYbi+LJg8
94O/KpkZEeVzanN4wTATfXtQ02heJhYvbFkBEZ5xP4TZiTE/3d6QB0u/V3Ngf81FF2Fyhp9N4yq7
Sb8LFzf3ObBQywsckGO5/JxYOKB+aeFnf8u8gL9aD+xmOgHeoj6Yod6RVasZ/xhM3w43c1SVJ8FO
sMcMScPaNsXi3Q2ONq8hHe4IPJSy9rFuAwffjw2X76RMOZh9n43zvM/HWDY7At6M5jKaouYrmv3V
MmIBZtwEvHTIZCREX6LUMD1tst462zE4LCZK2PZZkDQsZ+FVeNy9rODVok/4GqeRu05NIforpdXB
sygut6D+2VICkJHMGNpfTNgYH0qwa5XtiHOY2oPakeWfzwHJ1WgzCYHygatHX5w8AP9CUea9QyNp
qp0WtUVYNiQ9Wk2TlEemVelHUFRED9JsCAlnx878q2Ctgr212skAex5Ane6zYcIU0Kgl2PUaFZoO
soYrZqGMwTzNPNOci7LXOd1Mjmgcyba94o3nmgmXER/4BIIL26ys53ynddTSi1kpFIWywyFXQ0MB
phD0hgjyqAokASePOL7xyYgN7vr24juFHR2ICSxnHc32dPx+Of6/6/R/u4jz312krsPp9N/vYPtP
20tXVM33//+P7dT/FyZLJ2QTp+1J5Lj/YDt1wn+Bf+TN94XnRw7/2/+0nfrevySzQCwmkcSS6Pj8
p+6fHWyu/Bd2TU4LziYHg9L/4w42/uB/OnvQYD3fw97kSxbC4YB1/wusBpNWB6B6+GuEEw6PSvqD
Xod0PZdkHwHGkuXCpCGY52VvOc1wzftoPIWj6/+JI7dIPuIqNt4xaEvPMAij+X1PZLM4u85dfeHw
j1d7iOeZnwZ3rsEt6AQ8/95c42fXEobrUAgTHJx0cdtnbcVALf3Cqx9AtDkeYY80GOjEfdEdlyGm
SYKVaQ8bN2gQBaqlDBApCrxsvBhs1UnLJYQB5+jmwXIVfHjlsooCikSGl0PZGSsMFuAH/q4BXPeq
grmptrAXYhBxlCR/obwqrydwmTV3qZM2HyENo3Ptpxl1UbE/bBuMNIFgtIq6AIiaaSD+Jl0M+BTp
FoD1LNvd85fcAA71XcAH4/w02poLzJv0/GG5HOy7qRuMBecCh9uBRFYUXOZpBOxKuiB9SRE49ywL
Shl5V8nMa0+gUO1aK6/UruunZvrkT3NJGD0N44uK6sB6jJpJmwPEfMDgzDXtp6xsHHE7pEk5Hwi+
MTIelojbpOli8CK2464qQ4e8pOah/U2fEctnxRio3DBY0MspNPYwYWmcxg9RpUVxANjjJFviFmp5
MODX80OI8QefXONg9F9SB/Sk3zsKEtfQk+6vpLxLbGZ4T3JphhTES8pP0Weu/qipnaMzN4P7OOLj
xO4KMuuCqr4ke+i6ihI7YrrJgT5MzV2vPI1/cOz8eRcmUVPuPTHYnKPB6kj1cJxcJGtWUEntIvxh
6HJZ3UD2Cte+MOpdVRIyXeFrylaYvCx4sxJiQVyxVdl8jGmZ/YWqViTom37i/K5FOz3IXi0ZTXpt
TYAXK/+n05CygrYhxviAQlGy8oCebgZ8YrJm1/JOqT0E5US9apGPX24NoYwAs93zJhWLvZCtgG1N
OReT2lxah78smRz+Mj+tO/TfdmYh4h7SCa0csaiA5yIclgBm0NR0NiyHMXQO3z0/mVRWQjRyHKxn
FjeE/jlkhQHLG4DTcCuUJX8pIzrKIkxp0wP5shzazj+vYt+3a7KH8Bd/hRZVN31OBNf9k7JmUhkr
a2dCuOixD5aA0LwCOyeN6WS1XGBpXUMFESqK3iYF1Y+9K9geCH9Fk/4IibO4UBXLIT7887jimorF
D+MYPvTSwgix/eehayFSRIdQ4wrduR1K+Y2i4+XtCOh2tlkX/pR+Moid/+2xbVe7rYs2EZzZT4Mf
Npkx5GpBq8vvBDJQSpn/wZw1vxGriZdFBCQ5CyTOL/JhyFAVIOVsNf+6qw1YrYZgBAJxNmuRG3zX
uwkR/VNSVn8TA290+a6Lg7VElgVY6a3/XT1n35X08F1VL7YY91UW2+/TALJd4A7eZ2shPq0leU3V
+hoR1qV0IMbGIgQbj9zMwHXdukhNDwjd3ZoqLnftWvIDPaf4X9sABot0BICysgfvu08gnumdEmft
HqZZqteCtiJUE5wTWFEpOzHtoe9Zxjcas4v4GyjvAcW7/H46ynRDKQvHH4Pnzv3ubbrvPoeCgZ6H
RUpIrI6cn/KaGNHOXXukwCnplkLNZ7B2UGbtpbq1q5rX/ir8brX02nURxE2fmErRigVrV7as/VnC
UGkfrj1bVPSvOR343ezOf+21rwv/afG+273gu/UbyhpmcZ49s/AqOfdrh8hPX+yG0JiPae0fSaHF
5zxCGddrdwkAA3Tvd8sJBry6UJH5+KTWltQioYncujaq7G7hzcUIRgO7rL2svXa1pp7LZ05slp3p
OGInYrZ2wGzvohkm0aTux+8WeWyals10TBQ4L9YmWnEnuFvaj+xmifxErTAZ8yv87sCX724cc1bM
8qzIOzll5X6irdZk9EH7f8HSpKWPARQ/E2EOjnbKEhsowS7eCPktBUQ+5LU6CYK7pSjys017ceQk
MTcls9Qtcl1ycSGCnopKLp/gn/ttApukROpbtQiYw/UXVyMOiBwUI7sekS3KVcBIFqY7G9AxvntB
skPjYA0cnhp0NSJpU58Pvy2MtH/gQP+N7aW9TQoUk37VTuZVRQntXH5a4TTC1Og0oPGx0rSW2Lkg
eGAWTuTg7FKeC75UHslr9q3X2Kt0468iDrowek4bjfoP/m/gT1nXPHDCs+Mx5N27o9ljQ5jTy2eD
1rdrv9WiehWOTOUvetcWbrH1Yjd8ZFYjf5bt3DwChEifODDLPfGB5T0HCHztQ3Zn1aGOb8NVvOpW
GcugDx/crusfBV3WVs899hZ7rnclGxmGDzbAooFrGbF4qGTF5MtSahZ+6TzkYOg7Fh6dck8IWK9U
ZBTWhcUypSx3KsjuGHgRzrNhvlV1HHzk+cLL7i44ZheP8TeUbsdtMbOZ4i+Nke9vslF3b2EbcPdz
HIQFm+DW3XNujMNFpb17qBR90tZFtjHctDxEmyqoPHnAqzExzE6t/D0PUCUPfb4MV19Ug9xpBr5H
fOyhwnbJ7gcU0bq3H+c67Jg+lEhdWVJfFsXhvhHkZFa6YFAsR+VIBwugC/RkH1GMoRZMfAbh6xCR
xd+ErPFdIdZkaHE3kHP+4UKHhgFqi0zsSjHRIMauD3TH6gbV7SmC8h17M9Z7xkEj2oFXs/640uCu
HGGzEYkt5mhgiO8SiI9YdDNCjAE5BmE34rrTnN2OJWlWbTx7OPw68sV0XWCJ87jtzK5r6DWfRpk6
3a5GM032Ifcma7oCB98cQrHzaTyAQg+GNofhLWOAI9miwOIOsCEIVuPQKLDHgzYP2GsxoMCjx6qn
4xmcTiIMFhuX4zy/iUB0/UhnXz9yI4fDBW9mjaGIqoO5AnszzJawuf5tmLUUR7uWkXtkw4upD3Ly
kEsKAjMnDz5FcswGpvC+iqTeDgsemc04CozanQdtAX9sFsAfa3zmXmk0sPVjBPkEfMTRzMvy6Fpq
E4V7lwKvI/I/2qeZMQspSCsNrnOs12lhPmUnjwTk0z/TFV/74i/F0V1QZk7D79BtJJRs4lQbCY2L
zS06AlbNgQ+QyIonFtSyKvlaEk/3jzaGP4ASK4T7WuN6bvdkA2jSI4sVmtAbo+ZD6iQONz6iGbsF
C1tsh6l+BPHKwi3bgBuGpWVTdEyDNzE4tCjFMFb7M0bRfOZlL+h79mXSUawvlAE/2TDWP5O/WQ2C
XZvfto4J/jBK7Q6zpeYt41PwExPowLu8KPVn5CTADTIW3PFpNCZwQONofJtpP2RsCUUTRBoCuOpi
/koDgNKd4CGtqprueGQgCs+nHJG3S3tpwGLIxPU2ZhHWjV1lIUwJUFlsbsmLPthqz6RvrFfpxBqY
CH+AdEt2KXBYtDaVhm+NZyuyLh1nDws4Ig0gWHkXV5NY3kYl4/FtG1R8mwrg8lvIlPUmqiZ+/7PX
i3Wwm8mbgJlXu09s4796kLU/gOdgy+uj7NNPPYp5XEvTbwypzWPY1EwrQRDGPuupAlZoul43nu3C
rvIt4QT7M8aR223G7yZAFc7k3mDBeMsSL4z3LUiU5TCAr8egEbLYkAfIxyk+xPHIejUn/uuJMb0y
mZjYByvDs+OF/Q28y5o9PKB59Q7W2eLtDLsqwGdGBp/8AkD4XTnt8mac2bBYJDDLsxxa2e1VxACz
EHn62/Vi9gg0OJse8ACGjKML3wG8xmEhnNZzIZoN3al1k/aZ8psVkrz+WDPG9KQxiQJNr5Nswy8+
v43csMYkTNBIS6nO+Bl/i6DXGwZQ05mXDpsIiQ/2IrfsINiIHpKSSqHOWKFWj34qMsArpf/XkKR7
KqO0/YwmFT0nc5zsJffrzpVYw7YYySBB2W0lHwJe3z8gMy210bQsK3K40tsa06WHzXgsEMvbWX44
be0Nu6Bj6aa19l/h6AT8ex028/0AoWrrgqg+hBg9GTUU6xq0aSAa4VUkbgbXr9gPwWSKyxIRnZ4y
LADYb2MvseAD2NODTeVxzKL2PSXE/Aq7M7i6rc9hYXvuaSknFugu871vNe4PoUfwF2UzqqtDfsPb
U5y0RzbZVmzW8lomoRCrk+PkTwa/YNEd1OwMr1PhyKNMKOAb2zvUjNPuu97FeBp3XnTDaPE3xC4L
QmisiG0t0VJewyrNTv2w8I6wbhkTRJS6LGMhBHjm9vmjxiT5HcCxPc0K3FnIoQqQoraCGzuTrbcj
6EgSvxcZOmJf9OqJUxJaIHPnPdZlcm2F5unkro/IwHleFB3GOQt+1IwFt6ZLMmzmDqWt7YVksBqC
BtnQPpQpTkfljcPtCEFH9PwpmN0WnEJvJTZaDB/jgOWBpvRxIFnlHxCocKMlwYao6IKFCq9uMbe3
5SBWZkl/5zPdeqxAzB/xUluX1koSOFD4bTeQRpXECpnYYtP26xq/Ilq8Q4FZFltZV6htBmbjYvfx
8Oh21c8l0dOF8qI/5XPQ3hRGYj/yQv/eLbvibSjV0OyR+FLuZi769zGbwKYItq+z2oONlgC3Utbq
FCw/xCS1nGPd4tOcqjH68qu0fqo6u+fDZ9vARreq6K84j2LCbGljRwzDMjaZtQ2Ni0NVwzlJEGrD
dqL8yArR+UuOfnHfYU0zEJPE8NBJi5dIuaydXmdc7W+b9VEUzHm/UMz23nvb0xP6LVtCj/j0oWrk
FRtlM6oO3t45qS1UVhoUHmOWCcvWB+cwTql5xuFpnSnGyQkpW8RbDwsYuDnapr32KvZ9dMTUDg3o
Ir8BD1DBQNqW7G874ADLAuBK1qc92fLoDlimnSybroi8yXmi/8APYuk9NQp3a5v1A4sinPjczLBh
N05fzadWes7r1Mu02HIusNIo6PmegfE57xpeQb9lQATzYYjyh2Sqm0+RVAH2jLyrX+Ypfmm7pL8v
pkC257G1eHHIDJjspa2GUmxkZGzchJiMH1J/YJXALIZwO2CUfatsdqCEgT1iEk7y5TARLg3oVuwZ
e1VWPFEPEkMZPRckuyPaL/YntD8NpHwUs2b4NY2sJ4RVsOzn1CogLxT+kcrTCsmEjP5lGhrN8GGw
7rgAmy/jENBSImkYeQ01LdgyurcurX99tOYWMzlO13NNk/RYDiQ9ZBEuO5nMxdeS9nrecvVGZ0eV
19wLZ4J+IPAgIXBQmEWdsHNx/VGss5c6MOGfdrQxIQhJ07br12jadggsPI2THSyPchnMD1JxkJyN
2/UPM7a5Q636T67j8jkLq2kf5mXxUM7qbPhpj8YyvOiYfswfnyCTuLCzabFx6xPK3EPKtDCtieZH
WPZ3OnPLPStYsJp7Mv2RJpX91LZZyaLYnCXmnZ1+RMBZTlYCrTGT1nMd+xMzx7acT9TMMOx6b90a
TZ+M/I7x/mYwS36mnayOXhsHn1YJjDNfd2JmfEp9jXl81/8beeexXEeybudXUWis6iiTWSZC0mB7
A0sQJMFJBUBTVVnem6fXl5t91QR4DxlHA2mgSZ9uHBLl0/z/Wt8iegzl9SKLI7WeDgeWPR/7WBjv
WsVMxJpH8ik475B/9SeKflg6maZ2jYHYNhTdfFUmnhFv7aVDRBlgJcHT56NFWXsQ92/MJrCewp6V
HfHAAG163Iokow8Ttbmq+OzFDmu4bP5OzO+IfypLPtiZ07OwChPkRVKdpiBurnHFuTd4CB4XPKRr
7DBfPbym72ULCnJHGG9xm+ElEuPUfugE4ZFXuLK7D62Qxqku/O6JYCfMstIhuf5OsY6YPheSmJT1
4GmzcBf2OMrYD7mUu0bSRulg5IJrpNSHk5QAPIqpXsbMs4nNun3vITIbVgjoRx2RSiUoFIlZ72OH
3IJVjfYJuVpXAgpNMsN8nGuiTOshRlATxYMg7sfkD7Cxd+8QFec4CGI8eG5Bq4YGRxmBf85IljsO
bEbyDWKBujp3HQbGDaZ4RSSEn47JVk7WVNHl7QNUL13DMDMJj00Xz9Sn+BTn6fAHp/l/VjEHZCBZ
UCKhx23+ujVZl5jdYFF9o384n2B9m/IwLyJOCatDGCLKnmwnO2zmGy9FcftTZ+HuR0/wvzA53ZXE
urT/478CsP+pU6ir9a4f2I4LqsA1PZ/q/6u2qO8ObW2Vy7MPb/U6CZx+H82W2iwUXTeJVfcHHE79
O4OYa0zWvWHufn9465fjux41A731gFfheeabbsHo900ESrKg7jVoKU5kjMvBMwrXWfdVDmU8SqlY
BiSSI7yE+tZvJlp4PaWCWe+xcb6zqEcF0XOH9JJYZGwREDUlfrNFZo/urWQQqzal6cFvCXLAdO/+
3UvwPSZdwFeOnntd8ebxxZ6MwedQDF9MQjy2KP09aqDIy+YvYS7k8L66kAti0nvoNtC+f1FQqVoU
6hRot2PTU2Ji21KT9SnBmx7DHqvvuS+j0N6T7YVEjFBO9KjlQodZm30d4+oPl/C6X8xboBkR4Cp8
H4iGJGLg9VtgoDqnHi9Q2Vhh6u7jJqaUbxB0hmp0oMC47RCzZ6z2Up4ReHduLn4zfeuNafwg2jTP
90tjTMOGTBmeglHDt7r790/SB6chWbjxmXCer0/ScZgvvJAOtYsjZdiHjuGW55zcyr3H2uO+i8fk
W4BdAl58unCTL29FUAa8J3YdoRmMCVKgYuWhiqMCKpfgD9+x8wZsgQjc5t6hOXRtaQrbfMOLqBSq
uyCuCQeHASEOTjrD8iNtuhq2xswX/pwjU81QSMQivY5sMIOgQexY3USzW8Zn+CaR1Axo0lIaO06y
Hb2wVlN90eBBEIgZPZVuC1ESiOV67GZba9oQCAcNEaGUw0hG3uEsH8CBwmbWJZ3a3xNglZM9wov0
na2TeueYDkVX9JDUdqfFN56rePTH+xF5JihfRxIu23VV+ad3TH8G/2gSJDfHgdFi+wBb0MQjIHn9
+GhcxFWIvAc1dxYM734Mqq1NYM/e0nqoG+YFCYAvoR+DTBXuxzGa2oWYwyLWcVEYXCyqH1PK8jCr
C76ldnL4jPBaWFjGktoZYR2PyMiuf//i2a81HPrM6ezD3YOkEvBv8s0Hjp6MAAn6UhBcyES9MRKf
3VlPfGu4Tlj2lVsYLsK5bhvAAtsmSdA9LIEbwUK/aCBw1nq3NDAuiba0aJFcSFER0OalUBLd2Rc7
sqdwotHZhQhfpz3dJx9g6nwmnL5EyOgVZjCSRdkr/7nCeLwQ3+ipT/QozPn97y/29XiMcsRFF48+
Q7/GpvihLPlJJvOPTifXEhw2AdE61bKc3Myrk6ulOhHuH5ZDWsAzX7Q8vz8B+/VYxBlwk9HtShNY
NJKQS3/5pzNY4knOBfJDYLaQPHZuZAnWwYtPWeRHV4rb7IljEIr4EzjOjnhSxKqMrFZkf5GxxOyb
VTIRG5v6MrJk4lCo2mDq+Vwo5nE20GF4NAak+FvITmIv+xTycM1+nVhfiUVzWOWkMGxhr7v5/g8X
9/b20mF3LN/XzgQoKghAX38EknhKE5jhVzZX9TXFogKq+UX2TZEjuGYjTNBHYnnOKURt+EyOLRVR
z2vScGv6PqnXY1DAhC5NN7idKe5ukB+qB3uaupm2mCUfgn5WZ7cv+GzQXBaEGRV20WxMc7Suk8kH
CrhYVP792VEoQgo8W5QjdX4lOMB3ImQ/t/79FWvRwU+fvWdzxUgVXNvDBkDkuP9mTMwM1PyyzL52
FxG/gzaPbVDZ6vIfqoRiDUajHnZLJtW9TZqqSTIWpWO2FezMutqJpz/owN7oE/QJQR1Cj2WjUHBt
x3uz4smFSFgHAQruRqbzIwRH4wFobQFrt7dCQmLxVj4O9UD0uiRclfRfOfvhVRAUKGYlqJGetN6a
6pIVyeA7URHgmVVuujeeQ7barq/S/HuT4FY4y6omZmIo6uzBHP2JLaLu0TLQVE921cr3sqflsJrR
RbJh1z81BlnRbzAHw8MdPSTDJjL8NNvhGeUFL9EZr+CWsgOVbYkpTlY5613k1G21HunEkzSCjSPZ
I7hueaMJjKFoxL4i5leOYl7njCLdp4BMs3CVXZqodi6c6FB4fX1wXCLafJQL7IVxOIfb0mdTTqcW
RtMWrVRdbgovD8SxmJVWCxh2ejXjR35sg5mitizZvq1SOKgoyPLgOjOxn64LG2PQ1ulyVuASt7RG
nLsEcc5WT8fs8qb9XxMT6QN9ocD7H4lafx/4/2mmlcVW4V/rhI7dczbDo/sn0kr/+b8zrfy/CHAO
hGkiE2bOchlpfuDp3L9cRh9WfMxn8OlcrUX6m04nvL/YczIC2xbjv2SW/t8yIUf+BRwDlyUSNxo6
rBH/nUwrPWP+sxbwTMt12OywRuL8JEPDGzIaMfHaW+nbunE1npVnPruBrsN2tnPAHk+RWFrxH6bx
17M484peovsgx3TON8v0N+sPNUZ2YCYOlX3bwfEwOYm16vIBb3pgek2ycxAXdH8Y/d4sHTgofzew
8aFYjseNfTuZYdVEhSWJ4nA9o3qKo3wwdXS4TWZFxpaFBsJJzK1uZQ4GtYysJ69xNzPrMjql9X02
5oqewMAmFLAXyJcJU/Xs1PJzPdIV3EDfhg9QLxX8n7mD83DwBppwwjWGB1YsRINZtYVnHLPvJnCp
Uf5hxft653q5vMBnZPAZ122Hx/l6OlsMZPrdCI8ixvF2Lqy4O0ZxWm9aR053zSjGa8cbgW+UUf2H
dcovT1OD45hMWaowu/A2vT5ynTbWkBS4kyA+47ggvPYYGbiDmP9xPga8ROoPz/INVE9frNDKOw+G
h+uwMnqz/2gAi/VDDm0U1XN4swgG9pVEmD+pRZJWEAY+obe1d2vIoToVfhNQyJjaaG32fkuUTaf9
yDEg0/4PJ/Z616HPi6W1z//yTfPNvJ3QwNHbaT2ZPZZBe7rzYQ7dAf9jjG9MxTT10whz92u94JfV
GQcTFAqI6LRtvqY3T5xYAmRSLTqVH27COKPZtQ7AoB9/f5y3F2XZHsMQGkL9ZgXc9tfPl5Bfpfim
QMebre9szRn/NBAVOvxrOy/Zhf7+cG9fZA5n61UKRmOGS+ctvLKYraSw8Kas8Kryy5MpcekjzlGs
9n6opSLEVfGl2aQAxLt26fA2//4ELPHLKfBOMS7bQjIquj/+/5/WvcmI0SgFloCLGf3Kx5gNk7FV
QtAsQVMTYetvBfvINqoobcdtSv5KVtJ4wnyIaNDDdrPBd13CzhHJctNGyApWYeH52tcCAA+0mALa
QI+a6BUxhTS1047xA1ncSFWvg5d5QBM9QtOmfVoSP1Awlc8msjOyD3CZbVj7WBPrkpxbI4cumTdD
j9plQ2GkLG9tAhSo3xCpo8B4T+1nP5pFci76NLFvlki61cbIUH0emqwzu7tsnLjP9JOt8nFJAYxv
q4o3AcX2xAKxG3Qlj9oid77tdb7BZCb8ezASo7YqwTykW9Kf5bn2HO8+CmZ+WlMxoK0yOtg6BSMe
yBRTmtO6U/Go1jb84Ykb2UFrcUiBxW/sRM/0V6pwR8Svf8qb1lAb0XnkRvkpGQ1OPHC7lgwo/BgG
c33qqecSYxLoklMTx/GHhewkwERz52K0FJyCzELX2dqFjLKrpIFOsif8OcmuyAKYSFqntN1/k1AV
MIQFMZLNSTn49uZysN1928sAQQ/6EWtTLj5hMqVDJPsVCzpVUAOuQdqJoJxyFuwxuwLK7dwok1Fw
b0yKexnWkl9MvcDojpAVQODnrHXUvkMwMK1lnQbJaSoFjqPEIZqFwJ9pMg+dNZoEgHtj7oKwqxNW
dsFc1dvh8hv6BJ3srueJK1LIxhrlWJQkwcHHh6NvgsdFY4Tl6KUBFO1qcVEwrsecNu0drZHqqaUk
jwoBqPnTFOOyTWTgfbSdhrdGmYKMewM1QNh1Ra4jCQAdhob/HKbTdauKjni6Qs03livYDWatmo2T
LRWHnEYFt7VTg1hR7ABP40/ed6tM7XuSZCw8T75HKEGYsw06zXVV/Gnae7N8sVm+uOyOPdTXnnRJ
E3g9OAWEI1SOVdig0BN4etHoe/dcI+OUL0LDXFt1fKOIULH/MEq9HXwtiqVMs+xbHJvlxNvVhD2i
UQ6RSq+yTNcSI0P7VUqBbOX3g9HbydXC7e+yXpIB6FWPuuzr68P+HAe2F6J3FL46OxZORD7eQj3m
sH2fhihBsfX7I+rh/KcFoY1ElcUq0nQIyJaJceX1ESMKpUOHKnIlHMP7EAdW/k2ZTlMfYhUAwrEL
+F8rpK+mfw4Xq/zU8Rl+//0p/DLjsNk3XcwhgiWwjd349SlgxaNimJI7Q90huJ1mzUeKJucb2mE+
6t8f65cXiGOh+6LNxb7OYz//+lgxigDRCA+35VKmL9TwKPKIOOMHwVCCHW/86WuYLN7/yXFd9uKu
oIjqQ2t+fdwlmG2joMeyuuxHy8tOLim9e8wEXU7Ep+aJaoTy76+WD5Lf+/PjhaIr2GhIXzisiIXz
9vHGJRbUkB11Y3bZrWm27WkWJsEwVEiLamuL0v2aeOn0Hc2V9VUaHehbW/ntM/L5pNsSVFp/RQVN
iuUFkIqRUc0btJfZvZcPzmPFzvSK0qWWN4hBfUCDpZ7zBME0QjLfR6NcLmz46SK5FbK5atzY0TA8
Z4kfzxuVEB8g+RhosozB/Ez5Ec6iocjovGLQrCAsueXL2BGwu18sezo6fVf4d5PlMYvMSRMln2Ay
5fTbY4Gum3glAxv+3ltQAK175mtjDaIXb7g55F6INhXe87cAbQ4gv9BfqtNYLsLbtG4xkK9p4whe
xUKheW96I8HNJGpGvKCp+HkBPiXeGA7LffgqavHvxDDzG6KsSoobk1bWuxSXAyTTBb9FfoI/rfwt
Lvsq2Oc9Hd1bw25zfmcBtpL5LFjuotZZ5s2l+mAuMIjh1wzDdT00ub9LFs3KLUZlELijgocpLvTJ
Rc1C+SBavipopCB2ksC8bWXecSE9kts4mznJQPnTXqaZgGGB4ugB/vH3LEPZuHLTIWI+nn2TqDyP
ceiqRRQYwX4U3aZqql4cSiJagrVLKNnHBBeBt5vzPjhMS+R8aqtk/CBRy7M8oCNfnYwSI1+BOyIC
OKp8UisDv903ShcpOva5B3THPgIO+HsgSZXoxBot6tDgzAYfGVQoP38M1ZBGuDpzDI30inxixnUl
kqJ9ojquH1XgM1XDYGCZ9OPPp8rwI5RP0vOvkq4hN4gU8vQTdjhnQ+lvqg7dTBl4k4KheDLaxn0v
PA9UuSHMEIQnHgo2TEap47sMACwdq8+9BI+BaIUyzS4LpjCnXNf34bUqwLLumrxra1QxTZ5fJ2M7
D2ukBcLayNJsjTUbel5mlJwMGkszc8pF0UXV3s19j3UFnFECypwKGkjDN5Ijw9IPV6EIWdaVC8vt
DK3lb4PXvzRdUuzT9b03nz6fvWAPzHBHYe3NXGmTioDsCCVjBYl1eaxGXPVHlB4VNz9UAXgCYDTu
ValhWTcK/Qu18jG05CoVoqjxqRrgF5HvkpPlDA1TbNh6rOQgWibLkcYpsi42El8p/loE0aCByFjl
4WLZqQyM5ZOflaZzwPqGLw9jUl6SlqSqYuvpJglGt9A5U7ADS6Equ/oYRf381RgUrM4FTQBdRhNZ
Uei1w6chVfGwAwS72GvUWWNzB+qyenCVSsMNRvrFPTHJMYrKFsbOMUPh/Qnm1BLRf3H1MJNiuVQs
O9l+oAZyuIZCJTymOkV1vcaYZZDXFcwwJtZTihtkYyGl8c7xMLgNnXQwf/SVmkaMx44MqPxdG0Ac
3hBax7dt9T12Ssu6JSUDKS/TnPkUkfxFFHSD4Z0IwWvyLIpd3LhkDLvO6H3KCwibQNBaUd6Fo0fc
DoEok6G5LLOzpTbaZ1cmoy2Zz66a1N7Cjv00WoX7cTLBLDJQuQLDVY5boyKKxIT09YJbJmlXUqJ/
3vyYvsoxCSq6m7OdvwAPyMetqCUXnTlxrFa+wTyMsia3rYMJkQzztBMHm97IyRFFhQQDjHF7pK7J
CDKEqSd3TpE51Rreb7eNKtFtF4YchA5GGtT9XTLPw/CA8J1jhi5+HOzV8dqt55lAgtYRKf55b8Fn
3JU3adsa4kRrLIHqV1rJTkUtHY+5DdUXE26Hv5oS4gW2KZnK7h5tLh7tellAopFSWqTNfiFsfUED
7S9OeNsoOgpffTb8lnMKAuKdgc1Gi1mdQGLm5a4TbZ+viYVR7V1ultWTOZBbcpcaTFcUwmv6WBBB
7YQek4c15pZDz7XCgUXM9BZhc9jcpa3lpHc1s0+6D+d8os9hTwUb1K5zeL8sSW7t/QRXImILOZcF
gLgRGM54Z9a9XrpVdpxdAaSaeAtdmOlgfBg4esdc/f1DFvXJcJgCm9YAzWp+M7gMhqxNg36jdeiq
RD6ACGrYcsCChMiuP8o09NzPgtILQdiXnSFkoNj42NSYe/dLPPA2O8lSPVHMZhVlkCLcrOax56oL
hkClYYz+fVHBAcEw29bt0ywnQY4ZSr8NXwrAaBbX3bTtZ6S06FMEf98ga83clx4CbKCzDZ+KWU0Y
j1FRQ2XDbdWkd6Mrqvx9l5Q57FXUALzSl6FRBTTmoR2r9n0iaiNB7aVYS9QzS/0vjGHKw+mUNeY+
bFmTdK2RIIKzgnedXVbyidY3sV19qdVllnVKUwspS7T4H3jknX1oE2P8FhEoecjjSFC3C3GEZI3d
0cwKgvTc13a9793Uu8J/UQB3N60RX+FsvKMyH7O1NKDVx/Rxyi0UM2N6wDaHSH0cF/PRR8CwAtQR
kMQDzv7oLpH9zA43P8zWKG6dyR922KaW3Yhl7JPsFwpCfJ4IRmcn+zASZHPsyhSkhuXKhh0KwWTo
QmijFyXrmCzW3HYhwv66YMcEcsEjSpQq8afUqHEw1nYzP2fVaHxmNev7m8mTJ28yMlD47BfxLJLO
RAxacC/NxnuWPngZNPgk7MYazjVBwML7NUJqW+Eb8O+IQgZWrGO4EyIMOxDbJgqfq6h35LFE3v84
owQnk5VWFTgx833ksR6Ifa3jlHW1LwBG3gIg6jZFjYg3cRpxDV3DiU6kckuqctrPgMExORpV8KIG
bdATrBmLtRh0UJCpM4N4buN9oHOELN7rrRyzezTJ1ACiDoZr07XdsJ78uXgeL/lERuWhxMAjmW2T
RUJJVzXqy+oSbWQV8jAWruK0dfJRP0UkJFvNyG4aOtynYCb7b04WOkeG1SfVJrb79NTopKWi86xn
tKjR58CoKneNVBC4hgXrlbdyvm10hlOZ4Z/wdLiTgMD1DOGwscDxEwXVE6/ZbefKWOE1I4DKk+kh
clMy+xrlVGrL++a/J9eazCnymqBThYswttB2yDRkLLqOozTju9PhVaaOsZpiAq0aArs/V65db/GT
Jfcp3QCGIFaFO3ea3dveCp5NWWdQZwwAPnVSZunesqLSfZFp0FlXCLTAd/l9hIAzZyIyeWuHal/p
wK6RVOZ1tBjxLe306Xugg72CskyJp6PAB8ajWtawb8gAq4kiiza9JVvqVCFIGCzyDvro1g15XW0z
o4LBY/Q/mirrbvIkGpEY2rHp7wozNeEBdtO4QXPORdss6aAqtcZNfok7Qwbr7WnLQZUcmviWvmm7
D+3Rewl0Vtpi6tS0FMsULhFn27TkqmXUAbO1OyHTtdklsiXQWWy16dbMXoG897DIkSPfI3R3WyOt
r9GJJGu+Ka8GNETmm2zS+qGu5+XAjh0jrB/CLAKiqGPN2pQZJYqGL3hX5z0yV+tTXREjtunxcS3r
Qkxxjfq9jw9RqcSntse/nOY9hp9oMAIsLHVifvDGYF8j6lsleQ1uRjQAlnITAgKkYzCCbUgcHiLS
a0vh6YiooD5QMvmYMNBt2nbA30Vf8UCIbXGTCN9cdwUFqaC19jKC975pgMMiZg3tLcM3ZASo4OuF
JLo9+TfOfZKJ5CDcvjwQbKb4GkuEKx4DRL8kclUx1J692mj2Re+QAeBkw7Fr+mLlJKl7P7COQysN
Stdequqqk/L7ZCI3qDKvItHPH8gPBERAvlzuUdoMysi6Vmlvnig0LTexnWQk2QcqgXYT5vmX2ofQ
t1XtgOIyGIqbZQJRjDhy76Wko7Dmpe3IGqNLvXed0TB7A60M96jUuw3Ca0MDL+JPZtM2NKCCKjt6
lhOE9FSsYDNVmY+bBTrZ0qA7aiGCrqdqjL/N6dBapPl2I3CvCVR4zIIVwWOwdsYRiussx3uGnp5g
tzhBIm5qj4kfN/0BgC/qXGIAfALcYB51jqeAnibTKcxSY6cQfj52jmOAqVDGfFCtqc4ESHS73B6d
J9hhfvlNYB4zMX0RqHge3KW7TRl2P1Tw3cUO/RzaIPjgFd4RyjkP/lD711Aqgbn32fCODqFJYKLh
jXsz1AkG/kTHt816A/yDWIgfpH81vR8pMiKNpln93c1NXmmVz/bnCOUxXXpkLmtzDhxMxU017npD
01KH0Qz2VRGhsIbW52+GmnmoZvv9Uo12pXSkxhBjcrGnW3dE9H1KI9gYCG0lac4TjjPv3C7yPiNP
UK6mNCibfYM/5IQrIH8P+0AQtpC3pz51plORZ6AhSbfZZp76UtV4XjZLZw1XsiTxFXBRXN8b0zye
SGUP2Uc72daG7EfMOZGmqyward0iWhRXDjQAypioISG/zUor8odIbIe6DKPbmMcfrcbK9dlDUsla
SRvzoyOIKtrbPQDEkDfzQA/wuR3K+V3idlm6G0csQBuc/Ig4uyq7HjG1HTtG6qs+hjjcD8mH0I2T
M6M6/o18kTdDghu3YdTcB35t74ZehteCUfxWjoW3tf3E2JEImTxKwENrqAjxtpzt+HqgZboB6SG+
+P1SfZSu2V5NTTbcG4Rj7YvSf1ROVh/NGX8aXOniscEVtluwsW07E5sIGM4SP57dRDvGoGqTYsCF
7WWiKavwA1/jxh7X8RyY5bZMEhaRC29z78H5F/X0bhkmF2IvhhMIQYDjqACEbX+WbFbAyNTDhroM
aJSkD+V+suvhaBaDQ88OGf5Od69PPqHv6ZpPxjiwLCl3JPFO+Bw4PAfV0Rx4cRH1Ozqxw23J7ggL
9nQq4qvtZWcziS/sn0cHPx5Jvik+KCu6CyfX3eXsS68Ri3kfAH0t39UlN6TTESI5WSJsTmAJ15zt
NsgGCImX1JEUDsF6umSRhIoaqOGiOD77PmIaUyeWLDq7pNEpJl2DmZHEQzfYZzrlhPR47JuGiHC2
mB3pKCsUIlDKMBHEpx521LRudHKKDZaGoJ4s+VpTl9rmvQ5Xiemc7MbciLtdUV/yV35ksbCFOY/e
yB6+YttCo4bYlllnAtUEHq8rmkW3KBHFi4s68mHWkS/ZJf3F7FuMokkviIK+5MNELF5x4jU6NwYe
ULqZgBV+dKK0fpJZRK23EUjRHUDvco7Cow1m+lRcQmkgnebv+7ElqsYtJoQkNGyC71Jn2UAf+pZH
E7PuEDkudIx2cNY8eUJoWh2IM0c6G8fGMvOF0p9H9g4THMsAYDPNFGMDH8AXn7GEpUcSKoed0cQ6
d0dH8NS1CdY9UawcIx3Rw5FjtGjE9tg6wEfoKB8SCdqPTG75Efaqc9MvRP40BhW2FS5MkoAyzC/v
c6KlbyiS11RaiAyqS//s8TBIOmrSXX1JFqJwg/3PZWRnetDhQ1mLW2PIUOJ9mbFTPmcQgHics/eS
dDOeHFlVe4U58IgKn2QjHMC6EpamJB4lOvyoa6gmsar28unYD5Z8IAMKLkClQ5O6gUe9JizHuRpT
kzIV+zOySRj23DNOR9LMl6wjQp7OWboHWFknGvKc3Cublfk2TG33c2ZFWb+mCqDbb0uFt4lkyS47
EEGyWLuM9uTLWJFTfJUStOAh91om5whEtnjOWN4/mwa5KnSMSdGdYM2iox5ZjYJdxH5wPYpijtZD
SqrwOU3ncZcrMixjUqHrFTMnPaaGdeZ3lmQEWJVebCMSSozk2m7NqN+g9W5uJye3nqh3mMgY5Bid
PWI3Pta5955Z22S+wLDwdcTMFK8rjKGS92lun1PEo6fxUmIMLxWTH4rw3KyKL8wGQ3wcDcO79x1r
wNSdu81jkvYop+zYUdq9LMrDAiedMISkGk6Gv9RbQNbj+4RkMuKHG7acBEFFwVVf+dlJZRbJ1BBO
ome0ruxVpYFvEGDoYLB9nXA6Zsfe8YuPg2uT0hAvFgUbAyfQDIImJrMCxXbbrYgNpIo2JT7/rBnL
2fnGaE/WXW4lQAQzreTtQaCu4gBAIqpOXVe0G1BRjHopnpu6kMYLf5u1vhxYYViIEZ+62AjPRVuF
IzsGlVbpNggafkklmZmIvKlN0tsqT7Cgn9tsq5nsj77VLmsmJP4Yn6LD2xtg2yQGO6f0/OPn6lLK
kHo7bie5c/T96BRFQGFWgXKhxSbwXmAMpmPDJL1yQ5wI1Tove2s5ZK09pQlklaEqb/NIcTNsCtB4
F2FT4exD0Tt6OoNqpJLheBVRSl4OFRyKOHr8O/dSDL84OoqLy7tyAn7F6If801K5nZ+RHpnlo2MT
cOOvIuFkj82lFd90lU+OV9wz+RiK2jLA/bF20usWkHb9kgOGcbZ5SNHu7+oAJRFuEntuqgsAFGi/
xtSCJVtFLyy3GExHdTBHg56oK3s13ZOKjvJOQjzEJae7iz/KBdjMOCvDiGmAjq3JM8Dyz8W5zsSf
CcqRlnUrIyhlKMlx9OIgC7hRPcIUes6XnmvHc6KYV1UFhXcL1c+K2o2Vn+umztunzLP4SVTh3380
EYFO94yStIxbdCjpNUxCXsqYHXF6nc8TITTr2Vd9emMx9mj3Udp/ZL3fdh8KkN3NowWvoNqNpVfq
eSwKu31PAxNPF+ZsfkO7cKLNWErk1JdLxQnQ07b2AiDTRd7Na2bytrhRMPDjzcA5TIQJxGVAqcTR
IgjXCcV6NKD8bxO35BIn/Lj2yrb7cWJd1ET7pEc+0bQiv8IeSNZMM4kPSE5tNqew5XJp7VLIE/l7
EQ6ju/pvJhBtKjgCUw6fpaexCiH6dgpk1a0YodgesaTIp993on7tQ0lUFha1EmFh0nurGiqoAgfd
pOpVFPAgVgxqqXFfdtVSvFwO9P+1GDGgW/ivxYh3aCf66Dl7pUfUf+WHHtFw/7J8OtaB69LERsmu
tYU/BInke/6F0gfpDa8eqlyT7uB/CBLtv3gDXNbNwMRM3EH/cMsc8y+aDQFSXlfCYHJJuP2f//1V
Y6J989+/s0E5KLtQCNpAX5GdW2+dG2QLZZR2lbcGYABgVS3J/QDaCmxSlBC6RZFjVVEdW9VFmlyb
vRs//HSv/hNZlf26TcIlCmThJvJKaJGcxtvO7EhnqYjpxq85U+PRaEld7XpbcFRi0enG1WRA4rqm
jNUmNzI3SHeajCbYLv7Aqq40jOU8Sbf6kM/uUwiRFUEa1vb3dqSGZW9UmRx2eNO3xQRq9/enbv16
6kjCULVz38jjtd5ayGp3LhErlPPadeeJcqQJcoxct0pgTJ9t79NcM7rtggmLPhj8xU6OEKqt9Eza
Yhuu/3Ayrzvr+j6i7gaLRyPfxojz1qtBqb+FkO/AS2f9QSjIgPhuBSEyNXeTFasX5Xdy51mC8MaQ
4E+Wle0whIcmyCkpT1WexKdSlsO8s+k+EgZpUF/aZkR/Bnt6G0l7ts1xrP+gfngt/eKkack7NkoL
y0b/opOfX5nwaF60WY2Kfw1EkpSZqOgt9wDMkt1mVaaCNnkR2ZjEogQbCEB/qNp/uG2vB0Z9Bg7W
Jd90BJ8b58F3+zMdFbUdXDqmzHUtY8qH8bAUEetLqCZwuwYNeisDFZ/MEKfyXU6MCV6xoS8n9g19
6dJ2trORPZjIIJM7VuYTvKgIl/zw758mT9i1uU+cIzKG16eJn92FKb30a76kdFoVZAo+ICNId1Vv
slswbbb/OJ360j4oxKnxTbVMzF7EQFchRUNqVtsW7gtluqL2O+Q7zmiff3+Obxqe+lZ66H211gFL
BvdSP+yfdHy85vbclHa5DiC4NbdZ7dA5UjHBTat+JsdkI6u53OVDIJKtN+fgBV0/G3bCQNp5wJBB
mTQalX9a6Fi/tPFY70Q1peO5ltmLqjV5yZ3S5l0p6VGtUcYOBksbLMObxhhDk2CrgKoFtvJ8uG1Q
8ss98RZu+Dj17fjohTKj7QC4vN24fe5Hf3iRL93cf7q9XDzlf6ImAk/rQ5FUvnlA5NISvdp7sAwj
yBRrPtaop5BghuQFmawbVyUGPntNYUxtx9km78YfnKumayKaqKVbhGtKiPafxJWI/rjpP5+Xx8iK
XpiXB/y2jpN5/VDqoBt7X8wp28Yy8wBHj/UR/9ykNsFY1sUL9vAGzA08p/4MUfVYJH2ptkqj5ObO
vyMTBJezNUzj0asyus+DsWtV03zozX58PzsBrgpJ0zdMRszQeQ8bqcuJHm9ZBVEQL8gr0yUNzy5u
E0uw1UzYCJ4aVCN7x2zU1tee6xLzdVGEtCqxY2falz03etVvzrPaGiGASGmOpF3BIptxkcGU6h4q
zxl3DS7vgRzHFfXbz5PZAHulwludR4Oa7TavBLw6NIOQSpr8DHaKM8GFSpmhg6XJ6xJ/TRuDzh7B
kI1+VQHLt9AbiEWiDXkdaOLHTB92DY+pBy1JxUc71yP04AdqSNWD5UYP7UJuYMQbccjQQ1+LKdOi
drqXO2IEqf5Prv9s4H4knQSPfKjd8rb2zTOWn1r6NxuUIMFhBmcJN9ouTlNNKtsQeTrDqAM2tc5k
hNKPtEn5sXYxmJMW97AoAPktMpRjhqFnj8qAyLHEa2jnsT32QP6+Y2/3GGA7vLUrKpdQtzDcGDUR
n3mzB4V7RSqS96nRrIBmAMnGu6pqAgguIAF5gQqg9uu/TX1df807eAFTu/WdllC4bMruDJ/WZO2D
O680p8AmqdTsi28OZS5qSjV9oM2UIoZHRwvgABW+ejEbiyYHMQGDXJMHo7637Na/1sg37gLRux+b
KfS/Vf+LvPNYktxqk+yrtPUeNGhhNr2BCITOSJ1ZG1hKaK3x9H2QP2fIyr+GZTObWcyKRmMVEQJx
ce/n7sebBelL1AHbUB8OqCHRY79qT+w7MFT0O91Yim1Et5RNxPAgaq0FfUcuqJzhe/BwYyjuImJz
dpMJ4Eiuh/H1yIB6Fy4AHZQvtsOI2+480Lpgk0hvVATKwdeHsdwpram7wlwVEDP06EGZAz8sFuVA
wcXIORSARJiuLIlxxUr0Q1TsaCjLtstcgXvC+17eVzAohi8aRbaCKcwVUcHEGloF1PCFkJFc3AJa
AZAgZxqMc3Y2KbWUZfSCpjz7fQQ5J0auI9BadY+CYciAv/J4LfVeM8ocKcQScEQyXjjEwNBAhDAZ
omRUj+lfgI1ySIt2k36BN6J2iv0eH7VNKPwp5KB3azKd8YRhrl9ZWNPtqMr1jwig9aUextExxaBZ
U9YDRx8MsTbAWIeZoHBXJ6FMbtjQUy8Cx+WKhAwQoxFI7rV4GBmtcZ7X9a/j4coRyeueiFRaU4S0
FuD2GqMPUr2nDFuIbUWqtS2Y1B6UlUsST6Lq12P/CgKrv5dk7limXvK0H2Md5D7JXofmrGyfBeMl
HyHPrcyTSTSbnTWbZIGxqcK8l6XxuVwYFaE8B4TmU+naHNXoJmwHYScPY+HO+lz4TW5YtNhEzd2E
Z7h1c7AkW3ZVF/4tfkgAWtHFuGJZcKQZuzBWwjuoLNPrIOjJUzcTMwAnSCd2Tr3HeR449UpflJcv
4EsTzM07XlxkJyNJiucuneH54FS1+ZDmbdBM+FjI1emqrdARd58u07WSJfnVtFJlqL3pHJK+rwTn
P6yablISY0J0UOjhvc1XGk1PdPITawaImkVJGIiqISzdRIi2rbnoWxk3Bk18KYlmN5jIngQ85+45
/74TzO2fVGIYN/SPoAdnCughYNuoQuuHMPE5vuWAJ3YGUzUnFTmuuEYh5TDEZliJX1gdTJuzH0oR
4x91hTTKAuydZYhHiqbo5n6QU1O5Smn3szUmf0elbPWtJEbpXg6qF2nF+hQcP/daW9E0VaXGRteE
9NxMoB0rYjRANpv2AXUtOGYMYXac+OcHrPrdpc7aFLwSVxv506E3ALwDj8qwYphmzwiyzA9bCUqN
Si1hvFKI0i8gkf4FJwq+QEVzGtdX5sRRJm4okrFzLQw/xLiCe1OJrPtpHp+RL+n+1DvLE9hD8U9r
M4FFIlE1AFoqCurX9ebSJ6uBbDBNp8X/ZIf1/FAVXYETrSOm2E760+o/3ahfIKa0Bp3ewwsrHQQs
RcDzySzAHIbrkODKicFedCONcrNLyiBFNs+JCTqqNcTAuTTxAT68egxWCFRZ89SLAkQ/AIimTDVn
3nuNFhtbCePSG+V7HzGFC7tghUqxd54plqdIm6c6K5qN+5QM1Aqgamd21EwCSi9tQeEDApLvqi9U
VdGr70ILvcqMckIVatcPV3Evb+YYYqUAor4FLOSDC9bvqlKTNx2U5B3DcPmHYeUb/CUVH0u3SB9a
hWqB6am4BCtKi03o9Dz11XIGTtafY7oyUJ7idqdXK3mrrlLRoQVtOmCVma86CJXboatVelsYsbAC
ULYL5+B+AMA/YCTZC1+Ur9GYy2MVqBg9ogyrlBmnB7TY0V64T3BAjvQNrrCw/IsbFqwIsViWPypd
HW9xK2XQgllbTCJNNLpM5p0mKXroNEOm++MkYzEw1fKWX3Z2WGrsEE5DSZVjsgMHPkiMjsJX1ZtL
TXjotFk8x2VqPDP4NbZhHUixpwSB5czBhCd3SDmJ1dJg3olB2TzUoag8CV98NGNFpUkcTC/6Fz+t
zXuYzVMHNphf84s8qLe5GdOjy0NoMjrrlmhA86MfsvCWWiD1c8Q+/RFagNriFdmmr/A2sw2YowYt
mnJamYPsSCvoTV+RbzHst05foh2A+4ZXCKKSNANwkCZKT5hkUSqwMs3k/HlWpXEVbxPdoAEw4Sei
zGJ9W8Zly8lCZXcxkSTyk2mh0mCYkLcoTQuvkdCg1uUrwE5idnGQoXhxcsfD+FaJ8XIbKEOnMm0P
5odxqITrqGKDjz8vJxoGYF97gtqvgZ/M09tB0epHGrFnlJTcfI8IzJsu4SVWADXCSTIxMLtoZdVy
1IbPtcflY14JAAhNmwZ5Sh35YUGKwFAYb/ppjo75kNK8LKTAmi1xfkdMK2IbS0Mjb7S4Np5lckB0
pUtAh2y2f+Y9xSqGaMeKlYDfjLmkogHJ2qCB0x1NpiYxH7SSamkp6yErMhvQSDCOqLMWi3aTqyOU
H3xRbFjBUdsNfCzreoirGZTP0ulVtAXIzeMcc0elbwM9my/cHWl4tGI8f5sEbrXljuI8aBsZMG3u
hID8tn3bWfcSlRAQArtqO3DY+wyZvPN8HfPuNGG4vACYT21z6HvEnGSZe9Ydqw+cyNBhTvdFcaLG
jSLsSLLeC7GjTjdRBrY8YOafefJGx4qIwlaMqXNxqJpV6cgW1QCTWUt1KXeIqvuBEFdrpXAVHYHR
1YLTJL3qpB37G5cnT/mc16ExoREUwb3emG2/EbHOUV4oZ+UIOh3vuG0IOhJvaA1k40fFvM9qHCq0
L/E/7staH/h/lsJLwGMrc9hilhRemEZ4Byw0eBEXk1buWRFyvwmyqYRgWJv3YwxVye/bzHjGoJi2
tL4oXedLlO7RQ8S2vHEIVBkvVtLROp7dsSPUf+ixMNDIaXSoMTg007PQRwp2JXBQGoZzOTI3+tiU
NxObbfYkpEFxstN6X7gjTbTYemM5OmZEss5DqUWZsz6uMwcQ4zju06Aw76VamTR/ScnkH4S+rwQn
7VNAlYXSR0d+ygUtOKLQdz7bg37xk1kraTfiMvAeaK7NDtRVd9AkxxFTV98E4kOMZggPnVA5RtJQ
4H6VybmtxPYa+jspO4EcSVHpEEXZt8QHSKLGg2Yw33DXkEfsmVWvUcZTm2yOizGPGicoMcODp82M
a7WS4vM8jpmHG5BvK8vEhAa7VJsR/eviJPST+Rw1kzC5QY+vEMiuflMu0z7UAU/VYiDvKzkRXuRI
ouimUxc+sCTDfuRgH0AQIbLrD2E63WpBw6MBAm2IV0y1Hqs+0WzY5CDpy2luDn0fKi8Ti/e5hO75
Se8zpWhct9zKEea365j+wxYzRs6Zs2/ksfLB+1JQO0ObFyCF9bO24aUrMPBUiGCO0AoFDrZIwxL5
m5nHz5AHJkaaYnCowNQDwZpJ7re0Zo2fox2oZ7QNBuyCs0DptOKw6Vg6rcq38mQySe8IhCOKPtFf
hmRRMBmNGclhHdZl5xhZByoParMAD9TUQiQradE62AtyxAMt7vrnXp4yHVffmB/EOawM7o6BsmkK
Q0uVzIXcyQ4c/2wPr04VfJYWa+ak1mPbEKPFwsLYdTVAUy1ONSfOiZP9LuXyfYYGtY7RNuM7GZqb
TtnQtxlDERulyBnaXsokfCN9nxdwUtvyY8Z9iW7Z41hTKuk6jHo2/DzQwc5SaAVEUEulE9nI5ErK
Yji/VHFO53/+hv5tSMuLozREYpoOQ4lk/7cXJ9bm2GGOaXiY1Ml9GEgc/IiMWgl3YJ0PxzE0SSuq
xCy9bkmIIkBlwxIkqDVns39+LT+ny9bxoijLhglKh5fD2PjbrDEkvRIlw5BzyMJrQtTkkNMKQEeF
0m2WNNF+c3P+nOv61+XIQjI1JC8uKeK3d64WVosRE5hwMKsvnTBVD52OVFpimXr55zf2yyvRnEd6
d7XxG9+iDnlYCiTd55y5CYCgGL/MniYM6t2t4c949P/X+hIaD7fK/15h2rXZx3+Un/9xeil+Epn+
9ff+lJnox0FAMfgW+AIQ+ay/ZCb1DxPmjsZoGK6LxBzwL51JU/9QKb0jnyIzG2QWznzwz34c/hNN
O4xxUaQZJEBH+r/XmUjcIfJoYHAAFqyK1/fgH4X0EdspiNqyH/i9DzXNr3ed3/5mCP01r/9r3vnn
dRh48jZViGnf5/l6jW27iGcYAJve0zb0rbjyRfN6F/fRNnSX3wRGvzSeb9eje4j1xUR1J5/67QGQ
jbqBoUkMbGnaSJYNvt4+VbfBjl/5knvRmf2p2/mF/1sow8+/ua83+vcLG6s49bdpO+bVJIJlTaGb
tA+w5KU0n7cUhOKMjLaRcZ01uk/jrs1BnL3rUo8urEMew3+7EX8h33Gn/rz6//lCMEWhoKA6ccf8
/EKwpEWlmfJCBvlz6N/T5LEm+EweKCpoDk0vpfWoBh+LyRZZ2FqhV6pu1DzNo+KF3U0bb6l5DBbW
RKT4ebyZpdrupM9hOKeYdglMiVh0dXZb5Xacr7TuLOrPiv4e5IutYIfs+9e6elE5Hk63cvogdvf9
5MraJS62vdFj1f5o69tWup5EF89Eik8S1EkrnRg/yVP+0IWEPJbxxJnmrgKolbdk2U31ZPWZl0gE
hordrJFEolwxd2u4KRjd7AyGrToYNhXOoDmfO2Vys6a8Iia8KXLBizrOksWRxIItqYsXGPGWqMzW
0G6a7KbBTCBoV4t1pSdkHZrRBgeKCXY/m3BKyBUpx64/xZLgN9a2U98KrArSgyDa8+QVwlXQ6W7F
aHXYdgxShOzKXLRNm1EM1T+WkeGIgNTbKN1Npk99otidedmydUHelc2zxAwfo7Qp3hfzfqQMXiXo
Z+s3dfkAy3gGKI1PtEoMTyLvtbTQ4jn9g2/Bye3jwia1Zods6VR6P9Saegr+sKCwJXakoHRCoSFR
skurd0IgZrSphFNZHtm1upL6ISYzbm2yINqxxAZUjA/EEaEHX0xKiNLrYTqwzdE0b+4YVJxU9Qct
MWT8Cq+5VtTw1VBewnAzilh0011Nq3m77KBHesP8CDQ6qM95eNvQm86nmfWeoJ2wlzMn3kxyQ935
pdb3LRqCKB1yg9mYifcudol1nmv2vNLZSjIb04cOGCDt3KkhYkiAJNzBaz0gh662TCidULfJpfkt
WZ5O97LOz4sTJT+XkfL1Pv+E64SD6jpX9kul4RBqNhlMdaK+jhHfiOStJG1FN9cbi7MZJKuPuVE8
HUNiDB0reGmzk9RqZ2bMnjyf2vhFVU/drN9moavJw71WubTU20a/T/pLhgcbIo4wHzoTfaEXyB85
wXTWxdIVVD9TrrtQ3jcqHdTp5Na18JQzLqJJ1W6ZOgqLdQuF+UYWPrtwghQBJ5uKAjS3gxkWqMda
78l5vGV1JaBZFG7d3JD2IX5MQ6Emoky8juaxALsTzMeOGuU2OmlNAToL9J+XlSYgZk+dN0bsJ/qB
eQgxRyQhAkQbTZY907ptjGPIAXwOr0naTm2/RVXwUpPZzntkHmVjOBXFVVc/ZxJ+yTUopd0ZyUMj
sbtWjxnrxcA9xSiMbhRp0r15CTZRQCqDTfekXHSzOgqLC4fMz+Hqd8IhomUwKeyBRtBESTYp/kXj
VcZUZbAbZdjJyvnMMlBrmyEAMZHYnbHT+At4j4hoMAcYqWPIaIjnXxXQyCusgmYAOuOX3BEKV6h1
ZzAlr1ejQyKVyEjkTYOODumSPIsG6fwqJl2oKU6OLL/cpAUsk8fOOqnpgxIkG6N9MinCtaYe4GPi
xvpotwV11gP6p/CYVhFpSmrjrMfWqNw4o5t1uKWy+w0GCetBdEPpjFND/7deYrqSSDWv93w+/NAy
sLY0mEqJn9bHon7MaAITCk8UPLrBbDjIc+rnZutYMy1ek+ZOBKEkqfMklMtieMwo2Z5JK5h3kKrK
QnQ5rNokYxyLuyAuNwwkmDPhgSdDow23Fui6Idkxsgti3ebYU8+wZ8OdJVxP2jlobnBuOWHwgIht
i1rPoDN0iIZxdo09WURfki4lJ9/M2qEB+GX3Vhbvi/7Wt+CJu508eYyruuGxzXzmIPq4LbujydtQ
xx8I4G4u3pf9q9m8jsNRlu9o+dLXliugLqLmVlrPGfsY5KdJohp2p7XnVn4OgVMh4Ng4Y+yF9p2l
96UGxD/h/HlgaC99UlSw4xhqD9mL3F+wbywCtZgfunmr1+ekww/5ToB3QJMrRuAshWvIbwoEGmFr
Zo+Ztsusl7q5jZJ7tPneTD2S2hndmQVDtSxPfRadbnhQ55e4fItLb4quulBxplG77STfFN5nxa8U
AyvJ9D7V0X6stFPQQUfRll23NJ8UhdhCxxiJgUhvcr415H1oPmpp6WbtDrwo0x/6i/EC1w+gdj0C
gJUNhxl5RWVAsXbj9Z+d0FpMiEXCBmidXXBujOWZqBiPMDObbNbhfqMENf5lZUncYiLyWwzSqepm
3JaUjI1ikTsK4YlI7lxFSHYJBXx+qhrwK8UGrDhudJ+/iuQnz69RwqSeTC58e/U0LN38SBT3k1il
6AL0LC4N7LZNlFrsHZjwOEvW/AjoBqS6ofuspTjdTGX/zvAMPM9icbwQ5IdMNwo3bGdmeUJ5Yhp9
pZdDzEmSUPTU6z+6RLoIvEs+8ek6M3miRfABdDHZzMMjC95VqghkInpXYMcmdtEG2DDJ9YBbFRPv
oo+e3N6WcnFDuMpbDBGEo6NZF9aFkINkqGJIzO0uuTQTv7v0Uw9O9JB35iN6Ytaae3jBc00yX7xI
cKQl49Gg7NjMjmtqEL7nBsYAA+urcTwo8EaDNfVkU9N2TiWurqhXxtLuIeKA/7cr80BjlSMLLxqS
6OCaqeZrEnzd0FUX9OFTrVDEzGNCjtOLmmbIcrCxDyMWyVgF8b1vC382iSF3xC/ZjCUHhpAHRsgE
jr2SfoEiJRFOcoWeOz0s7FK6TJG6lQx6IcOdzjYtTh092A/JYZUrZKCzfWtul/I4Qu5YlD0bLh9Q
l1cUrS23h1I9CtmDIPkxnewdT6yp72zCSl6Rv2rWOYs+xg5ScMdwqbfl6YO+F3yoKN28KLPbVKOX
62+15kvyPqPwHXiiwE8soiJ3vmkAQo7aD2Rvr+/pUev3bNoM+XpcdxYUOQyWG7D8GXyG1UOJgFoJ
miOwz0myLUNkvlyeMD2C6sfKalzCva6RZmENZTGcD/wS0/BQSg9luVUyyQdO5RT9ldl6pUV9d0Xz
1inuqL02j0t3M1gPinhd6a4mXXeYWlIsJypdLk96va+WSyAe++BAq1E37SXULtbC8KHo1g17RgBz
k6anvmFxA+sBhMG6m4p7BBZjOoviEajSCRoAqNBTzAdZqc9xVNq0WHloK6lFt8FZkX4wk7Gl6qh1
jJerl5Q9HfFery8uhOEuIwN2rPdGujXU2449mCY9AZC1jfCqpGZcyHbIts5gpI/NcKyUxxkzs0TT
rrzcrigOXXuVlc+sODOYbttzH4FVYB1gt6rGuAWxwIemF2lP1rTtu/0g0djANnJXd3RunAy80sVz
295mhUiH5Ypxeq0qlDSqkpdjXd2Vy1vU04h5lNCT0+okSs7XpJAiTDgnMLXQKmYe79SoWNJel2hj
wMgSvyQTOnLqgUFh3XGykf4ZLFqGD/EWLhIi1j05AZcEc8VXiynWGeMNt1wzXsvtrg+BhloZPvIj
zi1dJqqTeqH0yQZyKvcay8CkXEvW5zBT6MwIVXVT4a6Us21GyVqs7MnkRcXzsIC3KzZZOG0J+bod
/T5ZZLLuQDA2X/X4Oe3vzZoqEhat/orJpE1vkhvQHNNJr/jRz/3ceNN0lAUyggyPC0dLb6l/sFO2
6Or4EJAJKVL2jNVGke8NdopdAM7FohiHpYDaIpzvaXpvzH4cr19LHYduI73KdIABv9yok+yXiGvL
9ByH51q7GoLqTtQ4VF209jVcDlXiW13sWPJGKj/53KfioKd3quqB3XLU4F1mER7Aq1YLuyvOMxuj
+cGsPklZ4Z+Kft+JT4X8ECtHhU1HRW6+uia2P/BTi0dwFNl2tB6JU4/ZNl9eu+XZHB5QbHSwr9mK
S5U8a76qskMXYBW6RcIXuFYde1Wo8EDON3rKyc+tOs+KLuHM+kCvNO4Ix+BJYowPOvt4TWPvQKG3
yBIbGPdSANFYOmnBzVTeccjAR+GUxU4xB05MbCFoS0t/TCTHk23c3qf6NlTvymiPiMlhbgO33dWj
NyalkAovjXYV1A9LeprY4CA7csoLplPNXrEREdCxZRDridcGluw4jhQ/8KWwOcQysYjHlC3ksizu
OmOfs9QNQpJt40bKt3Xqx/K7Qn9YsUILjZ7x9/UY7Wv9UIwflkBjU2QXwrOBWo0bymAYrGvAE5KF
1p9XKd2F1M8KPY9I6cITaej2C0GWmOd03pDlIyW/gAjLRI/ChdfaMP3IkNgnK7fhOB6TrDnpo+zq
IaH4MjmkVbZRQnZzk+Ipg+lr7G07MjnTROqV81/jMki2NQqNQi+zNCQVHYn0Jeqv1PkROtpeiT4n
OK3lKywBjFNLkbpoGaxWIgSDoupXacEhL6vzkEpk8rDqvlsGh2TskHJ1llbRHar7gb6FiDm4dEgX
cNcjNHBiw33tmKyNwz3EGCrD7UbjnbH/Ue4CRXEW6mPCkUzUXRCzynebrt2NlKk9I/G3zL370XDi
SL6JlecmJX/PwZ0kVFdd9xzMQUr30V2Rsb+Qub80fbAbQ0TmwVDTFazxi8FA7hhM73FwmBntq/ls
K/KpjC6dwZ8FR0e6EK/a4NeyclCZ5NaAJ7rr2dhXKgvgnT4ccsRi3mkqLE7TfUhqhZHnMs6vCs9y
ZIwivQca16nnqPOm1p7LBys8RSQWhT0S6G/GztI66P0+o2JCJVkMoBn0id9mVAmwF0obcfSpzN7Q
WHygdvMTLCh33s7Wb5yQv5pLAVIHlovuiea5/ve/zaWanrQdBasBtkeQR2y8eKjG0fNvxk4/2xr/
NXSidAKOGN0NzBW/jdIHWFa9QK6FScR9v3AUa+5nvvhinDYN8cNqeExWE/ZT2dzl7Krm9FjrR7Ni
jpJey6X3m1fzzcT+9XJQf0AK4+OXMat/+4THXKQ3ogu5dzVtE06ZC1vSHsv2kNXeEtJvnCDu+BMw
uZ5tQ5w7a50gm7BgAmqlszo5TcYefCID/AOHoRS+LCWhMwDWzNIa8qVJjrEt3WS6N2UnZXjjZwYC
Km+vMtAn+XWl/lARyiTGMb0/DMQc38bYSa2HpCs9DnG0RZGFAzZg3GTMCSX1pe6w08pu25+EuNsW
A6Ht8jJg0NRrTw4FT5R1fFSCXXTqbVj8UKMNnAFxuRmNayXZjdPbOJ7xBRix7ir1bQQ2ZLkZWL6M
cENW3VGl0jVzCsSNnZlf92RMBeWJfJOYPwvWzZwcZ20vzCdeWlMEPk8MWYf0cB0UF0a3BkOyHjVB
m5/D7jiTDW/nV808j+Ydzg0bMl8VbE3t0RpuEVoxoiH50811N7cHsBpKuFo5T/1888/f8s/qzb99
x98HrmOmSwRz+I418ZPzdp68DvWZQ9E/X0X6xThVRh1iWE62gz6Eb6pNMM1UbsK9sVuPQ6wTe4Gr
nAendyWv8UE8edruN1dc1ZlvywNXhNZMBmU1L3/7LZVV11opxhquOHv0nG7iD8PRbVw+PgCG3w6u
f3k5LDXMyzFYwun6eYGorLBh5Batlyt2k6t607Z+023G5E7k5Y+/eXO/WPtkEk/6qjpYEvTLn6/W
BHGp8uvkTODQZOxiDTh0eyzAXuHX299c65fvjCUJWjgrk4pg8tPSp0EKUOWeD3LErtYvT1Z0jw3G
zuh00vrnRrxrJq+aNlPkBABE/vniv1h2+TjXFApRBqTob1N4AhoFfLqYLrnhJWwuogpSavjNvfnL
ZY51Dp3PUL/M/j+/wUxrFj2W+DDlU+8pm9FPNuGJdsEt/gLnzbhGdXEAUHkkjmFf/+4xtt6H3+/T
1UQDeFREQvp+4+Qd4b6sQ0ISfeFW2bR+5MaOfDU5zPbtwv9touZX1+PRokEmRtogn/Tzu+1yvUdn
WhA2NrOHE9HnaFPai6NvxC1EPV/7jZb0y4+XR7SkyuS6EOW+PUW6bGlpv2C+LfuR33uBA7RoR/mi
LzidPXicuez41HiGz/7qZP72IfbvHy/ioIpmhtCgoWf9/HZz7O95iCmGY5fNRMzN3MUuXlV7dNVj
4yf+P9+vv3iAk863CH1xSVjx3xYdTHoGHbrYNXRYC3FxG6rvdL3i57uM8u9+l7/4IlWSM2tDEXug
f7txjHrUc2ZTgi3dDk/6vtqEHpXWjd154qZ0482fqYv/I436FL81ZVt+dv9j/Wv/q17hK5n3179d
VR/Fbdd8fHSnl+r7n/zpL5Lp+/P6/y97GVA4//Y1r6/kzxKG80v+8V//efvRvMYvf9eov/7CvxRq
WflDJMloWZK2RlC/pObxo+3+6z8l8w92jNL6XwwD/vdK0/+fOcg1PbnihnWL9CobSu6jP/VpVf5D
Jj8GBJ5eBlwHhMe+5R7/MQf5lXT8a3kxUKglcpDskzF8i7yU9fn/t41r31EeQ09T7Yz9WJ9iBfmh
6MR+g64eeYuu1tsinCZEPa3r3/WaRH4tTMYH7rmMgeHYXtUQRlCtuualZRLPJDpQoDsFubs0VXKZ
MiN4LBsp/UG8+x2iWJ9BzEAgHKJOu47VtPYCVhwfTCpHXJYB+AZKd5JA9pySsRL3EWQptndle10a
VKwCs60oscYiPfVqjuZTjK5Ci9yeSiXlLm9lcZ/CnHyJI4yRLDe3QZ4fpDqxTIdqaoRVq6j9KY9E
T6lEFLds6Khw6sVraogyJx0U40iasuUnqYAnVRNQaXU0nYNKQSNdsmQogJ5gCdv0aircWuzF38wy
qiFkN92PaG5TuIJ9fy4I4fgxRGEDly5eRXUqdm3PkKXJIB/EMC8WPRPdhFDFZagAr4/yIp4T+nHd
VOyKp5wDxXY0VR7ec6C1EGKNN9OIGNZUa3d0Q7Pske8BxVMyADl27VFrMoV2a+BHnD2MSr8GoDTT
zABm25NhKO7IPWXsNwbzMKrCfUi03o6SAle/YjwUSlBsIY1m26RJoL3LobgNxrk/CnncXy3QF3jB
htIyPa+yWfCEWFEfGzCRR3aGBdUxveDMZJzcIlSSm4YyhPOorhvYGBWcMJgrM8/G6D4v92xYqEwN
ej7EDRXEJW3lVRAyQ0jnLnc1QedADw6CqZ7KR55znDDQHypN1a+hoICiJXIVlr4UKz0k7lJuz5BT
K4aSDWg+MHUgYfRj3ZepRZfy1D41cZoi52kJb75Ju+QZcM8yQjvQosjvyM8f82Id0NWKtIuKFLWs
abW7KTKoampHDfyeYE23i0LAg7nv89LnAyV+8Ewda2n6PUbG/BaMCyPGQaWtu5yK7qDWzAEUGf18
0aL+wOh9OdAFMh07rCBMmk0lOhfBMt9HcanMHuaRgM7nYTJTt6DKnLaU5mWK5YwQHdxMixNNBqky
mLrruiHXTxhjcdWRWqtGRm2DDRnsk7xleDAHff4SGlF4D/GWOuOyn9CLpbDwW5ao+zwNJU+W5fKU
JerkJloHqsiKTdPwplGukWuaslnupHnEw5CIYnYRxZmbEzwvzs9I5ya3EwhU3gil6qhy9z9qUp7/
kDJmGCJ+vZBqtKh0Rj6uylUB+B7L9WYDqs9htRwG880cJe21kKaRPGkZkIyCs5FuW914bOSp8kHM
49Rtyw4mD+5SFHspwBcJt7QwBj5cQDQH4PfVQ5zPhm9h3r/qDWNNGIKvohOsgXe6j9VWY3iVaYeO
/EcEwTimSWuqhIfC5ISxtLP0tpRNci2Eynsx9c1dhEfNcsSiyv1ay/fWIqmeSIzqscNxvc/GtHtn
Bh5cUxYm3FlSTxOwghXpdRjF7DOcRkQ8TPE+KKvVuxsKZ4oWjGNOO7ANlI0+1oIoaOHMCw240jIt
j3o0W2cTRN9jVuafGqwYsGZFxYikF9+pBWwOpqBZjqqG87azpty1WmQE+h7yixI3yo8xyoQnFaYK
xt4+xPgtyUb3hMMYXmDCJEA0Bk6SYlWWTzVpH6dVBgA7YbErwlxzzanq3upSXuiDneXZqeib3Jf8
spnmjlHghQRGHbWHSSN1JLftDJPqj1zP6osoTQ1H+9R8zKJQmvlOyUgNMKQJa9Fdu9JtsSMA58g3
MDcjw81YBn6g2dYiEDwzdTK5nU9DrETvU9awUiWV8JmNmfgZUYnopBVBFBS9x1I2ig/YUmDBJcRw
WVu0O6Km3T6rIiSwKG/0mxgnECIUGdCUakCsu0RRMhKHalaeJYPGbkwaGjF1EkxIvE0+YpUYUuDN
2agwumskZlusji58Ng1EH5BFNqHEzcgAOIoYia6yZOJ9H3YixGSaK7ZCljKhANGIW7Wa6yu96PEV
FilJA9PQIUQKYnQFa2x8gw+cPGuhmldoldC5bNEEBRZD4AbHrFtIcCo6TNNRs0UMJtqBffXLhk0j
rRYYhVaX/iGmw+u5VoPgSu+DL6xhbvq6teaBCzM8B4r8JGchRquwF70A7tZj0Ic10Dl1/AzCcPLg
WD31krTc48eg/C6LgvQkNgQhqqnNb/ih6HZtif3NEo8iPe85yUa17Ly47Z6IcMIf6eX6lDfKpwEP
kFk4uMqRzNam02CsYIcJyDdTk2HMdX0wmdbWtkwdn5OaCAJMVtoj1ZLjZq5RECEIlwywgUO5fL2q
E8tad930FWPnZjEIz0qpeVewfHumZhTblnpINH/duOXhByos7CPSYFRokJ4ll2tKCjxt5VmmmOde
6NJ2VevQbwgqbMouyp/BjJuvcSxJD70gQ84bGt0xxyW/tnp5dGYVt76TzQw12f3cTgZinBSifxYd
4caJVNLmv9k7kyXJkWvJ/lCjBPOwbJ+HcI95yg0kIjMSM2AwAwzD1/dBFfmEmS2sJ9y0vEWLcEEy
Kys83OHANb2qR+c5dO+FHNnla9Wshchva+ajFxkn8Q4a1YOT4eY1yv5TZkqyATap6wZBu+WxcbAM
5L8s1iTHHO28mT2uHkJqgNHnmPBmajLyELJYh+Xc7CtqPoE5TTNeEXe0to45dMvXop2/jZpiXh0b
w1NHimijy2a+Vk2U7SZlxfdAzbx7HWfvWgY/tQixCblOH3/EoC1eyLkHvB9a3lSlOZ2I+YlbUpcC
gm1HN4hvoN6S8doNs56+F4bEaVGJnieR1HjpKxSfEsW8ExfpgJeksbLhRqGMh9kQ+UEEvdhS7gm7
ItXOcSRhUl1kyIqLinRbQ7kfqkMyZvG4zY1Kvpm6MSD2tNVaOrikqDZBU2NkaQHMRE2Pijb5u9r2
n6OWSBvp1WXNwRS475PIody6TdW5GGuxa5M0w/3FrXo1xEEOgNZxgm964KZKnFPdAiKG411YWN9L
J15XUVcdonYwsZ61EZHJ+kCHTHtModAcBk6+J0D16etYF+lOutr7mejQOFE6nZ0s7usXwzPcnwrC
1rqf5+FD5Tr6RpSzvdplH7/Ad8XsB5pSbyribBca+k5jllUPyrLnjTA0Uqg7ZfGJ7tfyLkppAdhw
a4FnLhaIlcpLNuBUvo5G9Rhp0BT4zczqC0e/3tYBDxOeAtaJ+aH+6hdXWmFL/9HGSQAASwxfs9ES
KqO/Imd0kp7C0FHWNWtJQhuWnt4BdWW7tLPHXRHUzo2yknPl2EiIHms7+mcsCEXkMQSz64ewA+9q
mE7LnXu00MqTZt65bhHuWg0TBehl8axa+9gUXXH0hilgpVNma5WrlvovWR/o9lGgsYZ0O2ZqSY2w
+ed/m8FdT2PMVtqWgj2bf/glLC22tVRd+73yz2mk9aud++GuVLq8Dcq5vB+sQB5HBpuNTseGdAuY
o6qof5aks/fmKKZsE2nB7SBuk8dy4oZFyBnethGc5qi+4cFHbr61u8ucplgHAlrn18noKnYV6YTv
pcxueEpm91zJEztwHJABhqCmwQzSgdn+UMapRlEzuaSGqxWbyPiJTs40PbBWz1WKC2P0I4bqOnY3
ZrVUdYuKvIgeWIfQSB55ML2GEochjqMK1/Jt7XNuERiG8B32yxbQy4b0WmLMbzcNQwZgAJMQ+KZT
3uCsayzDN6JEyrY9L+RgAGHqXAfLGqwccG0pTI4OxawHqIfWte7t5KoTMzHJ7oAeDigJvI1nSCax
Z7n+ts+tc9s6h6LtvtkiDb4gABNdbmiLujUzdnH0Pvk1dFN+LalN80R/hvXMVZS4bHFY56w95JkR
Vwvv9DqYIK3gvAlw9VHaSl4rdLocrq7wu4sj3JT1XpSB/M3z5sVixH8AxMnfNuPJOcpqnvawU+Mr
QHmr39EPEj8WxcIGHkpseX4vjyT1088SesMlKGYEt7qNJLn+sbxF5PBvY9L92yKP8QtZsg1xQOC4
gdpcazh8tTI6Pt4cGGA0+8nVyprcgUYQmKB8C2/5Ukqz2itvKi4BOzBwszHBbNvXYljHEwXWKwwv
C2sOxuault7PIpKkmp1YBKdhTGISOSDJ4WcKtLc0z4+UF1HfLMtjEuPskg7uGN0b6FelZa9b7Wqu
KJXD4RuI1E+Je/Xc3NyU5KthS/jJ16C8YsX43WxtL+k+2wKEc1mYnJB51nyjeP7bPMGeKbIQalYR
FBZf19K3SRcpvQtCRQUxfHFnmu97m4cJnlqB/8Vm78UeWEZ0LYjBwYZACmudTKqcdpGT1t/k5Jk8
3PGBNagDsA9M96ltDLJVLWt8m0nz6Nbze1HVg8cyhhk81n5/FalyboDJGWIlUgdYc5rwL1pVvV9v
dEcTRhvrhvbaqn0LQGLQoEFJEzE/1vp1cpmgY8NZcKpT7E44xcLFtlG09sPIt+l7gt+Vw9jSQ6bL
CiuKXzT3ZhYY41ZOpjRWRDe7zaRMW63nHnraZhIFDANuZiwuOwZAi8fErsOf9ZmzyscjEQXHyiZs
G5fGKe7s9HWu4vdoxjWWtG5yyDN8xbUhYvK8tLSEVjPt6EDxz2LyzdOUK7taVZWZXKB0RxvmsflQ
iDpv16Yq8sNsV9XDbCVqYwbMnSCdD5VgTmUp22+kZkU9Qmrj+wDAPGgB+cFp2EJgVlv6Y8RGR77O
1gOhsJ02dInthYaHY+UxdFljlj/VAekx6HXvsUU0Pe6z+c7tdLOdIc2QKcRCERQarXRMi1uGlPot
nBpxVW34zZDMJXRKsiVuyx323Py57IjGB7HVHSmING6YdT/UclPN4rD+ngxk/9K4C2/pvnO3EfP8
nkNO8tey5T+SBp+aiv/8rvb9ohL+W/Xwf6QmiDD+78Mrl6buvuqvRDa/6oL8pX/oguYfTkjnVoTo
7SDTLrL3f+mCrDIQ3pENrch00XX/KQs6f2BApjkrYtnKf7ERq/8pC1p/IAbSZYV+wpbgP5QFg+jX
BdIiCzrE+izQxguhzP59tRt3BMYzC4t9X+SP1FiwPRepizs46ZneQ4zFPsYlhXVd0B1LNi+tTuCC
mEDy5pCE3LuTlhhsprEUezSZI4EZHaVuQ7kfOk4zfZUam3Z2H9sxD7luxDN5z3vM/HTEVlAnKhGu
4whjBwRa0GzVF28kraqmUHfwCD9YOVlgY4V/RBMLDzbDJEBVhKUhW25z2h73STo9iUA24tjoMjPW
JvcnUuZOAClDus3ipAv1kXPb8OnZjUMNt5nsddpzt8lczM2JMOS5DE3jwkFsepJQwr84t2IG1lW4
6cPMgeIBLLINs/6ax9RvBCNueXzan6xPjIPjm7BGTLM5+Rns8IwJYxMj0ByqWm9qBatRAaTcweDQ
O+6hSz49yh4gr+Berya9i/z61ODa2zhD3BybpEiOI+QcKsPSodssij8hF6YaEZ5qnmR7+tuNfUTL
oPbpzBibPNuPGbkNagXL27Lpsg2HVISHQa2d0rmmBb7cQXPwHzK7xzeH4oKf9AisQPHMc8/oUcPe
gAiaEindlGLuty59WTxZmuZM2V9KRTa1jGgXFg0dqb/Tne1fYBlDraPkiy2/jQKIeWBDvBFKUpJU
aDXJt9EBPWQH6hpnWEldxY03Wf4BmctrXvGoMjX0zgxm7Ots43jzwhqgeu+oq2XGxjotbGKWoQnp
ox+6UzzYmMiL1LsRcLYAdbqT3iZR6W/0GLzaVZzuDeqyYDuMKb1Z4NwNx93KEMqwzlmuB4q9Ovjq
9AYZHMD5IDDCUTS1cy25mBwBuhajBVlCzcUWBBi2XIWX6Agc3992CRjYOHJM3JWjuNJxEe+X7zsH
aQgUhrbbJx/B9JXSrejG9XpJfY+TIH5W6YnZ60TW8mvS/bC1ZPhWm9XFqmzqsYYJM5Joxc6k6obq
eoA2LXlvuhid7kQ/1mI574Jdk3jG3unMeqfQrs80PDj7jFMKYplXY/bBvlU1ncOxVkz0KzD7VH4h
tyVTDF47Lg0Kq/AftJx6sLPRkaSGxrqnm9XGjWM0j2Ws5SGK8VBnQfbBJBu/2rJVClQ3Vyxki+Nk
KP9+tLKedkpvXHxfLbOrjzeSpgGXI4RZnrMBJICxDG7eMsItpQVrjrvtDruDJKMsuqekrvQlNYS1
cZMQvYYD5CFFA916OSuJMjdw73UcN8sek9AYYoudg/rNQHqX7kTQ2PbtHeDxekskGcZRy9GqdK2O
Co40PihlJzT4QGqaBo0wEUt0Oo8g8pgCfYgtE6BLHVPJkFHkWMyF/4PTnf8tSPFcMosn54JZlhaQ
HNIHYLx17U/Vz25GiecldZec1pSnNvajY5BE8boz7WkTg82DY18uvOXeVOYR1lLIGBZHexoBeN42
KMU0Q8HXVh68ttykUEBnvkeXzIyNLoI8uUUhbI7GbNUvYhnJzbCqdpZOv2DgpZDho55yz8r7GfV5
z6aUkfDMeFKgl+sAy6wY053J+mDTOm3a4ZAzkg8oVflt1bo+XWPOwBQnvYoykSY/+HMtUBhRv1de
N4WX2R26iy/a4hkpH6890BKqMKp6Mte5Dik8iomTlXQvnEJLDHe+S9eCUQ/+lt6LpVCAYYcDV3WC
eTJuSOT/9PjO5SNj9TBgBE9U4HxazHWHsC1pSh7UfIP3/Bx3rjx7LEw2Ti7Bxpe2e+/Osr71lIlv
vBT6K28WqHlhz/Oz8s0gI6gVQHiuSD3Q5vTR6+YUzHjfWIcO+CQVUciIuLysbciFhJ0TQk/0MZ0i
avx4W6bKzddeM2OedrNo1/ZH0CWWPhgO8Ja1K3EklawiSKTHYjJX+eCScBDp+ETLmn0MZrH8kYoR
UqBrvbVJK98MaDHfu8iWbxHKNNfL6PjfYeGpc9fY1QHgC289lM4S96wVy/MYudWhb0z5lkVB/zjX
aX1Plwl1I7QYnUJU10voDdW8U4Z87NxBbaTnviCrjtio+mxvNv2Xg82cVpeLqT2ErVp9xGnCtmOA
tz6XzvciIglY4GdsAsJRWl+mlKush8Q7hq8Bs+nK5Jda+QOPI8cv6Bdvt5OnT/PYV8ung7DXcNDp
hyNXs7/lZlnv7Dx4nyj/koiP/BzqF3wFJSTDVdXq/tGZcXvh121WlISjeY4E8odSw74Zwt2QEsts
vOxHOtTs12zxs6uqPRims22Uy9zAETopfvYDv143xdZNOlM1m6XtmfIMHjax+2Rl7ZsyoZKV3DqQ
TzAaNo25oS/u2ljzi+UrvdYWLSjUa2rYlOW3JB+xwWnrIUvEA4+EH/SI8aAT9JkE8ZO7hHzy/Ba2
BIIvhcIsC1d1OJbsqGhLHqtgRX3Ji3DFXRxQ9mtSbdAGECJkg2e/9U4UEN76EfZXJ7vr+uCp9PBN
ds1zRc8Qzw38lF2R/3QynW0jF/JnPUZvvjQ4SRrB3nTd91nVj1bqYfc33WprVHm2zgP5M2+Cr8bL
f1pUBJOkcoytVYxME25SbUNj4NhblQJxVj95QxcCnHHAYKCw1Rur/PL95D1eqDAJkhi8fHfARzbk
5adTssOx3H2hME531g+JTEePVUaih+zsAO2Rc4u7r3EouK17YyrtrPqWiwZcBVEQb89oKNa6cg8o
/w7Qcdic43D1B846qgJXje+UFquztTQvTyL9ZHn1nof+3UyiTA/AwUCh7RzR3JmGs45ifWu5466d
TrX077nV7eYGJ2kK2GZVhsG1MKbn0J0ekEBhQdW8meEAkMezVuDul+DUlrIutpDT98ljSB1t79jn
U7OBznWImREdLl9ndLjd0IbklgdgX3TMCnXbebyUuGND68mWfWjnXICcGCtAGyeqTbFm1VLD92ke
VY1AVNbtWz57h46dH5g/vc5999y0GYodKl7TcC1lk7rEbXgFNGatfdN/hOpCmYpn/HDyjGLC0T/W
eRDeRAILfmeAARL8uesbT7n23ss4uWG7dMdJ+lomkLkLOo7QyMu9Y0TXQRAt8IiVSdG9sWr+adac
ipliKKUD89mU1T6vwgu617ELo7UlrAu9bKegH747HfVHRSzf6mS4SQaSiynahcNZd1cY/Q/qRe5M
YXyUnUvWN/7qdLSdxuDNqNV9RoOK280vvY3pEGTyrtHzSxcZp8SITtKRRFomzozyGDMKsggpToPq
xl011afKiWrU5PmFSiYUspz9Dm9nSdbWtEOAjVn7SOHgvQAFwlbr1PXRAwf0aeOq+HGcOWTkXfsW
m9wGiqj/bPqaD8s1Tqrl84jibWmSYfJq3r9E2feh648EQnrU9LnboC+COYqxNdAwshmU+GHPy5Ms
mUgsD69Gbnrc34NrHLrOhibqazL3gITcYzMF96yUXrm5QFid70RkH922bhcYvbe1Srqu/NYj6hHs
ksDa+Fm970SKgGh8H2mNWEeVfm06Sb+v5F2AbxHw9Ml/0rVT7MzU55Yz+HD4uO5Qi9m+G7E+Kj96
tKT+5scO4qO4TUv3ICWAE3KH296SL7mt38YsOUETwuodca30XPbcuKnoe8qku6/mYe1S7Jths65S
/SBESBSx4GXA2th4SXOXoIGQ1QXISckUmdR3FTeHWojnoMjOyhBnLGgPktPPmnayWxr/GGCr1lmx
ANgUrqf2Dj3u63Fxxxc6mndGUx5jH65RJMj2olMv5bh+u8uy+TnTTbYJbCM4GAnFI1oXN8IOmWbo
nrRk5OyQdyn+yTISN/NQ0H9UT+nOwqoBH8Yqvv48eP8/Ex9+kSj2X81i+lG/6xj/AxUKbKZ/p1Bc
v7r0S5Yf9Q/1rxLFn3/rL4ki+ANuy8JHN4ElMVKa/Pv+kiicP7AgeSgUtonnEo47QsQ/NAoPjWL5
E/6i6y0Ed+yi/9AoPPMPwEEg3C0H4xNOWPc/sS7Zv/pOA9xKrkvFLL3WGCOpB/rNN2jRAjROhYQI
K9rFBb0E6rrOBPo7xK3asNYjsl+4qtsqqpv3Obx3HqwBOFxuVAidJt6INB9syrvi6H3Ox/q1HccS
abszQkpZ6rTw6WuImA4ctOlImHqNEWLa/cu7fveX1erfo+j//DUWPggMZUAk+Oh/81uaHGFaJ5Qh
i+fZ2QmIcSSFaZ5YOUkXb6jiaR8aqnAOgxEVR3M2zfXf/3xn+QH/4gBb3kcPTAmKk4cX2vyd4Ty5
bVPJgYMUIL38htMIbDwGBXhnLUWWcYwff6USHZ+ISRqHoC8mpF/jsfQTdazFtNWzZGEezQdepbqd
ddHeAsZV+0ECURehksfF1epuG8W5M62F8RyZLJQzKgPec/Y77oVBmwrACc1/xxQTn/56qytiM3//
q/5pB/7tV/UjcE0UDLgOftPfzJ41ywAyfy2b66wQD4WChqBGExFnnkXk71KwXtjtaUeBIRCG2M/F
CAO4gH/IcSdKsd4P5UcAx5jM4uhEigVgMpRki73eMzYg8rji/puXbC6v6dfXDGcqIlzhhTbfw98N
eoPj6tJaHt8dJV1Xyxq/wKHNW8oY0WvtgtBNM8QnTCKP9ugC3KgGRrqk8z6nSle32hnrctPUTQU2
IG33sQxKcc14np7dwhqe5zQLv7PSmDqEdKpVQQFU7bM718T982g4TfisOBTU5h0a8y6Pa3fPx9ju
jAomRy2Ug8hUgBjB/3exIke+FrYz/WycyHhoQXueAmKwuzgW9lXAI+MZRSFloEfQHQDrzjgRgttw
qsNt0w/1Y+Dp6AdQsGcaaOeXpm9r8B51/WIE6Dk9dbgrpJf2nCUqWgotpzsajkoUqawhe1tU46ma
c/8qJqEuzQxOQdKmROePdl4dacc3HtabJXz/EOgZ+anLyJU1QSV2hSyHRyxNSxGuER/bkc40MAcz
8pWehksQGDeh7XbHRM3ZdczVrS7hpEpvXkdusop6890WFOAC7AuZxyDFEckBULZ1y8i8tzKsP+Ab
Na3Co0dmfyTXmqSsAVgCmIicDd9tvxEQNiHbr8JCvIaTEe20j8mxDVSxZSV0aovW2smx+m9DPMtd
8l8vL8vk28BAg/0UwcH1f7v9oNbwFKYBDGlUDxLWPMElr1G63dtCyJ/9COJ76ixjY1CzczuYhbxM
uLUIoRsVTcF6UVJaA5XPotp44zsJQ1rUZJAa+fbbQaU2dMtaN//Nt+I3edrkVfvO4tcm4YAS/if/
/V9cqzUU+YDVX7quhIGNUgCEjoZ55KY+RYeRKyioMv1lUT2zLxPL2ZrsvzZRmcXvf/9CfvVzo8/z
OvCOk8WKIuIWv987R8do0jmwiRKPun2iGizZ5EGbbdJ+snaoZf6TK2BL/P0P/b9uY5bJwwLclYtp
3gpoD/nVs2uyPLSNfiD1MNmp3sLFa9/cQCbf6RhzSC9jPBv2Xj7XZGUbaMmmVxX0h1At/67byV11
aYS1qFfqxsBmDHHZCs9+Sz+6WZHY/fsX6/+JmvvlCiP0sjzefA/XMp733xzGcqDLFvCyv8qo6Fx7
8Dt48Z/pJByOJHaAZJqGlDBTyQxcEhJdp/2zTu2koXMIBKRSmYW6ZH8Il/ER75G8FvYUbH1p4wbx
SmszuLH8rB3jkBlNdmL7JteAyF8dutVIZGFrzGoOFL5vV0e/rUxQd+4ztdmDtZnDeNprSbMcJc4w
WmLayJuB5KqyhhpiaBf01xB1bliTWsJhRIX4PiLCiHZIUaCLKgBGeuK8rftXZeOxi900uvMWioHs
kQEJ/mNumM05/Ya6M50aqH37vMnlVkU4iYqkkPOa8mAPmaX1HxU8/IPRoiJTUY/pMfOJyNO0vlJt
6r7jKaREGU8agAYoTW9jY8zlqkW2wGhSDDes/VzWhr46SfDKd57XqvvOqPUPN8kovazm4moKm+IF
Sj3mU5X2sBtyvB8bOHbIdGPrXFLPvm9UPuyF7Yg3P24hHMWJd/VUn90ZuQNqI67jbc7wdxxzRISR
3Qq7BhtHS4GorXw5n2Tp6z1Hv+S2ElpxzzYTRHV40CT/ReA1Bx+o1qdiUYCA7s8h2wOKdz2grNBV
HJHt60VWQ8pxsGoZ6jCqcNqiCmZAOGoJVztpYKIAJwjNOT9WCeuXKRv8TYjj6CbvwmPoZ3Smxt6b
bcbOGQH0xU+IQdBSiEqos0s4MSm2lU0x9FDjH8YleOPOqtsX3hx90rVT7mu/pdIZvaErN2Mimo2j
ez5nrwkvXSifZ6DoOH5Ym4YAminPq8tLoFFBY+q6Fq/tnamMb6nKxgc2xxTm5WjaK6G1vUlxYW8p
nZdc8vY+t2ZBk2f8lhROcz8MfngLGLJFginmZ0C61ssSKGP7kztnMymO8EjCvTWRnEzDYnqq0E/X
CKPigW6L4jzWyOci919rY8D0YLjDnfTFdKcjIzsZdUh/Q8U4C65oH2MDWYu+C4ONXhz21JBUFj0w
Yc0VFinSmhjrEzV23/gMh8fS677FosxO1GnZd5oNzQ1Y0ebEYy54awuP7ZvtAz/xq3hTJZRqA+L8
mozJ2NMnN9KtPIK9X+V1aZ/mNlLUWY/xmi5epNk2/Wrcji1OXgXZbiy8JcdqPXEkzLDezO2lN5lO
OTI2Bnb/gui4NRefdZNcrNDFH0DDx3dmMZMa2mi5gkI/PDluZT+4KcXnM7vHl7q1H3Pa3E6Vrcx2
hVHewlLKhTzjEfFQgmgWr3pvOsC1C6+1kbofRF7DV8PHQdZw73nGXoGDTtnNG6MquQgnn24UXZpM
xoUR5Hs/H8sVgNOBhJ3K0mHntUFOG2JuAeMqojR+wwfq74o8z74kfspqg0+xvmRqqT5o3OFI0YW9
5xprP42x/R60dYgj1Q7XRjDRSpRG/t4qkukcJEkH9DubbxWtgufAQ9QMg/nVyfyfDd94XLec1NHE
d4lpQ17J8zvcahVeuHFhg2Ae71kcfrBsODQRtmlTjPLANFMEL0FE8+RKR3XEgIYn9CWw2Shtxsgr
N55bWhztjaK7Hdom+T4VDUk4N8LZoAYk/7mmdQr3KZZKjwqSSHTxIcrpOF1GgWua+vB3VDEY16HV
NWgglo0rX6hsXzI7MF/TAgIgCVstNTYrbXVYRcC5f059goVLNEB4Mw+Nl9VPvu30WP7IaHJbKzlX
ryHxFCD5vvvZxxNmwt7gxj+521gZ4QcgzoEVTSsPfKGtaxHhLx6CiE9Ge4Hhb1Qoav+kx9pdJ0XQ
Q91aKhrY/45Lh/SA3xd/kNu8T+3EM2LyB4k1sDGpe3Vtg2/A8t0XQgB+KbPxYMZmdZuVhZ1vhWfF
Efsox55gndX2+Mx6h9Md3CBga15PG2HnmBatmHNj3eqc+qy/fhIthv6FPkf8V/HyNZiW0saqnUxv
1fcWi3MeI4N9LzPfb370UUw0llcMizl2qnXjUt4Erc6cbxjUJxrF22irVBfSXeHxAM5zDUOn7se7
oZ5UuG79Bl4ZTPNrEMLXm6XpHHOPm29P4KNaDyw+7+qgQQ2eYpl6WyESKXZKji4pSJ2h4pslM8q5
yfqS67WreHfNIttj9WH5XIXhDc/x6IUfXraQhPBMfcYjEZE7129tWFgMIwVTsAWTIQP0DKDGAtWM
Ua/qfmgBcwL8jnUVOW63P19qQdXRUcgu20/2YD0Js5K0x5TWteq5jC2ZWOBj+GuRxcOYw5sMN1PH
oyrmKXNjVbXywVXx22fjEG0rt5geZDRhHgrtpnlu5hkOhJ0s0BKn0eNd5/FuUQHq6wdMmtY1nRvW
E4yT7kfe0lYPMGbCE+hSHGbtcg6UajUUQ7ZXUI2zlVmX8qBGGd14uDM3s+OU7yKOeB26oP01MKV4
j3rZUdnYhOLBFhGOAItiXoJKOueCbVL32Gc9v4iqZz4NBaOw2yCqLcg+IWgExmVnQDjkQ8JKH237
0hiS7ZQO8iCV7d02zIn1urQidOS6jppzOZqTtQk8I4K70PDWjUVOBaO01Q+0w+iF0p8Ug9McgoB0
p9H7KFmPvlqRVhj9rXEUO9G4+i5HEvk5h0Z+caMmXMJCAS4EfI99Om5CuzoJGbdy3VOpfldHs0Em
JPA2Q+AONDD4HdVwmZFulZ4mKCb1vSln96MkF37xJnkcjNqis0vV99TpsLE35uGa9qm2NgqMOjkz
ljVOWRApdnPve5N2hP8HTlMnpyynQyTL4jZwcpAXLA8vc2R2m6as+XudIyFF01MwRNFyUlNRtHGZ
JHZhEAeflmrLxdQ/NIdWlYK9xQRLMc7KHypg6mjtPS1sUX7jEN3ZeqKvDhas95/11IyXKu7MJ5Gm
cN7S2YdD53fSynZ1K/p3JOdlVBHUwbBb5wkSF+Axsqql52F26mkvF29maLhceIGghr5u5vJABRD4
ead3srNNRQ0GyMY65qWLmO4LS/JuE4phnPCt+GCOdXAulDF+uSGl4G5pW0fpmOPJytl15a4EaKA4
+R8ad05g7/HNhsY2vcS2C4UseSQrdC+p2FgbrZBnNZkW0MvuwXVgfnjOtEP8kZ9J4zTrjr3PKuWK
vxUjg9REKeE9CyimdLrc99NMu8GAWzZKOUtioID+4MT4vDUP+g7T2W3S6f7cNHlzS3xpPKAihN+c
tLbvqi5q1uZQOLd5EtZbV1bW1vLg8QyTTC5gPuOrP/bqvk4hWWvDeRUNTVSOghfG4vPD0HHzIj1B
bY+RigiEUpZtyqnL8C6olwS0/ns/Gqzaaeb4ITM32+DuV1wHi0gP6YyYoAzdvW2IHTs2l2dm192T
BDBZbhJso1TYIXpMNyOfvvMjq73nyJ4ucweSqinl9n9lTdLQ38bG31PhlcMLrFf2xFsm0eeasTOb
zFuz0H9uyAww5/JT+d1D2Hvf7cJ6rTX39NYUIFL7x8LIn9J0Ah+L3yI1n/88if1/HfxpEqRwv7P/
oSrl4StB7vlXRftvVfD/XX5+1L+Gd/nn/2HRs/4wARrAuEd3+0X/tqI/eO4TmfWJ6AZEdRHt/unR
s//wfQ8oBv2YiCoojf+lfzvRH/xfDrRgFHAPgL79H+nfv+m2WPSW4lLfdxYNfunj/FUFoPJsHHwv
TrBzpWfbzb7Murtxbag/c5+dvC5+tRqvXeeOeQ0sDlOenb1ZhfWhpvyhHYHCtAbeqzzvnoJllen6
GI4M+7Yb529/LwEE/m8yiY2NEYUZud62ec1QBX59qXMxjhHFFem6Jp3T8GO3taCdqSB5vxJRFX2b
uN2Mg5kfnGjSNKrQNPXuUsSwDisPNdYkiHk12bhfQCF8YwEOeMXr6LDPY1qZW208QrNrN5C74Df1
YXogsxtyrsp/jEba3nr4fo9GEkZ4FKlhXLa9vAeiGCaGnLnE+l6AwRwYmeFWzXl6IM+Qk7MqdIGu
OLs0S2XJ05izaYbSkv4kUocP3bafNQLYhkPjn6SlpNrUDr1NKwxIcBmqvnrWdFNkqxo1nPPoaL1n
tHvctDyXvyMhp2eOKo8udam7OmMxZ7NTpzKtdxLAGbKatuifiuU6s+UXC3697ahqWRvUe2wJbJPg
7834wFG6O2S+esGynNEL0bJ/oXTR9p6dVvk7L/Gq86QH7yPVJCtXiRkETMtm+4CPqr9LXbe/s3o9
0agxRQu4mZwvO2+eRjWwGgpIVxOAgXdWmUyPXNGfOqs+s14U3wvIxkyjZqseKI0n9BkX0Xij2wzH
VtBD3w7C9ttEf2k8j9kLM6gLLcNxxLZHvXmPOo/HVqgZ93PPI63QmO9+yRLbwHXk4wmRGO/Y/8zu
Ws6edRIE35JDFor46uG6DHGP+SCAFdUH70FSx0e1lCrtk5H+JxdTB28j9GkeUq19MdssPNN00uGq
IOi8YRuh1lYxcUPHnUrf4uxm5AOLkKa0bmFe1+TNMNfkxY/MG0UCD892tgW+x/s4NyPKpFFwCpiw
EATNsCvCderHVKZKgRWcR0ZzkYBE8Lu0mfc4ZWb2oMbYAqvn8yNWg0G0R5PFXfK6o+FaR39u1fr/
MHcey3EjbRZ9IkwkMmG35Q1N0VPcIESRDe+BhHn6OVDHTLSkHin+3Ww6OtoIZBWQyLzfveemdk84
e1gcDyMbFt4JTefdVGRwifuW8ddOeOHB7UhwxKOq38pa2m8pr3NuBaEbTJnOBKLDaVpSR0ZSnakD
4wdrfLrm7NEzdnmXRepEb3rnrO2wUM+h6v1y5YGUBFLsxnd/e6ikDcOk3qOP82uXg0MyzmzGc+30
8ovRhuOLAdEX3V/LnT+57SaaxMCmZQkCyYk3pu+MIyNg4V5VpKMplTc9Ch7GsGzfo9yi9mexZ8Yu
RNS1Z/T6PkFnQ6ObujOaTXvjLF7PjGfXJ01NhtrA1p6VLViCKgOvyraRbM3MQB1PQc+zdZQm2Z3v
llOHLTkuumyoqvXYa/cmXmyroVmtw1g4p57txlovJtfBU23DgwCsEXskc2o3dr6Q4UcdC8fHKvSB
iNMlc1g8IJPI+qssLbwEm4WVv4zRIF/mcorvpR81W8pcvWe8Wv1Gclg+RE6UVjtjJgWhRTVsYpnX
TBB9WiFji+CxO/vVZxll8yPWQ+PaKBeDsd1Qq0ZGuN33JhoRpyP9Ti2HPtqEd8MVV3CCtWAysrYM
PJsv9Ap5LT4HRTUoP2eO7ODk7npSYwe10SP2CbD/keTZfIijNH81ZA1RGRGA6iF7oLItzO9xoCT3
oqcgcIVb8kM2CP+Mhax7WCKYS2vvIYk4Vq5EGb/i42B7lls+/INWmCZ3i3No3bHYCUEb50Aeldcg
IgphmmPW0OzJPdavZT0fISEAdrTSbQZUOcm8m7QozlGHHDFYMCItemtWueeni2PDm/d04UmmHvUE
13Iapr2TqXNjWdGaukholNlUHdqUpyTwnBryMbbGmBwwQp6DqZee7ovpslyXcSvOuqeBWo8+B4I+
fq2SqjuPmPFXpaPxTAQjHt8kIoEeTE9d6SKEmURmegdbtdUB/U3gFJqpQkubypeghesTVUiKvgTx
ZzgyOqOLzQd/WHKMKP3ITVW4C3QbXtsCwHRRZT6lYpa1VIHUzakGtQPkv750rrwMec2459jLBOZr
NbuHOegfM0g8AM/Sj/476dR/c+OUqtIZvEK1nsJ4D8thQ4vfZ7mA5Mdp6lbke25yEwEq7YeD5pC/
1pZ3F2JH6ekcbj0HzHPL8lqWub8O8srdJH1oEguZieR2xm6ETIHTNCe+OBPTNXqj2nYDy3zs8dpN
Fzxa0nexXtUOR4piJnSSzU5yShDaz8U0NW/QHrHyjgn42zG6JKn/wsDiviy9dEeCi8h6z2IEEzlm
kMxMq87KtVO2f1WNL47THH36iWmvEmjybFGM/jb1p/yQqGHYda7KbnmaFWVXZnKkTsg8t4h9jKgK
TJr4xwhWWfWGc6T36IcwDXSedBl+oial8pzI7oXxWnhVp+68NzMgjJFIQA3jp7vO877+ZqqJvpYx
cD86OZenoEV4xIwOZV/m37jR/LOY0w19AOEqHaL4nEsVqpXDnRoubUv1xWym20mos1eND77b3Ngi
K9ZDCxDayCIgvUVYiytDEWFwqnjTRMbd7KT+rbaiW1VTEzRZ8pZ9ElY9253WM8sb9lYK7FxW7okA
F1NA5vzc49twEM9JLvKNRcnpGvvgY1LFH8qqtx7HvBXDJw4xDd8YJXuQVQ31YE8cLnNpAlaOjZiO
r5lGucqvd412hytdei+qgFHcNo8ukwTKrRZkI6+dIQ/eysL/oIdvDtTTzLAUCWopaTKpokBHCjUR
hfxsq2YgUVX3HOGoedYddkSZOSBynfGlFerDZawaG6PeZTMhL4Ag7TGLxVXhmTMYTHZTdsV2oa3N
R79wrpMJr1a0xWoAf7VDlZnfSGXytuiP3BYXZ1nnbA2RbbQSdEwz/GxLw76xsqV9tvC7jdDp3oiC
dhPk8uI63UxGstpSzrCrq8zaSbGAE+rlNY7zCX8zXl9G/qwi8RNHfZh9VsMCK57RATZRvlRGB+Vb
0zpgtgy+0CCZ37pWvDHEgtzexl8c30r2dc2WufVpYpxbmsVyl5dvS9P86PvG0aamhUFqDd6VICip
CouyyATjt7c42FoLFQmDfbALbKs8RyVvvNC5Iieg10FlfCSjs/yxxbNVj6+pbTxPUYmZN+9RYfo0
fyE/aFFs7L0bWM02RC+XM7Lz1Wr9gpwatjq7VpJ6XXZKlfPsejRYWJHx1LoGi3T4xTeqN1NGby4p
2J1reNguqp3H6HltsVsCBE0wMlX9VkQVwQpTrcnzE7n30uxgM0bZSPxgY+E84yFkjWMUw2gbQjLx
tzUEs2aTBt7Fnj2xdevpPaET2wkKdzP30zmcqo72Eqb4pZHWa0tWp0Il3iXxAn2tVRk3K0rn+10f
W3RP2G82sCBUpJrwR/uGcIoybGMOxJDLA9RVMR7lPv7MC5CObHZemIvtQ4s7iPfTgAa0ih2ZXjXV
fGUExaZpIJoJWBkgVSbY0CFx9LIPWEiGpwleSrR4Bemlve+I44ho+KtBjlO1vsl48zIifwigzKz8
bH6dc0+tHc3+VDeE7nEdvY2md01+4NqMzbMdhRtXTZ+1tB4k4yRorcJrFr/I0nypijWBn29FnX7G
OMAB2fLMOntmy9xpwxL6a9caG0LN9IUBLQ2eqXiMoFA7QdCwSZyPYzfdE6u/Ek37mCgiThT5sYqa
W1GUm7aAehQWOqRIEWrwPN0zI9ur3nhNQCSFTC5rfm/o9JdZQJ1V9WZSTEs9JGNotNEbzWSSLBe6
Pm2i28GOd5kukZyLG10kW3uM75Rgo0LgmpMCuJNx40fGOolRhnokR3g/k3wItH42BRTMeozFlknP
qa6d+6Aj9tPl89cFXtF3zrHyNd0qBD597+D16kaL8NItfnwRhWdr5OHh1HiQDZ/dzIxnb47t+JTW
nBhTpc33XpoOjdk9o8XU0lO4CssxfvjPFZP/y/D3gyvw/wwu/vBf/XsC8v+hcxBj3m+ijfvPJv9a
TP+UWJb/4W/NxLT/SyiKtRaQHxLIUhz1t2XQ/i8PWQTFxFVYzEx7sUr8j2WQ/8cxlYNbkMihxN3w
v5KJhQfRtTE7KNJBeJ9IPP4HtLOfZIjvbg3PtLgIDYYAK/kR/sk6m132QYrsDnHvIES6b51iYEhn
kS5eQmo2qGjfHr+ZrGjHf3xC/2Lyo0/sZ5eNSwGsJ3BCoNhYi5fxH34VdyA1bICvwM2Qo9y7kRDv
tdMF7jZUFWQIf3D87thzmvxsEQ7KP5gwzJ+0In5z9d2owunfhSn33QP4j+t3VlvxpkjKtY9tRuAf
yCy19py23Jft6D91E2kBS06F3BgpMnvcVSZGjJaS8t9/DovQ84MXRODaYTiG0QgHHnLQj59DNVQg
RwxKOtIcF8Ij9gtvY6fUeV93jMqAnJT2ePn9JdHbfr7kEmcFmYdRx4Ge/OMltSizup6MBCjBbJ+F
SqNX/JzDiWkF2szvr/XrDaaw48B/loy9Fonvx2u14zB2vUjSdceeOmY4OtrpMcNND6eILdG+YUWs
bmi3EO+/v/C//ZKW4/A923CnlFr+/T++37Zw3ElWS7MBATcHvTwJkpMajYzC+hBJ6vdX+5dfk+eY
5weyLJezf/pIsQ0ob0oZOKajY591MtIkoIm3ZmHykTemf2SuZP+h4m756H66c1hTWNQtEECW9TOH
eJxFz4GQt1clbPFumyVfXsJ68YfL/PqgWkLYSrJ68ZwABv7xg9RTzCwRP+A6RY06t3n7AbSj63fz
SCeQNtOdMS0QNAb9xR+WiF+/Qku4ysVrjRPJRlX+8cqFajGuVmO2HmyWh5WRRu0qgDD1gRGZY+7v
v8HFhf3Tx8kXx2WWvkBEmJ8XBNcwU8ZaktdvYiXProZDwuYajLZJnLPdjpVjpRs0Iyr2kl7RkT10
HaPJyR2NbV0WC/ghKkip/f7H+vUzcIVklZQLzxf29E/PT+qJkEp5ZkpLenU6i4DYYdH56XAdx5H/
h7Xo3y5GVp7+Tt4IrvXzxeZJkNoNOZX6FTVeXS3ivR3C22OHPlRffv+L/Xr3Li830wK1yfKHZ+fH
LxdbjJVwI4HGi3t/Tws6d2/OOL36g8P519sXhzAZL980+VaF/dMHCChqLOMC61wzFJqzlZHt52Gw
N9lc9wja5Fm/CdJs0OFhtP3h2r+u7a7J7WvRO8tCa9k/rUGUCITdWPE7Rq7k7Qa1AlkZcnK4dmQi
6XupJK+e//hzRTyxiClQM/vrQ1ObbF2LwMnXkZzHC3647JmV19v8/iq/rHcYO9nS8NZibZD87Y/f
Xu8mczLzG6+KxjQuKNnBkvGiTiqmZny0vOoBw4F3+/uLmurnR5QFiCJSRy0PKlf9aWhSNgbDTj32
2F5oET0HKvQO1DlVnG+j2YNGN08AC1IvG9A8em6oCUs+A8ocgJrAlnZMhJsyXu4xmf3hq/7+bPyw
GvNFU3XA+At6+q/7GQVes5u0gXaBTLn3pEg0xXd2GK1MScraLdzk3I1FdAny0F9PWFGPJNNDHuOZ
k4/r13oJstXllprk+E/P9S8PAc2knmDHI5c1zrF++uDIy89eonLqQ2g9fkHTz99m0tbO1pmy+G7G
fSSuOX1xY7JPZBtozs0oadSTLmnKSr3Y7lAcZO9ql+SklifXDYaBuTT0AvIYDWfQaq5YkoEKORjQ
kl4ztqHEkJYhPqwRNk2RfpQNN9Nay1QjuI1eN+yGAiDNusI2Sn9DNbXEbsNRXA/O6H3q3CyYiQdO
ktD2VSPIEZjiv5OMX9ytFGl2Cie/j8mc8Wyh94QJFJ6RH8JnWj9iOLgIGK47OgyRBMUwZt9cE2u8
GCDMrj2AtwgdfCbBivr38VKmM+ijaFTeWYIiRAauKGPfdJxt0y+AG8ebWCAob/9wR//9EvvHfYOM
yWAUMdyhBtq08Zz/+CQlI44XvwEQyLzSib5iIvebxUdTtmspiI2hZaEzE/GMt7NAtt0knboEQHMg
ACGwrtquUVfOiCXVKcKKCjSHppy5nXdZGl0RcCfHLR2iKzQoWmveNcH9DFqt3igeiGgb5VSozCRm
93IAGOgGASfZoYvfZqkN3NSkvCFAxA5xUlK7MTPSr0M7HcqxTl5Fk4bNygvS4SG2dEHFlkdkhjMQ
tqWoWrB3k0ktglPXd8tSFe/qMrAOQeBWl3qWnr6K4zRZVwRooYp3IqB2xotYk8Oe0B/PKeJTYZFN
gq5VzOssTgeojoPn3g3k9K9TZqcyBTO46yNDNEAn8GvsjbRy9hgGxp3lkkRemb2JFTCMj+SU1fyV
QxU0TCgjcsM8NGv3zN8sqCG8EWDlkpx+FABgVjjvWhxFKdHnbkruTF2piDZIJN+tWTuGc/Ax+5xg
2JYMQSjeCMRU3deWmz5Q7J1/Wm1PDsaPaioLzcxuTcgpybgHRnnb+2B1903mNdVKtK3/V1OZCE2V
YdivgS5GZmLkmmm9UlhEO5COMDHdsb8IxJg709bZ0eE+ocQxsE9Gp3ZO43u7Ro2Yer1J3BQTBImK
cdc+9vpWMRq1u2YbFjUjUSS4T1w0b0aCH4XozOC/NtxR98ReYab0PZS6Mh5KWgpMumxFbR4Gn4Fh
kQXPdjHISyPMdqVn+WEmYbFNYs8bVt5s4AQvJ+pRMRqBuAM/Jq+n3EnOeW7b95VvMkiZ+5CxmU7Q
ubhY8xcmsaUe1GCzusdqa6Y3WVB9cyPnIU5ab9U3klmHHsl2r6wZAt7KU+ZzNaRFuA9CKXdML8Sd
TAiakFmlOCVkuhnG87dm0OyTbCRpPM3YuBDt7hnidCDEfHI+Pn7vDWeccm+VjL4cbkQIWtC9IHT2
fIKJYeBDNozuRLl5Rz1dkAYBUZrGfTRDbCiSYpcTh4nsmGILhGtTxO1e+pWdbGeIqi/LCIRPMrWJ
yBdhyPJuWBmO/XKJ0RoCZ+cgyOxY83XYO+OJ46/Dww2uEs8PUfuGqHrWrbpsWNW9wgg2PzeJ/Uyg
Wqz4VO1VYxTHaYQhOfB+XQ2mbwI+BKjtGDmFMHVv2ttZ+/aHTPy5XjPJM7NNq4oRzmWrgfxCJ6Pd
UcUUqQ4QTDCawhsDXqut0LqL6sh58iKPqbUEJge45amwbfPo+uFDVXf1HUZc8ASQdI5FmWEqb//O
djg5zvHG/lqN89fUbTJgMEWq30Kg2fvR0BSg9fVTIcyXhmE7wlSl9oVsYpJhA51LiQ48nnoxUtHl
g/azVWeuan8Sd/hpgSyQ+nPWhVIRQxg3S7aldtLraIhBWcZ+RyyxZ5kBEgqro/Tvajs+BRN4Coze
w0tfUMOdTgbUMjF8JPD89i6W1t3gYnAqw4wmOCce92012nu3No+Bdqk9JbQ8G9Gb3Y79AUfCfCUH
4TEIcyZm0SaclRQs8qjjE/LrKwvcWzo1zmPqyqtGs54Mtc/ssyurqFh7fXzMFLCYXPiYn5o8OfUa
0EFWzP5SjFVYN8Kl5jHRAtHDTn2Kpcf8GNdBhf+EgW/ESGFlQJZbh65VXNWy+ySspla247HweE4B
17CpN8KGKhy5MJUZ3TAxWejQGdGyQxU66bbOrPHoi6o81l7hLcMou2fWa/bXzgguUXZOe2inINq6
8A22DOcv2ptBLwYRrVA+kPgMSyHoaWU1q4h38qYEMc0vkVa8bOK6iMBC9jHDCOwC3+RkOi9BU4Y7
ywcwWrZ+g00AFHbeGpAUodVc4RCsrprUv8p1ol/p8nTWXWJZ4OFyeSzajFh8n7YbypI2aevkj8WU
mzywJVW0svR3kGGYHC4m/7KcX7xMTodqAkmu56IGpgiH78sI3+015WW6k0Hu1jtsivnFrdBzko6K
QR6jZF3EUfGsi4DC4W7ArQmAKNmyU9F6H5l0+HGjAnzthJFoXpq4I/qBMMJkMIjKoUAGx7QrIGJi
N+2uxRSX73MtUyKfEDc8lQ4r2ebjte+0IKebyfVf4jDyXpsiiq5MN5hvCcEfzQ7as4M4xYNtmneD
G047m6HCTdwIeTLlyPVCJ9wotg8fbieZ+zs2o4aGxMNOTJPL8C8DPUjqxPxSpxbjth6MX++B0ODA
+IrtNaZFt3rHAo3n05rLF2+U4X7uveI68/PykLAqkd+dMAehzej1AGZ20lH7nom53SdFwAqvGv8x
ItpPU43DPW71UQi5tkwexhLT9WCPKOtIhHclUOfV2A3+TcfMk5FLob1d5Q4z05KOnlVdzZvYs88V
AzN7HWSDuEaAS59LbVhLxsVaFVPDIx31cp5YflqDblvtvODnHg8OkF+4a3VhfetzaiczrYwX1EO8
MB7AGsAmnmcfpUuMAx6H+2xY46Hq3fE6nizs0Th1r61eUwag+nxcTX1eM7SZR3Z3vncfxOShoA65
Frd2pAjuuiG0jCI8q6khSxp4X7pq6XCfSvfskgXlnc72gK29ccTNAwumtrFs1NnUPBgYdin+BKF0
ZUxTAAQDelfdj2/YM6w9yzo7gg6CEGRKK6EloGBHBVU0wn4fc6uJux7/BeU5edMkFCVkUlBGWBnl
rprN7qXMlfU15nsFptyOutsYYxXlRGkSgij4KMV8U3Xwne+TThc8kT4bLqAsc0eAYwifY6MueD8Z
4QLIHUeDDYbEZcTkjAngKaCvN6c+wJZ0GfPe6ZQ2DmUo/bNn9jNZZSPGWBfNYe5ucGhNsHSrWHg7
ldu1cSwxG287W6Z00ySJsjdJQlNzVZBc5kwDOYR55cYRAbAwph71Yz5XFTxaiF9zAjPHw1vK5xop
/9gIZxsasXsKqaUkx0AG4bkp1J3oQ2A57NZKOh0cqri9gtGRUhrKXDYDqGBM3g+T81lMhr610/mv
GWfOTCbNJd2cG752Vpwlktu0o+YWH2C61Qau13wIwv1kRskBEDzeVMfEGWHYS4QMdx1gvOgoM4/k
Vl1btJYDxwoG/7Er63SX+upisL2no4wNKliVeMuLot2T/AuIClARkrTQSv1ifk7jKNmEsx/uKmPy
+TDr4NxJgCx+6D8WyjsQPSlOEtQGlRr+c1TY+UfcAcJx/S5YITjWhFoYCgNgL8G6MPyVI4WWWul4
Z3rtsBnK8IrJPP4Ym+ZtTuDMvqSdWi9+0lRnZQd/hQ5GHa+jeiIcSmT3rLYAps0PdhpNW5v84C5S
Wb2JUrPbS5xEq5TmgTVFBw5Ai2WL2OD7TpyOKWObUAjgOTj9lWpozTSHC5Cs4t3BBHGp9bINSrj9
d4Q/2YOYnEjX3CU5uBYn0PQXMEMnVEP2QBXxtJ1Hw1ybhnxD24O1wRJzp1PGX5VnXwCc1nzOgheH
AOJMAYqYwbm03iNJmCbcS/xzt2lA4LzwB7roFTa5kln/gFbPO4NWuXrQ8D8Uf9zsR99cf8RigKuj
2BUdLxwsX/Ga/E56hpVXXJfMHNZUYhCsI9qlHsjpmE+IN/4OZqA4RoTz9H0QjRGHpDgBFxQLDVlu
CLkDu9mlnsLDU3Bt9yo5ZFnoMkQJccMgLRlHOC3MKu1ijFcheGz8NMaUbee8S/TFUyXtzE4ynZn3
xbexP9GeXtJoiw3oazuQa61Yb6C2JTZgNpIFdK7UM7wqpzXNk2lYeu9WXnMpLJDLme1kRxlN84bc
NdNFlp+8AGLduWZ3cujtWjL6ob4qmzS6rZIyPXpD8tXLzOGlZPf7loZJQRrU+qsPUOx9u3QODR6X
VWBU3slkAQBUkLTvsk+SK9OhkntVUDhxQ+D/KR8LdjEMxTlgxIqT1JwPLVtCtqV6j+EVpredRdm9
VSvrW5OaCSu9TNYmtgzwW4PotyXlFgtnRYfWepRRgkF+ovlxNQXYE3ECTpVDaGjGqVVtPGIAuAdG
SNd3pYhJdMDUjHP7MDXNiPed0/beoEYd1m+X+F9noSeH49EMZPvUemEVnMwID+NRB5jbOV1zJj2Z
HSXZn103aH2Fyt0EJG7monlL+DOHV+U3sbox006F775k9b4Sc+fExwEvQrgVyBTPbd59VzngdGz7
VkANSKRXQVzX+eJcslJG/mZPqKCuA2UfzdF1ytvCJXT+IPADvoc4gC91Pc+YG7/LE00NlYEEpzGR
tCWxc+hh13t3mQaof7J87apd0BElO5RdzjvCyUxMxanDPxj1qBKgfwTWIPfUrpGcIjkCzI3Ibily
xOARxtPQTFl+o2qL0MzUJw0BB6EOkdaOv6ZtNXDXPeclzuEYcMV7Tlx4DQbYKz87abTW7aTpp9km
dm7ZSG+2CJfKS4P2TSraazJsTQ6OmrgbnKmQONQKrdtYKAKVn57gmLQexxm2vo0hN2EYb5MgJ5uK
mA5x+z133b1Kx5AQWhA8lLhr6Wv6ZoAVzoHbN1gLNbYU7rVqgEpk1gfNufhu5oy4qUrl3JasYpTu
PUa6//Q6MW9TNiRf2izeWB5HKNcAgwnvH5XLobUj2tLYy6YAD/lmiu3HAttLhDWgDTwmZRN9qZGN
TBO25Ng1g9OVVjNb8+YjDJbD/fjBcEHcREZH/4dFt5gO61vhGNZDGufRo29a3jNEOO/aEb18qITu
9DqrpXtyHVHcWz4HqW2LHYIgIDghP9tboiuduyGD90Wfu4aRR5nLtG8t7UUrMCMjDwLpbXXVu6J4
D60hZOuRxNo61e2QK1Kdi0i7Y61JhgNe6ClYQ1kkAVZEHVXBpavYAlja6sGYyswH2OThAI5rOGHb
msXXX0dNFRdbRRDbPRNYb+GBF7LId9wWXrtTWo/iDM/AoCUZf6lzkGVsuFtMqSTsi9lOr01A7M55
qIQqj/5Q4cA0tYQ7TnEPP7fr1gybmXGh3TIDwtNR1p1Ml33vGD522ZSpK5ztPPCONvgrCRZ0Mvix
eJxU1S6p7yJgT+oH3Y6Fp412kW1VYgOxPeSIB3lRXcHamtRDqobGPGOxbrMDkPd5OOCiT/GW/70Y
aC/p8zftOHV8sVqV5NcpmPxiI4aejBkpKDAXGHlzyLe+U8mY1gRFqRQJwOxsdp69IktV34ZAW+hL
d9PpZJd59M2z0vaWm3XuMJqpztgqxhvDc7/kSVUzVqytRtQecqNioc/Ah15SUS0JOR9+9jw81x0W
PwxnLU/HgOYZdsq5mcMiPqIU/uWTcfWWsGu3xF7rRk233vcorEWJtPao214isgw5lnnREHCKtrt9
Lst5G82L2cxoCPZQebE3CsK20RK7bRbJfhpR3TAu9eqj9xIDWiRR3aCQADltePav+fcwL9Ri7DCZ
YJ96wASNwqqbbroijB5tCyfmXrBbVZ8zV+E1izIHZyZG9IOMPY52vU/EeF7SxkGZTrTIg6nllN4W
7eMi+ux6yBKvnCcx3bA1Kr7VRor1v7GvwiBN38fQnO7w/EsgyDRf7QcvhYhvzOFxFuKhlwWTQuo9
qL6iAG1VZ7gtZdYGHBpJWRsYcE8xa0F9GpcstiSUnS3p7NQP6gfZQJZYM2u1+E0mOrHGsnnz+dIe
IsSdt3RJgIslC94VHLcyF9TCShDemDk3VzQ9TUPwiPWQUHmr4hPv3PHiLpFz36VkutHVS/N9xG/r
8DI2nyUW8nfOqi7qHuc7UK/W9JSiBj9HS/Q9Nd1XNfTVZjBzb5uPOrgrLYfMqhStfky96WIs0XrV
MFx3ZVFd46lyiU4SwYdlA15uSvnOxNI8HoL16Y9T04V7D9flO5Vz3b7SQ3mF2by9UQDlVi6KLb0d
tlw5EF9WcGKwLAELcCsqXVKZUajjHd0FKDCNNewZobobH1/qiQFlhRYGhgCLLhsnsybhm3LWxQb9
nWCA7qm2mV0H8YYgkPVeLsQD/zv8gIanmnAjYH1rnQ7O9JUcCRy0JDDkqWMbdvHRGV8nfwTzsDAR
rpU5O7e9QsAC2SFJQRg4KzbTQnKABShAgi50B7smGzdH7cWgjyyhLdVgrjG49EbhQiBJoiR1A9jX
o3VazupLVINcYANbb1U5FTfE4sQBX+lL1JRLHH+wdL7pW/CdeSKyrdkbp4qByVf6ZqK3aMFZGFEJ
2aJDhcc/DO6C4i+9nRYEhuX1zIWRmFbDd0BGKs8zmcg91ZuQASM2quuhsoUBsMWyOI9G/kO/wDem
BcOB61+FW6OghDcyZsxpfU4hG+COpPQxDw7FTNm7qK9DQzfv7pSomyTVn5nl1Ddmy24Q5wlByOYZ
FaJcIIZY+1VuiGORl+OxdqZmhehkn814gVHMwt5b9UDtZzcH1t0o3eELDhk+3YBQ8jVdifY9qET2
IE3FtnUuPIyAKGkUyBy0PR/CYI53rejTVSXGe6ZNAMicgk6j2jI2OT7xHc8IgxdfJLuavfVLS6KR
wUxgq2NIp0tL63XpchpHVvIwph79RvuHKumDQw9dAyHRR/MCVMtjfUyLaP7CnH7eKuCoWwFz+M6w
cLxGNREN4IdJ+tCrwXwdyOLe2Cmmba1k9ES5iLyVo/+ckr9nMoeYsO9tM96IkukIg/5o7ad+DrCh
lQeEK7UPorS/zFUP7TjPAp6LyP8EP95+0MDymSXFsG7qvv+qE+ne1KVVY6bv8ba4bc91ADAj10M0
RdSnbkmCxsZndCImsmO7DYXVhKpdG+B5CtINDiknd7RPUg4YLd2YPr1y+tLKJNkyonrK8/Sb3THA
KpE0zQnFxC7EVWn7nEv1jBMhILC5ErVDesCUeQeQatnsGEa2KaaCCIjZjldpmcBInMeILbhZnEeR
3Wv20NrL6e8ul8y90ZsMhzD0nMpRcN/ak9AHTsYTHv+mjncU1IRnxDUKHXLWTX/weUnnMT1pen7A
QwljlIV2q2HGUJ3WMqQVPvVpFt7q5D1nEo3IZYabjiJHNmLmE0VX4E/i5JT701vVmu3W47P5NEB4
rWM1ED911PQ0e9UAGZSaGHqZ2hlZLR696GRA73gJ8iAnXe5SLbSOzYSFVBNW23gBR4R+4G2HQFMY
54zE+qbU1IOPbdWdJGLBOeQVvmoIKh/8lEw4E772lrCHtzLdrFkjdpNIoy1oHWEBufGyytxysL6a
LE/sTY8fZSymal14Ck+Br5ED67x6jIXBIBQta1tkub2DTzngDYWAgBTtbqqm6a9DEz53CQGZil2T
5FXr+ueuaHhTkk67F4E7Xc3UkTzZQTl8zZMmfTUcxKbJONGZJORGJ2V51UgI/l3zFvd2ful72z87
CUVNktbVQ90Y7RMgT/Pc1MK7KsO6/hgzLc5oQOHZNAu9ChTAbrQgccvs2Ai2XlYb+8YfkB2BJSGt
JznKKvKQ7y37ynKOeUBVup0yEgdSGna3slK7uwDqN248gGPnsHEgEHBIvBCSZ8U3c174Id1+az1l
5b2Q1VeCRsVVm/HK3LWTLg+EGp1tbE3Juhun7t3vmFNk2LUg5Dqs3Lk8OyOHsOupDcb7cIgQeuc8
RK8j3uCfDM20YNlWvmiQsdugNgkrCnfcj7o1T8AqDIo8+A2KhtFuMqii2KVZ255IZPkVuuzknShw
gvDBvu1tYqUZDzzVQI/KNCOCUeX0abktJnNEtfIwjRxX8zjrthOD8EPuAohjusLTFttNg+rNNnTd
MOYlcIkDn4bS3hTnkYM0NmOVyLXqa/fJCiXNfh5Mrq5h36anyBJPle20d4NFL2QR9/K6KdzmNP83
e+fRIzlybtG/ImjPBm2QXGiTTG/K+w1Rrum9CQZ//Tvs0bw3M4CeoL0EzEYzXZ2VyYz4zL3n9vNz
2njFZaLZurVSp8WrJqo7rVAFkJGosA7CbQDo5wT54B8aI5/Y17FkaD2pS507+QZaQ0gAT6eb1SEX
RDkubY4RX/SoHe012UAt/rieYW3l1OWnssp42PjmHD4y8M1+WllIRJjUuAs8L8mDHq4+O11QDDzy
SaWT8FSRzGLWCtYN+3YTT1fVONTJBmTvrst2HGjUdbkzs8WmgwTABR922zEoIW9pRiIiqinI1FDd
aDEdxUMhOf2EYucehFhFrhvimRjDzUZrPNmTi6hDpSI6emUZBvTmwiIcEt6zXheQyyf8Wfnankan
AtpT4y407CH61hmvLEwtFs2EbB1NqzQ+LKZy4AFnzgdnWWWE1nyufY2eMx+ZAUkNrP88f8TAgwKs
mFQJDueYxKiaZe50ZU16tnVrDWp5LJZ+2a6+bE8eer0OWV6ll8odXhMeciKKyCwl5yImcyJxvE0z
2RnNT10Dr2BvDMadnW+0YY3OqUdFvjdCrVklZsJqb7CI1okY0O6MCIH/Csg+yY2G0FyWqJ69GoX7
WVOMb9uGLFPHkZt4KDuyAfA+wnzQA7oHmIKwTFe6wbQpbR2fTIC2OOBXIPBi8j59NzLXEpnGDvxC
z0DdiA5+FUbdOu8BxAymic0rJIAXgIa2Us0U3fB+swlFUUD+XDqhapHVuJ2R+G6ZIsYr2BTMvOO+
Xs89XqSTr8/Fw1jRn65FIT2Df1nC0jfmG8+vLZJBFTiLI+eqy7Qj9mKid8ZGpIBQJq7sgofPI0Ct
Tw9dhCNz+Xc6EIUJnQiJhTrxB3G4ommJ9qNgErl2dEnUBRO+LUwebYDdbd/JnE8LBeNAiWuzRp6c
txE6GxngVEFBZjruni6sf5nLRO4NXJUUDngul/Cs+sUaHAdEV2W7L62joXZwW1Vc+tBJT1KfeB3o
vsK1xqOPQ5bcO1D3N7zbHM5dlfIZAq84JCGjgv9fNvILZ/dn0cii79J1VOCkrKEu+7NohMlmb49t
9U+hHkQnNQWyEAJ7KYccYxlKBM6spTPtyXJS0uvfSaB2WRb3XYv01qdT3pOXy7qtgT+TLqfhdONn
kUc1Bvc1W+FUGhij5H2sfRe9IuAlG6pC/qZM+i+B4d8QGH4JOf91VtL9e/m3y3ublH/OSlpEZ/80
FZg/HHLKPeynuomG+/9cBYb5Az0luGEdriBBSj7Pxu8gBusHmUD+ojdCo4YCHJlYx6MS/+PvtvUD
/RETTtNBD08X9h+BiO2/6M347YhxAvmAAtBGwev/RR7Ypw7plRJ5oOsqJCSCvBbfw4jukNWxrlQH
BzMm9xEiy7U2OjujYaaR9tAWzOwhT02yd+S9k3DdOBBaz23lPFkFmBirUMOGpU2+if0mWjNVaQ8i
xyOc2yFahwbYWZwh7XC18Ds3pb0yR9y7UGHYkuruT5eRS4LyfE/ey7MbAaIZJ48gm8EgIQjMoBth
MtfAk40F/43TvdbRcCibt6EiudLoRbGmx3goRvM3XeN/vwT/5kvAMOEP5976vX//23fZJ71aeOL/
+Pulyr+q8f2Prppff+K3b4Cl/zCE5drIlvApo/LnOf/NV2OKHyh9YXAL1wRD6gj+lt+/Ad4P2wcm
4TumQ9gjNuz/+wY4P2Bno48E/IohxrGM/8RXw49cBMx/OKN1vp/8PN2EVUw/wDn95zN6llASRQNc
B7Oq/h7T7epLdu3w6dI+bnVpZQhnSGOCksycZachYLzEuYI7qrttHIhiCLdzouU30tbJr4ZsNix+
4xuEPuqFoWC9j1q/ldvJjTtEDUjHBlMsAk3li+vMrYorbZ7gFPJdXFU0RJ/CK+/FULr2PpW1cTAo
g2/avOjMTRHF1tqSTp3ubGW4e6Tm/TaN/AoP8IB1ti2bo6Hyfr7BYalkMBtyCT2LCuYRHXUBpbf3
qSNUWevj2NQPyA5Jea464w5tir/tqtAdt1FueNvEK9E4IT3V2ff4fl+uQYicbGcedEaSUgZaZD9Y
vSBzMjXNA1p9CBjR1Mmn0l6inlBFnVGWIeciEEfd1MTuXLyZTErAboyCh1ghg5hT+gKdq3tVDn3G
TKgIL2JmsiVHayD4K60PgyONkx2mxXU01M5jOMAgauFZTiIklx0V0odvsOknIWA6Wq6r76Ab+bdm
7mhHoqfjrScGdzdNg8UiybLXTVV/hxVAQWjaD44zhueRlndVm417Q9s1Xg0JVe2q6QZsf2bPuAkW
O2mNysx/9sNQPvRdtERFkACukwtmx+9Ga8YPlanzPvmOvhxZdvgx8AldDXW/rH9lVG3iOHJxZY9e
cmeNAs0h/bW7gZgxv2VO1hCKlCvGgoV6imLIBEXu1jvLjMzLmEIIiFJjWBVWCx6COW19ROlNoTr4
7Udm+FdoGjFeFJVxZFErqjUJKgeoA8VuAP5Axo8757sawharCZT3a/Sd48qySu8jB4D3oSDLpCta
ymQ9WNOyidENQtxwgvZWJa67EZao3iKGahvHJIBBsbtpWRvMtj0+uRHFWqRRmmfIJAEchPscfyyG
C7KGNDGIdYwK6Jxxz9FdTNod3WEKcs/rrpnIPhhGpHaNAU3Aj4FBULzNVJ+gxFLVtzcAq7+NLmLE
JuM1ClvvMLsPqZfoVyi4NaZO93rtgENghk5ziT2rh6PNq9Wasdh6MN4QMrbFhh+B1LuavU1Y1nBT
6TbVVcUK7hpvszzSJrGIJYC22CBUHdjoJOljkSFYXkFvhMWckXxVcu2pqWY2N5nbWbC6ZXDrk8+i
Idua/BJRgAYnT/G8ARAp6WOlPAj4xFt2YiyZWj58ZpnvoCzKowqRVyL9LrHN5lFWBdh2rE9UBc0m
bjzyzgRzghORc/SrSfcsahf6R2pWtwSVLwEok3rLpvkF/X270YslosXpI//gTfp3okciMCGdbxyf
eUzrZGXAtibZxGHkfcHf63e9p966DKT6nPQOGyNQ42CaKecVyvw72I3TSVnjFFhjwfrTJVgz8cvH
JPHcndcwVmElQWKTYTPB0oxZHc2inayVZqI0pQmMv/jtPJguTizulKYD7UCMwoSBhUiqKfJVQqe4
92LDTjZm4vrHrsO6Itif7bPZH3YaqOEnBoB3WMpDcliMjuYV9wkTNq+YN02im/d6krEY11kwQvUk
SrRh3bXn0PHPHux2tcoTaT2KvJFInjPCmeaw5FAOLYgIXj/2oARlG3SZ/6IpV7wPM5uZqDdwyDe1
xYTLMcgSjwlygamT1q3NdwWOeZzHZ01zhqOfwd6MZYzUO7auK5lMl6zESlFpiykYWlPEpzLG9lZO
6CZlVZODQPJT4Pp6dLZLM79yKzE9RovVJXCdoX4XQpAW3M+ate4RGPL/Jgj7RRzFvJjWPtVEDu/6
uXPWJjKhq4bRdtAhxYhWemIwHkG8TEM3uIzxGx2+P6xqYD6AxsjTGmT9LFN3uo6xObiIcmIogoU+
btCnjYeSMOYArWu+5n4iEMd3p0NseM3KQQzl2OF0GLLhxYTas5GSIV7YOf2DrZVJMAsNVpzkioEm
2NBeJY3m7dGMsuJIAM4FoWs0ARhIRPuWAbvAtsvoXcyZvplSO/s2da6YELr7dV3WzWnWrfqk+fNT
0yX9WxO5TZDbqjrqrPsIc46HhrXEwgAIO3XlhcTDQgQYN0Mi22dll+m2wLEA72I8agkUUS/0T7EX
WZ8JAKdl+DWfCBTz955mosjiolKAkObpfoTmCpOJ6Z7FIPro6X0ZrmIOxD0yznQdg3IMGhpaul/m
oza8oU3xa77WatUuRPS1HkBMEyIUqTuq+HprVpF+ZxFbAxAmce5aGALPLMvUMc0YqoALzk+NZiW3
RtM0h7nO6nU8MY3Mrey5Q6p8SMc+3RqQb7sANRUyW3Sv2pUW9tZdG8n0MsSyqLn0zPi+sKW3wcsX
nupqQp1dL1lXVoTVL7Jr+aTRQjKA5V7hm+2o6ks3NTUGBIdLIBZG2nLACP0u9U3QMjN9fx600ZDw
FSmSBlW0M14kinqLNDMd0XOH0LoMMn3q9nqawP6FL4RQbjNWZvrRanVbBoas0QlIK3/TE8t6NL20
2hRNN36QBAkWh5F0Ya+kEwmKlt5D7cY3A9pc9KDZcYN7BR7icwbpG0iFAFVmO8kzapV5z4dEXJdW
WT2eE6IdAfwbJ3aMMBWs1s7PzAQhEuch03JfKeMcegQEIwAnUJTt5nM1x+p5sHHOthqn7Wqs+vq9
b6GvdppRBDPG6otI7QFXb8uGMzM68eyNJgnamtIfyywk8HRi+ALafJWCZEGmVJyl17nbvhzardMO
42scU4rxbDPDSOPorrWI4dIMs6ZstJOOZOIlypjLYa2DW8tWLZqeNWmsGvLyCJ1Zm4FC1ap+J/sl
YJK90V4XXraZkagB7i5UAj0Mg8w4VYSHGzrjFYUihscA3a65ryVAdzAs7xYRkhwefOJDpW4Mx2YK
hWgFVbXfvKoBsCc3wwC/zAfCFJq7tuzWZKW8O22PLAReAwYLnrXAmVtGZLIKLGcceM6Hj0mPvj2q
DEM4Z8OBilUN/nXu6pDASEywXBqx1l0TF8e6v60xK3X+0S2mnW2ReN84RIeWze3sxT+9zFKbfsjZ
gZYpCj3U+QjKc+09weTjufGZC2ev+3oLt8KgIghnceXk72gCP5VGJjju9IOhGff5MJz6KObkTudX
N+6vWRhCBAsFiRoQoVmQx9ENd7h5lkjeUgaOaMfCfVKSe1ejGOUARcpmAcvGuZOvYoCswei29T0U
cSRxSI62eNjiO8KAAJ5oE5VPuCQ2dPa6hNsfWC2RjxD+T7llcu+ZDyPboW2dGXeCIt6zC+LVKGtm
J9prDnk+dip3FfHy+waiDfa7nwpl2HHE2kHyeb71JK+mt4lpjBBMMSO2+gm3QFPcoDyqeXPNdi0V
3/JG77exWSHEIqItEoncectWGRkFhP+JULPQsM+IZdsrxnXVxW74ZMg7fxbKI3iPfVFd6NkrIoh0
rS8G64IefqUQbe881852NY/CbWwY7bts2PSwNam9DXqP4qwhlXxw4+wj1r38KHLoTD3BcUGTsnLV
bSZVs6UFlkFmOsFrO9eIriHgPeBxPM4d/RFWrtcZj/6lQOG1KqeGdUUefhBufKuG/M5PSQ6TU3XU
dFClqLoFCue697cOuuUtLpLzgBkG3xJT5DCvtyJJmxW78tfctF4rF/lnmVUO8N1+OBBf0a0cTmht
9vO9R9BtMJBHLhIH/pKVXKeUxWc99GCkFiM4mlR+one+aUugbVORsulUPvpNhEQBV+M7KM0Q+Y4H
ZYSgo7hjZ/EciXA5g7z3mOHfU6Ui5zGxwvnVVj1z/HLB5Odt/15W5AhKVPick+kVK6DtJKMd4iS1
dSN008CMPq3CPofOWWaxfa2jH4lbkqCq7CotB66TxtzESYNsoMQIX+K53EZ9eU2v5B+ZmKDaU7O+
dxjBHzWmvKyK/Xu5aKUGFyTsUjyZjB4ddun7uUWmbG805rI4PSgNQjaUOQL1mczaAEVMte0reZiF
QculHbQRIY0+aS8ioR0apza/iTQ49SrWXcxm2audkFKKg1IBKUbzClMaEmJRNbQf2nAsMmOTMRBS
PkJViYFnXenlHngL0uIRNZXlbBADbXjRVGasBCfdDEyMBedWEtDTaUO6C8PytUwnqrJmWpGjQM1c
j+9pyCIeL1h14VSuODogFSCwW4vS2hbC/0gyQo8hAN4ovphTK8l4a7DYdVNx+iVLpnBibj+5X4XE
BuBI9xrw2s+sJ187ZiViOPWbTPqDXZMWHWYXy+RRmsL66FDVrFOqmqA2Se6z9VtEY5vR1xUirdKE
QkSutuw2ZmZywMqvMQ93bBJwYqRQ7lTyWMbj3vZYLpa5xfrRuh1KCi0M+aQh4G5LDdCELt1jrZVr
V9bgdCKLTUE17YqkxdqX+ieSOK1NGlWKJ59MTg15S9PaIHvS4dFrBMmx8eLxBznc9jgIJyfdF7ju
8JSybYZbFDid+QhN6mXO7HyFTLokxCJbJTL9iDT+Nc2AvYlM7SuJ9ZpiE61QErZvjo9cVLa3HkaY
rd8oJ0D6eV2VVHVeWSx8dTQejO9oxDDfoWfZtKhch85ozibOt3Wpl5fSLyi8Q33ZgZwHjFwbLdKe
aro6nL/RvgzZPYYh6w3ITBsndNhzl+o6XHindldwn5RbOnAAiNnPdOZvEaT7OTFqFsd/hEBFpiPT
SyIrGBSO+YtMOGXdpCMtJhRrZhjXkRnpW0RY+TarvKcss1/zCIm9r7MrF/w8s2dlkyNxXUnRnfKu
ORQ10pdG7qYcJFnmMaXvkCYmE8lRojRXdo+hM5FXSV/pAft3YjxjPwCBR9sYKrm1FIkNk/Vc6kuy
JTr0OjWvWo2vdAsakpuZwf8Ln+DDUIpbkHMBR+odWeAHlgFETcXYCZWgQEpVs3axVDSOj0ETmjiG
3OI0Tiraol/bhE7GWi2Xp7nLbmTrv4UR4ZEzw9x11/Y74ie3jWUcYzIjiVDQztOA9ILQBaQuBrul
3utfe569IOQprRt1CKuHKu+R2Grl1TS71xEXOGzTjwQUlw5ubZcJdzMVUOU7JNuqTsgl78J3y6Tv
dt3rgUr1qFXIkwrx3OcYE9uZNkGO27btLjzwXAToJYs2h45F+ULq8IMoq8Dop2YjyNYkw/pEX8iO
p32rCvc1QZdnGXeIiNMtj/qFDIk36ADsCWvMo8a5w7bqtTZJJb17MNKcOqrVT+Q47IupgmPevFeD
2vh4oFawKJnY+OFTVD9j6/qi/nyBkLqzTfu1SefAjEBC6Ax6Aj7+VWp03xV5cpe6tDZGz9A606ZV
JPU9j+ELq0bmzF7/JG1NXAhv+q61gwixexrA0Lo7o2/2rXQvofvE6UScdZbdVuZz5GIlz4QWKDNx
mPmAh8KJT7wK2VX+cw9LthqoRkJj2mp8C2vgZSqjGGZUUPGpIR92p6fQENdTwiY2dw6+8+F3HqLY
KRwOOCOCuW2/ZVLAnSenp3GaJ2GZ31K5bzS+bwkTQISYzEmEGDKij+8YC73FSbFhboR+hK1fBjPD
jXp3ZbZnq2/WSU5EiknXIuX3PH52pLkaHdHbHspHtvRLEm0chJb2YcIMVWPTBCp5aAf7guds5Trq
3TDVT4T0HMNGvrWo2jfk2O8nyWOL5Br1DLEcc+9u3J4Biqc3K+EgyijZuW4cD0Q5CeH4utoxCVo/
O4XKjna67QHt87VtQ/wmIVrFUxpGoG9bv9nMzbTNa/5cV7HEkIoWzcXajDQMfaYPSNLyG0Q0NDP8
9dRxE37ToKu6bZ+bhKnTu2dVRdayi2q2RmCQwx1mE3tuI3/YZD4580n4BkFA0BCExiYt7ZPXdADp
vDuOwp0Py5NW/nWWpDLp0cNIeO4KKMw5cTtYy9lKN5NbO/eGXRv3FzwZQWUZ7hpNKUXjwAp+mHRE
61y9GQzMgVE6e0tgeGYOjCyK6dEK+2hH4qvOaWytjrYFIOhrn1fvFMIYXrJlkzOZ59jwr02ycU7K
m5G6LX2tMZaHGOLyRtkLOiWe/FVr1qjEEC5C1I95AfQ/3Txg0R3GFzNipe5Nh3KKDtGQH0YUIIhN
nccS9sFq9udg9h1gAlRQURNvtT5fYtWbB5ftf1pEnJ2cLxCbHmrel8EePqPqJWqBiWYDoXz2fT22
W9Ree+n0yI65r6SWnTQD9zPfBjqCPVTUS+UzupFKgU1z3zUCVApY9F7Rv0uImpRDHDopvaUzu1uR
a5Q/8ZOH/mc26ltRzbggB97bby9tr9JCPAKGvRq8z9rW30C1fNd++1D6r8Jqv0st3ejOxBPg9gxU
mHbyH9wpY9d6TF268SvXyGyq4OCOToTzt0fkqHjmEWfT1c7EweJxMPkOqVDsygGNNyMQz3Z/Kr0K
sLjsbQO/TyPEY99IpksG+DhnSLdqoCLDQzjDhSWmy2It/TMbnMOk8TK6sTh63rAtiaXwmmZnDNEh
rl10Zl+RzV2S8fQkzjsuJRp4Qaigd91O9keYdkOAVZD5GhebZoAadF4mwweMRYgVA7NH4MUb4kc3
royijYiZQ9ZolYO6spIVzmr3HIdIr8zkc9RxOakJFoPm/7SkzqBU81cijENUb6+KSiLMJm2LbHM7
8MTnXXwoYkBkhHKL5auJ8/yOfIJN1D6PXvhi9MwqiVCDKUUejomRnOV3T2GXk6aTCECH9XArivqR
N4oEz7TfoV/AP93+0mjeu8r4CCu6jHhBfqIS56uzk67LyVVBrI78d4QJxxryOgmGX/jkcXV5WAWG
/JgwjQ+9MWY+lz4ONUMSF8Ju4M8150fq4bpt7jLzWY3mPSyoe9PaW7N7clKXwQP+84pYykiiLiut
+TYuvkgkMpl4VQeHQAvP5d7+cidO5NA6YLVYoRA/E3Ffj2c5YMogQ5BrSXyPwvlua6DLXQGw8EYJ
xAh2c6zG5CXtS8b5xfciTbPC+NVgZrQKm2xXEoZe25LQUgr+UDvUjKNWzM1uCtAba40QlpWHwHWe
utMopoOkpadWpjiKGdIOTcKxmEXrsHs2xIDTfCxf2LYQSFPuCA1LDiS3Tai8CdLOGIL5S0b1KFf4
AIvtODgBn89XoqMe0frpNYrCZ8xxzwqVY+i4GXTSD48gHX7Pi0BjVnC5pBaVRWpilR6X799ETFug
ERzCjmCwApTHCDYpN1bu0Cy0zXinHIHHqx0PmovTLbObgGMT3Y37noou3rk2HvtSC3fgyb8s7sy2
1jeOdPbdEHVsFLJTVjOd04t+t1izExfXc1xYTMQldutk6u69ynjQJ4502dmH2bDuDZk91FwT5Od1
d6LAYYxem/4HnIGy9kplHGxefocM7LV2sdoisCHGe+Uq8dmN35kq1qHhvmEB3qN86tcJk8PTAD0g
ysZzlHXbBKW55ed3deuG58JJr8tY8Yb7N2k/XE9iBPrMWkU0w22LDSowbfsuimaHp0RB2x/7V/ID
NhUau42T44N0P5LCB9yATAiqsw2j/YOAmpsysesdsZ23jV0ebMc4qPCxMYy1BfpushusCiZCniWA
nZluQKm+qXEGQ6XYMz1bJbnITrZf70L3DkRHcuh7tFNjGaMXgyy3aizvrY/zbWeHp8bs9ihJGe6U
qzAyLkVvnXwhnqaCsCAeP6QmsDOVSWsstCOaftxDwyWzFYHrtJmjp/BF+1CuxYgd0D1ADNyQFbDw
Qa5g2G6MMfZWQx2Ha8Da08l0J26isEmZRG1VFl5a7yll21lPJscckfW4plbx1ASYTjZGM1/jsADo
QcRL4fK1kq8DHWFIjqCX97cz8vHAHIvbsXC+SHcKkJsSF4eM1jPNYxajGHJJA1s5ooLFO0hiy/qj
qqdhxQZ03WTGpYfVsIrwBOJqW9ny3jfjXaSHzwrl39onNy1W9bdhm4+yzb9IPsEHNAUKWJCr8hts
xgaajgBE/DeGoJ+FYdzLKrkde9qZqqI8dNzoVLWw7H9t3/8rU/h3MgUb+cq/1uqch+m7+KiGNvqT
UmH5Q78pFcQPx/Rs1FpoySinnQVF+JtSwfmB0gYpNf9jKaGTKv6/SgUHeYNn+/aC8XJM31wkNL9r
dfwf5Ibws1B+wVVcZDz/AQHU+hWX/EehwqJ2QO9Aze4h9TX0v+TdqhpArzVEqGU6AkSsgTu8RwK8
8gnz+Wxq0m+nWhb7OC2MW+UDBMLwzcSA7PB1bBRYOJmvk9/YIq5pPXMnGOo/+Wb+4TA32yEVkJi1
ImvlR/17Uoj32g2fQEG9zhOMssZyaaCTn5YpHnSF7E7EeYkRnG7CbK066MtzT2rW0VXRHWjmL9tG
tdzZdXOYZsb7hEy5a+Fh9jTNHAi7j6eBsNAPtqfytYdJHkzEOd9PkhjnOkoHanHdvfRGCLtcqBLV
ns4YanHewUzO+D27esWkfN56EfDGuCqYnoU6K1khpzNiC/LYYqTlXV/uIBo/emX4FhVjf8xwrcWh
xYxcXwDSvkNYcOqwmBw0H2I6G4OgGIw3gGq3eFqn3ViSaBhPOeGREFOIjdxMRnjy4qnlNLS8LeHU
Hw4Lx13CVJ0bLiLG0KROlJ2A/TBTNfLhAB6ox44lNFoMjkudX8l7lz3GkpFh0zr9pdGfiujU9R7K
+jYKJrc1Pwjrm7huWtfZ26xZT3E6c+npFZnd0n1ksjByNxbqQmCUxlgKkHpqMdQyNPpKlc+HwtPO
MsEEmTdtcyUrAtR6D+ZOopRcY4q9i21sA93MHKkuBb1cYl6AINFFVq2xahNYLqz2EMDW7ZO1eC8J
9aSNagh5T/zmkRzJfGVHZDxSUzyJoXrQgcQETFnmdR6PT3Xd99vMUBdHAlaSHKtXJgiHVYuBB767
SzUZKy4jTe3ZEWNRh7e2ojR+7mVFZWQ294yQMEd146WHY4mjsaw2eouDIKkV3Zm1dZZXwJrsPUTP
Cz/wzFYTSotR4BRv4qt5XLRmofmhg+fYDA1Ds7yG0GDrr0iS6bGo1YwiLjBRWKe8z+ZVFJFOUPrG
Bw0naJZyvtaiEksDe/wKN7pJXb7qnGfUEuGW0dK0VQ5epH40u6CqJ+S8ZolGxxraB5yUe8+K3RVG
sq9I0mpWpXwWnW2DItE11Dh0G0RCsh1qh9fWih5AooX3DuKFfRKlFk1CvPPQBK9p145m56F4pWnV
YBccqsalWeW3ZAFeMazxc4gv0HG6g76QdIg0e+3ICV5JD2GEog7ZpwPBZsDkjvo4TPuxtw566oEy
UBYj/zLdjTxfz8ynP3qhI1MBybeulg8BtRH4bq1R22T03rjPP72xeRwtAGSTgPvi5XoZdLymVeHP
Ph1KJSAo8jrzMb+qiVYIZps3uuoIzBlgq44mSPOJgINjV2IuLX2BVcip/JU1LcprI3njTIBTw66J
Sx6mhiGy59ZryVi0M+L/SHO1nPQ1SeQGdMFMzzVakMHafB3GNbs9pE8HzkZzZ3eVi1jeI+W8aOJx
jQDS23paf+W0WAABXUK5Bd7FSNPaO8kyJasJ0YsAYfKuZcyT3M55cMsSLW0kc8IoFxPQzOm/Ngx1
KqweZpTZ8lWDJJHmpC6aWVduhjG5RQR6QuzOqaKR/Vy+20yH7pooP4QW7lEtdwGgFUtPPjNIZ3N3
5Ufqow0lQQD9LOi5w/ArjhKLI4N/EvfR91FZRw2TbPKPWfQN8yPSsI8xLM7kCPAVrcCKV0yUiapv
nnPpZ+tSxrTPPtvqRv+Az2Ptclcw58hTwP0p384WUD6ya3VK2aOvmc/5fH14PczhSDNN3O+sHXTm
ikh5PGu8TOb0VbEFW6UJ9BLZVQdAbcxsqOH+W7n8JpT8N5XLUmn868JlNeQRGuM/CSyXP/Fb1WJ6
PxAagh9HQew6hu8A4/ynvtL8YbkGsksH/BPVzKI9/l1faf8wDVfA1nNMhJbmwhP/vWoxfqA51sna
AXnIkEKI/6Rq4WX9UVzJT/J1Mu5txwdqaSPc/7O4spCsW82lmSyF9ebp/l2WsMkHCHH+wzty81sV
9LdyKG4QxvTdP/5u8Or++lfR8APJthBVQxMR4i86TjYTqh4k0kQrjfWgccdkP0d1cqUmu16nllR7
e0zDfewASCHZYp4DjrdsY4d+dx8r63owAJZqvSIaxsBBDBsxTMqLj07qMht5+ZShPPoWY19owZCR
eGGk0LBajCJEXrQdaTxOAAPmpPdavOt6rSEAeVlrhWP4MI4Fm6we5oYmXRbJjbTnNTCa8YiDxH4x
proPXNaGQSjtkqHfrE621wwnIqPuGhkW9zMaDRhKg7Zse0fIDv40hTtIaD8jLxVrmwnHEQOct7Ym
ZmlMNUlkyWLIwxtVcgWHen3nlJG7IeOF+R5ZZOuJi/XZMvv0sSk68WLZJY3ibBTYQqes/2pdTX3F
3BJiBb1K7NoCoDLMwwgkaFV1B19k0LMwY6tvJnwUJ2h/D6bRZjeNHFwfnpWsz7RPNvbudL7tTGYL
nl1+877MG2P2moutLPsOciIDt9pHkKPBWzHHeLwNi4ZihMbyitCeut3BFUmOVhenG/p7b5e3+bgR
ymFzJSbQHT1dK7G1wdQftYbBjDVk4RoUs7Vu5wkXXPYdIktdajdyu5qffsXUIPQ//FhvT3Yfi32U
JOk1NxAfmEjZgxUAiME+AZILs/ScdnjuhGOeQDPp60x+e3pubP2iNg+YihYDFOEfnMaUpyFrDS1y
2AWRA8aQP7dWadY9eTNTdVaot30GZ3XI9eQsze7YmM4L6Q8wQBzt7PvJAUnMT+E3D8TT+etCCedg
hcwBU9dfR4BjVn5bnnrlYyUmS6/HqF7GS3h9kxg7ZWonLPdBV1OAECqKy6plOquz7dBT+2xOiYFP
pLpG2FbvQCng16+8W1hk5zjHolQV9VNrI6dgAn6budlzgbwmMJvlEkfsKGcSMUo3fwRlsRstfksf
SB9/s//ZWZmFY7l/MQmDSzzrGjZVGzAU/ZLZp1/4TILs+sXrbQZagLbeJzUTflPj62PhUhxqqwQx
kmtPluyfcwKW98pYnn/DJeHOP/4KZ/8f9s5sSW5cy7K/0h/QLAPBuR/Dx/AYPWbphaYpSAKcR5Bf
X4uKbOuUskpp9d52zdKupAh3DiABnLP32km6xmX/rE2N25b8vrVj+k7kj42H0HwLFDvvGJd/6OJm
ypL+dk6xrfGf49Q70e2UAt8hz/lqYa2GrXq57RL3iiVhfej84FNpJ29mVs+MmqcCKYaXoj6gCUfN
qkg+8QW4KWlgxoG2GA7ZEUUWXJ9S/5iz9H0SWBfskCWwpjV44dN83EyUpbbaCd+mwt0TePhjCIQN
GWkdDB4kEA+B8qYIBn5wQV9kXqiZvGJxSi+AbHiHLkkepbD2Qzne6RkjNIw+0pLBmMX6vpZQFEF1
HBZsjjG6140zd8/OmJ6V7b3TJlGXDG3vIo/G+zE6haRIImuJLyqxbJrRfZpzG7JnGG1xcF0FMQg1
5SFBmcvsbCiypJmzI9ZrHzjVAyDcz6gcDllm9k1Qo+BrzW0T2G9V396pRj8tNVZDkdhYQQgeCsRX
yiFcK+m8+bNwNgvrO2kEtNEiwMhfxXs5n7Et35MvdosWdpf6450ZltdYLuLgT7ZgRX0soKHRKkbV
gpGjG93l6Jv2CuQCprJT4jDQy/kgEnEWcbSfUv96VvkxD+drHFKIo+Pgkvfp2W3XUHbBztQJjnFo
tmYZ3qfKYLmkr9Qt+aNHcf061qG8DuVp1i/0Ed8naa7SpJ8Y3GgW5jS8c+3+qagscgHoH/5sq8D0
GmZ/B/nr7FvTxidpZyeT8Q4wIrFmfAE1gE1tK8qc/q7BdbMDW4uIzqvjXcfzpRBlbed2ovtZfAkQ
9DIp2AdnoIgJBxWz0G3b2nunZzEM5f8CvsX9AC4RTSvEM16+yH+zzzBSDmQwXUPPvWYuY3NOVjpD
zt+lQJQ2bKrUPo8hIwe6ZtXH5oEooWA3qneBD1+k+pDBWbQiMA/xlF/Ypb5E8bvzeIbq5R44++Mc
ZzdhSp81TvnQbjhqmzVuV0ZvkQkvCQpHiTu227AOHsLZv/GH+DL36Kdrd4iuiO/2Gu+UsRUeZv1Y
dGl2UxussPF8clc/3xj5tygQ95WMUgBmIBtQHLNQd9ujM9S3M4/lVlOn2dEiAQA0W99J+0qOUxE8
tzaiZxzr3/NWFrue9sjGKtrktV54YGU3g5Mb3lI4OpRQ88+N10GKRqN+cPlagNUXZeB9HbD8bfOp
Lw7ao7/hNf6ZyqPYzWlmbZZcH6ShJCkS5xBSYD8NhX1ylV0eVeUfWBI/DX53g8Tzs7N4j/UUPhfu
HJyibPxG3i7LfbYmeXCTifRblTvfUk0ZoNIFLNHoeczE0xTQarMLtFdOGuY7P+y+RXX+3E/DJzK1
3L2JCS+wJgsqVpN8wc/8BlljIm2p7C/qGg2e7BFdr/nb/tyVtD7yvXHb8mjChXEZy++gmwHH1iHg
MyS0G5wUBFwSK124iBjyoHOPiVvtetQdG1Ox4GELB29n/GYbktW86MVq2VIWgbGpiFLfdcqK+OfC
O3ehvW1DlMwIoFFEIL3c99NaE1FuvBnr3nsk05dKR1DdAmL6jrz80gS1e12oYmQ/BhaX/KW3ZHQe
Ha2f4RmAOKfgW8bJs+vVP0jIvnej5b0iMoEh6dcH/vQS2WN3st0mQHts0QYJrBtJuRx5qP5hBdkZ
jzat7fylNf1XgfqfMUVxYUQsfIUN5xD0nbw3WiZ7zuBzbotk3/sLIy+KE5pv7aopYqrwi2eE3nRq
Z7LaQy+HTt0bjBSu857ZYAJzFe4lE88xCGP4dTbsqK4XF60A2TMCJH0Kk+lWd+CJ4W1629ShE2jB
vFPgrjfRxBweGpaDTcguHKinus/BIZGG5VYUjFkS8L5sHpRpmi35ssubGyE5rnXX71Ixos0mfuXg
x6G6tVrSbnOEwrsSxOZl0TX9beerg5jDcHU72M2nDLvMfRqpaWsqepGN72WHeCrbjWlAemn67/E4
3lJjzHcdrm6QCvSYWyvs3yMv70+o5mkUEtF70Xuk8FVR2xyMF0AiyVnKLlKQ+zqKfO/LOjhVLcCv
KeiXM4uNnhHojTAl+24H+dJ7HMvohb6HC/Y924OsASQ4XucTwomm9AFiiokuCKHt0OqGHcg1+zjA
juCV2i9XIGzlDvLt8jbKYCsjIMwTkD5YMDhnz5OfBPd+74WnCVXxdQyu+H5MCrmH4XUaQHWe3Wji
yOaJy5g6JOQtICpws4SEwckp3eQmvQG2mJ2KJrxm2VMgrCRuUDU3DWs1SJIB4XQCq7eqLZAcPrmV
PQjAjcBpcHB8lvKiXLkEA87lNuCMiK5/FwGr8hh0ABVOF96gpCphNWgHRxVAr25FeHTm5Z0YSeT7
ro3l2/TGPA3gCA46tW4NNIct5omrYPCYPkXh3XTRAqjSTSkSWXH6NAbF7TCqCDsmwL7cVWct+peK
9SnCWLrgnpmumwUvGnULGr/+ae6cbk9q2h0q9fhyMKwN89D/FqHSA4V0vbiR+mb3kXuem6W96hp9
KhyI7iBsyMVMEex5ThMcCpT0QOlQ47RdJDZ1TqnQXRrsEyjQK9m07zq238GOLIe4DwtQC51zo7y+
ux679p41SXuu24TmS49Fq5g0MJtliW9LMbO0NKOl9vGgk7Od9sml0ebGSSltSMeUG0AGoP8zSbLL
XBDQvNBvNyIUxyBx7f04q3sVV5SKMNqENx4l4R0UcnVMNVdiMy+5W2w75WQFKGNnWg4D8ZSgjhwT
dfeDWqxDhjDl5/qttJAjutPnZLEKTNn0DCu6WDsUueocJn4uNoEzmWVfKCt/mPH6IA6sICTwbDvO
1s6maKeikpJhg2jnReeg9Q8yX0USZNe1n5ahjDGUDDA9wDbQULQby79MqdNecuEhrSJjBPLl2TnH
57D0dqFuW9nlQD7sG3zemIU3T/cBgwbxvWk9oYJt0gKSEjDRNX44BmLNFrNbdpYzucGmkUV4HU8k
Wu+dyvGqE/7dgfUOrQBkP1Z8Ty4w6w3HhS08NUX+Je2nZudSJp5u8rgj1jSe7ODswk4+oA1prywT
OC+qVNYXB9NWfOFUUf2gqQ6vMrPkGGIUDna5NQ+fbAOlZe/qsV5lcwIg3pQQTIrchP0aUkN/gyI7
WUjKww4BzKgm9DL3eWmQhDIdocbQUieaUboHh4f41uT1cGnmMb9ve8trNsIAzz1Iv80p7dWF+w4m
NRkhyEfFq+LhS/aW6kneaQuJ+Vi2YGkuK1rrHU932P7QstAxRJV2Rc+XWfyciHYGT4ah7BaJZVIc
KRwn2Y0nZRHsJiuQ3mF2pyhC1YfSdkDjD/iLg+DGakcSPS6j+1WD4FzZud9au7pKS4ILXMca93HG
Nveb7ibCdF0krsV2trDAXFnhgnWZNvX0dVhEf27aydphSXCwbY2Vf01ZuNpN7pqTrsQAZdAqKpSk
xRzZt8Jf8nNcTtm11WMh3xP4qhMa33IFO0gAmPvaziATsXp8Txwp70mXnVB8lOJbKki9Yr8Oi2Do
5jVZXW2iEWYDTO2+eMQxNpwSidXKSfOh3eHY/TQ7dnypvPExNMRb0s8vHLFrepZ88+TM27iqo6+Q
Kavrxp6T9ABMfeFlWIb6qsTWmpMnUMxXDZpcNK3adG8k7OhoH+U+LECHBUGTIwKKUG0GdR5sujR1
9phHBgOpPEsqag5xS/XYc/3zWAWLtcWKhUiKK9e898InVyLXM2m9fR0nGR7Gqeq20UBhc79G9lEU
ziy2WG1gf8tXCRre/FdW1JxvAgMFTv3UQ7JsLEJqQMM6NrHxaqndV9fQBN9x8dp6h5GtY3p3xTuA
j+E6CtmSZK3CFhyy81iUU+IVKl6WeOWfGCTqEECeiYa8ar1ckPecjPVlV2i944Ig5WQn5Z/zGUDr
xYhmNMwd6gaTZY3XTYm+j2CGS8TPwXVOT/nEBIicNM+8b6qlixGPjrjJcc4eFUaltyyC91FVtUAq
jpyXPYS61kmH6WhcYy0poTAUqSquSv1qri5hLyPoxVq4LeiAHEqhhttk7vS+xXt2vxBIcAqbIP7W
u9p6TLmIdDdglND1j1nC4yeL5x1AXUTEOUJ8ZPIJYrItROrWXHROH1wnsNpyn8nI6kx77SYwato4
dz9re8JRJ+b2EFtTeVln1bpHEt3V3NuPKU/aCsAryOAtqV3trabzoC1RWDo5VEkuYlfdhRjBd1Fq
oytBKOXqm2jUxbFrLKSCdiyIGkXvQFJ4F8i9dLv+Jch9ugWlylG1DtynmMUQxE05v1J9aB8Wsj1h
2KHAG/z2WDsSITGvYTwnamTzjOAvpds0FveZUcHXzm1Guk8my64WB5Y9Ws2g29VZUJwo5/tH+Aoc
EWg+ppJlzK5kjxVsi/oamfi8gEyb4Bzk3vAjyEc6ktOEH7JtontXBeGutkKNKMqrvBOaGO8s8Yvv
cWKyA3Xy7GsGQO4RRYLeKWvMnqVvl3Taau9Uy8S+S8MWPgwWEbad2XhqKJ9ejHJEFkUNYgaFjyG/
u4rKNLqJZrc7LpGqzo3dErHq1foGScgaO7tMW5e9O/CGRH6eIrZUZeu3X0ebto4owMxBmh+4kHY+
Xk3ZKo8s/L6A0BRAFrIrdDu5X2GTYcnc3dtJv3xK+rY+lCFc6SUHsVsl5BWYyp33OWyb5DAtoUH/
VVTA7HoLkVMZpD+Sjn5OPRTdFkOX/66bkC4jK9+LRLYDCia72lH75pFHadH8qOa7Rjv2dTvb0x4p
Hf1Mbe1mNO308FYDROEN7e0gcWz4/WSdgYDb+wRP1gn9HpUcVQTWVgDtosGxOOok/F79CMbwSxzN
8JWI+K24ShY3lY3goLaDwVsDGFhcOn1z6RIUuJmqCXMRGhFZOc6lCnS4Aarj4FAYh7uphKRI9myN
EXJIv/u6ja+jhqyDotoGcdY9LRYMn205sOHoiUrZuJ5CQCybRzYluB9bM8hXRO2ULFvTXPkD2cJs
4uwfWd369G4We9lLgplAnpaG3nVa71KD6ZpFpEYh7iyY7KQmV33KMthrAdr/0sIOMgYlrR8v0oaV
vwCIm9rtVpW0blt/Nbg11ReHoKnNJBH9LegIdlgW1KUDVfqQtpIupd8igKyo+TjkJjo+ntLGMq8C
AThSfVEID9VliL9GzqR6+T7maHLF88T+SPH6/xKX/9soAq9R0jr6RalCQB3tk/++TwRaFXzBf/Er
f8lbfNpBAQvZ0MZfawc2DZKPRpElXUgchNfS88Gj5Yq/kTgC+z8QcKJwoRHheSIIOYS/OkWO+x8w
aMjM4xcimqZS/k86RXzqLw0cqhvSdm0mfuEKW6xal197RXkCSb3KEUT3dhW09q1pBTGDdzlvxmre
2riS10pqWimr39BzCjHfkGfHEgphpj2C3x8CCer/MkjaaHwg176x2GtNts8fZvzjL7AM1YJfi7rF
u0iWbHnxKsgFDu7Tn79fqSoYH2yqzf4t66N8gvCcZb3+kmWjzbuloOA3PmQqzfmUvBPzVZcXgn9o
R8EHQ5eTLKyspdFfgljmUwVezbHN1ZJTbjc7UyIDozpSEFOFt279Q0ACU4KSTS/rYVBK4TOHOptR
xA7kYPHR/O56GrTWtXqPG0P/OS+nmp+etMUXFWyT56PTDP74Pi+UxS9SMQ9M+Ha/eN0eMFnGaUgw
/3wYSQYF8rZMOKybNz1pnuND+fOkBHUPvmYZMHy9tGMXmfHAyfnu0a6sXH8hXLRS70MXctBLZ2H3
2gluJZD9gaz229wQcYZ1ooE3Z++xgNXqHRn4etF4NfBjnUy56HLoO8wuwoPNUe5Qsht+SSmPrKft
x7lFrFDUu8VMoN4BbXIGC4nb3Z4Gd8sddok2HR+ieOQOqCivcK+mXane2cpqxsicFPwsE0rOB9bW
sK5Hlzper+1kFQ0fIDM6N+g5EfiyAyqVsx62L1zDvzVUg8LviHacONyJWHHBP0bJ4AbJOhY+ThK7
QT+AygyVogmEMsnK7xLRc2NmX4voqVoNroe8yDi60Lbdbg/pteT/p7Zax3Hkc8BM5esN8fRo0RDB
2F5zAJ2IzMC85EUlBjDNs0zmW4/SYgIlB00YUfnPz7ObYkSYM0RJllbbwgEpAM785w+UrBs4dy+I
1qqVtizROcDBfo5SN/Wha98yR1f8yMcdVUbUzAb1RP4RjgBTcuPSnwO8xwvJSTvsS9R7MNaaEjTK
zUW/NAgDkhsoq3M87ut6WB+9jxvTUmxVzkmxsreqber7JFhc4c5Q3AdKc+vtgL3MQIBjnpEK4sdJ
pOyXxG3E8L2g7eLf4orn36dGrFf849Q+PluImJLDhTMujX/71+Wz7AGox5bopDb9Xv58egMomHxK
YLUAEToryYA4X3hjPTMuF7YYvDs484QjqW13aup9X6dYkf8ludn+tRmNTM8GZ8RDIyQPUUD3+9d3
mZqWGDN4ZBOwB/PijSs1xfuw0728M4uHvutCcDDmmZE8ooJSsw79kyNhIxN77GpeWTZQBnk3NDGL
nL/+KlL9SN7J3+aI/6Jzjj7xbx36jyN112eV9jmveNr9/+vv+ctVWWs6rhiQP44Rv6XV7uwM075a
qwwxRqKcLsYRRf161f785euH/z9JI1/OFyJRQIHArMSu7LdXfmmQ8ZBqiFIGIYF/Wqap52zp/LB6
sEuZmOfZoyJ+8+dv/X2i4VsRNjCdBYJICjhrv57ymKUxNGOcezEjsy0v/rojuCxmLr/pSEcp/+VE
V63Fr2fq+WFI9sgqTAD2Efz2nVr7YV7GhEWKjALxY+5PWSNBRto8cJGMg/gKclVPfvE4ukH5Sl5M
2M+rsCefi+vMNgUO3LoPeZPaWeRetp1ijARJsx4qBQQ/ERtZuHWY/tuBy38ceIiwxEVfFgrJZua3
A19ABAwT2zeKBZrwQ9gxfnxFuhRHHNZtJ++CQRK3sQFYU+t9WMXg67aJl2h5GVZTXT55fon0kd6S
Cr23P99IVhi/XVVfOLaL9JZ1g7TJp/ntTpJXMvksYDckZZIWQOZXQvYABgPjAotOdMnxuUpwqTyk
16soLte99Zh5RehCEkiAKxZ+wDBbmOvGB4JgmPGilO3prUVEEHSNGqEEjc9lHSeRU/GUtlAh8h2C
L2/qD9mCFpRWG5LYeP/nk/vHKwRZj+c45DsL1MWs2349t2xM7SRlB77JlJn1a5fYCn0Z7/f4327x
KsL55Sn0bYAriITskJboP25xbvUwq3PJjDKGXIU8txXoXi0ziwq3HYSy+ZpgpDfPJkCv+zzXk88/
hG436ddIozM5N0a15vOfz/8fT4wf2QIyHM/oqkf6/YnBv0sevZdDWwDPYz8jRbD69zRiqUERYUzq
m2BJyA7585eui+Bfr8X6OgKOIR1wjQIrw69X3asWYuZaS7Hz4om9JeVVLEfEs6xEzATf5rGmBucd
AGzx906qku4+EWUlKFUQMAhNOQAJv6ZuuvP7koV5ipHA73xvOxq5ToOZozLrMV41jrfay8LprWK9
mf7LafzzLFxJFwcfA0tz3wvX5+bblwegQqt26n9ratAUH0hkR/CRL08t0N0WhkRh1Qt2Dhc+6yYc
k07cTkpO3qcRL9iCdbm3A2f3Lxf098HlhzaX0nUCRzIber+/4kVAvavIltW8mEv8PpnbMsYm4w/W
IzJcxUMZZTGvBjWVzDwk3qT+m6wE48miCutezjX4lu2fj+r3sbUelO+sAx6C9z9fakk1hwPcCByg
IYj0Bd+TXJh47DhVCCKadmZkt9JBBP1vz5r4ffIBLO26glxsDz2//4/rMbC/J+yQ4qsAQ594d34k
GqGPleNrrN+wW4GkYaoaDSZiayooPm9lW6r41Dq1QmVKGaDW6GpAz0Q0aruRSLkoUz0y0UJ7A8HW
2pIDjfxcsZrY+PXogFpzy4Yijg7p65wnSp/OU2YRPA4Kzp6r+VBHdE0+ablQVN8WbBPDgydgex8n
aNTyOfDoPyLyB5AYXfrIj4uvA4Qm/25uCGFeee+Q62kLeDpA0A64xE4kPuYFivfGFqlS1WVqXJeX
RqJ9I67jhorOstIkUEsNwiR9SDXZslLeKpkFgelEoc2x2kPYq2bBkjA5U3sT+iqN94HfEPh6QZRA
jNd4QW33Q9ZV5KGZEung0orBIRBctfyA8DFBIam+YpWmm3cmA/w8xwQSut4uxrTym69TqBGByfVy
o8MWCuSFSZKaiFp0B7RBmc5CdXTiVlkXoQpKxH66wtXz2XGRiL/VcV86d1aEgnbFLDr+RCZGMcYx
ur9Oj/H3UhdzH16wde29gyzR/hCzFnfctIsRKLQ4ADkpquygqGz7T+GAvB2UiulE+B2sUziMF3m/
zrUXLd1GYFJWnVqXgMUhkscoyRazWSwu/tcIe6L7aRh1o9AQyTQW3sYjbpm+QQMkiA/14buLamvN
i2+emsTzGIFW6ZM5eWCyrOfiYpYTvvR9LnsvVoewQzBQbARvhPZfJjYkmb+9ZFlOsKSI8Au7QrLu
/G1q4wLBzDL4FDGus6YgHIR9q0mVr2+6LBL+QYVy3Sw0wLvjvSJgntk894RPrGZAgBrz8iKNftU6
KeoHK1Z1dFymPISsN/dCO8iwZVsMF2gxadDu7ZpoE7NtWwycRzmVYfWsK/bn34oMtRE9t5DgoB0k
fUNqV9I5MyQEe2bej1jHmGeNbwUc7lizvb4aVUH5HDJVzgdblN4MxgiE7BFl3MVh1zrJJbCBNM4G
WrMP6LE0BzT/rNw82Y/mwQGbULZ7AC9khB2K3K/Zd1eCtDUy1yLAobfGnScW33J9HKtNaXrbvuet
UGGZqLKhnslVTTFZXsFbnId3pKFq6jeDCwrwxm6grZ46cpkcBAZZMpO8l1cBvKimS1n4DKpg/5zO
SIMvyZob1n1Ig9fyUHqaMM6LAr834fKNa6Mj2xIKWI8nACjI6ze9yIgzw0REtswLDWc09ReNqjKo
ml3d8Z4GwktfaoxGnPYXTuzbrIsKL1jXELgz1yuIN8tjpRjjoyDqDrl+d5tTUzdX3cC+bNiw1Cu5
61gl3fGhD1uuWZyl43rr8jz13gZfsV0/ZGnLCrgmB8Z8jn5uqYgQSrksdY8jpNgStdHPNd6U2BCv
VDsRl6RKHcMilBomEnleTYmJ92bpyEjC7JeWeo8kZORqB02n+SS/6Kn0SApfzdeukTITe+Bqmrkq
493YO7wFltQiC9UHPJk/8V5sg2eaITx5FxE2h4BYQaNWe2seJpH3Bv6rUe9gNdYZkBdyZz6rOTT8
Yejq0XwOGpqv2Q+KMHlGE6Cs9D7B7D0+OJgeeSjINWG44foMx/buY32aLBWTVI/C1HrkNdzRUKNH
EdN6SBfXPYJM49Hxwadl5wJJXnebZCPcpE1EQh5nXUdBr18Jk07CYEMZn5G7QI3zT1QfGCKW2y7d
bTxGbFhpAUtM/zWoj/pyVD23bSRz0r2kXes0X3HAcQgLaBiuXxP4rFV1F5oOchejGj7OYjdfPzZz
0ixZdv5YWTdtzepbZrwjjqYorfx7KipjPSZiYUuUUMLhmS+mmRX3KAc4Ksg9CfkC1oNy5QCBotQz
lBtkjGLrkXDKE0PBnWvtSRFQPykLw96V/di6lu1/jtCl5WX6RHAo+YgzqZ0tiikSfp2Nj+jHOTnp
wJtl+vmIFHky6tfQ6SpeI77o1kUCyDVeTVYuGX0Je5HxoQLgXz6lMDTIIg0EWYU0irsG8yuCQHYY
EQwMjutja9STQaKYhBLOiDmK/RPxBqxy2rLihAZmMpBT9SwZjIU3sTrSNTPYgUXkegzFDMBbbNkh
OhyKs7hc1Bq8E8gfbrd7nKn6Nl9p3lOmc0TWWsArVMcvWtJeeG1CyOQj11hS9W4a7N9AUFO+Nys9
BlgySk43CzXjZK7yxUaUh4j5GS0d3S1afhxtOyibbKWZCEx1s7TUsU7tkP3cL8VL8xUnwcjrpHQ7
q6l2AYHTOOU7WRZnhPJJ3mxGaav58mOQIf62anlYlJb+QU7CrW6JLSZiBgpPsfbj/KErjwELHX1T
/ZwdNDMRojtBMfjMHpNHA0cNbzR0Gfn4KZONox9zz+tXEFHdjtZDORMRslIhMyn7jRy8hAefHYUg
zkeW66PZ0cdS1xQZK/uhccbCfsnCZsZz1rZZm26z0WrCe7aeXaapxs7KfnTFiCvfmScTEGHtrrQw
W6GZ33cV2UVnGXMxj6wg10WtJOm+u11ahys0kJmc7toENNBtMMi0eXUb3ZA5M9eMEiJnCeFEnNhX
w7Kp5NJxHWWrlc3QKYVpIWcAPBk2f9VFgPxnZ9XZDO8xsBrrEWuIMcCNCxR4uH5InXeQQnez75/q
buIRdSxjTc/tnEYxxWg/8d8aJyFHh4zEdviigdcX96nf+AkhsXPFI0/8HKvwOs7WnT17h0G/zn7F
F3qps166YVokeCyapBSlF+qErzVu7iG8UYHSg7qogwrqWzPE6LmBSjRsuyE6yPW57MEm0znEeA1x
OmXRUeudnVo6uPdanrdw0/PWTomQIoN57ewGKReznlwYCZPwnODyzzuB35fjLEOwJrCi5X/wJn+v
IGDBLuqwx8sQRai+v/xVQU4dCrYfFfQ/f90/Nh4Rpg9I4yHLfwefym/VFOrTdV4lSDQXy/D0GdPF
XJPq5+Qs7GUtUfgwhLvbP3/t70W+gJQBWjR869rdof70634wadE7sYJkcprShG1GD6mTO+t1Nrdp
NB7PsgvhgTk6s8l5ST7add/M/0l+VPf/dOf8XsoI3IAqAe8nl911EP5cD/59O6pMZEVADS8+ujEf
PQMqSTG17z+f6O/XN3BD9nOsLh3qVXiifltZZobeV8CC/MKqYqArmyK11ueeqsl6vk0hx+oT1PJa
/mvBV+Cz+nvlwMeDxUaXeiLL2sjBdvXrNa6mkVwyU79LJ2dhgeBQLB77/aarWbilxhlmZP0QOhaU
3pEFxuzGWvq5WTk7GoLGNncAWXQ3HRHk1SdHOVb4Cs63I1EvKMcRClPnTOEAqSDPaQ0fQjeunZH0
JI+OjWtmOUabscGo3mwm3rfm7INqNGfNvo81Fb4mSEVEOLfKtbekQHXuuI0Dx7rJFw+PwD5CicvP
6dBrQECQvlO5ET1n8EkhhgvhLMlzABJMdhejzhov2zhl1NKmEoPrDRXbpnTsqXIkccGW5qaUwYwD
BZmP4eTzWFFuxb2qUbSgQepUOO1x8dYsPbSNeWrYBhExRvOGrVs2eDvEPawR71I/5WLilkiL+Usw
roKRkH/vpt3Ho9nSYsGVBOjRC4PPlqae9roMJs1cyNghb96rcPSNlZyo+CpCkmjzpD2wrTYYxnfV
0+eA7uDBzKxAEJsS20yVzl6/HOmddv5jL7OJU8Iq0uV3dQV0TO6WxKY4tJ27IoqKTR3CiAsAU0Sr
mNYwBS72zgIpHAFxWyavt3FEuEZnmzACAIu4ZCKDHiGEE8XReRBJUDUbtqN4164WLiRDtHfDbLWs
NICY1b5OkOVqDLzt4rYbqT3m+GimW59vSuLbES5KkxDHCbaAHLctnNVWw1epKJChcCoQxyGvBEdd
qi0JR3mjtlMtc6ApWSfE6nh2BxcFJeBcZmJCsUrd3zeLStMnUzpR9WaVjRtzLiN2BxY1ZGinAutG
GxeYfIcAgj0CLndMSdcbtOcDBa9rnff7uW4BwuwIR1wHXzoMASUAavwzb37LmjPtb6KZCczlL9GS
0Qib8vW0HdcyDCYn0U3/YI/sZmnqxZnPkwxbtAu6kwcAm8myCLmhLWCUArs2r6zJvFHoUA3NtiTs
4CqxQcO/PbKu9OZz4ErUtscKlPwSb9u4k4K1KlajSvjHUIL3+kw1YMxXChZM2/rIyOxyG9bnNGsF
yJqs+vkwU5NwmiMOIQVAGd1Hj3PYKQayDqi5UDxQD0xwcO8OemrIx91R5cFqD6sUKgKSysHyTwM9
vp7sLbIOfHz+gK3K2yadUZJ8ZXluGG4fN3nmhdpftljBGVhpxj7kM1c57b9PdIqzajMnTJMENkcu
42YzLJDjaHO1JuNyo0SPYD91oLp5QBHOiemyUpGVf41RiS0vflqTIIgon9xwJlraUVaxczkIGoxj
MtMNuGzZVPJJflayevAGxPf1p4nY3Np5IAwy4NN14ua8fmCEkZKF/3xZJsYrE0FlwCRHiKaQyZeQ
aQHeonrjN4K8AB6wjZJx/f2FxS3PRVAFIQdBLpw26ZYdDwN8imm7The4DZD6nTIyvjmwjgUY7zS9
bofs3An4JPKjSn7Atpf1Az+O1TD/rR3dwZ8G9s5eOUxvPQHezdfciPUhXbhF/HRsRvz5F56HZi4j
fddal7nOUI3PoDKT6N4GUqj10aOlu7yMhEktL1kJ4KLFIjJoc64IS4tvECjj3US7ag9df28Ce1yL
VTJaG5XwcOgvUFNNxSq0Z1tkzh/XvzJplMhjlKPGZIJAnorlFP/G0mIy//npIozX+764/G1FEaGw
+kveP+76h5+3RFnhes7xMoXi1Wqt5NiXpJyn26kiXuAmoKPuTcQ6iiJpDxmNXw7coZvffG1L8hAh
lVljVRA8PyAzgLHPwpahZynSgICqLSU/+LFy/FgPFR+vLWxtlMHJzuImBaGftQgou2R9wsuwX+9I
W1Odg2gRI2h4YUeh+aePa5vBITbnMZdrv52a9XorNO8u3DAfbX5K/ATUXQ3huP4TuJH1d2cCRxgk
f/1875rMnLsWHfiZYhwSgObjZAKcmMsL7RyLocSyEdsDeKlxXn+1oJwkmPdyh0HefrxcuyiM+8so
bdYP+ngxN4p4ohQpabv+Fhr09Xp8nLwewnX4/nXhsPvR0fe0tw4Pw4JS33yc4QxkmduZGLZPL7mV
rdf64ykKbKpt6bbo8/X7rHadVPqPhzN3KuhDFJzXc6oKYZgcMhZT+iZE3cgsz9S3zlJ+HhVcPqjy
ZF7nTdy4/0ndme3GrWTp+lUa554bDM4Eug9wctJkWZZn64bwIHMeg0EG+fT9RaZ2lZVGy70vT6FQ
KtvKTCYZw4p//UOEFYgzW484fel5eqXw2ecL2q5ROOxO22NGrJ/p4MvIhmWdQmTzp8vATYMxuyV/
Iu0/kL0huhoXSjTF8HkDkVVvwc/0iuNo59EqO/iL7MGFKKakIhwwdiS5h1aj2PuvfFvCOXPLCI0Z
znJmVNRTAbASo9PmjKuDngo+qWwOaypMUBkdZINUK4V5YrH5Xth1T6kzgwbPHwAC4sza+A4sgC+O
pSPK4q5aOK0u8RQNP+qVjIYfU9IxUUUc2yVZc4iFknkrCWbpHmwbQv2nNE5rxs0JBsOPm6MMqzPH
bgju8Vi+hyRi8LNohT+En2cw2ZhYtiBkfBprRdTZb0srrSos57FOB55oC8Vxx+l703j3vcnM7Kka
zaJBRCsHIl2tpkH/BE4Slgkp86qQHbAmhu01Dd0BVigld9O7/N2pt09OMi91FLAV5ujdoIev3gBF
jwxBxSq5oRduPoi0P9MTsJuKS+lGBDbgMhjR/OzWgYodmae5Kkl6c/fZX/IgeVcGjuKv2P7p06G1
UGbsU5PzHbpyykBMYIxE5sTlJhbfWfd64nmgO4JbsMdNG4XjabmcY8XztDxIOp+9sByc4nplNzNf
dRZp/EXHKnQvg8Ytm/skApkp90gGYSz067SA/J1gH04khlaE0xX4xbZax5wfAkM9PrRizIKucdTk
1wE/zNX1YeXkeO/7tn2XRkiW81c040NWL4wCzY7UidKm72GTqcGrpr4h5EtkucPHe07A416ymkTH
rSudoCu+Vp72LLEhS8xYYDq54Vqcbr4KBbwMjHTd7PuIZTehTmtt2fVNAE2Nt05ByrmTaykNPpVk
azohgKpj2W1bLeaIHKYU+hDJgole8L1Z/cowJwuJXh/ho2vWQWRZrAIRVH3vR2mnTUd9rJaVwnHw
C5vAejlQV31YkBjxDUP4PG60j5eQPO3TQanN8dQ54C2EyfFWL20HSTNOVyxRkOJ3nL274zEefTsD
5IQOtL7FZ0pgyfKBal3Z66YPZMpSTaHL/W4UTz4kt6UxAxVD0SWfb+oeyToHPXf0MUJ2MCRqQIx6
Kw6v82Ile/dtQj6zWcxXS8X5xVirID5U5ewScsAUUrl/1UtnWvp228FsTatLK3NtdzpMOY0JVPoZ
sANZrd2ywCP52lrCNT8mTvn4sweJl5DNu89Zi6EMbN0+jrsGOrkXZPlsNExxPMffaRaVrrG+xqS/
jb5XrR+uIYhssOZL8tObMJFl0hSRtjUqj6nHNV1OByWRZtTDrSoRWmbfVjfCjBCnm3QJIGBZsL3N
AdHTuAWw/sxasCZgnlAFmejktreFpyV4r4JbCThBKVNQI25aYq6dlJjgWWQzfHHGWR3A+y6caVrT
1+uo7HD+4bXxWIRXaVdH8YQxoIi6Tnxt5OiRtIdFdZNS1uOGsTYZQQ1d3kFS3zYSycKjoExO4iuI
TEJMdwL8iKtE3hryY1r9YmDADJpi6opc9xpjphzlScGamU3BiL1VP9ZZd5nT9A+wkVjosSGDDsdk
3IualM2m3pZE2AsXQV9JltMVYhU3r64ic3j2tiRS4wBxZ0fBKsdr+kylzOg8ZuTe7GfMw9R4wMee
t7sgVoRG9HZ0OKo4pCjgT2IXd2kPEzXF2iHv1iR4tFcnbBG1QJzj9Jv3YJ3eFXmWVs+ZPPXi5VIi
jlqCbe5rfCa7yS8D8VFnwoo/pd7oFFjYVFC3uZQp4DB4Sx8vxFIL3nYy3iqEmNFD1WKQU38pgwxt
ISLuKqat4ZeFZTGNLQYptlBuO8UgLPhPBl51O8dTK4o7StCGV2SjalE0DHVURu71CiTOTcXMFaHP
xQgNS8y7vgGN+5Z6YTakuGhUhNDvgiQAhSUVlo0FQA2JP4+kD4Qe47d9WTMQLsYCfHO5LFw7hIrf
qj5Oo2tlx4jQDi3suhXhiVXg035TRC3oywERS5FEh06VVLEbRuxkqVdQpZSfGfvPUWfJPl5Jjctv
snlZCeNQq6zsZbug/sidyymczMWXDrefcgF621Duad5MBh0klIKJ7C8WADJ4ehKQ92JNZO4goMB9
07lM/NXUuS1W6NhdegCxDKQC8mP8yVv9loQidy1dnE37iGSZ/EJ3vaICQUI5W+/ovZQ8R12TEElQ
CQamWMbKqRG5fVdTxADsQl+fRq6kKYuMZUl2wkYr1NhhSlTbwvPzJ5hnU6SUyzIspzyOvs+27a9w
LLwEAVRPwDLQcFpzuJ4S8ms3kQ80M+xVXtBsvEQBI/BAqxaHMGoNilqiRZsCaKoJurDowVdROXo3
cw/cVn8cMhFjhZ0rOldccTAIOeGfmidqvptdmBG5u5U+slT5sTb8uS89S68uvqIKEYISNaqxmLjv
Fco+j+ZKWDJB4UKYpSjkhA/E0dq65S8lwksL95VOpYHzrnPcesr3AbT9yNqNVldb9VXNUAnVDYD+
2FUN9gp0B+1rAoc1omevyoTI4PDbbLT0LPt4ii/rZRJI4SMnX0kkDggVLZqLgNSyijixyCfc7doj
YmFodmnPytQc5DTXNiBF0NoElM+VSeQGORbNGB7Qy0tJAFm0RgthCE3nEXHTTbjdYB9CW3wRe85m
tRvvRBBiY7ZTXdhgzzxzWuflCWiPl71NB4k/60E6K/3F1zProIt/7pRhxXYVpA0e/2geyJao91Pu
d/zbWAYldgxRCSd0E/qSPPBd2a2RIl48U9R9O9hyoxtu4LBQ+W1jAdTw0Dllz4v7fDZDGJ2PqRIw
LO94445EDyT/EnN0GDk4g/CLRThr/k7M+P8R8sFBo8BBZTB/J1vH/Lrj9i4/4pSw5w9eXSMP2Q6t
EwmWJ0Sp9k3J1jaS11SgOOEEu7KZV4c0IdQF01TYsLyvVKztD6a3xdVMGYsqT8wvWy7AqRx6Hhhp
ECmFXWqKT4S/dfGv4d9ESpHjYNnXNdwebwzMv+HyQWOtpxXHb0CJtmvrklI9CB5IUyQl6RAja+Wj
9ek2NtFU6vbS9ma+9OmrK58Coya1Cjmut2eJoEbHhCIVc03UiIU0aBdA1kX8jI8EJcuWI2RO14F2
dlWS3Y1XyMLJ+nT+9Fvmd4abNldIjSzMrVL0MAlvz4heI9HleG3/+rZ4EGGIcbrdY5uY584SYZCJ
vNcrF4LRfMVf9hopVI8F2+zzbwXnKv7UOIp2VQxUwRvD5Oa8NrAAWO/o14fVaw3gxTsQLMdW2bp0
aNeth0VKMeLBDfXD31pTN5j7G0FMGS+0XAN8gS1XlDFPDv4Er36aAw1mTiHZLJldVtznYI1C0he8
3rHfV4uL3cAlpYI5XI3OoIZ4CwO5NdFRzWgebnUaVn1LFZdjISc1DSTscczlPT0RS1gOf1qCjKFR
dL25BdB9DSBda2e15BbEP7Pw8/Y1kXbgdjmmmZB65h43PHpClv9pgoeTAeL5Ds8Eq2I/L+vb/ARh
FmXXJvZVGlKV4nUfEKDhvhI6GNxhA264gOfGAda0X7RKXZsKKehToAIBqsy3KufQseytPWLn294X
I5uMJpGoz+b20OPAGF8tblVPd96Acx+Sy8aLcdIeCJP39cbDcIgDPTaJoA6o7PhfFTElp1ft7Mxs
Jk94RtiWqPERebXpm0Tng0NLP7OxdrRnhcqYLSFerHUzpjP2E9sJFGu6nqFgrNlmpNXIijw386wP
dDIn98ERrPTNBsQbT1ZURu66vpN15eFYYheQY+C/t6s/fswd1FtX0xENxzSo5zxdZ8KcxS2N4Pb7
0mVV+Cqxakna1WKrYUkxY8hTP9ihKuSlS+4aGKKfpcGMcOTq+LJOiy0pDXSSlzjou9ZsMnWOU6Sa
ZgNXsPhU/B03pcAJoq4r7RFfteBEcleQfsrGEKlE+HhQW8ES3q1uF42ferfNAigQfdf0+g5lqVLr
wapnMbz1ChXU+EzKYMYk2uGwNkLsO6FRGFjBE/0sUQgjA8FngTNquZkde6WkcYifnJrdWhCk4nOP
4cS1Gwr6eLzqya7huzRRaCQY2fFGDR7HxWiL0APSwIHyscqibTr02n+cUiTNH1RnOcZohWKWVEfy
nMARbydCXoNxm3jDpOd90tZpOexDaQeSIBZab1QlFjX4p46ML1cCTWjftQ6lByXqPpxiSqRNgGIy
Cq8KYoO6L8lCH/Ne0QAZYTdFHmEbf39ZGgV9pnY4aw14cg6ZomO271AokWiIosgAJUjQzKyMpjpU
0cF16F3SFhn9ucvuMRDVS3ZImmBZHlqpZueBg4c/xvdDCZ/0Pu4sA5+mdcu9fVp0MvhtzFNZdmYg
ZLQleHezVnInCXEw+JVqYwG8mNamHTJNWOXMmzkQYeXuwEtaHHKnEq4PEJ9DQKC+6GViFmUrp2d8
axfzEXlrXNegVbNjMMMnUK22BAXOdqazb30IxzzAUBvs289v5yye8SYb+GII7LD4ciUHHrolAZpg
HNDhAp7QvrHTDNKkDgIGfbo0gKegyLXAAK+J7O5jRT+FOMyxVIkzXXZrv3CWcY7kghPCRouXUbSH
XtavaruyU2oofdqRwfCEE6qyoy7aIPJb3XtAaQWKh+B2JNcJeXFU611VKLPWIS4xtwZLhBnoTFDH
MB/9RUHA3q9ejUkm3eVOLfZeLHi+gO+ynFvYsnCe63E5QobMy0NcT8DPqPYN/Ahpx+CgTUD0DvyX
083EPgRt6530xCit15GyDObYp73gdXiysEbFuBHyACEcGrRP4ZFgnqoTpryJghy7youCF9S4H2no
utlehsT+5Hsc/ZL13iocR1w7yDfq13Hid+16UZJDwZkAFs1InoaUWDQ8eNjfLW9KxGz4v3WoydaH
uYOuB4dG530WXgUTfhfBNoQ44nAIPi4haYlFcb5NpFemeHWNXUCGGwYoWUmEbA8FhNzR42Tt0yIE
qMceaub32Vsaff8EzevCNuu7vwDnvBtd+tDvlQUY9y07AcE4xxqYl3jklRvDeYlQ3Y0Yak7O+O/P
0UJWHPYZc/CuEVnSlTcn1H0hsgp4ElucJVl/oObDR2Unar106zuoxCRGf0brTFAc87lXy2NolRNW
Q5GP+IQSfSzRV9wFeW0oXtD24daBqbbm2bjTkiMDlxp7R2vfjC4u2xst2sT39x1xBD2yHy+u84Kk
kkVQtxXWkkoWSer9K2ukzXFHEdHm6YfRhXDQ712oL1j1wESzGEeuL0OGf1sMIZ9pjz1FxdtKD7Xu
vpCao8zoOI3N8ghJPaHKTR0axAnlvmM6G0eM+QnMPj4Bp/WoSrp+YvafHl7uymP/5TjpqtNdbgWU
r5aGT4IZEU0gNPf8OK00ceXgNLl16LitgKvKZavauEOJ9mbXnhD1QLqtulhqkYfx3fq0POTkepHa
MS6aH5gEBVyfDfXTINKR46/ege1YZmSP2JLp7812FxfbMZkhiL0am2oaskNGmeQ2O1UkmL5co8IJ
pm5nd2tN1AC85WrAsC/Vaqx2LgTB+oszLMC1h7TvdN/ctm4IAfnr6PWt1e6pDBRiFel5VGq3Ndbf
DXbJUx2Q5iph9tElxJfWn/yd5w5m+0WP5pEPM+syrMeDGlNMXi6HdtT8Ka2gbgIvVHVUf6lk34Nd
zrS8FBhb6/nJPScdn8BiQAkvfjuvmSB/2q8gDX9JapbYbwjEVaTuojFABM3Wtqzjx9J15/CNhoo8
BFuqKtNjOKH7bdybDQNciRYCDDQoqNSxZqXpTg2XPiX8k5WGTUGRi2dQbkutZrmZsDzg94oQD1Wa
NaemBkg6xcflmCHs/wTkjyXNZqntJvF2XewtciBjR5oKMChmQBOw99QNf1DHpjMR0pyAXNzPclR3
yVUb1y5mK+uADCS9p+luBeVrTlWYBhxmgWpFH2xHZsS603F2tLulbYTZBjC1wn3gxiIxiMB1J+s8
sMvByYvqS+WxvOl9gOWHQw594s8WXgdHjpDtWTQuYuJY+d/KN3eIln5JAELkWw4NTBEwMt/rsh3y
B10P3Ic8nfqBkBlguRwkRAMpFIcmqUxZmWJIje/qiqUeb0FHSTr6m+v7DYswaApIpG58s/rWuX8E
1VNilD/qCKU/AeAapJ3S9NTlQqFgznaI6mkheXhDcWnkr3OdusJk5aMWS9i9n4YAl8lXRBlWzXCr
iYEs760gXLhyXUkitDYU8XjYQcwaEvt179mNJFdyagqB9q2PV9+5KC3WaYyHyDwDp7JHxwHqA/pG
brnv2c1UzfDskqa6RFpUkudWLE0fGxvxAP/uTdFBlF0RIelZfLIsWejpXdx6Er9ntCy1+MwGPUVv
wVJo3WDbH2OZsPfxhvLXbcQ6CjVtKaBakP1V0ePYGP8ZwqfXPKzEZ+HirZBi3GmKf7O4m7eFCeaO
9aEJaF6HFxPOdzX6V0yiOzL/UDAriEYKdio+9EOnsi9jRMey3Dn0ErLq0o+QGJI6tky29nAGO3Vw
WArIfC9K03UtW1IAxj0fjNsA298gmsc2pn8WXHps1St5zmuTZvP1NDfHBb2qzdYzTLV5psLo61hB
Hc68sAu6nIdFCID5OyKGB/Ms1lEDFzlq0tUHvycke3lzal49Tad0Vqb5Zg30tu0LykR2AdImOdcT
1THCamKUJJYB27VucggIKbmiARasnes64z5UyN6jiyiam3o+hJ1iLm/oIKRreC0kmNsCgka2CQwh
h9jA8BJuMZX/e1l7RT68q+xsiebLtcZyxYQVUZobcKud3I4sMKB2V15PuebJJkLNNlZjKAySb0GX
4Idz8O1C+CP+B92SfMMcxu/eiyz1uvcRNXWLNzvkb75bmSGZ41CcODS4O/A7bv+pV0jspoot0Jl0
wBSltVvSQrFhPDZwp2wwTV140YqW4FMb/dQOkENvNvanW2cMpHgWT7t9NK+mXngqgJiApm37tEc1
YG88GtSR5nr8IjIdW1xoeC8Hpp++H9BL8ZmQLYIx33VDR0jPdjIdZJCXE3vhqQPspzCdUwyA41Ql
jKylbh2smeqOPoZhE3hXZB6FxDkMmpq+39t5gi3XRdzYlvUHZtbRYvrf6rYg9m0qSTqOIkRt4/ri
jPsWyhhi8pr7u5iSM6QzZbHYV3BlItN4IvQSHvC4jpjNHsKW5qy9BzSe4BtjpUUvDmTEcHiBjxea
VjjawJj7F6+F1i7dQeRN5sdRr+pnHOUrNiRhumBR7tMgtkptFrDUn2YaoifZ4akduNQWTT2OesgM
vLw+9u7aGTovUnP6SPAmyD73EB54jwkwWXA9LgJyJKR580zHcKagHzSKapujeJsbW6MFCvtlV7gu
wRjVgNQg39TzJPMcENzBNv8PhLvn1D7uLrxJTjuBEwUQC8NzLW1YeuHYA0nuezk7LZkXOWgHwnrM
3+J/xCI8fZQX2bbRjkDvCwzJ8RcWYQ27B5abE+1dXCY5d5Wa2CmnrD6+TCF8rp37/WPOeHz//hga
R2kQwlDyzJpGb7OMIzCxDsfzHU2aMaivB9wFLJh7XqLTTT7JUdy8fDHiOavQXA23lgQZ23aNFvRc
yScUrRD6FTNlMfPmAx43ZgxR+XGMmXVjGsBJFPb0Xcn0Lm9prdAKPI2VdmoHfnctABeHvxuas+oM
K+jlq3zOukTQDLDsGJlmTHkCofZMbuiFw5S5IQoFP6mNrUEGVCT3kYuPQbXt3BJXC5TdWEe8/LHH
qfvr1A4BIp0oRGiPZYh7tC35dUTAF19xAlfdwYFpy0ImY5RaP/HOpDipiLdjNZNpRtt9HUDPd2y7
Zsp7rK4wZY4N7pcvyAyNZ9cTOsKJBYFAke8ICKHPR6jX+cqwe5N9B+keqRmYFhYdU+fX5dcKtHrB
QsomdIJVR3M3sFByp7cvX8JvAyZCUYWlNF4tgpOVfz4he4QFATwbQ+v1TAdbYebqP6CDXxsMyMaZ
fn7ECtXXh9PyEXarj3DgdCKBdTG/kVIb7xLJEYJu/amt/vJFPidd89CMuNbcKT6WQe2fLcm4f0C5
s8Zoa7vo0HBAPUnua0Zqi9atLxg/f1inzocoH0lUt0B6KXg+/J/njwax2ZD1Moq3VjQD87zHg6Gp
L6teyLa7Se2A7DwAvoJ2+8tf9WyMMm9Br9wY7x6kuB5w1dkHw41Ycq1He0fQF+8O/AV1o87TXH84
eS2c9oC0a5SZpdpmuIKcFuhxMpfQkD9M1TMjAnM9FEfA4lFoHH28c1k1uAxZ45gK7OgbGob9iStj
MELwFOwGzS53IvBEYMxYf9izYU0sqSo9e0exjortwEutOIdfJ4tZX2hANIBfJAlMPn/BlXJbZBIp
zsu30jHD4t/Ti0sPYZAHPk4VaGft4PwZJt1gjUAG3ErpK4w0FmXOX7Za4Evl9PLqT/O6wkEnfQDf
e2gwPpIasl5qfSSLFA48o7DzK3R3jQ4NbQc3ZphKiHkMCyZsCYgoNvmRvCNaGHLs9w6S+Ot0pYSB
y3vclF/+Ur89D8ED8Tyca6noQ9s/F5wvzRoOWZWrLbqlE0EHus2tGnr0RSULOayYzAgpZqLSWxik
aAVqfM1YWaOcTqOHp/jlTJuqvD1ZZRB1bdY9FG6mBRU5tMwG/CdLJHUvX7mJHHn2OGjyMZVsbBc8
1jswo+dTylnBfiA/kPRpl6bBIUsLVlPvcRT6EGnaSd8QvERYRiQYt+2GQPHtSTBMOWKrEJrQoyyw
HvhG3wbvcYyN+6W9IbzYn17btCH1K0zMNXaxzaJSAEZQVgcJc08JkKDdoU9h3z89sdpJ2AALQfuL
8y7moZkmolhCx4ZwQqjFl7KD4/7Tt0TtYwTYE+DU7HC9N8tjBpG1vAXPjLLvUriZm+9d2nzB5yVE
E/bp5VsmnovhWZZRc8N9c1j4HJptxmfr1w0LXnONLqwjarAGw8FE8VQSlkCPTK5TwQnHo2h9SABl
VXyjLUs1GLvgXflFipsuv1bWw1r8oUo+2za4Mmo0cAqqQoe9PIjOlmThNq7HIogz61EFmLUcrjgL
iBKxbBMhsKOMTNwlXzZUE6hFERB6onjTz3RKPsAw0EruqrRMm2uBv2avthn0AdbUl2+gKfF+XQHY
U7FO8WwXUwgfqcfZ/eOIlQB74LQdYU4rPwM1jCXhnkgTXVSmLaaFX2M6xfhmBs3s9X+yDfj9+bGn
c7h1HCQeITa+Z0Oe5qPDE8jTHT3AkcXTCRPjG7DKphrzdwsrGEY5R+FhYHhYnEoTQjymQ6Eyw4Uc
rA6KWu3UZll6+c78dmkuQCKpgFwXqEAMLen50Brwi3GzMvd2a1Oww4D1Qo1DS4ZH6paoZNZLF1YG
17L4ROV9XnxoTfUhmyvDzEP/LEsI5ElV/PjDdZ0v2jiX4LHAEudSJwrK2efX5Yxti7xK6Wv0JStd
aFy60bRCYzGEmYHQV+wI1hu/1V71GmQlkimJdonpsEWn9rYAc6RT8PJlmU/9ZSAhAoq9gORRZFEo
dvh/z6+K2R4R1QoFbwngXnypYg9vnc0TmTMnGZGFNkAO/qdK2TkbwQ4yLLMC+GHgUor8ViLOESzg
iq4naJQNqXwV2rStEBpU0Ft6ABNJy3CcR0IkUFAmIxyIhi6r3BClJ4s77KJowG6gUwq8ClzO5qQN
1q40PRG0PQDSlZJaPTbzBJdxbRjJFyUh6RJi1MAqzJeW7WcHBaP/vWkNa3OEBj29Ghd7WtyNN2CI
QB8hpvu+B3lhafxn913YpFfG7HWUHzZz6WyUYlYS86nTj5NWfpwWBulT9fU0R2CQs/q+/Knnq5sD
yEMQFcK3ELfC+Le7Tst6XlvQJQyVMHWFXpQq6i/JKDB7ZNqblYrdyVRgks4U9OtcmOLISunFrXdD
iahXbKKhsfnFzKrZ4RC0Z2AFL1/omTMCxwcWYAyNY47Upl4Mz5bhMhi1kPGEYOzUaiT8tpVf0K01
DI+5XAyfyHFkHC+bIqmQ0S8xIZc/PaTv5EoT4saYivJIJzV4f0APZ5v3fZB/70Ri+O2rTYSy3ATs
AZFLT4ZjSHRjLeg6DJPGdwrA6ir0+3Vna1gFd2DVhlOPE4GptNpWGO0APV2nvkHHiYARgwArDLfD
kC3qscNoIip3Pvtvk/xhfTufNwIWIQiD74QcG37XafbLmmbA9lBI4Sx5n7IZh/Td1KNeqncot8xD
VcjG1He55EDwf9h3zkod9muyFtmvYx4JG+X5voOeZaRNQKoA3sHs4Oi/jh5hKpejOUgd8ZuXR8L5
AoV+kOXBg8BgTg6Uh88XKEAc/AsWUjqyKjX4WounOt+xzXszSJ8I5I7moPvy57pmC/11ZXQw6aGW
w6HDIzfOO9dq4tmiErZf+h+pK2pirzIXet6p/UUKI5ggxE/WEwsX//FKCXtm7FiVK/lByWLC3Ada
1ixBsGcMuXDAQZ9UjE64mmgPK8Nn+HJodEageluPkJf2eqYo35+Oo/hJrMmbEJa7BjFbalhA0aJT
+y3k7SabdzO8HABSuLxj/45cbBzGNirnyduvHd2n+OhDk4qEfDPbE0vJoR2XwqmuX75JZpV6fo+O
Xlk2R/3QrChnD6f3K5dSLBo38VLEGGYRnAK1/0iCefmDzkc9Cxdnx5iuqQ8fyLXP6p2kn7zFTihn
Tkr71YFS9BbqPY/9VCxmlmvWLs4yLO4vf/Z5ReHwH+BLjok0xkMvPN+51ewuOIKTHzUlpZnw7mRa
AjSBePqnnYWzCBJ8QZyvekyO4+HUVEt8m99xG6ycn8Kt/5dS4pBr8owlWEABZgTb5xBLrZoRTwJI
pRixpAnMDCej0bQPEFjBZ/zDHTirXXDDjah6qRJ8UxvDIn0+CcexKzpf5OOWJAMWVrxG+/aukxKx
TjNRgt4Gx66w40qoHGkYmEW6iVf23BG8pf4TFni+JrAaOADYEQoEypffVqE2SqGlCWz8IRLP/uuI
WTy/70nA5WMJWzAMcRfJsENxkdeV3b1yYQmxYWB4w4BZAJuA/kOcVJABsMxO1q7raMwVF7D3DPVh
dlIfjmF5/Gr/9FYCDkdgdRSCoe/i8/v8Vnb5kI84wTeIKBhvhNKQ9ayxtjNkpDiL+3JvY1DPN0hS
DssX0op6/yftp652SVo3jrv/+IKoS9lkDZbgEIhwNrUgqaLD0lhDDFbMOlcL+MdX/aANxWINgpUd
FH+53gJMLym4SXuFvMr1cbxYWRBrrEy47S9f1HP8METAR4ECMgbWi3cbnYvnN6nM7RnvwaTfLgCt
TB2yvBBzKI9zMD0bHFbMSrxoxlea1cw8dKaGA/vyRfw2ygyIyUmQSW82nvMSBNlG1OD6WG9P9LmQ
SB5olxoYtv+buamMJPTdyx97XE5+XVSBoiLAGQQCfD6D4KwkJ7JXh7PwMOnRWAMNiAZSjW7Nhhyc
fnIzrOCuYXTTpXePxAuV0atrdm5RMFya3If/kuEgDfsIN0y+4j4KLGLitt5s9E7dZK/qMSZMcP2I
ktjwQRTeiu3dk1QuDxiHp9GoCog9FfG3mpyuzVAg1QuReaGb17enmf7yF3/eb+ChG9tFVnc7FDhl
Uf89f+j4KPl5EQvy6zJjtsJZ3+z3Tyw0iygDrntmQcRPva1G4oPqFJAPmeZRAnm8ln/kq36bfx9a
2f4c/9O87Hvb4QeUZuP/ff5Hefoz/g+7r+PXZ3+gFZGPy716HJa3j1JVvPS0vJvf/N/+4388Ht/l
bz90lnXzbmneNr8anDNG/mc/9P/X/IAR/vXs909m6OIv/ME5/8U2xwH63GbzO5mhi79YDjgV4pSA
UteNHDoyf6fmOn/hpRhCJeQggX+gw8fLVo3Zf/0fz/kLC13bvBF2hzDy/H/ihR6bxefXuQBoHAq2
HxocrAbga8/HhEPjhGSNkt5O0toow4vwDTkrmtPq2hIOBStBDlV7lYxh9GEKq/EyUb31Iem7V6wH
6UVcWXs8sCA+tLAql+kuZBZsPHhnH/XgTchsvGifrn104PTeQLeYvtf28LCm1bRD4nifdNV0EVL3
7bWKM5bstryqAgiANkQKeC/e8DCYtG4dfenmlZNq694sOvkApOUemnHJLpJ+uBERUbkwqz50jOHX
61w8AgTiR7cin0o9fCzm+lO/TNOewxWKNKcdL+jZ44bOWkzghYw2IzKa755lv+VS6tupbEzswrCP
Z80+ixp4M+CXdJeuEXRVseD8I0n1LeOcBXQO8LfAUHpXzuPNOAjrAILd7AlzXw/jPKRE9bg/WmrN
XT6TnkY02oWKsul9UXVv3bT7kZTWJ29KHO507v/ErOU6IkTmfVIO3mUZzpcxBnKXFkm7267u1ut1
iprTdv+P5uL7tua/z2fecTb9e1pePLavv9aP8sVf+v9pTptcgP95Um/Xx+/Z8yxs84KnWR39RRua
ycvUpVPMdvqvWe38BTkBiB20B5kdDbp/zWpf/EV9F0VYxwhjzukz4f+e1dFfnL5iYwjLyziJhf9k
VrMQnJ0jbTyKI4PzR+zuEFD8s6IjYBe1IVY0WC8K9QnRSWr8XtpLH37pdqrjSxfPoA2adSylZBDf
pDXumpBKus+j5Se7ETrFXiTI8TY1KtRreD5iw97XvsqwbrzKoUDsSWchgQq2FdqSgl1Oj+Te2VYh
OCR47TZldfOhwBXeLvMH9S6ht3qbFcsPaELde2hP2SOakmS7BrK7S7RCStf59ntrzd9Mav0Cl3W8
6zFNqlE3ZDmu0GNBCqRT1f0FNl7jHar0zSQFGd+e9cBxEBGTizg08PsrIhQhOybJeE2yFgEHc30r
4Y9tvXUJwB49q72mQ1LtvUmqz2zd6Q45Mr4xYXQoZqww0yJ3d+VquW8tpxI7YaFzIZKN8/eUg300
1luo8APKj2XZ4yH1BZndDzwYpouxCqJPGsONHXSa5oaQsQzWUPo28CyOLQvqzzH+PicTfp9x0uxt
SXjOvMbZV43hzm5s3Ut6XtErVVuvkDl22HmS+Zz67nhrsT/jhyJ/EnXYbhAs0EtshvVi1UFhxEgl
mZV1dZmRoQareD6IaHggLyC9RoZ16xVgKn2t7khCTTdDsgZwLUPyXfQiUCP16rtlWwpbGf3YEOO5
p2WAeG5hRAgQlpul9ghsgMC3la4fHXL41Tuh8/KnhqryFac3G2VTtHz0WIYvZW090i1BCTn21QY+
IYbSU4oijotJDiQMIDMjCW5bpc36ZqZfspGxGghcTltxVaEE282DGz5iAMP3LKHwg5fhUolNWRXt
ejT1B2Lr1i3H1W7Lspm9XlUubgSyOQQpLvBFXVRXgGnLzu6hncKpmA9pg3FKWtQZ8oke2hyU0ivc
LonkdJNZXKN12eel+kGXT+z6GZXnpqu17e1RGE3OzoqDudyN6Fs+WE5ndVskPv3rEhcy6OBzetk4
NqnVfVwTmTzA5suQ/X4ux3y4dEc1vUUWg/ENUXPL5yXr9HWAznYbDtb6fQrjlfhneh2vYeaJKwVY
mm7WKfVf2wk0fmjdHWav6gGOsXolkNt+wlNyQBhvS3J3TIQgXLtXqZyny2VgmaJX1/UAam592VTF
a90P7puSo+027WWNIfSoDxm6z1dB6/4UiOvv8arpDihiTZji1OyJfpIb6ethItgLq4adRVTtRRBM
8gEhom29DhuzIkD+DB2acGXDvIPiCrnOQReBTQu+nnZYXAcFz2OTYixUEpXiZe8jcv2+hAxYDzlh
LC6drsg+atfubrxhHK6ToYHED5XfGNE3lgAS0gLQw2+qod757hSAFnolH5q1vaAuiJOg243ZOr6B
sBhf9fbcvpstKT+Sf2h/HVEN3FbEMmB5VCQ04sgLCrdR2ScE47VTt52x9cPE2E2tq9Zd1vfOpCxc
5/HUXWZCkGfEINdiUjkjdVy/yayL3hVlhFdV+sMOZBzsFUw5QqHoNF6HTV7fqbxe7+JV1lfoLv6b
uvNYjiTJsuyvjNTeUoyTRW+MOQfgoIHYmAABhDE1qsa/vo9nVY1UpfRMb0ZGZnZZUhkJhBNTfffd
e25zJQvy6Y6LfUW5cS+dHHudQlDsXDZ58gdH6wkTLWqTvcHiJZNESUCRBXZZFxeTPIcgjp72x1EH
i0EoiaZxf/EQpJYE6/qEsXeXuvoLrEEMtTzz3kfaJj9r8p0BJVWmEXbNmIf8mucycbWncUgoLM2s
XQrd/DIXNDNjelVfB6ys4WRl7oWKxeFYM+MEbY6Vjho1j2y9Y1FGg7dw6VM1guoGveNmDucDyZ3v
YZSd9K0Bk5qvj2biF9yx/Zr4xyEDFRNvetf/SiGG7Jq0D/vNeqjAfIUaVYDhOPFwSGmIDHt3sOAm
d/qH3bqpYOXfmd84Yz3br2hz3OmmYu67Qr9zCA9F8CyNgFAg72Qmy0PK98pfkJ8vpl7P90ML6WmG
Tn0qSKV1gWLQ9rdu/JbbaFBlvwzFy6YrQ0jXNypiNj72ELD9ATxk4FKCbM+KycMi1eOitXkhfw+Y
oiN40ZdZH8SZbhxvjy25jHnww8nGD3fqlMx5wd2a5bBV1+Kc9G9Y6pE6iODEZONQTzCoswWehvtm
qu2PuizlfnSdz7IsrBt29QYkcPoO1hdubXeu5m9brWt/wzINIJbY924uIAX5mo07fkMy9qtMPHca
jYO0EBD1mAj3LGJHDvlClvm0LNXvtu+fe+h4kaHlzZUmlIkWuLr+VacJ5WVGlYeKuZW7FSzLPU3G
EacZAj0zTP0qc7rjFdd669eBtkYxDvbbLGyAyDKlnlNv9zXgRiCp/YeDaTDSGutOlON8KiaxnLWV
XtXGsfUdd2X3A0odH6hWnfNgUO0PYBSlj5w5oi+7tAjqZMoDHVOwryuJuGJVcfMAqIhRBtVqeSey
bNWjm+vaq7k5472maLUMHHaIBzz86QFWLwANNjH3ldcmvsuTK8SPpO4gNMk4Marsedq6yOpqnh+N
WviunWRXQ++b/Zq0RDwttw+rWZ/evNpT8JUsaWSp81Ga1Pi23rQzmnp5hNqsHcuqWi52aRq/Fksr
0x3lOkmkzJTKsYtIQs5q40nlikA4FVtvCgzrYlabjLTZ4iwoLWzVbtocs3zqQnMSya7jThEVxiJ/
Q5Oen/J1aigIHFPPrxey5RRzi32TPbZzb76hvc6vJKdJW1G9F3SGXsBm1psEDGtTBq1aJF+p1Q1U
p+TqZSJrrAQjeZi9qIhtlTQ23k/D5GCS37IHlnyUOc9DHnvoyOzcp8w7iTkZAN/1QyxgjiJ2Dinr
9dE9qKMluCkCChFI6YEJnSIaoKRhb/phZFq2J4FXB0nf3iu5LPcGxWwEv0aK9NBzwzoVl0nSQxOo
DZ2DGE6XuEqoLZgJEFKb6q1WhBX7ZkmtyvvEKtrdwGP6ZZvoSweWPX+Y+fxDsfOXnMjCK76AIgIO
xSqp42vrGtoGAVAj5IyAFlA3sOMa8LoAVos1rlBRMtqA37YP1UhJc8gmu7c5kgKbLCUp4qG6K8ex
9XVmW0qB3V/El824oE8pHCB9PFHtKQ6FV8Lpw/lW/ixE1ZxgrHQPY6eSgHFEjGldOyeinx/Tcn0k
hEeXuY27nv/kRhUPfAf6NMl1drVCol28u1WnnBdsNWy/XNsvHdGEjK+vqu5se+wvHUTA7Aqx0G+G
5oYUMLkjutVZWYcsXHsuQCWZ8ZgnWu4nlrAOK/trnzIFHuSYzDAr9CQG7gbbaSn5Kn/OvOMhfuXk
CNphgSWc7DBeKTEdkt5xVGg7I9eXRkB1JPSuxIpHNdcj3tvfLoHNxzSvq3hZCAu5pcwvctHKBzqn
xmc7vV2Dq1y84NqzjjW82DMqwRLOiAUHhbTAc7Xp3q4mS3okmNDiUGyTyNBzEd/SZ/HWujF5DI/H
ZMWpWA7N3tPJv3eOWX9jOVh9Vd2qfV/iXUEpFXiheOsFVeNB12QD54uqP9OkDiFA61+ybvoQabeG
Y7OmQDFUeRyKwbvXjSkqx/40eZKre0kdcQHq6Jzb6S3G2C6vTT7Np5Qo7BuNM5GtudORXWkZ9Jtj
D76TamMkh5EToLXz15KpBohKmjwhZSaBLXJuH04++qXHUw0ORxqBwsUrJCTpPl4dGqmGfOfSCPA1
pLYbrWki7gwuurGitJ90rBPC6lydoDJ9Vw9D1Uxv7MwFvg3NWQ55YtZxoXUfqlfcnvBlR/1lxl9G
QNlXm6SMILg58dg03Wu12FNQpsI8FiXVkXZJIGnFagYueNmBFtEjvbC9u97mMCDkPoeQh3YzlR07
Nvv1J+nYHGqS28h7rTHagLsfWAZrc7n5F/Ko9rCDbVUO13XihaMZTmC4U7JTRpdNMBiuuZO2w8WX
F/7SSlNEiQLzoTSwWIxFTsJc4XQvNzc7rOqgh1amETOdnfKXrleLr9CRtvO26Q1r2nKypsk6T0uX
BQOm3n2n84iS3KwAFXUjIKZ13qdzdcua2UGZp+xEYDy9j167RI2nVM/VpDVPos0eNhdxpgEMf8g9
yfWKvgRyJnlvHfq25Hu6lT339YH+eqIA6K/FANPY8cBvwFmh+HN6t9MsP+pESkmh58RR8tQksFhV
kd1Yj4aWPfDlk6zOR6N9gP4D8ohVeZQ5njgBWBwP6G3OKdfzd1VoMYYnHIIpaXrBkEQcnJGWYjnv
mM5e/WXOm0l0AyvW2zqV005TmvoAE38J60IqFa5Yo71oilI5IRgfcs9WOZx7xSx2c9mUkSiU7odY
ZsPvZSW5vwpKsbWhpWlQ8RCn1J8u0M996rX7Ucg55rpiB/RueIeySYvASnSqkKmUA/C4iI+ly82T
UZv2sz1PZpC683SdCr09c/WzfnV6p+yVcZbPbGA+S0q8Y7lsoeek2EXokopW7kp7V1o8omiL/uGh
6f1wJ5exa3RXjJ1qeTWK4VMnbhVa6/aUIZI7vmz77SOb3CKiHIQeYqLXHBoEIqCJqUHZ22+qKa3P
da1/M5ttVKKjUB6EsS0u7CWR+trYOvejt1QPamNq8EtWneLkIZfrscwdxnnBZ61XHGA0o6FeF3Lf
Tz3dpWFB6VJspW15bUZt2eV43n1WxJ2fNFa2ny0vf3II00Cv1vUTvrkxEBX30rZwn9ZqVpHsVYjv
pbgQ1inu4YVCA2S46yyjv5ocnAkBsaud367XfH8ulmxB2syZ3KnQTRAThvVlkYV5UN3Nenco/4gE
q0zQ7qbIf+pLxvodbApbUfMNuMR7UzLk1lQuHqcNWgIpbP3eGpx1V9Zqx2VX1G8lzAzfKyqMmmWk
wF0lonMd9YZ4venWsJdIGm9kYBIwHxyTg8WlotIdIEPbmkRCU5dzUaqMzaqSR6KU9qFFiAynBTym
RoZpkWIgsyvroMa9QrDZuYOJwXQ8GfkO/hHQD5vSddCzLul9UiICnpnf2UhIZH5O22Sah1ti8YW6
hd9OaohrNecyhl/CB4H8oQirjq/HViUsviahARz13McqHWEYjFV347OwrBrLrYYa0y8X7G3wnUaH
Gxr9DSSWjVhZwaD6o+taB7U2uZMUrvM1u3kSuBjDTPLZWnXpQAsfrU1uwTgt2T0cGasINDjuew9P
29tqSeXA422FKcA3teBbyHk8Kow77A94xhsl+7lWlq9VWan87GT73ZEcu0u1Kd0TjeTspQvxSMMg
5TPT/NW4ThomzH2vnQQd0lpme7qRo+5SzLg+Zj437C0sQywEIYSvnYputC5lQOTsPChijCrPzZ+4
xKWBTUSNz+ak3SNBGCd9sesDsHgCOd3gBKuTP2O81mODuvrj6mzzuVRJmW9UZnyl86q+6PzLIfAE
ikxyO9sjc6lBtozwXEa3viyutgT17PxkJe68prdAKu/7R+qpBeug/oewl+nO0cnOm8og3nWzCDPS
oPeintToppEjTTmBYyxdQLf4m1W77RCCy2vvUszbISxX+dGqo/6oObN6Z010J65D28aFzTOrWvk8
KGvk9dSKcoR7FxAmakwJKJFzHXCZM2jSF0Z2oEN+ftC8vD2BCnF/LNh/3wb4RDGMMPdFk1zZHYNX
0kQ5CWsIE8G25s2n0mjD5RYIA0OCK+76Z5l22tMyCf1kyR6Uyr1Oq0K0dZiba6sOuwFQDkBZy/U9
+EBfpjTsM4WeOhHMRoSDZq/7rbacwJpKL1JYmEaUVNRa6HX8kXYFvKQZbnqeLLt+3lpTRlSAaq9z
Y887S+20U8uNDVlNMSMDaBVDXlE96AqI/Ljg3Ym1Vk1PXecmQdFmxnumk2/kJthS5Gz2+XfS69/k
GtyQZPN7VfW/yiVXA9IwNLdsU+iUcqA+tATtlbUfYEkgDCMyBXmTt7ErIfCRKaQspZQhMOLEn2Wl
H3SehUeATMih1XoaGguuB4H8g+OuoVUY5wo64JlOmfIspKIeJxt5mfw7NDmvj5qi8kgu5WkMWsF+
w8s+7tLaSg+2NtRfEyCPXaFX5aW2hRE1jd2+TJunhjiBtXgehvFiJ7BpFQ9JlrLv2By7x6XXexv5
JH1e0NwDmWR6iInZCWWaPFC/YodzUzghUjLFQmpzVrVqOmJQ7C7OYmv0GhExf3TVtjksrjceMWsu
4aKUyt5m5uLZqvLM8uTzqoFSRzNSwrVKa/7jCslvgSUa20YTjizS/VYfvlkPqSde0TOMcEqzC+vu
Zv70W7tbnrJV0Q+KWXohB2cMXYz306FLfrNc466s6djhObkswUqNaZ5t9n4cCm6YlroRH80PGZYT
SI0wzHWKczMzYPcwxpRmQQ2YBKAIRz+zIJMhnknwSC4ppGz7qdoFkn16XEvdC4gDuxEMqBWSA1il
W17wbOLSJB+U/YQ3/Ks3Sa4C6T7RztfvTDtfdkxqeZxbfEHz/JFBsDgbhasG8Al1EBX2shtHYIsY
tSgvWxK5hyRb7iXk0tM4rgerU67GAo9Qd7lcsq98y51sOmFcrGJS0nTwtFNCE5VVn510K7CcppsX
USzBg5iMLXSEvDhCV2/35L2pfoE5fmWtpvmWAp+C16EXJwT73+vsdGjSglGX8iMMeVlnhgkR3zcp
HHEttnT+PSjNwJYCUEY8s2VD0efdM0t46dgsKNtIxlPbKAbvrStjioTAAPXr+q61NgXyWVK8q5zQ
9xD/00AhXfzqZXsFz0tsiFVF8mF5NwvraSBx4heN+0DmpfKV2rDvbEcAFl1vSjOz8LkBoYJoYjuU
cFKwLO+6dFp3tHQkgaKW7YWVDRU7k6j/bhb7P73H+/9pRaezLf9fr+j8b5HmY/Wve/fbH/hHC/kf
uPdd1trYgNlysyCbv+XwH3/T2bRh7GEhj70LT46BFe4fa3cWdMzzLO9uaTE89w5bs38u6Lw/KHm4
beNVjGG2ip/4n2aDh7/v0/Ep/N188I///T94Bj40OWnJ//jbX9x2LA7Zt1v0koGltQ2cGf++dYcg
tJCLg9lUWpykyVyHVTO+jcI8JRNKDGb63b+8Lv/FD7y9DBxAa8qw8MXP//tPZIz9c1vJ4u0vPzFv
0oZzwoQ60+kvpkbTeIaxVymeOSCfdG+8ui2CSDIbbxRj/1KN/rHI208uxJKbsxH3o/WdWdYZhFZg
d/IHjxgRyclm8JXufxO25O35yy9LYA/vnWloRLB4E63by/cv+duRcdkmgKH7fTpvAIYEfR52V95l
ucedmPe0jm0zK/aDO+iIneV2LWnO6bN+3hXb9rI2NXVYbBv8yUhytkS99A2KQXAj6xSBGdm7ldet
XxjJytHbGT/dETITyrmB6cE3xkw/bu59Ss4hAjgRy3kxmerZAU5jOr3UNF+HGFPXsEnyPQYPZvQk
XT8XfbhbGIN8peLKC021Dw0N8rHeI3dLZXnU+xaAfm90u82T4NOAkp/nlqNLHW2gRU7zs9rYAk6b
4NSSGSpvbdOTklmFdu2GSbmmSWrHnl6j3xHt3I/oin63OeCORzUi5XjnsHaO6VjOJobH1fjGWlB+
S5Zx8ZgqSzggujICKZGKMhG4Tv5Ey7qIs6p+ywbT44R3fmxm+2TJHt+ENgTEM8tjaebFrhjVckeU
ajvjTPEOxZy8aiC/fJWx0e8WXiDVQ+nHSqjsxp7bhdpQApJOytGbuhfcterjNrUzszdrJk1Bry5n
oX965ljsktXY8f55+65pRjz6jH9kD6xLXpkHUHRfM/upBxD2+dmq1VELa6ABuzwvWA9WWbkrWmBY
VDswhHSqdbC8hDW04iXmieZTx8/Flj11ROajJpFAYLMiGgoK1eAAITRQXsE30HwhgLijGts74Kn8
oG+kCrXm1htZe6DBqJaKNGE8WFsO+nPYGI9kT7l91jd3ltJyieDoAgQBkWMCgBhmYmyJlkxcpN3k
d2Fn6RcZuQ95o6lN5P1Z2AI+3rd21Vxx/xUhy6QlUGw+oYWrNSEBHlZ2CDDgLbI0xij0q3a2/EN3
ldc5E8Y99J/yDI9G7thHGifqez+crRE/4C+rT+Xa3+hKjsZq0UpkCKrBvPQjvCP9z32jRdt6UDtt
feyT9s5TkxZ7TQLMVHPgW7lpFcrKKQ9K3oJRhG0ScdGkdaO177NCM56H3Cl4cSwYon3tBG3XFHds
2tu4FJ71ydVYRAB2rUAdUSRN7tQNxSKRY9U8bqgy2fPsS186dXmktabgC5qKuB/WvUDSzm+uzNbu
57AHqMW41IooTbN9D0ApcsFdPwpTL++IYd8qLmnyUlRve19ZxryPW2Jexar10dxnFUCwKUt2OlBa
3/GuspbjCdsuJU9kRi9QgM0RTIUbClJVIHfJOfuGMn6KhZJUApzg4OlzGxhNEn295LPzYq7GF+gz
8+wxGu1k446RdRurfL0YhutEXi2gZiw2egQx1cYBhcZFOp0klYxkbuZhOS7d17QgyWAct9+TRL7S
15nvV/ivYZq3QFtJvtmgNJLm1azHj02v2jsycebeQQAp0P1fSKvIK/Gz5K6RWnrhEQRNEwdEVKYu
kBASUff1QNtIz43xwUUd+bkqdbHL+axe265tz9RBige9KCcCqFkXJLa1RjrDKlNAreGXaD+KuZK7
BiH8d5JxBwPxkN4zqsJ8yFmYou40P7o2+7lWC6/lODwS5tF2GeDyU0XukQFZvYes+Kzo5hvX2lco
0hVbuaRNL6XomDXNXofBUkzaIyb+5WiBpTpYbkGgjwfkt7bUzoncWbInRDJCYGvZlFKyViE9TkWq
HW51tkHPYvbkDFmyhmxSxd5wWr7XspqIKcnO2AObWnddoXB97ZIyB0e4du1921kq8KWla8Oma8d3
B6dWHotk5BbYZSgKAfRO9blZm4VXtq8JuozVnk2cEala4hTcXrXd4CQhy2/xpQ+rHuad25yIWDb7
xTNLND0s7J+WljaxoeRJOHlephP00vKoGoz+mFo97fPCvhGeUusCQbO9Jr0o700hEOgWUzmk5CHg
9o76L9oLb7Ql8I3PErRMkI/ZpIV0Csx3ZFWzI5Dg+poWoxbxsT5orlegFUjy/irblVhRmy0cs0WP
U2CkTVRZjhVW3qaQwbK8h6bHNMcrJo5jMYe3KkP2iiRmDa9xkWL04lK2XvKb1uDpAZf37MWUKvob
35pYHRWqfPWCVblurgT5GpqWWKRsrAEI2/9mCe+9Nr1kFuaM/2D11JxYEM8AupVtPIGyK9u7drTb
HSiRKnTgm7LZrKbqHkC0+amsUvUT0nh7uExPOv27RypExxMWGDNqcc0iEY7fWcWmQy5VE9n4eGMp
5mPvgC8qjHJ4kCSOYmlVb30PQRJuWQtfzGuy/ZrXanBrXAjrxS0uIGpTorkTrYD5SuWQJTz12pA5
j8pFwYZR3gYsAw4+76GyvFtNeqteQC8SXuxV3X0mt/yuBDZxmMrk7HICXbgZIPQu1q2yaOKQBLJS
QkYR81PrVG2sDDk+EnfaqLv0ysehMpeAL0RyBttvvBncO6iur+t7y+1oWRytfTWVmJaKYV6zaFDU
bN/MjnvuhKEdSnpTfyN7QfjkxDgpMuv3mtn2e2Kjv3PpGoccGNyJVbH3moPHmnlkKwteZDmuXX9U
i3ZaHm/DFQHXVB2OpBPc/TrAbQ0IROLOqaUZY9Eqwk3ay8XslM7X7d+66DEFZUBUYzTVB2Sy+sbG
lU5IQc0FwDWYMVorQ2lPU6wQPvXNko0g2Yabfm5bd3NvIeKNSvtjy5dkTytHs5fmnJwyOjTP6cQ8
xwi1xbJ1O6TfKTsB+xzYHHsjrNiuL471wgYFfZT+zNKW3wqdsZU/V2kT6XCUL2Dv7J1hZcBM7fk6
zCM8lTp9YluHSqa7c7BRFLzzsLsEkIIxg82WGhrlTbfm8RON6dCFpKKLU6Mpxr07u/SXD4Z5RgWQ
R+Inw26znIc80bxALE1QmG75bZldEjOvqnsnq/dA3fOYVCOM3kEgi6BlRXhG0RCMeWW50NX7qci1
O20Rb+Vk5efMTB63unee58qSAY+X+mhO+lfdzA376MG3rcp4badpuKbTtqcsswH03X/1KTwlkLVU
itO9UjJYcqYVV0eZTBDs03iFTSc52DbXveMkLV4njCJ30kgbno5ddxqcwi/UOT3XXmF/J4ZsWfP1
+iuuD+/NHZCIrWL1iCbM7hK2RW0/ZBgtHsjq3HjrN1DNRqQHD8rNMVfnRXuyvIL1ZV78cHp2ylKf
QfrB6AV3Lfo7jWB5lCqi4NndPCRa9WxKgMS6Vqv+0lEmbYzWEZh5fmsjvXQC+7nFNnxwFHE2jPVH
gVfGH2yPxaw2TnHT2w1p4ym2WueJJx0ytpN7iG+cZFTRYoMY2Uy4xlc52h8svp9Rra6gmZ2LKN1f
rW18YNzNnhuPHl06xOnkrp5RxBWAGdkPyjwGm9YuKBQeEDMV9Tig1YrbJL32n7OUaYyrYz4UOQkK
S2tx1Atr3OfJYMXVulIMXOhl4HRLe79V21Pf1C52j5ulAvIkPsWbldJ84J0UPh25l5YEzWOr61kA
oUO9N0eYamaTfLH9zv2WFUswcd1c3Z4fu2aA3FQ2Nx0HmF8MK3wpejbgyMv2mcqq7FzaibKzbHp9
6U220o7eBimB81t4J1I4uhhiOqjugMe4jLr6g3qrgizMzESAm0Sgb8M+RZzFBzO7dJxV1uO8tF9k
rilaXwekD8PB0VGQYab9OJht40hNjXpHchEAW7UZkZM6P4Gjy/3S58u9WeXHYqapDR1+O91I7xg6
lT47r2T1iM4zcMneCkpQ7OnqaFfR8IxsbBZypmKe296gMBTihq8NeuoXhRiOcnEg7iqlaN4gFakB
eIVzuSzulzc0byxBPtVumzE4MuD4hsPqZ9bV6TMt8dqh7YgnfUgRN4Wr80FdrH5Pi6vLpp5ShqCB
Bh6ugrSwP5gG/j4rHfcj1h9vVPY3CjFOGXWsx5s/qeWjx4hJNvF3WqpWBL2Cx3He2JDwBoszcVJW
+CHqeyd/z7AEDlPl4nxp8+V9nifvfsl07xcrmi0c+mamYE5A4oacztorXWLUMHwQlvkosdkGZmuA
DvY+6159EmxHjyYMZz/fGCPxcT3del33umVoP5baznfQZ+4wob4QDWv82cp/VqJb79Tbk44N5c2U
mSw7vMNsFahwZcXoMc36XPWbs1dpB3fFmFToTh0CFf6S41Y9lSlanKwtdWem5b3gyxdysmwgy6zy
MFcj4lrOb0Y3wZHf6d1eX5Em1hjD8T3Duv7YO8tutunJ8yF5PFLtUMVQf+U7MBGmZDe1d2NSUtME
dMw3i9uouVj81TwNtypMvIDfb4ox+fEyuXxhW2wcoZ4PFV88/gL03RbHlk1MzAcosrOi3HkLV2CW
WbMuilgyhwdO8uitJSirOuHI8tIVNcB+AfG+N1N8Hyt9D+d8Y3Ld6M3zXZ6L26SYTzgElFfu3ON5
MuyVKvMq+YWu3Ae2K8Yjqmi4QYF6w0x2pLto8VuKHRFuG5DMzOehYs3tsbCLm2BvtOqLzKd2R1GV
ctnQNw7DpMnY6Rv6GpllvzdjbX9tRl/EfYEP8U8J6P+aOoi49d9nAf4tyPP/RnIHGtO/aGW3ZNA/
Ej+3MMN//O2l7D/y+vvfNMTbn/i7iGiqf+CiR8I3IM+BANP+p89f1/9AOrTsWzjUREu85UP/KSPq
f/D/wMYi4Ay5wLlFqv8pI5p/UF2nky2/Je88jZ/0F9nwfycj/iVAp7IbhO3Ash7rHy5/7S86WTf1
iVdJumGIo+0SRf/VNf1DYaxRb+i//uVF+a8ERLTCf1flMM9ANiQlrlG4rRF++IuEaGpaxzGXT1g2
c3nVJ47BKCuJx9PHoS4jSIfNa2/Ljg1D2SacKYI5wYxK36Z+Rn5s9VjSSNgGju7mRJlz8+L27CKo
ClbA6XhGoTzOVe9wkPaZsUUgcu38aADg755woOmgM81uPRIprNT71jZ5sptiWFlC8+8wYIAS+8iN
rbmvl1J9ytmT6xQEztRRWzWsYUXbTMCPYilf2Al0ZgwTodsiYJiVh4wGSDiQQllFsIKgsXz+X+tA
ySSDXpKqq/XSafRmVz4j8ubs1MYZP1IE26OWuU9lVtd7pRnlANSdoWV8UAHMNw+CGJ16UjgxklA3
k7k5zKloGQU9mrH/bGtZL17PBgzkLC6ic8lw+TWKpfX2TjtjMmpJQOm7KjcH+ljGwjNb5MTNpp+J
mjk7zNss9Y4rmSOBUpakr4LdyBRYRscGJu/ayyyXxotNfCcinlJI49wR5VhqL+DiWuVHWph29Xhb
m3j3ha507VvZZYZxAL0OHcIH5V3Ti1Avdp6yKpmLliliVtNPox4YHBY2MjCCCqSBc5K6/HM3NGod
T53Mf2UWFwwudrwVwTjWM3MMFGwmTmolzI+av5B8lZnTePvUrrJX1y0T40vrdImjCFG0scAR5Jr9
5KKjNa9aWo363XbrkAt1r0tUosMC/Aw7nZkfIMRojDFNmtLbZzQqMgaME6hxvLWsGVuQ20NQiG1J
WBX2roYS1am9tzdlSR0ZOE2a1U9JJZTtWDe5lTxs5TINvrkhzgoOWJqPHmc5SAeRoHDs9DhqHFQR
G+NeclSUs1s/OVXmJAe7o/ruyXAaxT2K0tCXe+CuGOTR0vlqJIWC0c2BkJXGDTfMcuf++c+6vVIy
QSFPSpHxpnE58Wbqq/aj2mAcV2zFzQ/9OGZK1HcAVwM2RymuZUtnMpdCR7MG15HKQHpld7BvO+3D
0HXaR5Omnf5gm2Y3A9bI6ke3V3FqrlkyjOcKZgGmIQCFhr+OnfZLLVE5cqAM5U+NNt02UBp9Ze4H
IU+GDUPij5lPMhpKKr9Hm9hemqn9funUap/kK3RftcYlJT2x2qGuTPURhFBDJ9SUPk2zZdEyQ9fH
WzWNNDk4Vr9TqWpSwqUxx5UxXRvOs7YA9Vqq2w1yar4QbOSdrYAlzVnCmXFv5B/oroL18NLYWgic
SOH0VZTliLen+EqZluMUWvwzi8x8n6v4grl9Jzj3aGrcN1ioHs12mnfc/oxnU+jqQw2AHYAzaoJK
G8iv2saiF9uyIeNj80TbNWQwj64zr3yemuTFToy71Kk4yimbo6kg2U6S5e+lzzHQDFRDa0G5et7F
W9l/sxwAADkTpUxTi1XlWsxKQJ9X+ZpBJPNVs7OBVNiV8pUsqhUI1YQx0FBR+2KkOhpwmfeU35TO
Uzpu9Z2Xzu/w6ccY2vWVdm4T8mX/olTI4WIwpqArtPpN5Bs+Smn2b8lWUoxitGLPR4g6NFj/NG43
yBGW3Dp6crP1Mnh1X3w7szQPowIueNfhjmFh2W3plR06q1okhyZQW/L7wZKUQyQp5bxy4ULXMUux
sUfVviFRScwUXsULZ2lWyZ+3lEvOYREvOmGFUAP1dZ9jEtrVTp/91Nl66DGg4u1u5Y54BGtgIWOP
63DM0arQFuQcdPlarD/XFMsmg81CxmujHePC/phsMo+YWaHpu0K0cTHunI2kc7mTpoj2rdKrHxAf
C/RU+CXuAQ/hQDIb8rn3woN+UMijyOF9tuAeoKypVhYVOHJ+TwpkcSbpQaf9JxEtpQCTPoe2jq34
rnLnXj/SUoWujN24f00RmTFWYsOgW8FwMO8TJsKjYa248UKrhAL0YhFE6vcTdwgIoC1rAuo5Zb5+
qugXbGGAMb0WuGcu4JIzI8QK1JVx50yZulN6HtdBWxJ4CeoKqSLUh3p9y3RMn8zvdBP5JhcWRjVT
afODVxcZYYT/ZO88liNn0iv6KnoBTACZsFuUNySLLNreINg08C4BJMzT69RIipC0UEh7bSfmb5JV
QOZn7j2XidMjsuzeOWZ1HCUHlba2/QaGLm7/xIWBDD9CMeVseEOCJ8fBkf5aucS7hhPpAz5TpqYu
t14LD4szKC++jGoxpm/ByVD/DDWiPNxouFmdo9m4DvlAi8D/pMhvbFEsN+IGaxaMnUzqaPuqvLJk
cRDkaDh8pqfPNWkM7A60LpEROImrKDUdz7oDVqYHHIjzgLhnEqAhyJku9S4l+tD6HFEIXFsr9u96
i54qJFig/GkIggZgVRTluTON+CcosmrawK9Wb/XkJecSz/8V0iivd1JopBUqQHWdJIzlV6YsjGdj
lv6OQKjpsfG8cjU1M7opd8rzVxAzET+0hGvRZIV7VxPk86B5j/7kfVvdFyqTj705MFZMbiN7MmiH
ZFPUbYvkhgkyCiKf2JDG20D2XkiD6JEI23Ccv9tc9/eOVab7GzQLMUFa9o/8ob23To3A3pWQwVFJ
gl3aTEz7uADqESCX4P+CfrWsvJcaff+H5VokRdoyCLYGHsea/jQoIKMH3oTZcLQYZmZRErnrqidr
HucJJpRrkRbFq6dMfbbaxH7wCvHnFvDJXAlB67p0ddQhri37S9TduLoicjdTEjh7fpi3G/wCS0nL
AHmFQSHlHBrEmTvOf4gYPEfIBnva5JZDP1vl3JZ7jBI2A7+e1OI17P1glyXN+CaNPrHXXTZoHKhO
5yrmgtqb1yMP2YFuimuW/AL7nsAB7xwUi5/tGyfuvlSANIzD3txDQZmfs841Vw1J5khLLT90kyjH
9Ocv1lqRJ43EK8JyvaTtKz7z9Cft+wXRuou41WfMQzDb5PFNL70nfnicAO3ngUdmjtuUbDUR34ZW
KeSJHox5IyrB3x693mEs/P4I095E7glc/AjQ1j95SCPDTBXppu8iB70iPvFjuVTBRzMUI0AzB6Xu
QkI5ylcWQ0fUX2h+Cj4KZJTZn7EfLdR3Br7yguNxByl22I6DtPYGcy88ATpaebbXHfIEqyqWDHFO
57R7wHm5be3UOTmidreYWeZjo/AMEG2QKvwoEs3riX92bwrFItqxVXc00Gz9SWURmRjemnYPZX34
MPvh1kYbRv2AHipIdnXZ5GspZvsxqwazW8Etzy+dzCJEef00XhM3uifN2QxzVix3umEvSY88YliN
KP7N1UJcMiMU5F15cIsnK6aOXJykZq2ZeKhWHb1YO+kjy1nNc5Curcwx3qD22C89IOeV05nxvoeC
fikyOewaZgs3qVPMK1XYT4JV/h4UZHwRqirC3PCqa4wN7RIk1BnrhslLWLBSvWd8iI01oYHfoxer
XlvLd4511pQbFlntS1rNAcsuTuB+1Ss9s8xBq5+vhEf4Tz/eLp5gwiipF5N0anmDSbV8Alw5hLf+
NK1fEmAMcj+6J2YTSTtq4rJnpKLz+3mY9UvDUO0hLT25ZQpf400xZvEI4diFUw188DVm7LDzA6xo
69YdSyIEwBz94AMMtoRI9MlFUNIyDwNrufIy5V29hW9B54xWZ0/Q7vSCua2hnWDDcyHWBM36G4If
Gal6Le9fnR4g8D9UbYMpxbDOfsnpkbcGaGXsXSvTkYyXE8W5OM/flSF4cCH4ssUvuvwmb/UXisNF
nQOV0ygE7FHXzDWMDdIQssamuULWUHbGpRh9f6dM9Jtm4NRbUpbemUZmZzSi5mdceO6FWV16JnMr
+5zdTj2oEnU3i4a5+JkRVF5iMm7vpiCP9nWZjo+UWV0YkO/GlSYM+ai9FAuMn5kJcTHK5ZFkORDO
vAHvdVtE5I1EGbPACtewIQPmm8GwEJzlq8eoKHH9TYvFW96a5yBxkjt+effOtqZ+Y6gsKMPBsmf0
v33Byhvt9j17QDEhE1DtVxFF0TljV71vVQvO3tAacUwL+DCGGnliNOxuJCAP5p9BsFO2AetoLFuH
JbOU1UpmeZWEbafbVYZV4tNBiH43UiU07HVrq1uLkcj2DZaG4aFf2vJUABC7do3TE9IFbPStAhVL
tTbJNoU7OoDdiL1h7Y5teohNp3pRZmGw+lP1Q6sYmmJCGvNPYL3uLegtTbxwXtLykedpQeOZVfNf
up1+HcfT3K8Dp/U/ixsVjcY3xpqx4A+8Q/nDex6ptGT7Z8dHt5RmH7JL8MWW29iKwqkZ4k8IgFqv
bb7zcJGV+V3HXsD2oZTWuBqIpd31qFlUKHlA622Fq/1EkhQL8IWRqV6R4tUPjGlT47OxqmneR7R4
09oaJvuha9rh0lI5CmyYXS/CZnSwvxH8ttW+kx68yVwuuJRxdpP75BBDRd5vSCtffJaFlvcoTmKs
EjR1f/H5RQxGF6t/zErAhGwL5vEZqhCXfC0NRYPUIXlY+W7c3WFwqtVdKhJ1bHuTSXGVJPOTV41N
t1VYvfYVBgoG+ZMY9yOzjGuDt2CN0cC+w1RBUxHZbrydgixamPSW4gEH/XxC/Gnu66LbVx7YF5SY
efHstZZep3OSPhPjKYKN7YwPUEEbEAGLXt3kqJgybtLQtND7hKdrCgf0WwRGUECgscrnK9YgQ26M
2iiNo8fJcB7wv5QhlRAiUXsksgPkOK4LshqG6Z0ur9gFBp2OJuxulWUlUS1OnMkjDzl9GOzk99qe
NWxqypodfsqufOPJJZwTMMQQ4VKsimWbMeUZVhSrxS43df9pM7WkyjN9uY2ZaDih1IxwUA81M3lt
NjDoc99P7d5vSn7Biuw7cKFlQqSK0TlPcS+9rXm7IRCkFKZ3T8zDZIZ0vtPX4Hc3m5IIjnlcZ5+p
BwfN7IKEpbtDHxown72re7yKeWLKoxv71rjP2ZQUOxlPvPDlONp7Z5yidg2W3ej+wk9p2l0L8S7d
AR1d/F0JXe3SJcPEJGNMo/rRVTr33ZBqNU12crZRn9d1Yya72I2BMVFyBMmtcG/x9psj8AcqyDQ6
VgnGH1xbpBFXZe4/sZZU2cbM6vGy8CF99DBFX6eyTR/Jihyeepdj6KDwwW3n2Y3uDGKPd1CVXMgv
E9DoyOr7n85q50taSeu11dQ3WZ6Voe0ayN3c1gxT25xZYyD1MtPyQtOJ0kN3yJe6OuykfkXFTWVp
/Vai+MPRwJ4/9ndgPKe1NhSTAUV3aJgp+1di1vFrJNdxnGHJWNlLksorqI5o1SrPXetedRt8JXYY
lHmI6f9pkqlEPYGSF+/VNc4EDA9vbzZ2uiEnhlVz9HD76bbPNFzoq8TdPxvxt5bNno0WKDt725nL
H5evfsM8g3csmwjTLBRVMPjnNnrxMeE4TXmy4GgTyHKfmfqaZOUZANqnP+V/o9TfxTUhxFnSb7K6
gQxCdKUNIwTl2XAkkXFGCYikv1LqVOnkfjDNL9OmqrCSNrQthVUx2k1GdU+RsI19wAZSdd+GDaC1
tPK/rU+8HniRVTYC9clyF+VRtpsXN75byCeO7PyvZ4ygLLDFuHQdysA6kvTuXWRplqCy/CKJeMd9
tTF68UsZO3Bt5fGaZgr1TKz+5gqbHCl/AFPxJqDdBlv6l9iBdSckDkqwwAyWOPk0Fcr8YLrJW5Zh
fKfj7lTthjpAWDxU3ZYq9nHx9V1mVKhC5BkC9T6Ls4nTBIKQKT6YW7GorN2bLwaDIJ3JijCYc1QP
ODOjA+wsEpX5IkW3T9lL9db4xMBpTRUQur17KjGVdSp5tlRyR6LMl3asMM6ze4ih/doudH6cGd8a
sV3dEnq23TDAz/O8owepnqNz2MwiDbFEnpLS2aQtLpPAOVplc4dI8L6txNla5h/2Pr9lzzaLdCaZ
2VcEHXykfv80k3QVjtOLAwHBxCM/y+HJkMsdAW/NDhvU0ZXpPhfpl1ljMjOTxzFVT50hPjLbQ35o
3yDhTf8wSRxhhQW8NFPR1o6Nsy77amvY6ansxSsJlnsaxpOW+SZGJRQm6pMIQMgLZHHvEmGccjwc
gaMv2qEaiuK960lrjdCcnmPcDghEu9p8XxaeCKF93qo+XyE/XqeUwWWP2WqZgg0cLTzO2brPZHAZ
MzEh0rIGsc6j/ACcTe18PAtbz2/X1dJAmSGFDfeQg4jQD7YMxnyuWWEeObUMvPnuHYcFcZULwWpO
Mx/TKP5DqNdXS65C6FsSM4gJFVfqbKsHB+2MGlG99ulPE8j3anTuanjhKzWAGAyi74xJWLbRXY9u
1I9QpWQKx0lBcHhK/DZBBre0y8fWJsJs7BBKpkvAs298uaV9NBex0RZ1hLGU2zrNN163cMbkrTgP
Wfyg0/7s8TzW7LMNUnNWBCgcKt2+Na65KzBZMch5q21SIIsS+YSWIQPNh2DoPxzB5KW9ySAbER9o
MFcOTs2i4/vUN4lCZL1yOJ6XRZ5rkuYYhkwnfMFwVKpqNxCcsypHSo2gGczjTUi5G/3YJ3Z8Xsd1
oR79ijYqw1kOgfLS93GM8RkVGcleySMji3d/Mv9mynlvaNGZsdsZV6qwlgcrlo+1dvvtXLjATkaP
1mss/jJEo0NwFL/KVQaN/ynMTD47HvXPKtP18pgJGeXnKR7xLxdeF90DFEyhBKXZQ5Xx0EFbkXus
5ITN6qIIunDg3ycdezGyP8ESg7YhNADjOUKxHKkSMMtiBbWfP6d151YjVgOqgs2jXbteh2HCWK6V
iZCg6qYz9S0L0QCvXJB+EZzBbKYZjXxnL4v/7g9J/FQtmXD3PdhjhBuJwem05HF2ise2G9apz3Ia
TUlZXVpwERgrl3pZESRMKLKbW2sXFvjNyxGjRLvVg/FkqMMyDzCFphiTdlORjMGcX3WvRuv2pwGr
WhmWqpnEOkkCwnPIb8JqGIn6tammwYYsqPVzY5v9pRjs6YlbxIe60zsLPuCm2ZlWKi2IMd7ykJtB
8VAWuf3tT/7yKyZvfqO6bVcYarLVnNv1M+S5VRywgJAutkzpFPjypE+CEardVo7fSc1xWxrZu/JB
WLkOKu8R6/Ishr9Dkn1kM12Ik/s4/vJ7v8sOUCHRWS2fIyJueEAHa2AEWWZbtilz6DnGD/M7UtLc
jkV5l2+noXoxoum0BHxmXf8s2ShsjQh730T0IYD2+5r9BvoQ49Ta/jOvAGqBZVGrJJgOfjAeB2WC
wFjsQ1JYL/Vc0Ns7K09nf6o03zrkMmOl+x1UvoubfuU187vlDlc/RdqXKIePhTCgUu6lj60TWBzK
oA0Y/HWyqLee5jxdrN9m6n+SRP3NOs9nim5tKjG9WUP8ZKXzOWqwavXxJ7j8kxRiXyAtYQHy6Axs
6ACJ2eT2RsL7UxSC8ajX/rJ4/I1h7PBHA11uzjYe/70256OMlsOgl0PdDPcIPFZ1rY5dlK6nACaD
sFiSAzkhKg2CrfWqlqttpetoYhCUktDa5xIsVcnKn3IFmg8THjgFWOaR0wLjZSGFx1Glm0RO049c
mMiX/R9Vp+MOwS78IdvgaOnbU75EL3FpvAd9q6ERqHplNT4yv3y6J0LxO5At+BiqvNC1Z0qXTJ5a
7qpLsQT0GPYfKrpfmYinvmhfKtnlX9OI7CMCdX6bXbhgNPTrPJjYfkxj4iHE75qNKaE/cyw3vVLd
IyP3IOS+vop8qFakNOG2NYdzM9g1Wuk0v7fG5hTR2GyXLmZlG7Xyg/cyPWoQuccMocGZoRRyUKP4
MfHXbh2rS6+T15RbMWDbInWSyM8vJ/HadGPOAK9Sx3gclvFvJZcSWpA6tLY+TJOR7UvfMl6Ygl/K
qSCCMMWu3IRUqPmr6xGuXvlVsEaaSu50043nShkVOzX31c6adqXc5N2tgxeHFjUI65LcpHZWH5K0
p0d00da7cPx671cUA7W3mkzQDtlgvtN8MaVF6v9F8dpvsPXXq87XHdV08ZXaAgWTtMk4bCBL3vpr
fQGtUe5hqJjDujTi5Z1QQ9IqHTRElWNHR6kK4ye1dLFpwVjf8+pmO81uakVU9GdHJN0KmJe889hH
YPyd/e9JuXrH6X3sKj99Vh7q2IWRHksX/7tzgw2/LoV1QQhobc2sc3pQa4ueQE/YwaUcBwPlPS8S
D+MmWRL3DhjZo9OokdnMZKz9aXH2BdSA7TQvL8PibBLyhu/MyX7zcvMQB/ESjjqH3RF9ErRMFQbT
QVjDChfiqyg4ihLRlRuGz+Rg596XMuLHouG3gimyDcx2Wqdxrd6TdIlPQzNkTwUqBTZP8y+vAds6
B6hNdlOf+4q34ZYNzSfrZpsZ0c96coFNDWktruyj+L7YOJ1YRbTvU1OW8LC83CE/aZzPs1ljt7Vl
e7K1a20AwM8r7iNWp/7knHyIVltibfkQUmM4WoFewoIgoA3aRH00Bg4C5An2yghMtmrOHmRKuzP0
cOcXzUcTV8veSIWzg0WGUKetYPgFlfdQlP3TwLLz0JL6vKZQiUOhHHknh/kBDyj1YVJ+jR4dTMnU
eqsaIW9uRM5R5rfA19i5CgPNchBH93m03HV2+p3Eqj5pw5UXwxpy7J94yjEWbWA37RujrY4OUx+6
N9YlsMa3IEshQWUNQv1AvqgmWx6dWyAPEtoN5Tq/w5xZxWHOOYHHmht4YFJ3ihh57ZIqn3em3zEq
x1WyTiyDbr7/Jv412RrO5B3SEtDSIPovYk+abcyA7QRNCRz1DRNMaLosDo2RfGJCvkA3XKBElck1
MCZiZeScPWBNSne5wXnCPL95r72ELVBsbQwK2zNfxYwpkk2mj4Mbr6gFZIUxHXp8qKWKQUzNhoCI
RBD2ObJn86V0q/JuiFAd1Tr3ThNQsVA34q03W7HyZH2Mi8nb6CIFz2NW3r7Eq7NJBXWq3VXR3lqA
AEVpxxXPokCEvSzV2nXbHXi030UkYjU4fbZNmGiTxl2647E10XCpAa4GrwBlid+zAS1tcQDyFt/Z
83yw/VpuZwf39Di6d8NcdFeAEB8eiRc7UVftMbZMlJa2YiCq7PvKi+yQqvGOVRH5nWV0N/eQFMse
zZrVT8XDZC8s4PBMo1GIEoakODgWIlVs8DjZchy7NtuVeJ+3KVq4NbLPegW+6JrX0TnJup80c/XZ
iEC2Tm7BcjQyUmTcMxyyrRYdWRxZpkNImBECaCPnAkrFXSuMl4RRyCYdq2bvsVtnzDFgcQEA0/0h
k+CgMvNJejJgsZQy6I3zjl8ZfQzuiqQ/crMIzTA13/t5yfdTtjV1IBfJyDjho5qXZk2bOeM6oo6g
VcGgHzv0lygpGNOK6ZKUtfFT23yQPrOw6xiXu6jzr0vgvZdN88W8zSCuM0C+nQb3NdVLzAzY87FE
CTbp5RSIfd2p6gedwaYmhcYNG6iU30oHENGneGZFH0V7rp3nOCc/O5lV+c4m1VsbLKYwSXk5bWj3
IK1mvhssw7ZXUDSRUnic6MzQuCShXBjSHN97gqiO4+AVr2WlLXIbe/WGz8PcKTVSN2Ze/GRTuySr
AOH0pQ+W6ZCRImQfB7bx2wT2ORHlVT2smnEsqRBLFimM47kOE7eGIYiQj/Yge7xRBNB1sGugf3mF
fISEc1LtivVgo1n8VYxphNYnU0Tqu28SpDroHO9TfbtBfLZ9l943Eaw3pMHzdlGOr0XlwDIcmeas
cHIG7dqYWzbW2miRsHaOySy58PofuCA1W0KKbcqMHyegP+ir+AJdnmlpUqFOh6+8dgMuwEhXeypU
aw1TBQHtBLsqKLMnp7feJMaTDD/zs1TTLQf4F+bfy+wV6yBT4NHYCNfwQg5IgZ5dJyHgvOOAZBt8
EUl54kk4BTGX1WxgnGqqnvc7Jvyx9Z9h1zySP80wpGYX2w6fdWI9oiBmHQa42G95+IMOX2HZiBNj
14VaLzlK9tDhnLr1obOw0KHduqfqR7nN7tkBjUNgWLpPrQZB59Q5AZ2ByVnRJsElMhbzmMReeu9w
JZuhXw/ZS+w1cCmrquKvwJ7n7S3l6w90tGo7JqUHqqWPjIPsIFksPZaUzIBTQZ7v1K3jcaQemOMp
R6ASTCxyLRL3oIDNyTu3k/Xj10b+2Kapt4NqDt0V9SoJdhwcxVkUJCev3L43YS9rZe5ZHDnfsRUz
vyjTD68bjTeH7UCYxD5wgz5i9mlJUpy1E7u4zloUTLFjKWstMJSQfCCL8k81sHA8pQlGS7c9JnLI
z8Q8RvYOCmgOa1rW7TaXUVI/1Y6FZLnO5pGorBoB/TmKvIaDQjbjq2HMjIi62Iv/DDGoGGI30muf
3LZCC5krfajMhbm1hdtpWBEEgCQ0VyYlMjKPnIUbJrjlhPkvfTQaOz8tCNJ+5ey5b6P2QaRYdWw+
1UAXt9xt5lNZ1QnGISWAQ/YZElOhD3xM3Wku0P+i3F5OFqMSe0vWTvQNXmyGPuYRrE7jOwV7vVC+
rf3FOOFOYN5DRs6WBSOzZCvq5vscIU4IUg5jGazOC4MSPhhcSn2Iqq090eu2pyJIvAfLtBBu+86E
UqNfbqNdz4ITstRRwpjF8PcOdtIutEmL38+ugbtYGhXK/tI1UHctzZtpjSWKu2pG9aCR5CMd4vOO
aULd4V3XY3mtYegv56SuYpQw3RiC/WX733vs1F18iTe7wlJZG8d2so8uz6h9hVvwAkpYprIv0O7y
tMi1PcP5D22OPYAr5HO9VFiDR/z/mLpWIE6MdgNrNdBr1qXRynKN4j4eE+hf5Zxb39005ufGV/ep
o+cNUz2c/yNLDni6dSrfnDYf//pFxwjJz83n1ErgHPmDirDLkBcQQ0pqkh2qIBP5f2qK66TQnjAs
Zv+7ipi9tNupgPd41n2bHxnf2XEoM728twih8LEGLlSJHCLLzSBHcxBNFpIdDB6IyWyGnCt+6XEj
mdHvbTq9nU6gOK7Lxq42AsfR3pqmW98/lTElZjuk5yGtHOhhjACWiP/cGZzy1DBuB8irAvmFSUrF
+2Ecp/tG5p/OaBZrfE0ICG0oiSW4YSAvQc5BXRTQ3hoDq1YwBHzFiEpwuWyp8BSndervF1BttC3M
TkzbJGeqz2/Nb+UZzTVLoWi4YzHf434WxDXUC9tPWqdVaonpiTkPp+nS8HCFpi7dY+qn5n0mjO6M
jk8c+95Nt1BAuAaseN65o7iKxu8fzOhm9rGr9AJOBp/PPPno15zseXAr+2y6Li5YfFFhM+RjyQqd
Om1RQDyQvP5YDoerNQI+VHSrD+NgWygmxoI0PH/+tKspnliYs5L2/aixVmqUeus75ezy1MXmMc2m
cgf1bbaAsYDedCQeDxKfRpZhgedkD1FiMv90+CQJkKMF7yqAH10z0h4bhsifOgydaqObnmF3JjID
S/40MjNzRJpSNyy1jb8zRkE3z6L4DXrX+WkIfpu3Ttrq+9y05hcql4FKmmbTNfXzIpt0Kzxy0p1G
dyfPHbydXpr2vgFCdBssesG1jKb3lFKJRTUZhCZ3AEnnbgY4jQ9RP9AnRw9S5P2WXQsZjg1Sz1Cy
76tWEDmj81gHP/iS2juZBvqSAE5UO6trlzMyZzQUrVO/BYIwwxDwKzCaHtBvqYlXWRMgQL0tJjtJ
tjOLtmU3U8APr4i4vOgV4DOGyTTAH8R+1VBs1Dmo35zbFZ72rQjLjv3JSetMiU2cuQGProZ9q9l/
7NktOTpUWBSv3Xwj9SnpG7ve8CgnYWEHGSmuaC5RCYuqY9zbBGduGYOUhAJrUdhZ5rBzGMnFWNsn
jW2ktd1NQHP6PbHzX3b+MPsrq7VEuh6Gyfv1Ers5FpWB1HHMbVlu7MorMG2pytg0WTfZBxF7Sbce
Rrt5QXo4w4SFR3NEuFR8KJfxZaG8YM8OyGLtz/YAGc80ftv2kOxl7+Oa7mpItRE/l32H+oy91scr
o/Yxo2XwybTTW6S91a9DCG9oJtYf6TWWu8dJQ3edKf+Jvi1C4GsWW1Yx+CpodXjPEhuAgDfm08HI
KC809EK8w6RGQezr1IW+gLHwoOEESVBVbJhjtEBDX4L/MXyyNI3Ko0jS3Reak7cA+ecuXWS0Y9TM
IHyWN154L/e1M3CRLLcBTQnTHJ+Gld9AdR4jqMmz1k7qQaGpchIT8O0tXAFVpN+BuiBPxvu7FpJD
MGmSdo9JPN6ZpkCQolWwDOHgBPKKm4hXR0+BtUuFPcBsy4KagWHaRjzTtdMVG7hh6gnugOb7IDVy
xr3az+9O59TQH5myYoF1RyRrjmlWzvlWTC5HiEZofGG7YO/SMyajdJVxDESXGFaPceFwcfXW6rjh
2BinoB2O9TJTyLG9Z0cuo4pC1zGkmx01EXt3US2aZG9nnP+bPq/HJ0xDlVgBeVzndPEh33i1zmEE
Fxsw1JpBFErgo2iL5tBms1FckoW+/jDW1mRtwY+hIVFZMu9RqXI9WPwyp0wmtbdPxgEhsDs4uMiM
umYbgEXxBiCI/fifXJ38UQnD9o8ACRba9QRxvKpSky+GB8TYoqYRw8oXXVM/xS7L5lATv3Nqs8S8
DvjPDmbedtiL7KAYd03b1GHaZByWRa3LsJiy4ZFNqwGvMq62Q+s3MKRItFoXjntzN02y63Zsq5po
lfglP1rSFpfsOZI+v3dVyf/eEgLb7ZyEYJdQj7aln8eoowUZMkvIAyf+CAVg8bL2zB5EvkOettUV
Y3Jqot5qLQK+SqmWzexk8fJBsOrwiBh3eGfK2karviMo+52hAp+wcJZ8G0Vga8OIQIQb3zkDzycG
HP5b26wClrSaeG9EuKyJs0tAlZqfEQGico/mDh34RPBvvGVDu7jXscWENB2wZ5rBgXPXme8IFXHR
NFNKFdavAmFQHPAlOuVTGQkIoDeQ8taO8trbeoWm3SrYL5314gTWwUjMKj2IHIDgnvtqOqFQ73Br
IfTw5tF/psVqHl1tQJRyWtglnFyi3FUR4wsGec2mZahFBKC+4cXKPvkI8pEtc0TH66xuA3nF3s/M
vtugkS+OHBmQ6TqBRlgpPMIp87Ynusq4XU90lGi7Ee69dXNqctMFUKlXsZunBpJ+wz06Te5f6qX9
56JjPk+yNqEpus6hrFnK7EhHpBkc5l4cIaijl2+aYLkOuckQXThe9lURhbLJE2iLq8nQrB5JJbOR
ziZYcpVt3/JaZn2aZd1sAv5JaPlWnQ17F/AmzXMTZARQcglcY6aeehUjZ3/MZtLWfNc6i8iEp5HX
yKW2wFZmif0EoW0u3BtRJpGwKEqhh8OY6cd84UgotfQX2nljKRApz444CYCOD1qUGx2rbivS2tp4
kZ6veefxdXJD/kHwnH2XhYLlajOq8DKXPPSWwnw5BtXSD3uEJxjVu3Sb0ZKux7hNPjnQ55+YF6lZ
1Q5QtU3VWCQZBNayNSt4CCV0RYOz2hq6PTu55dT6eswfGDANoSmmPHm3i5zwGgvX70vl+Sh4+RgT
HJFJ0v4CXZ3fCTEup603MtowMflvEW80PIWQrqqHru1qtWsioGLrCi3deYHfeKwApbwXQeHC/NSs
5F0lOnObGcPEncjKEghpWXhsRNMZcH2vA8bUdf8iGwbNiJGD3SRQvXEz51b6YUNs5P4E1czm2XPI
+mFSh8PDKQNrYJXnZjufrNR1oIuWlKGu3fy/Pe5/E2x1A2P9D4StuqvSz3/5rL7/Zf+jlh/m8Gn1
+V/Mcvz3/56JE/wDyyQ2Bx9vlM1sHAPZvyG3LOcfcLPs/5xu8x9eOdv5h/A4oKjSaDWE6/wnr5z4
h0OAMesB2yM+WQb/N6+c99/ccsLyqMEAeEGXMjG9/PdIHFQjvmO5EvpOWusrViX1bo1xtR+sSJ1s
A5A7K1bu1nCoRbmfzLI71ZN0v6LBA3Y8BEK9x6Ppfqm4Ve/tbR4bLibudUkPxCpvzuWhdVzONZA6
sxkmTowjegS385kxymjWXoJiYGcGTbZS/RjwI9SSIsMuSFkHckUVEZbBeIua6up7tJjE4DbMgmaz
iM5x1Of92p/N5sUTkdGeKqsNUN53chuN3XL22sJAXoUhx5ZF/3fuq3Gn3LFD++JD0eLvgRFrVWFU
je6mopOroKGW/QqLiH3skIHNa7YkPTklEzktzExm/y6JLJRIHho+Jr462wM4LTf4EUbWf9JzuYOS
/EEmQ/IJiP/W7LOwODB+8E91lcFDAYBYcc1PpgSYIZxfuzf490SW1aeujLxhFaNgfsDqrcdwQA71
47v6T/Ov7J3JkuNIlmW/CCFQTApsCc400gbavIG4m5lDMSnm8evrMLIrJatFqqRr0ZuSikUsItPN
3UkM+u6791wILvEyHq2MNPgmWEB0ZfCxXjyvdR4hnMCFtTO8OuTB4kvaCXFJxxpDUTv5u1GZUFDj
EftSC6OH6Basyq/SDdRd37qjTcVHTLd9p7ropWiLGhKFm4zqAgR7GVZkPONQenm+yzFM4oYvPJ/P
C4vrqhxwcXLY9L1Vb9Yt+EkfupW25oGWRMhtrHeD2D7WMVZsd6rXhWrTeO12Sv/CCEQtS5PuDBE0
z7kDAiyJsR7gpZOKSVr6j42UOOhMpfxTUMX9WUhi+GmdbDmTgVogrxxfEfDzqyCqkKyDJJ/gwuYg
QeVg71JW37u5sYhkCNkcoHiLByZE895OgYExhAxvCRbJMwudgsXdxB82idNfNj6os4UheVNX9HnA
hVkQ/Fq8BYqo2IZ3dovjrdF7zqL1oWFhCS8jbV8sBysHnMqENYK8PfRjPAG7mN3SyDxQ64cm9aDr
JI66G6j+vHcx6hFHCIq7DrmcmL59J02P+HcDZEICkGRL7obA+PGkRKTTiOwb0NRWlnDGn65TXEb5
4l6BpqA7UTz049uxOC6pAmBOu84GL3K1N5WNpSqwhyd6GeA1tmm+M6o0g4RM44CLvxDvbZmoR3fG
w1d6ET+sLSn8sMc4eNVitM5Gi2ghEwuBnRN89NqJrL5wRQSfsqyMB4WfEqfROG0HkaQ/M0CTIEzJ
GW2TGHKwCYUdrQRL4T0hWZVs5GA2YW5Hf6pyMj6nvHCyFVxisbYT9W3SQQLi36zkLhsFp+k+4sao
Yk+uleW+LfAg1nGn964akp0j0mSTCvGTULBwNw894SRAodm7AYfzEJe+g2PDq/cuqR3E7T5YUQXU
mIBNE8imRCLakCRRAg1zBlrfuLlaeaTjV3LAkC9mui9qunqCtq/WsPi7tWZ+29X1YB/ArUqWA8Xw
GBmtxxptkDfxjpm+Q1NJ62bXRrG+03SMnCwAVYgjkDMB3+kNy6kavbF7FsqifELWclXlN4J9lnQu
TA8Li5xPjqLG6rBBGjTWJGbekyF4t1Qwbwsj6989z+yfeAo3Z2zSRAQiqqGI5omfgGztIcW6QMa3
zV4woMwn312qL3tR5lpUCfNqruhKmZfhyQnwvULUC/a1CzSJ8cEYaixv7N2UWXhPRFblU+cUEGZ7
wCtBm4z48Vg43C2Qcn8DdnDwYfA1rXviMWzvA4veMJWId/gFzs6IAbtBzG0vyeJ+9GR3TuM0+o8a
OM2WS7MIfRb1ayezvXXkDnQlmsY+MVyqBf34c/Jb/5gEs3zIsU9jGaNwG53w9nW075QMfDQuHqBg
bru7GPMRDwB6DqWX0Hgxz92hTCbroeJVdxiQFt7gTyMENCTTUnnrpKkls0luk79dpmcUk26LCa/h
kRYDfzKHfmPNfbGtDKZW1DjvMPlmd26zvsLEUS13XuH/YJJHIi0KEcBEMe9meCMhM+Pn3AWwbAAt
mEex8HvVHJu5EAgERZh1V22KeYdwWstfHOmFCI06cqSuThWaC0FsyDVGHbU7oXpWbQPDGpG/BXEE
3SA0lxFXwIIN3c9jcxsNGJlbl3RHRSg5jIXrbO0Zt1gexfHDlBZHN8ryVTKpZF2pyt7WNSntesY4
SenCb7EgAuvKv5k9ZvBHetq3rnGtyHLfNZWYbuyfIxG18pDErbcDj4UTAor+FlnGfeqZuh69hHwm
hn/vYvYjZhjVdtAdEsUUolNjFyTANCOCQobI96NKfgIddPdqcpfdNNX5Po8cDNogYgWDRC78Q+52
znFiC4Amac4X3AdZG7KDGU/tgj+C/C454xjYVowThHoCN/4RDYC9UREn4Zc96dkjOWdWVFhVsbFj
IE5xEXlI9JmQ2a6iYbYI4XLFdBGNSJo2l2zr5cZ9menpoIZePo43MwGetOqtNgCMYTua0nsTXGoI
4TMGL+5qArdL+eZ45XCiH+RFdUm05xnib0jsGMcctCXnD2+AXVENMzDxEhcmU6PY8vyqvjGAyQfL
nHDKVxZEzVBPZsIC3oNInRkTZqGifUvbGZ1Pm/4liWZiwo4Hcq0pnDczm+V7MPnlS0eawl1ZCoCJ
g4g2psH84MLYYN7GdmxDOlsBnKJJI839scMV1Jt0Gjmj2ijaRjb4+aZdHA3+Qc4QM/XiHNkNmDh2
qFk4F32Q3sc9fxEGyy7UJMHY4Jag6OthKj+8CUBRSQcn6kWPeD4o/KW0X8ijn/fkkDqo3QGmgCvX
o3PQLlQQNtPZG+aLajVWy77Ls+VtWnIWTrgVFaJtjpiNqekD1Lp4Gq0ekKFFpHfVOviOLDObdhAS
OIvF3Khc/lcDJoLIsAfHwIK+yROUYNUX72umgwkvDKBoIDs87D0JTzLprYOuY0BkmVGfuyh1y/Wc
5vN5JEZ9UjqXLEelJOMLkg8vE8UM5ZD7r4pdIr5Es9svudIlxxuU9Dz1CcsIzRuCXjcI0F40ztVm
0U72UtCptcU+wX7s7/9vltrA5cFkNeu6J1hnuFqO6xHDziYRo3vHLmf66QJ+Fz9WyIMZV+hhaJHR
SKd+4/nDLR6PIg12fUp51Bq3jXzxc8lWHW1O3jTEvMR236SaBL8czrLAwwsTxg5ZPASZLE7M3x7s
b6xmv4p6XPpNkssK90OehV3OO7bsJh0fMzXz2ipz0W154U/DE7bdAY996VMGHcjhM7KMLFS95bBO
1ZgD2QARVjTr9EaxwhHZzZhBOfa9tgkeTe2Y+yStf9TirAvf/SISUvPa6XkPQ53TDcHCNnaq88Ka
hpkaZhOKAMdf3USPxLIO2ch5R5KySBPro4iH71jVHH0txw+L1Kr3QUKpxjKLD1eZcHIIBC32RNFU
PjTYiLAhB1CqbVZZe9bo3YHeHOvdTi0KJHOWvYknQR0Ygd7RFUSnIYJTsyJvbeE3ABDfMgCdjJTw
JEFt84PjwvhI16ffsOqYxc0MylahM5f3KmhYgWaybHjCzpKxJ3FVKsNb7D3lEIqlm5MTk+O5wLPA
INQLsWl9dN9tUwCGwCzdlv9/pvX/cZW1AcgYzwdC85+P7CcqtYfyX0f0f/6if8zplvhLIv1Cs/GE
I28s63+f0y3zL6Z0/otpS8smK8Ns/3+YNo79l+VR63JLstkOIhy/6N+ZNv/4efjMTaptzRsJ57/B
tEEo+L84M8KnJM4Gwu3zEx3IO/+R/twNle8UjoMGNlje5+Ljp177ygbJUos52ZmcQ+n2bM/eVOhH
S9SaukinGwBoZMXaxuy1nnFZjat8SWldjx2QFY6I3RVMNHk142g+NtjoQ7Or8Z0CLJsxwaupfl46
L9oHxrgkW/xTNWWDiZE+08iHqJ/rXWWbMLxuwE6rBN/FRih9XTBF7fte9NduieQ51kbwjKaABJA2
Gii1wFpd5ehnELMgzUCcpFFn3Jp1X10KZAq0S8Al9RS8k8B5QxV4nqJe7Jlzu4MnzeDOdnW3bzgX
4QweeNog2NbPRW3632zz1w5d0Cu4mnaou8zAwpOJlcTeIkT3OZfjBbHDpqakhEjWtPyODmVZrMyu
9DUQbmnUtE4RUHdqar03BUp8m1jiM1AkX1pAt+u0bOOrhR5L+RimgzDSDMADKZodqjyrkjwu3xMd
268Lp6lQJT0FAIbNoa8UJS9GCxO7o5a9KFi756ogrZnF9g9nKDdk4CmuJo7tCjtmkz/SaAmb4lZe
EbELXPv4qqjIzZpd0Bf91rJ76rU5rlNZB78zmGS7adpbNpmxlBTxlZDCTZ9+sLV+pLDwUVjDazDP
lOLQs7cSUY3KOHVvrVh+PFrLzIGYWs3B0JA507wNGK2mcyus6/lJ4ApgR93avwljUoU7FKjcc7Ps
a85VeDKj+Dy7NSsFksnW0YNpPft6PASinLeRMfNa0u13aVTRoa7t/oCrDecF9VYr25IfUVapNypt
jtoCFk3NhTwwaAZIPvLcUwf32xpqtps1tttW9PalF9ZviK7GBsgYuazGuEZ2YmxaN1poUrXlY4wF
b+0Rbvyx++W+XfR3OrWfCxcAjPDA5CgCgoNJMd7hDbF/o02D8WW/sAcUwQVKhc2qDUS1wdgTxpUt
fuGArOBc0pHhVNZ9T2EKJJVc7AfZ2U+B3wHAG+ofyk4UrUP5MaqX7MfrpzfLxe28VHCwDcpaObU5
zyUDK1Da8mdGDatZbzgdh1p0cOuVBuyCghd7vKsHnBpFI/R6iBfo2nnq/sIeflSOxTmB7NkGxGr7
FZuF+Vl7N1eHaX8zNCt8pl5/gTtyoofTeLUqo/h29fJRJW136AqbXFPl2qson1/GjpZrW83Xptfn
yoIcAAKRNotcfnQWCQGyjws5dcsKh6A2yPUYj11aqsPoy4yiwJpnS2Fgw9E0XBIS0/EdY3QRNsPg
T2HfGUgy6cAYY2A9962qeSNHiEnNMY2TSBgDsr6/gmp5XqaJVRqJy8R4cS15cYIFH42USA5WTNdZ
UsW7upEagjPd1o5DOsOe4yfFF9HiINiM1DfiybJC11XO2xBnFrmEmmYaoT6doPu0eFqc5NiOh6RL
U6rYpva3qy3ySA34Pqh/35wA4ZlzwR9oNKT+oo2WtdKVtx/N+ZfKzXOju5eODzacHHuhuYXBxERn
rB1IpphsojAxS4K7JVVCWJkV32KjHHzQKvgwZs/ZmCMAZcKFLjfTROrJMRf/AllaHq3CcC9ZSq6V
JtAEFoP1x14or4w6HsXpzWbq0/ixtp3U2+N9KLAmBwQm49snaxLYn2UpdpRa2pRnjfkJ7KLeVrFr
7FoTB1mQpvQ3cfg8Jux12FHXya6Nh5pTeVptm3Ge1mZhmXeFWRA8d99rzEKbZs5+ComDti9ImrMJ
Wrtu36xVawfgnqv8LR6t+nkOHBxi4xhs0sYLdsyF1QUAsrnH/IHxI6Lyp/Hi/MCrkQclfB3cLRMh
hz6IstBmcnsaDc/lz8Bwkfqs06AXqzujXdJTOvf+ZegM3l3CBnWe5OQfJnWMoIQxp4O5H+Oy/U0k
jjF5VMv8YkMIWme9SW4uIAJou3hphPL+JAgL5MGYGtwcSARnWaAUdZ79YX3qrd26+UOBJvCH0X20
Y/8N/jAogNa110vjjzsO0u6mdrM4pFoUkDT5LboVyNUQxy/WLG18MMCEIfoJEjdC2qe0b9Zvx33w
OjxAbIwKv2CECFK5R01EAIB7uU4SMzp0Xmu8K2IQoVwyRBZ8q6d6yN58iiy3fcQzepWJW9OVJTMO
j11qsErlbLutA24EcO/TrhiCmcenAQZBz0VxMCzYiI0RqXMAZ2FdOmNAWZgxc6HEJP9zT6jfnqSB
M3WynuTPUD6UQ9yuQNbqPdDuYRtUoySgRhvbEEm6X+KhCHsCa5Qy1hdKKfxny8YJrBN6DTyfJgGM
wX/MVk1f+EKOjjdi2Ryyc+IS2/Oj2vtfUuPP/9Mq6r8811L28gvf+L8ebC1+wT/OtLb1F4dF6lkk
WHEyRP4/d0+W/ZeQvs1/5vgqbchI/zzTuh7/E8ErUIbCNW22Qv8809IEY7m4UKhmYWHElWz/d860
lilojvkP/Su4IW/gx4CzuLCFcG6VJ/9SaVKDZFAJvw9WWa/+av/BnLjhJ7zILSScKKAUSywYud0b
qgLXHSHjG76CYyrCWwAD3rjBLcxZt48wxBc43aAvSPmTw6O7KF5VNzQGLWftu0Y1aDArgc4wl0Yd
x795GkXVOI/R35SN2oE3NxQaJlVU0Bfrt9HeoTX0vNzoHLe37g88fZAd82Q3996N4zGxkLgru0I+
0CAPY+vG+8CU+84xHt59Is0Lf4hgZ4+28ZD+jQpp2f+HQ28atGgzOU4DQgeW6+6u72W2VzTV1Hj4
Glr70qX0CuKIUEmsuHvwc/8mu/AKyahPhgJOA9voltYdoK0nHhn3pkgP2uiR3eM8O0VtGmySGw8l
HiGjVO5Sn2bQ8XB/b+QUYxmzh1ttOFF3+gQjFnJ47c1lUA9ztpiUhgFmze8ErIBXbIYcKucpB6Ay
ORBchjZlA1GXxvCSw11k0EiC6rfSbNauZoWcg4F6Tt+ilvbLUFlxuqsmBoyNxo6GfXxxv3Q0qv2S
JvoUxxz50P+WpzQIDGg9SeNeqxk+dOy49alvAF3H1vKImYUcmywttfNYVwIkGEpmcke5W5AU0bsG
xvvNMj39Nsx+3lsLLW2lcVt3cRF5MbFQne/TTOEGL2Kg0isl8/GCTZvBfQrIQ8RJweJB2XieyrLI
R14Pzs3ClSeNAcLD1W8Y6qcXXtjenbqtCazcaY+jdutfzPNY3XSb8H0hFSW4CKIy4+feSsqGzOPK
7Z1W+ERoyaLYailJvLgBicNaoUDl3iBXI5Wa9haVM9noBvwzhQn+PZFbnEKR5ZKQzRB0z2nqfRil
O1IEhtDpb52uyn+qpbF/bOAUe8MBcrKJoX5xLB6GOSGhyvsbjF9+Yr0SPUSxoo1LBQ6BsKzaeT4h
IlLO0V0SGcOPmrqBmQRVuVlJ+t3ei4JsYh+7nLtgqF0hJ1QvlIaxSaymod6WHViU0KuB02GPoQNz
5aVptNetvRxLoNs+FhHLoMPdY2wCD2LtEjMgkREj1DQc1ojTucaX5ZU1OIN0Sld6hDFC7V2lttxY
5o/TVOWvIvJPGgw62xTlhYqV6Mpyiuw1bWOQKHRd7Vpn6NPNYlA4TB7aueQ9OHC+sekPW9Z8TdN2
zZwEVqRqE3wnQoK3bMva2mFtH3BAA0XdSnvK7h2iBy+QpOQ9HbTDgWyww4KThuiwA0K2ypbAWo8O
MSUK6uMXfB2Ai2KkcTnNVD5lVvSAG2i+wEOBVkmFiPfM/ik518E41ivO482DFSTNoaBq46HuI2st
cHpeSVnQktvQL0v+PC8oXXOslVAphrjI4Sb2AEwX2gSJ7Mz5TBFES++y6cIfZZ1FISONt8SHrAER
1DK6de9U4ikj85ab/cKxIBpfGoVoOpVRfqK/MguNHp97oTlc2oHLJU6ZY2jNM3xCA3dj669YPVzY
mY2hM4mLpzwb8AicdopCr24x3rP+eKgsA9KGADUWY5leRX7Qr4PFS15YdGYhZfSfeenlQLR1+uTB
HjrR3aHXuZTiwIyu0ZI7x2VAT0YWKflDKQqZr9zZeUWkjrYDjS0nHVvzMW8ip8FvnfLbuZ3v/oxN
4X9EXct2o0yS6jHuuy5Zt23Fd+MWzt0s2ZyvU+xwFywApP7onf1tlV4MrZGPdLwZ6vk4gpgJvMaN
KOobmzwf7VQyMsDW77VyDi4Hn0dhT5sxqZN3S9c+8D1tH42bqUF0ScB8URZ/IhCmvJtgRCboMqm4
RtY4oKkQR/9czBv3qFeLeLH7tjoA4UKoxZunttzsDH9LBJNolbGsuaSVp1YuKQ/qXkuivqMzOLuS
xfwZB7tJxuXm0oxr8wZRGOM/iZ/d9EZ87dzysbYf+szK32ng8zEewXBC1GmKraAsfNwVzmJfKeWJ
sXm1BprD3I2QtBI1Cz5BQgmw9vpsZ+up2ONG9HdLIcW368fxjg0JXUZlbre37urgq4Ju1OpBWmuf
B9nKvAERx9y5TlLHACgQSTEv3OxvviE2hSPlxsBTT9aGPqKU7MWnjbWccFPAtlWx1ngeWcdErLYa
Zjp+vX5zc8P4Pfnilzka+bLy2Hzd4yh2N7ksaN6yx8HaQr/waBdx/ZFWYoos4rGDiu6WvkAPc4IL
Kp+QqyypKMRsevvYA+o/yL5taQ4zyFppf4x+SjTmi83McV8pMzkTzZlDq4otPMSLjg+VTng/cSah
mqNfdrk/kALV5S4ZHegtSRA/zermGxlTsUWfykJsmr/cAh6rBSJ0x63PXe521pv2HfYkXDDAEosR
1gX7hTcQKHB5Wb+vekzcW2SnxucIg/S1dtwZ5V3ySE3Jv072LesSvIGJTtrDYA42kbwE6abW3ltO
bPfEiwYrPmWSZQzVZCCfXic+lxLF5mc6M+czE8VIlj4inYq75mMs2YeZbTPtCEhMoURSwq+TjfEF
YDfIuXbqyAF2+fhB3JnHgopscHw14DR21WWvsdRM/Z/YRjM4Uq8T/EE2yXaDSO03QJfRewPR8FEs
eOoWt48pA1BganIKYozYFD1+Wv1BFmQI+3JgTUTSUj/O7FDNsGHcpF5z8PIvMZnN1geoRbWCUaph
Mzkz7mEr6j11RdMcH7PIsalooYRyHkeQwx4trR2+jDArbFqwXDoEPq3WqQ4dQgyPqxmfUdMJ+2sc
7CbmbuFxwq6rszoKsjExw6yB7raSnSc/YD35AVigWBSHwJuXjRGRQwmINJMxJOwCs3ALsnCnNTe6
0Qzdka1XDbGq22gzKUPcEHzo+FXi7Era/rqgjYY6GG1MPqbO9mwQSIAjnW0CSqD3jVnc+wVRcYnS
iA6KOqc5KoNZdncFnwCFxTT19k+LUT5SQPrYTkSlWotwHgM9hG8CME72lbnww7CtPFsjnfKu/dmk
zdWZeLe1sL7oG820H2J93NIbAGrCgCFFVlCVJmhrO+F2Vr/1EB9m2b51/FBQTs4WtcugQsYpHgsw
fiHM/ujUB8W1wnN1SBLrrkwH+dBEEM7Y2Htc5HAQx2VN90vYTGyEo5kDs6g+b+wa10OqXMafsWU/
k3IgBSfHYmg8LtFybUyfN3n+NSON8NLKaKEgzmd8JEZ2Qre61jNBJ5wr9Zn9UrWN+GoZpnUd8Nzm
Hwg/6COroMMlQzucnLJ1K2tYMdBAuHP5rmY7WR5zrGihAs64yZ1mOpaUzGxk2mN90tkYThjDH/0O
8cgTmNzZ94DSOhNdDE7cmdE2d5cgxtuivT3prXtWbe6ZPQJHO4vOn7OsAA2RBCdYZ0R7v4EmYub7
OuOIb07A0gfXeM6CHDv1QChCDdGrDtwRYJSc6EyjkdXQlKzAHgWWVh0QZUAx6mNe9i+WPz4NpLZx
6cz4aEDKkZYYrCNPtXFbFD5qeV/QjEVYFc49jIQRsNhvj0gQsfiJ3rrSrfhk5oXcNB+amvBbs5jc
wozsQkEGMbQmW38H8PLdmuQiYQK6N3NfoMJrBqLK9HxSUEH3Rnqa+LVdfbROxgaBPLdi31gT8sHU
Vr+nMTSiQmZr5c9vHUMZ+9J1t8htZKY3cgo/KhD1Lh9piSuifcqlSTxneiKRg/cqPwamg5WbR7Vb
9USNEn3nYszCfkmmxaz95MipKVhxdqeERdjplQaNZpOUygwHB7/mSthjsrFrk7cTIyF67twDFBLy
zZhw/KVYdB7iOZabOXWesM6LHd65e2vmsquDpyrmWBSAXgsoylj19niehL0W7nShhxNHcdRPoevN
P2SmtlnPHU1qYGX20X0WL5vEBlpNjtcNObwcUqes1oRt8lf+dYbd9h14zr0qFKnbRd3BkN7qAMBy
l3+4TnxOZpS+Mfsu5YSpuTvrIPgTQScrS/N3NmOwHsfqQPzlPnWnc2PrS1vZu1q61HtY+wT8POOL
se1aVu+egw0wmT+covhIouCqtP/l9MRyJfV8XoFVWBo/bc114LPDX1uZdbInqIuZEe+Wmz15Gsx7
s6BaG1hWKNLq5kKatkFMmSMl0xsWtgsfs+rPbU2cXYvmMZtr6tS7+1Qa59goU3YHwdNAixulc6bc
SGve22q4mvSA1U3GJSDqeMVe5JVvsDqNjePBAo7nmzEgvTBqPQ+ZfVdJR2yGFEQADFMqOSfv1iKC
QsrjAcdhO0YvNbWRr0sTDBc5giZfFQwIF8ONFccwYpBxV96AcndJVQ/ABvLXHu/NzWPQ7vFIP5I4
Bd4TzFS1+OMvQRRl09pEt/TCO6oFiXS1ykK/2p3XHF0VI9DZIt1nStrrmGf4p9eUT2btsgOrb1Ty
EUDQGfT+CDBN1hsaM2iNVtPJztoMUNDw5I+Qk7KvqoFjMpmAXue/ySFdHq/UzZ9XDHSbDmkrXgmZ
GSAdfOm/lN1grouoodq1z53QHwnCF+Zw5DEybiI3yne10xDFUMYvv1D2Xhm85KdIf0OWy7k+5UHF
mE+Y0huSuq2/56W5nirnK+9YI4kZaoURFUdZBXA+M5olvNoYXisxpw8GEGKWgWbIQvIro8fxzqNZ
LMuS+g5C5Pzew8PGZVsYG4lT7B3qEOpumtnEx6LuQxqEA11cFva0DLjMovtIJxyFl47e37WUSUbh
PSSEdPZP3mA/Zo61T4s4g7VJtXuDujimzYVCBE171bQpfP2Mh+08zM2V8NZupnXdn+KfISi/K189
t97w4hC1712x87FeZh1ZIOtWQokuhKNQE3cCVwDa2aWgYUPYYtlYZcviNNPP9AKgP2OVuaY15JLU
AenQ2RRNKhhNWdrd7GCRvk6c1zk2EVluLPkHx2myGyWPjDruyXM247JRIEVChQq0doT+/HuOFWRE
dUaQAdZjclgK99vUUQsQLjKoGYsfOrdGF4DXQFXKa5QBySLpDmaQG7bu6qPN0/iFRPif24z72OSE
glZZb7RbkxzhlyB8dCYLinYzWVfhij+MzneNUE8qNe/awQfh1OoqdOid3UxCaygjAnsl+4Y98axt
ejuDc6mB5dxN+fwBGVv9MQAtYCmcOeFADL3E2EP4NOAvRcMSbwJZU7DutaFo2QWVixuxc6zMpzZu
jBNUjT+SoX+F44Pvwpr4fEfOKn0S4K11brKWtPLkOauG7N7A24jEUKGld3Mk3j23f4FKKh/MxmFM
FxmT1lQSIaGVk5qIzCk2aHD9KYp7eVQgEvCA98eyfYOnfqyXqT3DEukw54zOCkfknd135oebs6sJ
xv5Copv0HBBCL6fq0EheMlqa3ckZL+6sPoPWfw4K/eIBOoNOxeDOs21dL/6rn+mDJtFJlZi3bSvJ
aw6NB3Q56RGYJOWuYrqFv1Qhr1uV7tetY18Sf7HXRTZDBqnKg8hrBLhsAh1NPdLJcwdxrOeRUq9R
1GvsgdFWdeXWy3AjtfNXm04vrSgg6XO7pLRoh0ZR3DmZ+xCUcqdHvfEqzpGB6dMcUpCfIevj4Uju
igvF0DvsknD6aWWzXCnCoCyPCaw5IHC+i2+qD54IK6s34FGPY2Rt2YHYT0vMGs+NqZKuEuLFdHpg
mJfTb1JM9NybEw7+wHI/qSkFckondNxn733jfWOk+DFEY66J/cPtJwJIPos297r7VSU5r3u8dm7K
5z219IeJZHlyxUBUUVj0q83C4gX/x2/q4WiXUPh6bTa37QgHgLJ6E0VxsdPboiLf9663Vc1yprDc
2npB25wHqgVnWx45Pl2lwhPeBd6mJIq0qni1kRKvMZZBOOzXwoxIohPVXivsS+jEFlqKz5ABDG6T
9vqamtR+ITM+R9p97ni8WJVnHuMku93r7gvIysfGHd6zwnU3i2tf3K445qBiaJcQtC8qmeldh38y
bPzlAiqcSzDgL0e/Rp1urG6a14Khb5t01kugCcMVtf7tZQXnC/yDtDRk09V2+++gqqOVP1hEnWe1
g4ERhwISbo0m2Pq/c6PiCyaFtjjlCwOT9eQ4qubjgoXGYng0N7FbH2Jr+kTwZylY0ruda3Xo+1T+
9l1K03ICcXhM626fZ6A8/BrG2DCg/gi1oC14nDcn8830AkpgUcdvY0p/dKIXqAxD6Bde+eQzE6Nk
t8YZF+98ovLvNV0crjyef5hPXWdZ85fsjqYHNnvBZwYXO6OLRcFRQXXvw2jpHihG1htmgvlESq0/
UtOmjkTFEcZ6AMdcAl1oJFqubczxd1Nvfkb8yFXgZq9y4rk7Od9zNj3naROjJY6vEA72xGf9ENoH
2aioo7cWQ+xtwWcUl4kOoLXVp89B4lN522tCxoTSbh2EVM3WufU8VWX1pzdxpK/AfRKobUs97vPU
OwYWvKiOtHkn5JMhRHvnV5LG8Bux3dLVE+gUiYGZD1Bz768d9XcVofHicx5qKJ0uR4PeP7qiGXLv
lQd6sitcywxttzmQx/s1xSoOx8YT4VxWJTlZu0t3bH2bbzmy3ofVthmMCeJUrtpjZAv31CdzdZeP
WrK3E+B/GZ841woNrozci/mUVZPktU6S1OqBgoSdlfCox9CwawozQ5oZ2sc2quV+1mMcVgAc8Uta
f3xnkceOykge0Jw1fAGfk0c+7wfKjhGmMHkDcoJvlDlTtu09jrxqCJqv2NbZFXJtc8fHhfdf9ik+
usSQyLpzcW9Dqnhyaqw3xCoWHCgYlJ2F+CLiw03TJKcfjWjlYUbRQUSJssXTMhonz7vrEZRjluLa
yE82zp6U3vc5vyckEbDI7VXjbBHG2Wl6SgK8EoR5tnhNd0WrQL5PV9HZm759i92eeiiCw4EfKol2
VsXj3mqb5zkakLLbm2IbP9QRb2SymA0Z7ILXcE4W0wdJFVnzwb417Q0wTqnPWlekPpbUWC3evKE2
/h5mFYbGSh1udGLIR7+TnNNw72wz8bSwlQBctsbxylh981fD3IJ/OOfRs0OVuU79vYjHY2q5YVll
O9oDQTnnb8MMHDSG21+7NR6vYgqnhnJcoDgTbdlpYm8G7VzL1vg39s5kOW4lzdKv0lbrxjXMw6I2
AcQcweBMihuYSEmY5xlPX59TmZVkSK3o24uyLrPaZea1m04g3B3u/3/OdzZpGW8DpdgMkgRjZbxR
6mFnOvFz7PjPlgSqFb5RAf6w0PX1rOEF4SND6AsoNxshMAXHtNqqEbGaaALYbfAGUGawJusqD42l
yYmxTSl7FpjJ4wGVeyXvRxM/Ymy3R796aut0rxMojhKYP/VHao2botdXkm6s4Sl7uUjPaNl3xyLB
W5C5XF1xcTXrSrU2ju1jDdCvYbiDVOc2LVo/kv2UlkLLTK54bblZ4uwkDgeQvxayY5MyVp3oUi6H
noBCkGRvPrWI2sxICwOONMcPrZAfA4txZX0khqdiJSNsoZHk9Og6U9G1zmAxU/it6+ccVPv0M1te
o6lo6qN+TCiBPTS+QpvKyKiW01QKrBUq0ZpAcEzYbuHQ5V+T0s2RJorvR4KcF9VYXYWyzjmXWA/L
PHDPwCxXrfjyrrWeHUYQQeYAI1A3vPm5s0lN/G1SEq5CrD/r2q51al7I/eyd5UyKidSh4gKGSQ/E
CcFi9yEnMO4oVVOF9+JzLtxTaG+GKnxUA1EqsgbMzcitaHktyToyrllhp4biBccz6b6vcV2HWfq1
EEXBXIvafWjZMfrv0Yy/aSp0NH3AMqBF6T6dS/kgR6iBkvlNqaYvKVEXUdNb69HGAx9lmoc770fj
+98Nha1q7oYrPseAN5IBVQuiQDA3EMPsqF0qPl9fQTKG43LbphRwaI11+xFH+gk6Q4UWDUl2wZ6I
KG1L4+yUhuFVqiNsafnTbV/EUKqo58FWAvlQtD3iwX2VgPesIggKQ7ZtEgNZiupN0swhy0ybhWSr
1OrhZkF3edH1eT9kFltBoy74Mh3Zar5NzvTW24RVx5G06ZtpmUyNs2iNyF8qg1xBPqvYwVRFPpqa
uUnwQMVWvIWtg8Km609UV3yMKmNOlGZf7ccQuk3KdyhtkWXLEhf3ZsTjrpps3hXFPjobFnTvJOJW
J6U+9Adlh64CbgedVcJGm203DveIM+CodfoVE1TaSFPO7hDSKmzYbqivJ+AFYWx1jXQTcGrlTjPs
Y5lQn1azyBiyaUfHxqR5PeGsTqE/ORmHQqdNn0pFWps9HmpcwxGG7m4Dnz1cFZ0P8D1fhmZHTvWo
w/i0rGLXKsxiNCYDjif81ZBoqwJKdW+AHBoiWk9yBprBMvlTilmjxadop1SY/RvTfK6n8E70ZzqH
4pg62lcpzr5VIo8IfZrioBfVFnbmNx/KGm0mjJ8K5WnK2+2XYU6MBRELbw5GPc2YRjen9kMewI8W
6mya2x59kZdYUok0k/P40JWytYJyhQIsgHSVoToMLPtWA92LZnPcO60qeUkUDfw32sizXcEIS8iJ
xrl7arvUgyqM/3pS1tWYb4KGc5luVYTk0Yknq+UOHTdoFo5Ven9CV7CG0aCuLKOruKGUyiKTawhL
oDhkPmfLafT3E3AgvbLuMNiu8UZwoqVjLmwpd7WmfSEMkpJGdKvZ9ld6zj98W4ZSPp7axnrSQsqP
/pCt01i/kiUdo179hlsHYu2UylBQydMh7d1a6Brw2ihGFxjeTmp2S2AFdZUx2ERcKNcz+gHXl5yn
XJ+fOBuEp0yH/tXbt8o0wN00DNQQhvI1wWWxtkWOY2DcZ5xLOjPj9BkrkRvSHOCamKiPsqlM16LK
912nwUrT15fMW/RJ6lro245kUoMztGxYWxF9LAIpq+imMavgUZqd9ktSzMO13UHpE04IDk0mSQBs
WCIUQOQDQBTm8zloEVyrqJqiiK5NNLFT6/OghGvSzztMWVyVwzVurQQ9rd6X5U2jFHIEBrNP1Ou2
6kGQRQn9jzXxR1W1lnURauDoGFW8VGQd4Oek6hi/RyBETq4NGxkJDJ3oytnbGLCOpgFca25EhEL4
nqbQqfFXP5CcXWuTtUBO2fiGCZLWXPEexoCHDpev1JDRQFPJuE3fgxva9xAHXLn1YYyMiqbZe8hD
EXHstYhA4mM4iyAIDi009N/jIWKZpAi/JDOiL4SxQXuPkujeYyX4EhAx0bzHTcCbr6DyToRQ+H79
bPqpCUwsM9VdL4E+WHUl6yjkydZ2Y6Vr2iLj+EyvkZALnIacxx1Ahm43zQHfNpGI4b+HY4QOxqkl
L3a6Q9JGxZrbSE6kWMH5JKydbgOOhypWOo4rSINQZkQOh0Ygx/QezVFRWb+XEHV7DZTae2IAaN3o
Q7uhvCRvZqvA6FiN6skpdWI//BgS0fgeBtJSyDs69M+9PrX6u1ykhljQvAU7Kkk2Uq1UzWq2m+nW
xKcEKaGq6t1QSmV9bIyq4csMGpJDtggpkeK45ouZKdVV9B5jEiSyRlpYQboJHN/plYgQIk9UDPVX
8kwOio9TBp1aj6GkeQ9KMUVmSmeTnpKLHBUnCjMmCK6WRWkonPbrksyVsbL1k9QMBLE46jxNm1of
yGeZBW8OgDzMRNsUES4U+pp9nBBSTIZIicAwc5yC8AtNGXCpWTRKpUqfv1Fe5Ab9HhMziMSYTIkI
j5nfg2SM91AZFFrBzlFiyk1VhnWPcMDiyFPx6UjeY2nK3rC/cqWaMaGK3JpQJNjwu8gDrYY2uyFQ
lIgbX7XR4cQi+aasRQhOWark4YhknJL24lGZne8RWUHbrgx6IBdqsdUnSkNuPHHWR/DkN092ZHbZ
0uhr545Xle1bkcgDx4twHqkXQT39e2iPLvJ7IpHkU0WQJGNzzoR5VkT9jOwLsGjGrn5tRBYQMmIV
CaNpLKWcpCDQPRJJ4VZ3x22UIKGIJtAmEelC/1uWOyLfVBQcVqPSWS3GUnkp08qBuoDp478s7vn/
wyRnRfhR/s/Gl0P0/S1sv+dN+z3KP8oE3/+9nzpBEBUa6kDHMmTOtZQTiUz+yahw/qJNb5NSr6vW
WZ6zbsGo0Axdxvdiq8TeIe77p/fF+ks2DNsADqPKJmZg6+/oBA2e55NKkEw9zDc24gPGQQ2ofVYJ
dvKA86ZGUFqqcHY7ENr7udXxbZLcOfgtllBqfVehUXeLVod3Rt2ZMkI+0RiUO/PeSjQO5LneHecC
c3LCDgeH6pUAjGc7w/WrIhtxM9M4UR5DRozWjQQsAEI0WqOkfkpMNPx1aqvbpMQ7TCV5wsJRx8Oy
1Awy1qrIr5DRZsWPkO8LNo++8cYMEAG6ipkw0oKjAFEF9HBSsSsbwH8CO1/RvdZPU0Wf3+6zxovl
8JrguX5hy7R0EmXocTLE0ZqvTbhylDxc+1Vsca3udO+/dkn8d01AV/Q/JqAfojbsvoJ5+bxm+Hf+
4Rcz/7IxZFi2o9i6Ycka/+TnmsEv5nCgBdKiGCj6TAFv+YdfDG2tLpxqSFB02RSQmX+sGEP7i+Wn
25iJudWyGu2/s2K4bZ3ZxTj8KBrCMIidum0TqX4Wgm7jdVHBz/UejBn5voObB/EknJ5inLvHquoq
Lyg5LnvaXOZXsgboaqnOYFfHOH+cGjr/eim/wCssl+M7Rw3oeXSarLBcZVMZ3HcZmsqQVbvmC4qU
wSEkk4KEqVKZL0zCIjg+0OfvgifJ6cxd40gyNYU6dvuwuubzI5rgzveW9gdRakUDBYJGdASi7o5c
Ho2g9BEFyRQUx2EYjGvkmPE+Ki2yBhRa7ldBgPykSPWJ5GkuPbbVtrQJRW0U9ei4QQWXfbOcMou3
vTOGL/iMHigJDCvQ+qgLOGZmPN/Yt+AGBF07TNt2WQ9DcGc1jU6BtPeB3idqvuVUbHuw6EnOszUw
2xXcaDJP9JtSC4IfQzjWIg6qPCYzFxOtCQEYxMoxUDQ0GqBh8ePE+ZdSbW4DuT+GdE/tcGSvQT+M
1C8pvKLj+DFNfbum6kt6qwxKTlYs14EE7wZjN9+mOSdAtaRO6xDEMVbxkxLk1/DIr8lNI2BCXpuJ
yLGJOi9vgitMFAvJcFa+qM1rFOl7ivWBlT1XwfhiZCuSzEW0BiX9VhT3sfioC17Pay8K/3Ygf7dl
Wmiosqn85F8GLom1xDwQrQJA56tKjm5s0USQy/FHFpmASjVB4KlGjt9S0GGopxAf68Ou1EHSijYE
nRQuGum8nelQBHQq8H2AUCu5SlK45qxcOYi0pWGtlHJ+W2FFWdR9trRpeKA8u55tWBp1N7hlOz9z
gHyq6ZFwg38D0nhsMefNoomCrgsdW84VkKSJcS9z4N1IRgGQkdaLMfdIA+nGIJCiKCIaNImjXCmi
ZYNg4UDOAfxCPPFXiSIjn4bIDFCQ9N8ysgcXunG3SOT03qDigSONLhDtoDLQcVV2wZ5+yyPACW8W
zEiusa8Su8WBhsMDtWmqz8kLNabhyoYfz9XlAdi9q3blG9Rat0ADTmtKnuKrOUatYfHCC74gFeou
lwJywMSGdIZIXltlorXViSaXEvvMlsr/TtLarmyeBpOWMLkxsNlTa9dPKWCC2WkWshZ+SUT7DJ/K
vJt6FZHvXLzi+k5eW8SinqTawR5aMwzRrGs8dG4zVzzmUSdacrZozhEgr666IpRu5UyZNllMELgl
K9c4PyPeBz29AuAykuEoBVKm+nd5RpWrAxDrF7ddStiupPVbrhi7wJd/5CbmcN8gywblbETvIvGK
JBi8YhSOfCLDToGGh6XPEoUUrequS41gadPiFTJR0tAVBX1FPB0UQNCrmGo7i7KJv1BERvUPWBoe
KAj2U2NQHYGrKjt3aVIi/4ZDRMMzE51PX/RAFRY9TaAxWk5KXWJYo1dKA/XQa/EtNbKDwS6mh+Xe
Znpnmn5Hf1NxS3xzR1tL0zc5yIg/CsL7dJr9r3pVWDdRH+0pdS+JCyLSLuq3hIRVntCGhRXYjUT0
dcGFsHTMx6yOHw0gg+hOV4Gm74L564gsxNIjfAKyMq04qHyRHOtbEMRELey19jrOfRTBABUPgx1i
CKXBHIlOs+0EN2XPnK47dV7OaUXbHy4jEh7608FQQ5eQbhTRtZ5E/zquTXCcUbnJQosI8PqK+1W3
TE39thp9r9eJ/CqsK6pqbCGZZWzyMjWv9M4/4CTjh3rGOczpXSVfJZK4rJgDFglYw8pxyukgcQeZ
/dt6TJczOo8ESt4CruqeeAM021d9ehRlLTQlXkInHmsFamH0y/TsDXr3djQ9RAkW4Iz2Y3BUnBfL
fE0teadr06tawtwdY7gR6R01rqu+aO4jysMGrUs99o964tw4pXJvYd1fcPUQwMXaWiVCUiAn+qYa
jZtwxFxmTSn6lJxpN6Xqjm+IQIVG+W0RO+qS7o8Cuzc3jnUCjafQigwpqc/M5OgJmrQD6DLpZvWd
SDqS5ChxPJdCAZGpEYIFQ56ex4Qreh7Sx5uhdF11rf7WarPpDeBuyYIgUqWsS/NuytDoS2aALDQd
6cNzpYQ7TPY5xOBWAqym6Z5fyfamFMqNNLSTBajqpaljQEaL8M1RE8YfpOtaLbGqpJia0w7VvFCE
gB1EGxJ1O+ddLUI5gI+A9aJ2Uuf1dlQ/tiQVwAmFshJ1xDRRz6bQhiXxTvhMvFToUFDmDLe6JMQp
oD4etCF+64ESL6R4Sna4ta+lvL3NsBRgRGmDgzrQBUUUPGIdl9GQQ0Tw0LtPy3I2qZSG83VB/aVo
ZueLEvM2EGrH7HlUCdmz8ANcW+TdsT9R0+Psfk+CuXHXYjmBDk3gGqE/9hIQ2ddhAG7tp9pRL6uD
gYanHyH3jh1BQXnfKmCLfNnzM/MBNp29JK4ydFMJcXEaoE3Ww9h0I1I1bwpqSks4nMTvof98rJES
hbgtJqRFSEMXSWJDQrG41eJixKSeeI5Jv7C29EOCOGmI06sssRacc74ZoFO+WBY3BlVImep0eKyE
uKkWMicqcEdabRCLzL0UyRsnI7MUSX6Szqk7zu0tV1+vzYldrtRNENASVgMdFV2yMv0aSg43gDBY
FjQUW6G0KrpJ4t5DrhdaFsIFTGsZZgg5M9RZM9G2BrGKWbdVkpqQkXftFiKuvs5AHiVLWSi7bE3C
QMh9vhvkvV2ZjdfEDe844hAW+R51MCkzoXTDrzXyXVvIxwkue4yIDOnNShkykl+HNwvEHGViwcOj
p5t9KYICFYa2cTRbKKE2jfXQD9oiIS5vxu4zBIekOvay6haQZ3J6CX7Yr1LZ9vpx8ACfuGbcfqdw
Lwrpb0aqAkSlhNMlJ4Alx8Gg3o92xO6T+wqTlFUeQbofpewHtNxbOjMUFR5TNNlmu4HSu5fU8RRK
zU0rE3g8ngwUwm3nY0nJMKmj3nNeB/AcIRMtEQH2atUcarrPZsnJCzHp0e7vW8rjOlYegf5fEKa+
yszpynbGpYLST9F+aGRDo/ZFz4sXyx+e46a/x5m8aAdp3XfGSRe2ZkPdhnoN7pCITQ61jSaBn3tN
mq3UPpBuRodh3CCRiJp0bcR1TPsRtweujBEZogoyhWgRJrh+KiUNFHNukpiQWctI6BfBUzRrusX2
UzAa3coROkfO0i0N8dPAHPdGzOO3ca3VS600rweFx5CFTDJhUd8RTS/YtWS0o/R2KMWjqcSXO68H
Gk6umaX46BFSHvy6wUhDUC9RpS7JxLTaoMwZ821e0B0bfX0JzmBBFNRS5Qsp0QHOm2o1dCQWGfOz
1B7toV6pg7m2RrDUUJyzOQWA5zBr2PEp6GemTZT60WxvaywzDngDQ5k9/KMsQESkrS6tOAV7SXUn
J8o1R5+1oqF1QGlZdTSbcNQtItppMtJpzdQeGpIvLUJzdX7NRqukxwxo9dIm4h31UhJ1qLSACchV
xe87JRP02bqa1yViHntZDPJNXcu5pwXIXkhmriCEl7jSIcShApMSU/hnIdzSC87AtWoNiD9/TOIf
Dqemcu0TYzGcZlJtTeKF0nBA9KDGX+qWOphRm28w5dRTnfh8qmwV8lxrZzliJjScK2oa6X2i1dFR
Vp1vLJZiM0aNss/qHqLMXF2nbYD+YeLSo5aG8yVvJUf3lBlPfBg5ygFapclZUo+fLLpGpkPlFwoT
u0iLUIQv3LRpHEc7So4ZrzoEJCd5ztGZyA0WOKWGMdm0dJwowPcdOuCck2XFmsIwqmxa3yfTh/iR
L3YbIQkN6+IGVofjVqU8PVLMn7jDVN0GJQO45VmX+QRpxlWm+d9V2njP05RmHhkTXbBANZD+SMIh
2OimMa4Rv5vPWZglP0yzDjW6tAkCEFUODz5oKNQ0HBIC3+l21Hz8u4Z7xbUlVRgcJRowDVF4my7J
+9c2CLNnS27TW9zG2irtjGyTGkX5LAfS+MREj7YR7MtVbOowH0qtER786D4nsGEIK8I1KF3FV0WH
cSoeU3Cjip1wEmzI1jDi1pfRyc3NhqN1K8TtGc0Tq0kb2JIQml/mSpvwmKmo53q//95q48jdmb0l
zetiq/G2KqiLwY+aECOKRHY4c4/s+kXbI/9bWHWqMYcT/UeP3GdrDd3AfoWtZBAbZDOhhcDKZ9Md
BOjdarX2pS4S3KBFax2tXh1Nt6W/ZpDH1thXyVAE3+qZAjmKEDW91iJzHNyqySnJIkcCV5zXtEro
eGtcnX3QRQqGRjJL0ubJ7CqUmAYuWDcZS+suB01OITfXQUX682QtjF5q9vZgTtsghcSEAyd6Rts6
A+0sHA91F7sJ7vQDl2he2OCU0rqQO36XqdX5TE/zOpwb2tBSkCnMDX1c64g83lLuUCv+gu7Z8MP8
erTtmTVGV9dLeTVHDCbxYziNsBmCqO5ve2XuaKMHUn9vphjbZZQApwRr1V3rB2trUqq7Kp0EY8K2
0HI2iU9MrA3ccVHVsyyxDzccdFphzZCpuNPlpRyd59wjAj1J2TFz5ZXvu+Ejk0uLFyz6lN7jOiwe
mIKcBAi+Ur+NvoqCQAqTA9W8dF825O1lgOc54w9cWaQuSNJlLyfz14jcH6gg9X4E7+eRSyRdjUpE
lJ9C/XI0OIflPuIjvWxfSB62X+lk1SUfFUl/BcBrJKQiSPRbpVQmBzugl2eRVjUV00McorV2HTxg
tMMDiAZSDI5PCpxvWUhAnqnX/QFwtryFHuk89qWhXkuN2j2qYTZLbtxNEDa5WjyHSQyPjGbbCk47
n6GyCb/aICMQbqmdjVRmovkj1GgkSk8ynELUj21Cmd4gIaPSGoUDbZWn6cqfB/sB8X5hCQeDGV6n
tIecZ8ATFJciPF0Accdu/OKTrvIiaxqnaC3Wg4dRH517mcl+BShzfJBs5AS4y4DkNlFzwMo5bC0S
a19nViKULCzf/aqsRmWXG9Nwp2cGXo+plapXph0sMoSx7dNIb5EmfNMoLFFx5WfNKYg5tshf869O
wUmB0DAi3Byz+JrA+Lky6kx4K7L6NU/V5NSSJ3WnVITNhmZ5FTWZJrmKiUIRuQjKiFOnCm15TNTd
V9R9drXS7Z5+7Uyf06D/GoOIyIuHwGxh441VD9G0ciSPW2wAN06ND07MNgWnNruXekrDWuyTluRz
KeFj/UbUmLXK7OYZoOij2Y7yFWQk9U7ujGY56nazjMaBnhM173btqBnwjYHVQtFu2EUjTuWwDY+q
GqHvqxXm9oB+VdKpiDs5/sJCT8NVq2vYe/toBbX5OWnNJ0vlBGMp5YTphjRN1Hqccu3C4LnU8ShZ
kbLDARl6GWKGE0rwdFmU/m6Iy35daNFXBA2PXPUcanTdfUb4zjUXaA6m6G3cWc2yW9UgDoM7FNx5
1vxpDrv2SlUqY9tnskH2AU1/vXNkODJaeEN7VN5Naqw8xGq6zRqTtn1AIuPRmahzBIADw4UW+iM3
9Myz0Gjniyx0cK9SZN3npCLNSpa3XsDG/NKSdndf5y0h3kUme7U53aimCMDTtbhegbMdlxUH9i1E
49qTbABYBYQrl4q8ujQzcoFcjPOIIFopA68BE9lfqr5pFO6IDN5r5qL4jpFIOsn9rLt1KmeHoM5a
rk84DXMJ4D01p6kjKNu265NSluN20DPtqIL5uLPfL5FZPVluU/Yhec1EL4Ks0wk7nwlUWQ11WD3o
GMYOaiHOLLBUng2nW9kTBuWc2kG776FlKbxq/K2uQ02LP8uj58/NWrmFzbwbTVzxowVQj9tVa5FB
A+VS6+jw2WCy4v0wmHzPtVtHhMD1iN3iwsuUbAGFyAsmeCdc1pJqPNijgkX5e13Eu6SFUAg837T7
NeLrbUWWC7YHt7YkAKxrEKpr+DYHYOVL4S3BDH/wK7zd0neJMjhaVu25UaX1hIGPgIW7ubVOnYKo
LdLlr4mKa0bS6p1IHDcyJFYpBlckKG+xrcIJT6wXI05Ww8y33AehZMby1tEporSAbBTHayI+bBaA
a9pbjyDHTpIir0fWX1xK0mLSJhh8kRsVN3VBiqoznNriXm0GZz+Z2TpBA5kOFdFNWYFhPlIeyg5n
WSVR6yCOc5ea03U/l8tSvsNMLkGA6VBLkBGl0YQZ/XajjgXZq3V16i3wLj0puevaUq8nRceFUCGi
qoimq6Nn327t5dhPiBPL4EfaZTYvktwF/tOm7DLuYcg5ufOTXAepAHwNquQWrQSc5vEGoSP+hYAK
mynkofS6W/1Q6bxxbY7G69TPKW8WfjkcO9wjLhW16ppwRoSpMiFC1kRCRG6ZCmecpGkO+DXuRh6X
e8n8OElK0rkfuovXRUrRPf9feZddIz9vm3//tzOePI0H+nQG2YiGrdFUNPXPzboijdWpZEuk49YN
jxwHOVKNVnQD42jEPTNF/9O++v5/g4Ux/9i98ij/fq2Tj70r8S/8bF0RPKA4loJlC144DAnzP7Ew
9l+yRavXMejbqsQqCwrhP1tX1l+WoYr/Uf1Jk/lXu9fQ/zIMODHoxVQdBiIwmb+BOvyl2ysbNMIM
g7qfqkP1POtcOVXaaoC9KDCMMxSXhvJaGlfod+f54c9TVQGM87mxfDaUaKJ9wM8EJXyN0mCo2F7n
W3057/NV4UbH1MPt4lI1jxb1lbVGMr3jY/73FgpvGbMBaEi67aahm+ZZV7t1SPEyYwvHqH/NTXzW
jvZ4pw7fLjzjGWLnl2HO1iNYCb0jOtZAsOhpq9wr1nG7CJ/Y79aFJ3NeWv95wLOf7+d4jiymieZo
suhxfnynBZE0NGN4rLy8L9RVO51q4+eSp5EcfIc69csW8968/Pk/b7/9+79Z/xgDj7eNWoE+7tkY
Fl2LJEZy7KrrDmcLkuVDtaMEutSupMc4dMed4kLtChfONnn68+MprJqPc+Z9bEVlYPo48JGss7GB
vAonMrosuCZrHCXLAZG6O7v6St0Dir4w2tkM/WW0M+pnXI/F0HU8abXsPdXV3WnZXqcrrjWASY76
N3iHO1pEKyQJKI+C1wvDn23mP4dnFxdr0dCQXnz+MVtLRfRkM3l05X5Y6i7+xyXCBEKK90A+Qq/a
tmvSf9b28sLAv5u1lqlrlmYq/MTG2azFolLDk+FgRuShO3t0Dp64QC8QVy/Lo7W9MJpYaufz6eNo
Z4+ZIGJ0iqxD9ugOy9HLPeW130huvay21ar8Xuz/PN7vftSPw539qAkC24parOkSdrhRNvXGWNNR
XDebPw/z22XycZyznRQQCLwmn5eIev1KdUOXFLk1hfAlcUWbdil76mZ+waB76XX+bol8HPdsW9X9
f/54cQl/Bow3uP4Bba01p1TBHh0oeY0NHwPHg2osLjz0pZkjXv6HPX3O1VZLKh6a5v+2e/C9dhHd
4w5Y4DpdFRdesfq7BfLhUc0zgFmdQUjXJ0ZDELAwi01dHmUa381zaqmLdLqmdkmAlty9OMPL7Htm
QTLv7TxflcGB3qNn9QuZ3mDKjR9f7TJUBm/i3F/XB5NywYU3c+lvFT/bhzdTpY5GE4O/tVn6TINi
7YPBfaVVrC9wkS5qt7ibNi3KiObSyOIH/8P6MsVv9mFkwOeDppdM+Go5r/Sj2MkIMzuiB8eUu7Zc
c6G5zSk7BV58aQP97Vyk9qVzoCB7SUCiPw6tV5JCIAwPnR+CjbXvN2wiNxgw3HCpXF94wb9d1/8a
yzmbDFlLIGRaMJYm02DOSKJAkZscm35Hs3nRfcvBoqT0HCWw6SE2kyPN5nD03ZIcohS8r3SIA+vS
u//tC7AVyqCoi3Qqvp9fQFkpoM/Q8bn6ut02N+JgwypccH9fGxdegNgmf/mZPwx1tmmPlJvGRGza
oneV7gXkOLi0t4j/j7MxYAUK9RTHJwCGZ5N4GtuYmgfmKTGJG3d4iG7aReUhAVh0J2nrX12aQULG
+MuI4pCBElc1VApVn18gbsSokvISGY6mkAA72PE69efym9lyDe+iBqiIhO0qLVu8VdRbt5RoKH05
lK26atBdYxitx0LGZNVKdbknXYIQ7+mrmnckkvam7kJwInDZIqU7oRm1xEL1OqVEDgGNyhBGVdKm
raI4pDzaNnd5if7JJiiK3vcYCh5qVK9zyKqEQlfJaTLy2vKMkGilVA2DyXWUNMJgi17hqmumh46L
I933XH1yDOznRUmQJ7VJIMsISwrKM1MWLetqyDgCsxstWzDUrjNCHazN1l9ZErDbtox110QFQJ4P
nt6mxblAayfeGGrieKXf7TIaxvTSq/ypLKRuN2ZTbNPE1MxtJjWc2Noq46ebBKauNCOyuFD9s/Vl
3byr0G1NqwsL83xiaiSbGWD+DNPgxoON5/NP2DdlPMpSrLjWib70ijBon6a7h8hzqbl0ljZp68k3
5XBp7Z1vCOfjnk1WkitAHsSox+wmCh7L1k+JB5swtgV5tfInm8RRyR6fyPyk5e8jiS+MgvAGgNl0
Ps12G5oJHSAyU7Guqy8OhMeFYZJ4Gxe+A6evti8sYOV3q0vj8q7ip4bMa5/9wTD3MGcMM0U84rp+
2GtrFa9a2jyL2VjM62KbbqLVxWPKr18HJIgGAnVNyB+V869DQwXcN0sGHd9Aw6zwynvOct5ZXMSg
sXnKUt74S3ktXf44/Pq4n0c+W9oFLfxIrbB/znfybvSMlbahKuROb9aa4HuXqMlLn6NfNxPg/ewh
miYuLu+ZBR8/R1yiZbPya3Fz6Q/kkW+ABS38BRZbL/C6S/NP/P2fN8tPo51/kGxaGcTy8XxkXbsG
SMLNvCEOdInoEKbekurfhef73QvVkcT+/NxaZBN++toWhlXgbeHx2mJRZzWM0+Tv3wx4pg9DiDf8
4SxhqaMi9wlDjCsq6itxivFGF+LfRrxCrL1/3jvOl7DqWLKBJJfEBVXW+fJ8Hi4EtkheSEXc64rP
5xqpwVpf1evwwq35fQs6/6nQySNvlzXE9Oc3LT/K4GDKjKOu7XW5YmKsqi3iAPfiZed3U5DiCpdX
x5ZVjNOfn0jFeVzkASOZL+TBbJpj5r5VSGC8zLtc5PjNdZn392G0s/dHfGMJFYXRlNOwBKS60b+g
RlnIh3p9qfLwm/sOfTpsAsihQWBw4vn8ZP6c6UZnI7AVZ4Pci3Elg0VfkMa96TkjDB5xNm6Ku2bn
139/4n8aWiyMD7OSQx+NB3xHYJseZcdNovzCWv7NPNRNDQGgaOQjNz+7okrVXDZjYWFIP/g7ZaNv
h5WyhJtzYR7+ekewPg0j/vmH56gMPHUjyHrX1JqrSLPXXY9gUoJXMEa7P6+s9yrN2ZRnLM7kdGap
850frDAyFYbvM1a8jTZoI0R1Kl457ugW23AzbdXX/Pj/sgFzBiDcnC+Og63r7D0mCk231sgMCguj
R2HBzY6O23jyimSg1aWLvrhgnz0hg2kcVUHkOjgFPr/Ngh7BCGPUcCOo0Un0pIFadqRlGG4Qo/z5
bf5m5/001Nm22Kgcw4C/G26MWa7Ai5XpF+6657BuikEUgLlEGKaKucAwxRT9MDcIalUn0hioJCqe
qJaiE9mkP6wHeWWv4JldmIm/7IgcnsSsePcf8VuJ8vXH4SStonQaWjJ5Cs6+Da3rACjBclaaF7m1
N62V47aVfLJHaxSw5Yyw989v9JfDkDi94eOgPG5psoUs4PMfUEYQrgadU6O4OUU7oXZ2MzdyB/Uw
uxxi1+k6NC+9ZPF/+nHKnA96tgBh9La5ESQYDppduRUTNFjCg4iXHJXJw6WOgeRre3FZnE+f92HF
6eM9pJiN5vOzOkSNq33OsMmjtPG/6zsqfbv8Sb037xIWY3a6dOr7/YCYx3Cc2Trnvs8DGg2RnQpt
ZgqZ8Mdi5DhIU5JLP+H5dvbzsf41ytmqqCQ8MF3MY0mbcWWssk22K9b9otw0HiWPZ6TJu/h4qTx9
vlWfD3r2LqeCFMc5YtD00G61jclW3Wwvb9W/nSnOv55NvOEPy3GcerMFX6kA6E68aYSNuTeH0Luw
CC49zNkiQCnbVnnCw8RbUbR55tzKtilIpa5zRWg8OU3b7A2X7pFs8kvHyV9ODz9fpcW5iJubykb6
+Rll3zE0CboKldLqqlmTErlQdpy/XMi0xz8/6e8f9D+Hss6ORVBDqy6weFCw4GvwMeuGJ2vXl45f
v5+R/xrmbN7nkhn/B2nnsdw6krXbJ0IEvJkStCLl7dEEcSy893j6u6CKqBIhBPGfvt2DHlS1kplI
u/f+1ofZgCuNImv5qax1zFbEQXuQ4jbbC2LjLZyy87Pkv/YmKwBGAlgXlVkC2UoGI1+HWHNrj5fH
7svNa/xOmshmbeIEapFNOv9OuY/vV+ExeOqu1kEurOTNwGOWwN5AIibYCGvTlr4XvKiMpQk6rqbp
hvnpbT86sH1eBrXgj3VqTBGsvr2DeQ8a1w625roQTiiItslO2F7u7PRQ/+irjOiVTLds8Y47b7BI
K01rZb6g7ALn9PZRdzTrZtVBg9SCX5fbmvt6nLn/tjVZ416jl2ru0VYOb7tUgalQBi4v7ZKzrRAe
RV5L+vdDlvh5CFUPcB0BonGVVQc8tqghXQOu3FUb6tbscExN/FD+NtTwMYyfGp0cdJni9B76QMlW
bs2duycqbaOYO1FHQr413rb7xc1kXMFfZoquU5pA/g4Pk8lMAQWdClFKi+rOuSp34S4+eXsw6uvF
BMi4qKYtoX0cQ866oajTOdmmIaV3o8dwdBpP0mFPob8NxsX+P73yF1qbRrcydPxW2o39uu/WY3qn
+gFH6ZCuq+d2ZdqXZ+Tc/vWpa9P3MH6oaS12wIsAnZPgIFxpPfWps9OUhSTZxzq6MIgf19FP55tU
5wFGJhbQBxKtxpawJMmCTWez8FbxLVHJhbU2rqVL7U3WtVfoJnW3umib7+gWoR9nm8tDJ82OnSyN
7jqSqHC7Pd85OscMlB49rk0wDe/blXTC1/gY73zb2I33SSD4RHX3/8tVizpnwzR4EkNcmGzOapRR
/BmNpFAkI6bUvgxR+LTQtbkt5HMbk9XcW4mvuBJzsHnLb6oT4put8CDtuj/+HXwNG+P59dLOP9sk
S4w4Grd0Hifnoxk0VOF3CSfbACM41QUqreRNLGQLG9VsM2Mxk6UgblOnF9W+0PSqyMBGhvHvQX0x
auicS4Hi2YlBdorMhmmIljHpSkSBntkbTIzaM/Y4VGPdMCaRwAVpzsJ94OssRyRi6pT9aGRqvoya
4WlybWRJb+f49m3DDg0F/FRrszAf5prRCCKTb5J5KU4fb0FQIvHDwgRlxwr40j8LGJd2ywam0K4J
ctvLwaavn4oCJMPCTopGxyDQ+Yyo5R5bX59nklM8J+kNBD7ZX5roXz+VYRCqQPRP6RRhyMk1MTed
vrMirecQgVJKNQ2SKAr1gblulQ1oy53+HHDNWTq85rqmWhqVQlQLUV432Zxcdo1K7VLGU98j79bi
IyTchW/29RwxDHY2gOYSTl0fXrafrwFllVlW6/PNkF0i61jDXdxjIXdQtxi8oD9bLbQ3/ubzDXds
D6sQyO6mpUxDnlEE69v09J5QTLvxvo3R8J+dXXxP12NoeungmhvBz61Ndqi4c1MjMgU+HKiy2pCe
TPNXYnVLUYulZiZLOSVaHFcx2EstgJmKhY3z3S1C417XyhRkl24gSCDDrzdmBn4YglFiCFeBXri3
hec0Rx/v1r3pCgcPJvzC3J1Zk4ahG9zx+Lb4CI8//dOBWnVy1cuJOdi9Zt73YKMOQU5a8PJXHfs3
/agmeTauxmwu0jQGm0ttmEPGaOwqFg6F86yUjz6C+y6vruDUL+zNc4vR0ixO0vEMkKa57TiSBL0Z
uetCcV0Lv6z6R5KcKEG/3KWZ141hcZnT2ZgtDtHpwFmOm4mxNXIn38A/nvobpM0bVA9og66wGo7Y
0BLKkuIfzveFlmeWJC0T0FbY2TQeu+efLFcbSdYGGSTXqlnfYnW2xalnZ13BcVwtBdxmZu5Yw8m1
lSkif0lNJa1HRV0p9bYj3kv1by3ZKMHmcn9mvhdNABMiiq3ySpwsDtOVIzSqDCSyWLd4T+Kd2cG1
XYqhfcRVJ5PwrJ0x4/hppreWjxJhaBobAbR3Qg0PfhEnkFsxSmBYYqxH8bqVOaORTuisva7OjpSJ
94jo+ujBC42WN1Ae4AkSBFetHBQYrnbSqK6Jt6aaPhmNImKIBhxDbduaah8LCpzmxBQ9gGoIZFzv
rDjS4DW02H+2popzFhjLDfZjb2pVcZeVi0MaiJzzaiIcGyEuv1WAdxFu9daWa6J+EBOjvm4Tn2J2
lEsrEE2pD+A6RfmUZSM49nvpUT8VVni7Ji42c5bRIEmt1WsZjS34ZVN6qFXEDjxNh4c6FnDFEEaN
jKDBYFDQ5mipi22MdN1WVoYwJ1dwOUidmiHDNqbADG+VFPJd0qTBtauLwjpG4Xfn4bi1lYeq+ZFm
+p+ybv0TzkzNkbQFC6EyESCuixJZS9gqWAoNgngsVLnb93LXo3IN4u5N0bP6mEuGtuqSGD+deIil
wcbsAGxt1abDPSsBj2OxhrWmSv7vorSezRijqRjtHqSUQ+xiYBxgqLdzU7m3DQcxZ6eI1NBZOHVg
T1RBYBvV+gM21AjTqjI+ERijqimuXP2hwPaHUkJ8HK6wuVYbKtM0B+ddTZc2ZZv/CkQD5LpllFvM
WwPyIApUYzzVn/TMVPcYKeEOlYsqUlVdFd4HDTfnskCjXUDXWTmW+73owdyEeZQdXAGbxLiu/B2C
xGTNty6uUlN9yLAHB3Wa3CaCaKwaq2ypKKl77LCUbD80mfkEzLLCuEDELrbEU9dqs2aVFlZxxBbF
X8OSTfay1gu20wvOQ4550SZFcWoDo0DwnGp4gSSyE4I7hWSzbSxluM2l6o8IcxFjJS+/0fDYW1um
i5trHMhrzACax7xHXuV28shGN6xNhaDpFmOVslpjbxIQeGgdDIeTuBPM27DL8fWIbeJVgM7vEWjB
VpTtXBxkxNS1FPwhxXLdRC4GvWr0a+gRYySAT1k1gbALlKZ4jaXgBkepdFtVoOH3iBWVgzp0wsKW
M7t5S1ybuGLAY6Kc9HwvSGNDTnuFcOVwO9adkVo9ltcCKp+V+ggqfZVs/FvH7ndatnC/mdtPPzc8
7u2fNiEpqVQvSthLoN6J+PsYwioyymHrVMPCwT6TqTAouucBQZaCyutp2YbT4fZJwgb/kY8gbV9T
pmvYORj2U3oYY2DSN0tZX97Lv3YPUYoiU4HF05KY0WQv7wvM8rQEJkWtDqWdCW8SHqloJf96FGkG
UQFWb1RgfQnamPCzmIJyZ/toz50AFzK0j23xerkzX3JbCrUu0FcUEk408uXum3aJBHsOQwUDuiTM
n66jrDzlnmaV1y0yqRK6AT4Of1Q23FVdm2AgoUtjfrrQ3fFkOj+5zn7HNJbjW/ngdT6/oyLHlh1K
5bXsERciAI68Z50aq8v9/npbozmqbgD4WfR6OnFqnyKkMq0GjDpF0LZXhnHdQLmvNQ+r1e3/X1uT
9WCKxeAYKKKALaPGi15Dby85bx1y8GhhPXy9Zoy9UghIy/oYpZ28A0UvCfvAwc3ODMw7Xe92uSpt
sZTF0U9Y+F5f79RjU9xmxtAAC2+yCpRIH7pIrTHO049D99PsXi4P2twq+/z3JzcZF9uR1OyyHllr
eMx1CN8wrvy8WrriLvVjMmS4aMmhbtEPOFo5NXKHj/zfsVO3A8vto3DCXU7vfH0Bno2ePHlMD34C
ylqiVRga7vcxp+xuBDv/ScFbs5HX2W4pZjQ/M/79XNPqUauuXbFNaLBPj+Ab7LY9xrStNgsPk5nE
1XnPJpNdh3faAIXo7aK2ta20tzbuqdpkN0iJFjs1v3lxAEiIHA3qNievBEJX/jB0KZOwLIXb1nXu
ZTW57/CGWbfqcO+7GDeMcLSTWuvKSdGH+IAUsIcIpDTvl+frTNaedxiluRYluly6pk8yjFCbWhnj
S+OLxd2PObt2K+zk/VIi7Uv5CFs2T1kLAilhBKo6J0tPwCFUqbG+tdf11T9NOeuM8m7terC9vbg3
1vJCinDmnKVJk+cmr2gW+/Qu0alSaaSeMtiNRQRXRPxT34RXMI3WgGMUovv+Yo3izAZAuYpuUns8
BiGNyfUFr9OqFf16sHPIfnD6uRKvxODb5a+21MhktlY8F3w1ULmGq29Y6zQehhD1wuDN7DCUwmDU
gde8zAocf8On61DXwEJ2U4kAT7EXlOzFU4XHy72YOTu5jJiksIj+gcabtMBjOSL6gge8FLRPERdo
F36KD+uccu3rNr011aXJPjduChEsc9S8js/a8z5ZEB0hEXhgKGvqyjKqYiiYXQvuyt85LjXpgCzX
ye7vY4G0SFYQsKfJvJjG85PCD/W6HEO46lVg4rzmxpuyXjitv3aNmAe2dpTR0TMCxeddkyUPL3Gp
a/AzLbYUwB/DAmsUMp/9wgk6s3vREuJwzdCY3l/KbJKwkiIPN18bn5ax9JGr6w0lIWN9W7HTH5bS
t1+PAMpSKXGmqpNc4BdBiGvgzKHqQWsbrYHZgBphph0rSblXcsm0Ew1Hr8vT8uvEHxtEfiFR7IIe
crJPBW5tVYhaW7uOm/oxTRPnOZILdXO5lX/iM5Or4yjUGwE9RPc0eXIKpFmr6p4jdraJY3KCD1Yv
CSASPA3Irf6Hx9f3spFIK6Dt5i0Z3JqArLhnZhR0tYNqHctugMdjQIvKcuslU3HNU1BabgrCQrYq
5G9NKykrJc80zIri6yYwhLu4hoiCf+JORwx+ABciPFaVC1mgFnC2HPLhqe4aE+JWN4LFEB9xDg1Y
rjuuBSnW67pbKj/ee8EEs1+oD0PohDvDiZ5D1cVqOg7JiEi19+yKhfhjkAbIyH4uOsQDWohriVU/
dcGQHTlw+r2qSK9ClD2WRdvf+OBQbiuAfMQ5glp8xhFGXvmpWv/g+Stglwk0stxoVafciokVX1c9
ABd4iq16k2GFs26kJOPdnIjXjc9m2ASesC0JyWZHoY6aB6NrumuNF1ByJZSWfvByS96aWWasxTp1
1rFQfPNw+AWh6mN4JAwkO7zhLSwq4UDIN7U1H8dIW5O74qXO0++SZ4nb3PDS60ryi7UjiHw5BImA
7PpCz0LiPemdVauWrRv+NbcAKt/U7Bk3mSe1FLqHJnaTl4H3Dcwf5ZpoFi6YSv4EfAFhVen+TBz/
Z6C5gK+QeaDPR52C+8rV8OExjxbjXVWTFnaW+t3y1WNe+dG6SArnWvF0FYjtQKluI+wsByBb0fIy
inDxXIf64F7rff2nVLOXBpPLXCyxUkz0XVq3312NwFSf47vj+ni0FU7yVDaFBxZsdKTFh9F2yyJY
J1gurGtFu5aNSHu1uhDHYkNMD/iZA4EI8K1FGfC9x2qhjpJ072hyhAciGNVQ+iNrTQK7NuZZqMI4
MAr/3TQGYmIlPlZNqwcHvG51W+jjZl1xzXziGW6uMkXKgOB74q6W8tfYDWTs9EaWUNmvxEyzbNy8
v4mS+aPKgMuE5C1WeVXeN07k2ZWrYYeeBcWIgxxWGCFjByh3ZFWNmiyulr16mqteqamVbN3Gb/80
QQIdVQ499GCWUb3nUXFExQMDUCS3hLdZ8SQqFr4eRriNK+U7qNajFmSRYHsowx/9pjPfMzXEXRY0
D01JwW+pie71BrhmXJr6Fubuk6iC3PO60A92LbgyKOldJVWwHBM34qkqCZDINDnjuao52lGQwNlc
iSLOWQ9ob7JgU4tt4R54MQ351oPfDyRF+4HZ3BEl90OokS1pVRwHere8Chw1+ul0KeZkJYAfQt8E
zN8zQYNol8IuFksRObaEbL8LMnC4fvcbT/Ri5ysY6KyGIe/WntyYt5oXJvvCM6N9IxMKJVLV7LI0
6Xd16l4nTnfDNKqAMjaoBdtKvy4iodlSClBv5WJojpjUtOtadR8HQQuv4fVC0muc+tQryVPSK8Rh
s8TZYpVDhgULwgwTPHgpQwH3E4ZbL8a/QE2+1jEk0CAIEB2GCP01RXRspxRxvuBCtsIMBIMuGbPh
qBDkg5VFKg5xTbof5FHPI9XhI1qm5xAnUhtPG1iMQ/LYFr55SHMCw5D3BrzDvHDDZcVdV137WlfK
UdXHMCR1bpuyay07yb2j45j9mypl0tq3wAc2VvNclp24zSQZXXsgie8VHoaQM1J3ze6fHNpKSyEU
OiE9Sdtt17ng8IZCOwxyYlGsnTkU8oTxne5F5UYNc/GKB0Jslz48w1bO30Rfg4SIt9xG6gxOCKHK
rnA8EreCwR5YVFzRgNEaq1hu/LdAdeQbt4tBxoXSIyvb2+B3YtodtQZXbakGj15TGXsRTOzGGPTv
pVy9tkMjbZXWKm+iXvJOQ4MN6GClv2N4IXalqMP7EGnaKogC7zhwh+L8rQA8U+qEGVckUt2ahcVr
HRRQr4NcwjtLanvuHqpFnKJ0qo2mOxwkWhJ+w58bJyI0bMKmMsPyGOFUhkldAB7JrQt9C7R7+F1E
fgu5mkLeGmordtQhMh9cBk4xyODfoln1d70V/aiHCJMiNFpwTZ1XF3LUtRSl0P5SOd+oKWa1cuLe
JnnRr1ve/dvY6QMi/uQJCrEyNoKPxjNN2AxSgv3bzMFxHWDTvS6l4cbzq3GaYd9hlErxUnK5WmfR
gIuXH52SANHCylT7p5ieBbYTwfQBcw7bqtfA8vlJzLbRqhnphsS8KSuz24xOrWshlbW1npfiqpfS
Bu0xznCFnHMgtkPwwMqTv8WyARJQ9izzJqu0fNWl9TM1FY+KF1Q5NgMq5FwtWvPvj+SY0rrO0qag
/qtpcX9qOHVLS442bR6CcuwlsbwPcVTdGG2KG32QvGGxqngjsA8RE0fIbQSfEdmAbu5SM2xOCtKu
JycNsk3j4eJV43U3DGb0LNQAFDYy0Bx/26vQlIakS787nS4AjBQFhHiJlOTkEB0ORXjbjYi1qN51
v6CNuSYOUEpAuXChBFSK9Z2Z4OntkKPG1K/94/oucOUgTG7JGv4OlABWUo7kN4arqrvJqss03y4T
7YVchgdKFQRGojXwmaUawk+px/eZjtvRSsgQUeJWiGO8zSQUtn3St7/CJCnWMRWpW4Fn9Q1W1OGB
gl/g9yO7zaFftpCZyq0fNXwvLMfymyYBTlgFTrK2XPNXx4UTxwmntC0x43biekxByaiwkfGyAB+X
PCVZqr+4Me7pgh9rG0dshL3X9NdC21Sntldjrk44bLHvDBK0dDdQR+95nO+gm7Ih4qjowj8jhaXm
1OeGUvTUVoQAV2mAXw9Axt67q0UXFytriH+UndRuHfJYGzMRyyshNvsr8qoAYmPkp5uSS7GBUTBu
LV5ucr5Dh4Y5rKTRvgh6xcWRzjXvGgmfNSNX1Ge1rJud1ZfmKRjGSCJdJtugC84L+7t4nZtJv+qF
4DVKdGhHveRqG8MUcLonAlyt0h7LW0f22xc9CZTvEJQDu0866nErTGmqMje/S2qvPcsFpyH2zRku
ZIJfbDWxwZxQN+utU3ZvjpMJd5kqAI9QcW8VHXWFcZl206hK8QMfwvH/1MY/rbCA/NtK4Q1c9HZD
wu6xa40bGcb7CSC2+QPMm6YBR9eaV9Isyp4zdKREKfdlFRMtDU2cHRU8JKXGd++K3HHeMDz+6fbx
CcC/j5o1iUFbpta7D0+sDWWcBPjjR1f+VuYhcryXrnZfUtC4K6f87ngQgTts1K4yQaoPpWdBwozN
LL+Bm2+u3cjxnzCQqlahZVVsZEa0G02TbIwdALWGbnA04UQeRG0k3wd+eGOEVnGKNV8+COpQHnoJ
yLqkRyCcU+OOIoXkyonyX2ToIhwHC1nelFEcFHYc6NlOL8kS9ixX+AVqcc8rsTuBkhBgZvfZ1khT
5xthT3xXAtNbSXHt/jGqJLbTvEzhKhuB7Ra6/17hQLWKpCDZ1LqX2lZr1LfsfhDTCCH1pIJqnnsg
+LgYsxKKFke+HDkG4F0BeXfY9X+6TqwhZMrhGvAo8NTcao4B6rmdVIbhOvP6P+0QR3YfjI84TZQ0
CNF+/hBIJHhh8bI2RGwcd4Vm9VDSzFKO15IZ9eI2iE10K4lbeBukzuqmTnBC50g86VWPG5IIV6sw
auGq5xWET5UMAa1rgcP+9dOQ6heS7SQ2iB8TtDh/ZFMLFpocIAMpol1VPCj1QlxnNmAlE4ZTyNAo
5L8mb0+1FcRa9As2g4205cpKogbtXWuriOFEbiWrtrTL5VKCMTgwfYrKFEmBFfinZmLSL6+oUrXS
BzvOXQzgw8fUdA7c0t/qmlyzQsVUhd+WnjxffgPPNauIFoEyhpRA3SQcE4OZbYqabHIf56eAm+WO
ep+rVhGcfZj08lbK2PFNzocrwVKWMgGzjaPGQMw2Fv1aY0DlU3wrygcd/qXO5SnHhFjPoURXmfBN
SPv0Rq6K/pTrA1aVxhBACPR/Xu75XLxZptD439bHqMen1tM4qWFswOWFdnsY5aOjWnusvEzsJa3Q
18iQKZNbMSxeYia16ZM5leRW2PP4G2yEDBt29l0RYWqpLtVrfY3T0IxBclGmjlD+IniUu04qKvw7
gea/9dkpwy3Fi6tVECyE6j/iItPJqvD70C4QN0Q3ej50ETWzxLExS+TlvQPgPvwIdyKkpfQqWkNG
P5BBxXx1hZ2NDajAbp6762Vh+AfQaPoreEyCBIN+xjNgMqpe6Bq10Wo4JauFfE0MgvBLUfnlLbcy
tkOHymSwXWmh4dSuyo2+rqGnIqdoI/nVt6z+6Cd5ewtmnzM/FpQanwXDSrTbturMl0TJ3achLesd
UD/1RXEabeWmJigUocGURQgbZUXtz0ssKazPVk4eai0/tqmkPPWJEV6lViTtYtWJ41Wbl6xrXICt
raDJ5U0lRtWblKSUZw8VW73r46WTEIkNV+DrjZd8iOOj4LgOmXbs8/ZJ2YQH1cBUL9fq4LocEv+A
vbRBbc4IjchKYjyx7t/0iWQcHO7Y700Sq78uL5e5tfp5sCf7rpJ5AXyOjsEemSg7uGEfFKuliqqZ
0CZ5VV7whGkpU0PcfT61FDUqih5mtI0r8FgCi9HsmhoV0103G2kTbpewWTNLkzAjs1hmuwfuN4nj
U9rpCb5ACbsvGrCkdQQcYRfi8qMsHFxLDU1ijYaBFYxA0Y2dOIqxMgtT45KtPkZVGy209DV6aipo
4vkP4apRs34+hB4HOPBKSqMbcdgGfrBtvXZ9eTbMdua/JvRJFjIKie6xF4GMQ3Ps/oLYsYrI7l9u
ZFy/k/VNPxRVgXJBanpa+w+OmQ2a1wZSYHEL4v9H6Hf7Lnt3EufJC8WFLs0d/GfNTT6QS1S9w49X
tIXkWyrwpgx+JhCIVTWyKV7Iw5tqwFYnfx7ix7K/MZoXaOP25R7PD+t/PZ5M/kHtipRyCxTP5VuS
XEuopWQm/+VGZk6Js36OP+LTuUd9DW9Dj2GtDLg2rUSy07pOTd1f5b31+j+0pasIx5kMypdSFEyq
m6RxGdO6Oint7yJz9sOA5bhwuNzO7JRHBoDKmswIO8d5n1jf3KFz2skraHtl/FDL/kIybiZVhrD6
vyYm14WEWG7ou6h4HBODc9BjVyUhFH/Ak4bgsQcvhyiV8HC5X7MT4lOj0yPOVIIPGSFxMTL+hr9p
cHfldbYw92dXmkGpLjKvMU87aUYGEeXqxM3sIcCIRUg52ZxV6NxX/nvWPF3u0vyn+q+tyUHSpU4n
q4Ioouo3bzpMGfKBl83lNmaHjdz+GHakCtmcbE+k8dM0xGCIMIW+kfNoJwktzxh/9//XzOTy7LdZ
0RkOzRQJ+ZnW2Jr8b9wm28vNzC7YT72Rzyd3MxAFA2OBfkyHmEd2c9OKIVjn7FFvnP1CW7Of51Nj
k10wHooyiMMGhEA0zjUtRB2EKUX8vWtreWsNVHCXhgD02h+aXe+0xZ0ZdrbLIPQQtNt7SQMHiRuJ
2EOWUSz+ZahctU8cmayrI6wKmVTJUCb3QqX4b/nQXOue2a0JlJSHvBPeZSxWVladFBsKJVMC0UpK
6qAjLDuozbZBdnkwBi8/KjUWaYWkNN8CzBUfrLa4cYbuFToRwbrmbnTds3TnGCjSURa0eyt0Ojsa
SAI0qrtJDLJclt7i6a01+VViKTD/lfy2iGXtmerhIl03WKVCjhooBZQlh8rHtAv4zZmw0iy1Og2u
kD5eHvq5qw9q4P9m7fhpPm3MrW+SZxgPIBmyLoLxrXMAxZJB1Iy3lrBauvnMTysoumP6X6G4/Lw5
FauyFO2DaLvNgwkRKBNvLUJJibBwqM22QzqX6wIvTH26NxdOPeR4+NGtqhpDAnbVnMJ6q2avl8dv
rh2NFzv3BW1UrUzOAAMi6SApNYue2mCTqzaViIe8PV1uZfaa8LmZ8Wd8+kq910qUSuci8YFiG52K
Q7L1ts4p21Sb9KAh/V3SIs7OC02Fp4Fqgx3amrSY6moU1mIjfYBdXfxhds2e2/fDqAjzrpaKhOb2
TvIC8Kw1ysYpPTnvn2/mEni5nmuQ2a/cOl1VyWiiuVAHstTKZK6beuk0pjK2Ip8wLABRP7i/Ln+p
pSYm8wGvOkX2w4F3qbZNUywy6wd3+B9wGYh2dN7A6Nt0mVfL+XBhPmMOim5QeL8jU2d7d+qGVBNp
jO0ralUbz8jDmA/ZXO7b+FfPr8YfUqFRU4fMBXj8eaui2ddJNWgNHm5wEM0nZ/Tk/dfw+u6fP/UZ
Sf/1uQeImlc1ujYKWcAUnDeQUj+c+5i6U2ZoCTjJFxZl6X0l/hKDRrvjmereiWJ0ZWVKezJy0fr7
MN9YpUbNCbUZpvaFokxtVSSIDqGhrHoT3FsvWtBcfd0szv/+ZE3pgyMmYeS2NsZdYwIwyfdUGFDW
2CbhDj/Hpcr2r4uY+i10UCwqCupH4vv5gMa+WPd4qKGveYQKvQm2+JMdxohiCELsb+NNqmyK1ohQ
UkCwUZM0aWxAXRGIpHBt6vK2gYIP22tNtvHvpsikkamsE/kCjpeN19n9VXcC83ZUdv1JXMRrfRk5
2uFWiv5bYtTQgE86E0eFWHiN29j6/Thy4+rCiu/0fyMDTG/Ck8amSJPeowi1EtH0hMrRTZxN30ir
Vkeg0b/ES0VpSz2bFiryEuuGwRt7pglHOVOeVBfMdGucggjiSNaN8ahTF8hHQTZeE5HNiyzewq1j
3Ck+7yT/dJhiUCYniHZlcvUPU6WOjThubKlexQYGN3q0XjpSprvVtI3JlV/ujaKMKX61CTCvxkUm
L2kApsv5owU0eBJ6Pwy8jcl2Jbpu0oqjFEuQEdj4+wyvWYt037B0F5/tyqeGJtt9llWE/jIuMz4P
aCM3bFX8cXlZzc5AlAUKGQgEKNOIfGA4XHIbWhCa3Haz596lGMS7QsX0GIR/Gyoaxw19D1utqVF7
PL0DImmEyJuNx7D3jH3OynEWkBQz02uUoFC+qhlE85TJeFV8LSMo087GCcvNEC5Rpk6l4uUhm/ko
CNhhjnEI6zq0iPO9VZEcTQ21obXl/l3KeBqlSzrvmfnFL0UrpMF51SnMO29BTepca3XUQRRm6eKO
giXK7k2i6xvdR8Yur71NBGMjXFw6X0q2+ULQGiQJQCh5IZhO5y0nDleXzKEkJ6X8Cs1lgetl8eCQ
JyUJ3XvyuspArLnfxPgaC0udkrXMsmsciv56iM9+xuS8TFo/ZbpSX9BRA+GiSktD+3IL0jiGk52I
KaLBUwNShzh58hU7NW4xBuor23isN6CroLgZmxhNoo0P88ZdL/JDvzbIcUKhAN8VzwRuu5OhbVIV
UHVCaVL0AedjZxppir6t7Kg3Qbq8iNv8uhq4SonsdOxUKsGqyVEWJThG5Jgg2mlyJwiU74KcsYaF
T/V1ro6FuhTQsk0pJv0675ZbDUkUOCmxWep6ig6LFvk2bKONppQLLc0cYOdNTTZ2JPh+7Q8JIrqT
8DgqF5y1dNNuwxFgsqjZmBs8MgIAxSnU5eIyWQm5mo3OVxpFwSJ1ZRAr2sYOvMPlWfh190UFDRvF
ovAe6sy05D6BpE2FGQbTnf7se+DF+WDrVrZekMGMVqsLr8mvOxfNIVYnVq+x2U4nhOXHAbUABN54
ZKngLhEkW/nCVXdu3D61oU2CYQWAYa1UfK7yqUsVT7lpvXoFdnhhE56dDOxPfCF6g8/M5PvEJblc
Cx9SHsYA043tiHAq8dgmATguX31z+UvN7BeMHUfLGLswIQBP9otwaCKD0jBivsWq5w6/He+GsCJu
MerFYXoNUWSpyTHSdr5FnTc5/vNPb/9Coqour7mwBQenX3W/gi2YXFvcdrtsAEa0lAyb+XI8LOHD
wXtEPDOdHb2o4GSbZxKOwqO39wCXF1s7EFLV9vJYzmwZEndsjKqohUf1O9mXgoRzurKsxu47SXqO
lDI81rqLwbHWUuTm912/8LycmyyfWkTKcD6SGFn3ImXVUKgBmUDoXXug4CBVDZt0i+Xq0oNo5hgF
FPRvD8G+n7dHfCuskW13NsbPG3ySN4a4yp/NO2xnd9EGQnvOFF264I/DNpkuZ41Opoube5QWGWxT
Y850RL9qu1GgsRQgmtlEOE2oZAARQRnH9PJrYN0io3GHhUCymZe4kS4Ea2a/FlULqMaIFkJCmixt
C3mtr+e0oO76j8crLokqSGoisFRLUM55eTrOdYgTDDkSFmnUGUyaox4lxmOXQCjR54Mp5fe6v7R7
zOzzoxPVv01M7jNSZYVkX7vWrrQeRX8WX1MkuFHd7j4u8RX22/p/OCvR0EhUUCKs54463kY+7R1p
p/dZj36DGY9qE3Sfc0iO0WgpthXW6sKePzuCaBXGaAMWJtNHRIKh5JAjirB14UZVsQJdGr+5HYOt
Hs87Di+OyklvylLtTAefTUJDWwT7uyKmLvy37PgLW+7cFgg7GZ01tgPEdCeXGcTWQlTkvIYyqr5W
VlpBg+jvkvjh8oxTxvU/XaoGwQWFGIMFuXiyP7AbYcGmkcVoqOWL1TfDiK6kuttBeLHF2ruTZO5s
Kd4lJ0rCuvJUDmtf9mzhRy394XFlK84YR4cBqWws42YwgscO8b0s3gxQKEP1VEqnGK9WzilZxTlU
W0jbzA2TIfJf5J0zAR+9q8u4ogjSDvwMC8z7Knrs8//hU3xqYxrv8RxVbJSetyKSAHxf/R9WbW77
tLi9/CnmujIe58hUR9eHqRo27JLeC6sYngx3/6a4QqRhp8PPy43MTF/5Q82GTg+NqDX53BkG5L6X
OVB1tMbaCF4hbp1A8dZYf1PGrAD5uNzeTKdkCUcECfYJIcDpclFhdsVOzY2/hlVVVflDhZt9EFl/
f508a2bcFj7tMU5m4UoT18BsonAV+rtsaV+ZOwm4fCuUKGDjZyjTcHcvhUOMhqIHDVJzH35odx/c
08we0xHLwOYv2ZaRifW5vXFgP/UIkQPZ9YH2/jG1k1b5Lnutv/l4Q4GjTrf1vqsX5vnM0UAZAQ9Q
cl8zMk62m9IPU+SpSock4SlI3juPp313E8Lr+ftp8akpZXILCpFjOWGu4EJInS5VwbjY5lK6xqhx
e7mhLxrzcRw/tzSZ8FT8F0UhE4cReNuIWnEztPLa9bOdSj1vXaUbIp+rqg5srawWOjlzC6LpURfL
ccQdbPIJfW9w1b6m6c5s1nrwy2lfs37XIS6rjnlym1L6udDZmdPvrMXJ4S4XVmgJSjm+RJzdKNB5
HCdpuy1WxWq4Bna0zFSebZL0HI48VFYBhT+fpyH182mPPzp1QkW8SlT5RQyiHwv9mjmk8HYloq9S
qkZ+bnLoChbKxg58FlK42v0WQcPex+XgvQxZiyav4+ZmF0NqIkuoh0OFlvW1ldT2RauypdKsjyro
yXnJW4H8E6fyDCIo96nxT/B2tzv8nW10YhLYfW+tr/8faWeyHDeSdOsnghnmYQsgB84iKWrawCSq
hHme8fT3A6urOhOJS7T0Vy9qUdb0jICHh4f78XO01O5seLEqN7lniNXdBtOu5fJntuXzvQ77hi8s
ltQUr8JfaWJXV/GxRLCkdIVP1a/eDb/G+82n2PxHlwuGTwdQLRcTYIvFE6kqwsoQIkaSmXypEJu2
tMLNfQNBSq24pUZ7nYSIb+eNqn3wW09+zGtN+yjLKiKBZtDdM8YYOx6v7k/SAHI/A0ygtsxXBE3z
5NVAaIfMjOHFRkka1a8UNq9IQMNbH576qmHQwAiHG33Uyvuyql8qRZVtVSnFXS7HT1NoyU4kGYVA
ZXCQfIcxBhETQvVNYZ5NZ6a/hBmrkIvXTDQy6M0A7pdCSOewZ37l0FhG/yz0ffq9T9P+sQxU6Tno
p+pTOFAVVsfKuDX0sLwumyrcKiuuPeJJ6uAE53FhXTbt1WEy/Jp5Y7SCxp2FdJbgTPftHpExmEHR
TP/8/hFai+0wglKqZFiNVvoiFsFFQS89IO3nAbqzhIdB/5h130UEHa1uAy+2FhHgsqaAr8C1QfH2
3EstafK9SmZlhXXN2KmW/fX+Ut7qXRceeWJgUXwrUqXz5biGfPnFlPyD4reM137UjOTRM3d5ScWA
0WUVPMTIAOXEAHQgPiR0ELzul6C96la809kD1BOF6kUK7rLmryi8lpT6MIlf3v+pa9nW6VYszk7q
9RDOFQq9T4W5G8j0wsOUIF+/xQm8dtP8146yLCrQlG6o9lKlV2FH//u9PYvEbgFnVp1WnxNt3glE
P3HxaVWjGCae4g2ELdaDd0Dj9xg9hHfaAQzSj22g+/whlx8aSAv4GYL+ZUGXfpPSJCXUjGbBczvd
p9KzyW2av6rl12yLc2Q+Ae8ZW3hVagAUSj1OSGWoDuN8Djt6M45bGgsX0xdzQmKgiYOMCX0NZpTO
j4eqJ0y8SAXojOY213pbT+luAgGrHszqOa3u4uBloKLs5VvJwVogB9gyy7KD+ObXnxu20rnuO4Y8
je80ZGNRGwlfkhvmj61rxCX3wkZKvub7JuJrXJLMuFxkP8M8RxDGfLxRt459Fd8lLUleQ6IQju77
x2wl4tDOYFf/Jo1ZNqmU0egU6CwYC261L5OsqTekAP3V+0ZWXwAnF+FbpnmSkZutnAqWAL+qOnnf
4GH82ddNZA9B8B2U0pe4jnZeFR3VxvgRI1Fp9yQlYRJsNS5XkwC2lK4NXsT/FjGlMfzUyxN+xixK
ld/rdOSGI+IqIcTwyXF0zRvhSvm5sfa1jznThMi84yCVXs6GpeGYCeZEFyy6VT5mtzrAB+5FJ2Ca
kk1nWgO8D+/vF/H3yzmM9PzX7sWhjBpPLRlizKt70fyUMPH3/srWF2ZBB4wYHCLxi8yy8JQhUDKj
cYT8wfNfJc1NhEPmb1hZ9x2dSQvIVkz5osoiDVMjeXIDbOnKPMwiD+YteiDIRoq2726G6bV0GeGt
f63NkeDEU1MoNLN0tiYySTKrq2Q36dVMOfUngJu5LzxTLmoz5ngJuIF5NpiVajvHGO/T/phDxeEb
j+9/o9WQeWJkWYARjUAu1Bwjc81ccqGMSUGHWofmgAzbRqK0dg2c2lqEZ4155Q7RlsaBSGPwP6SB
affRltetXaRELM6RCdEPD5uFX5dD1YNLgHy32VtQNSf7+M4/aFykMxlZe9w6RiteDss9WpEoy824
skXMKKs4DDR9Jn1rtV3NDLyXfwtDRoiDLUdfcT1lLl6TYs5FhOUUUw/6yqjkkqnRw3Br3TCTgKRi
79YftnvKa1Ff1+loUIRlwuJNbv3Eyz2t6LS2IjbAztNUAzPCW9i1tW3T0Shi0s6iBHtxr6hmP5py
3jrBIB9iHdAasGRfF/YZ48K/7+NMMDLZO3OTk6gvApFfhxXUHazGGJ7H4C+YhHivRwcFCjdpym4L
xvLtMTFcqYG8oNSHD+/bf5sZXKQ/Z/bn3T7ZzVwbU7h8Aoo/EQwvgaUMBympkUoNw+uhERJbHYp+
sAdP0W+KWkjurdyg4yJEqi1IXfqaeN5HufSNp67Im1uSICjH+jo7tIEofQyDynQgwzPhDlUBKvV+
zPMD9mChpZKe0IG56vo4cLVWsJyiDv4qJ0XY9bL0ZYqD5qHMO3/f5KhMdtp89AUx+iHB3XDNS6fa
yY2IEora8wooVG+fZUJtl1A27+tmaH9pgq8xn6LkN8jWKTejKR3e3zlpJfmeidUY9jEtlImXXy70
IDRQB9YxS1NKdvhteI5+Il9/MNGaZWrA+4Jey52H7uDjthjfyiHQ56FBhmxNBGeXKDaI/pgPmypg
WcY+FriRoWrcWN/KkT4zsYhVsEUWRgMVD0zZog3/iEsf4ecwTi+Cx6aWxn7EPzVYbWqzvIIl+/fL
4mfmF7HLV7tQgo+9d7RCu4pE+SYyM1dO2o3PuBL3T82oizpWx5R/F4+YsWpYSqJBeYmF5i6Kho3l
rBV2QfpQYmWMH+DWsmnZ5RA4QhADL0Os2IMFy8CMC/w5WndAJRhLi588qiJ6C61PEHb6QUM5nmn1
l5m5aOPLzjFlcebPfsrizMdqFaqwCM+IfvjsEYOydtLT3N6cZbQTp/u6YW/VWbGIRjJlSioR5zFm
KoQkqv9OXTu3+KDsZxkPKJJdM7fnkpm/39INWfuqhNM3umuULJYl2HbMqBZ5lLQ1YH5wuFomuIyN
0LmW3M3X3b9G5mvkJHQCjm+0QvAa0pPOpcFpt6Ut7FTbOGS7NNvUXlhLHugMIp6n0FYl6zLO7UVF
Xfupwh3b7f1jVz1YnwNXoMqr7tO9ynA0bKYbH25OGJeOcmpxEQL6qZSzyEhnxLP4a7iakEjuHAUS
NEDc2+iBlWsXjnA03sHBA8m4yMl1eVAKnY8mSW6DvEH/CDWTK4XD1Z8s68TQwv/hNIlBIcO6az3P
3f38IF7Nowuyi/igu8VRsHrwT5e18P4+Uqq6FyjSlJo98y7kDsR938ev/R7NVF5Phrt5qa99tpP1
LR0zyD1YzHu6LP4Xobov0z9IzM++1MITC30aKKRSM5n08r4fw5ug8amZ5i6ZyiNAX3saZEenADzK
sSMqxYb9dUeBOYSytE7BcXE1xKliFsnYUmlMWzfu0muzhyCv1Q+MeGzFyrVIQqUWqBDpOuXr+ZY8
OeTylEet1VNjmN8gAuQoFvq3g+O5aPwiUVU8gguNzd+eVSNRApWnc9B1pl0IMudmWzG21HSma/bD
zwaPq9ZQHrOMIb186zCsXPNnCeDCPYWi6FMgWTxJr/2jcZwzd+XQ36o3/0MjYyWeYGsmsKCngIrM
4sOVkqcEQVWhc3ijQ3VQU4O13zqbb1zMV/6P9w/6yrfjgcA87Fx4Aya02MQ0rs2uLOdHfgsXpeYq
BrjXeGsiauV2o2kPvhUiEupE1rzoEw8J8rwtTR0wdkRHsfZ+ZdXGRbO2jFMDiyeCJE69UYmA8NRS
nuzJt3atVz1oQ/nr/e3aWsgiLGaj709eyONU6tQ7RU/uLGbv3jexcnLP9mrhbGqXqW0TA3SCK4v2
L2rAwQDDnP/cvbxvaGstixAo+L1XTDLJed/+0HS3Kjdg/it/H1wzUzqiBmgWTPX5R9cSaIQMAcyx
1bTH3DCvPKVz31/CWn5BtqSDwwfVBFp2YSM3QaADZ+6dEbcFhs+JoYAEw59+/JsaZKvnN//BxXV/
ZnBxXgqt1fvYB3As1KU9eT/04JXnt521t6WyxQ4y/62FLaIbc7jMuqGRu4zhnq8mRo+2CwARtw2u
khw9nOGQMHqZCy/VFq3AWvV0RjcAKbWAOhNQz79XE0Zxoyj4NiPVwU7bh9eWIz/IH/+uj42faZG7
W9v59oGWa2QujbYxc8CzNti50SHOYBTVdVJ+npAfhNhsvxSF4EfuNERK7yaWVNXupOTelRYZ2cGo
zfxWlw0NFSTZmrlE26JkBqLspytvCKVp50PM7NSVEtwYVq6Tv0gFAEjPG3Xaealn2rnVxS9oR39N
pSL5KuZy6NZiJ9dONqpQiVhiAkNSaYW7QZheo9z8Mehae+XLmfDFt5Cs1KZMsxtBEA+dJKC3IHvl
Dnj9cEhFKXdME6EfuQ4bu+9N2Ukbrz+altDcjBP/3zTJ1escPSynh6cZ8oZG/JE3IvooIpMbYuFL
x8Gc6L5FyrGBWBEZFa45u5WtH8jBhbY+KEjZi3X1ohX5KNpT3rS3Vi3pPzLD+15HBvyiDR2MMGi6
rer6Slyib0mNW0OEaiZDO/9SsUbfKxqBbPTaF6WqbE3o7WS4soxPv3+m52kaMtwZ58mFcW4o0eQS
WiQyavlgvSLydR2jf23AgOyIyCdu4UpXl3VibREFB2kQzbzDmgdMvCppjx9EYe5rf39/WfOvvnD0
EzuL05WKRVpDFsxzS5ycwXJiWrLynzygTaYhKZ2CKr2Qt+wRRFd6gXs2aK7FwpnlR+JH/YPc2mXl
lgHJGPTd+z/awr+hxlRmzSWwVE6b2Orecuk4OFhGqxwkZfoEh3TuRGlRbcX8lWxMZ66azieIC+pf
i50cFXSSmceg9Fh2/o2WmN+DRDLhPBwqx5cE8D1tIt6CHr0Tuik7BqP2AILd2+jhKXNkWn7Q05+x
uAnaIu6FNKW8ZFXIQ0+wov4oWmOfWoUrC7uq06GW/lmn/l4N77WucJtOdof4kS5tINYw2HkfSg8y
8NzNG0c2hw+e9qBX114rAdIL4Y8UbTmnmtO/wIVuqxPMUP1RSq6HsHaS9kFPOnvMYkaxd54VXY31
xuW9drOe7fIiMMej2pQGWhAOA4YPxSDcNKP1YEQAbDLJ1ssUdva/Mn6LWn3re0i8pfjj7x+Yk/1d
8rXk9NL9oaS2JnmHDg22LPmhhRu+pF5+Q8A7tJslBbwnCJnzUDNOhhLmE6AwlN+K6VMYbGTXKz5y
9vcXaWmq91mnSfz9GXzwt+ikut8u9691gc7szOs8ya+nuPMmqyQ2ZyqYa5hO1B0yiMn4UMo3bbrT
vBs9eOrKrRLSSoJyZnYRqYfU9CwDiBPk8MFtWQu2XOr3g1I/GmZ0aJHYNcPy9xP9M5OLcJ1FY695
FF2hbr0Nk0Md72Xv8L7jre+mIZJGzN1VRm7Pd7MO095qB57u0EB/LGBcSQCv5R+za39TvHfl9pmr
nf+aWgSRPIt83/QoQ4hDZoeFt9NH72PmjS5SMr9/ns5MLQ60FkV6V3WsKkAVIc7clCu1Gn+XSIxH
+amVZa0YynUPRcIRl0ghjoHwtQaUNuxD9bUW040VrZ0uCvvmjNWmM7TMHX04D4PJ5OqeR2ni6xBJ
V53TpV297w9rQYIKH/Onc5HhIvEJQqmFtxHNxsJAvMBsG9iy28F938ha9m2cWlk4Nko16JtAMfyf
gnP2LN1GP+eQUe2i4l44pPvkMG3BmreWtvB05p8yKNtV+oRoySn5dW++bCxr7g0sbsmzZS0cvBiL
xMjliDH/tw6QTx29389f6Q8Gns4MLdxbhr85UotuottuHDxN3+tbwOy1K/HUxBLlArF5MXYdZEVZ
DUozLY5i970Ub6T2JQ39g5xlBy121O4Z6n1t66G08aXeYtZJhB/VUSXA0wPtJBdaWRtq3o26w0qC
era6xV3YZlHuMX3QQH6eodIK5Rd89zzMukhTt0bn57/1jle8lfFPVuOhJCrUw1xQg9VKcctDVuyA
p9bweWY74cpqN47w6tpQnp0z43mEZOEcQhipSYioATo+xaGCuTxt5XslSTaSpjf2yYt1UY2AcZCn
9MXTRZX7Cb/woZtK9tZr8jP7KnyOr4N97DA8zByj5gwv4keBwLuTv4wuMjxue3z/xK3dyeiCkc1Q
a2Mwb1GMHQ2vbv2JaJVMXJBXkv8kFdeFmtxAYG/z4NzwmtXL8tTewm38thXSESJaaqPhUbPgvYqd
MrcFJihH7bDFGjJ/qMsN/u/qFglVlfpdbFQZ8J3rmXG2O/Z75g0PW5v4dpQv7PCSAhcMmv0C+yT2
BlJuuYL37yPYm7yrkDdoca9uMtmsnmsG5mf0kwER9MIzqWEjHyzQ8jTi2joWaSB+aPw03sAdr6UZ
jID9Y2WJEpIqtQmVEv8XRyfV7+GzuZILEAumvHvf+9Zj5ImlhfvJoCxDypcorTeOeZg5jfw7/1Z+
EPczDdpm923lLTgDxWE1oqxMxWBxgaG5ja5NwneaZRLzp3TX0TRFMeYp2eRAW3W9E1OLm0xNxQFx
CO7KRPrcKKmtNc99PO2M/ls5DIeZXSMXn97fzS2TC+fo88GXU4XuqWW9ylKBakIqaIfEyMZPclV+
kcGlXPPCrO06krfYfNcckwYEjBT0dRggnkPqSYgWU6th0hyZWXOMwJAM2Q0wnA0I4zIsI2NImee/
tHKLnCdNm8BiLIUpSeoihdHawYSctvf6/i5uWVn4SJ/WTWIEM+db8tzAC4CEDmo5G3Fwy8jCO+hw
qEYTYmSQGbjxnMAsHFRZ3l/JMrYv92vhD6SfZQ2rpuj0We6ICfPqHwPR7YRvFdoHswDQ++Y21rQk
iQjQ28jitGHjlOhaGSy00yrOtbxRSVl6+WJV2iJkBH6YDIbFDGnTl07U/eXVaEcJ0tEzIJAOX6VS
dxUr2r2/tmVEXBpdXFsFagoZSHNcr7yXfdVt+peeMaVCCP+Pm7i4sSbfYAhIYHW1mNkxAmt1WVD8
2UIXzk58emEt1zMf59PjOsRm56f4nyiEz7qA+I4JfP4WiJlTW1vv/i3HmP/7ibEEmlnNTzDWmxE8
2BXqoJ0doUf4/jfaMrMID1qeTUboJRIDzPYAWoRAOBq/3rex5QeL4ND5rSCVb59nTO3SK4FS0V5R
HhTh8AeGwEma9KkoN71B5U72LCJq+/pM4TX6jxa4u3j8rMilHUobjr26af+1c6EFjWAYGdIcI8rX
VFYcb/isNX/CSc6N+89ilpPxgemLQsZsihPHveMhJRWOf+mW+/6Oba1keUTzOs/KCSPToLmNatg1
WabQqBtetnpyTtayOKBB5udKL+LMuT/scg+VSHCbuep63kOijc7/bU2LY+o19VhWAWtS++9jnTKG
9WmqzY0VrW3czNtiAvugWKYsNq4a68lqqJ87Yp04aUA7ySrsvKs3zKzF7VMzi40rvEkbkg6eomTc
h+NhrBUEPm/M+rbXPg9Dc7D6j7+/eaACIQAgi7wk99GMQc1Kg1CqgblVfOu6yAO7bcqN1+na9sHq
ZjGVD3E8ba3z6KYHQpllQSQ6afcS1TdIEcZbafKaCQiKEB/WGNu9mBkRGgOq7FGgkhBqBwZnnMDQ
b3s52fC2i2x8vhV4WMwEyNDpKEvmSp95zjCsO4SVA3GX6r5b9TU9SgZQC85RKo/3tSx9AG5yZZTJ
NyHV76x2Ex40u9viakKwAZ5nDfQ7BAGL/aT/IqkxR8wJbtvdTAhmPGl3LSynKajG8vi+j6ykSGfG
Fr5v6bWQNRE8jFKUuFrS7HRwB0nJTRU7bfVRDqvd+wbnE7tcHZBN9ELouPHkXyR+U2dMSGiisJvJ
DMdCQLpJJ7xiAT6KGV5FQ4/22uxMJzeHnIWNlZkyXUNJhwnsOZ2sjZN8AZvkz56ZWNy0RiKqEfpa
FM/o7RzQiTsMN4wmH/WH5IklbU5Or4QOBklmuggAXDPB1PmSdGQj8yRF+2juiyjHuSb4P/VFVlzv
1M4yg0Xer5CqBCWrv6djEh4XjkUlRt43Bz+whZ/v+8LKscYcDXIqLyK0SAvn86xCknIRczq6XGXv
wbSzh+Zj62utrsqgGW8hTnM5MWVVnSmLCDY62rN5kNxkHzwMj/kVbcSbbWzmqvedGFusqQjVRuQC
RgxM/qiGOSOLWySPK0dWY3Du3+Us7pEqHiFvFSpEScVvSOhCB48UJgCPuv8yqM9js9FBWl2QiYC4
BpPq5ViWj8QvUnV8pCT8Hsu3KNP+gRMwuwqYjoh7QTnPdEeQtTUSYmr70lb1LpOFGxjpNp7Oq0cW
mAtq6CYAT3OJrorlkTZYXc6urV4rbrhDDvNqOuB7+xiSuy287NpVAsSKpIJSAIikZaXF79TJQCMV
pn4XVj2nPoSPuktF4sB0419b1e711aErz5eHF/MC+pSGTRTWBqurvV1ylde2cUxcYUcz2L8buTi2
QQz/H5PoS0EgSLNnucCymBBg9GmbVu7IJB34n6N179/9HZlq0c63bqq1Y2wwEv6PwcXNEVkgdYyS
3l+awQc1CYH40/dQEoNOVayufbnLPtXUrIsdA2rVa9/2pk8rSJZ+UOL1j6M36Qe/FBF2LfOx25t1
YvXM+kzjUxR2uYJkpkcjBE6M3mEIWb+JakP/KIXWN+oUwTMsD9NjLYulo6SKdlA92M31PrGgs5zM
nSyU4Z0f9QUDVlZ158tVYkva2O+53r+jsP5jNAADIOy+y32U1M1R3sW60O3UjoaiZEyx6+m9f1Mg
FPLIM0GRbDXR22cecfK1ZvgFFZKusOPctPa8HtoPwdTDJZ8IoXwdmUPwk1Jp+4S4oLlX0klAzpra
tRwP+VPu68VLUfqCGyj+uJcQML8O0jE4Ckqs3hmt6N2KZSu7WTqgal5X0qcQpo1jKbTFY4B6+m7q
0D9XQbh2dln0L5FeIiCeNrNST63nsXpo676/rYOss0WmvdSNjGwl+Bic2plZG2oLcckSMKqBFSg5
7VHPyD5BHHMIDTRQfzsAcS3MzHwINTBJuYinaRtliGK1IJqGxAVS5oa5hcB7uRHn1iPCXCLk/p5b
5YunM9T44yCkVJ6i3Eb34iqF/jg8yJLNM8oVb7ZGd9cu13nPDBN5EhiBF2lQaox1VESYG4SHWVVP
P/TF7v2dW/k6b5/lHxOLNKhqI2Rpcxp8vUVMNV8jo39838LFpMOcaZ2uYrFpViLUSSOFE42FNr+p
fkr2zBld7QRGHFLwWdEuc7Z2buWFi8gATHnzUwMiu4XN0cqnwgrI7nTrvkbpRmBCrLE+VJSI0LHe
8L6LRva8wlNri7DWV4bEtB33q/TgQ5ts2XOGlzqN3QSO/JpzrpghyZxNFrKtVS5ySmVQfLEoRnb2
i/xLfxx3gVM66QG+YxRErxk2BFQR2Zg+yE8bH3XNNU0JBfoZtmioyxM3hGw7Ty30CZ/168CB/dB9
G976ghjm39Nbz1udj7Wk6dTk7MonjwJzihTmZRRMJtpt6BXfYrneJ3py25ahm5TIFvXixoW1tcrF
ARx0o7G8QgRuMSjPsSbc5cE3Mwg3eEXnM7Z4T+E+/93LxRnUfdViaBWMZA2qDFYL24OMrFa+yd3r
xldbu39PLS2ORV3001D7bKF611i2el3s07vkRkNLbU9Oc9gcclq1B2E6STtqdJDsn3+yDEXrFrZg
4mXl1t9rvDM+yM/6g/bL/x9oxVfD80wT/4+5+eeceIjhCWg5Bf8BlHjXMw932dv9PnuSj5aLNvzG
ds7XysWHQ6sKyC5FGgoO5/aUBJ1uiS11/CyKX8w8z58lq8++l4MlHFAPEq56SRmg6lQ7V471r54/
NdfsUr/L4LDaRVwlW2/zlZBA/j0zeKIlfNnFVWoIwXDZwQFDrZXJPhp3ffmgTz/qcktsYuU8npla
nMd0yr2SSRoOR+i397GnojCeD9UneuPZ7WhmEPEirfgatXq9kVLIl7fWPOgPOSbSPPMyFx+a63n0
+Ni9k+TDdxTB610e3pdBnbuGR09N7qLqqoyVwk6n6OfgtfEXWQqk+ybuv/YGo0VdrtGvV/XCTnrB
sP3KhwRMUOWD3xk/vUCEiVkVJOjJ2upbV5ofCr0zt2BjK1+K4Pmv8ywf6vGkSyH3BoWqAW0VoXpU
A+l6aIvPMsWxuq28DW9d+Vxn9hZnEQaiKukjXrWi5STBXkx928uSeXzemcaDnGwkFlvLW3wiMHGW
yY6Cz8yG4ZrcOJ0X1dhCWaY7oYfKnARNs36/kAlzy4xbQ7WJ6tRikSUYEUvrgEQltWQXcAh0zFO3
1kZKsxqwT6ws1jbG2tDyjmMrNUhwoaOhhSbkDGabm6nF/KcuQsyJqWVmm1D1MHiIkjyNO/+mPAhO
k9rxVXUfXXtww244yeqFB8cWpVMmiaG4Po9oRVaUyDw3yK9XsD+HTiN3TN5sNXVX9+/EyuJaHcta
azKZRSmt3cafYr9wp+nYVObh/QC9tZrFxaokErRTJte3magforFxlay+lvNpI0u4jEakfyfLmY/C
ybVjDcowtDnLSZsfWf2kbjEOr5UOT//+fLJP/n6bo8fo93yUwHgJiocweInM68HfjblT66ojhOP+
/X1bDRWMJ5G3wzyMcNa5wcgP5UJoMJj434cOypHsQaKgXJj33YBG+Ga594I0Y06gYZGDuoUJdlL2
xUUKR0AoRT076EXH9J6OcXSVfBRs6PD3lkNHCjJLwpZd50zR/y/q16tvFEhdEM2hecQzcnHM/FnI
YeyRJ59fdcLnaO+5HfFxH1/N1aXxKDO+tDX1uLbLDPEyBwYaf6ZCP9/lsBezXOxAzsltvLO80B7j
Y2tqroXuZZU4ypa67QXC622XTwwuw5Za9V0xa4rr5hctstxJuq/rL4UIK2YG6eG95StXA7St7zvT
BVzuzSyyPfN8HaIly7dYLhRUb1vMgonmdQT0MfoBM6qdEMf+RMd81t6Ag4rWD9yWC08KK30cBbro
TMrA+1w+NAIMJdWWsO7aVlLEh9AS6jX4ZJf+IgcF3YWCFCe6mnkrvCvpIBwim7H9q43dW7kAziwt
IjISWK1eJFiCW3ZPYuBELi/La3GfIdew1UpaCczgKOEcRwgIPOdy92J4NM3eg862CYudX+m3o4zn
D6VXuagrbNzVKxnCqbFlp65HymtS44JPxXR59BBzgVbpoVU/xYm+kTCuRGhMIYrFWUPZYyl7MTE/
0YAUmZHS91P8aAzHja80x4fFNX1mYHG0Con6U6Ll88aJYACBiuwbKzLcVBsD29A+a2pe7mshUPa8
9ORvVmC6uiaPbivl2lFTPWHjB63cfDP9ssaAO93HCyKgvpRbpeJt4vixdyeNHsNw463J4PP7617Z
17k6hcQi/9KpIJ+HsKrLhiavfS5y+VcdHLvNCUxpxSNhWGBybR7ApPK2CJJpq8aj6HU0fh7C73Mn
Vf9QtXueFrf6bX6Vu/1Rn+z+Rv2D7BzZubfSBp0t2uLnKxtqKWisWgU7yrR7bh38qXYz/cPYftKn
raHntTWqb3RszI7zjlzErLamMR9EvNmq+LahH+19mIaj325c6mvfiouNeg2QcKZHFllKY6lNMSZo
pVqpvAsgO4YMd4uMdy0uGrN2DtLzKr26pWqBn0b0miYZKI5c9Z/qyZMSJxh9hZeapaXKAWyn/Mnq
lfBHJen1wRwl+UmLRWkDlb661pOfMf/3k4xJNtAJl7IJVprge0HCIG801NY6J7NeGgPcwDmBmyw+
WdzCuZOryfCf0ZXpKKVXUrlv3dGdyfhb6ybqN87ampfMonBU0CEJBNd/vibfV9W6Nqhx67o7MgHU
lvsYCu0gjjccZS12oG0DFwwoWFa5MGR5jQ97OgQDqlTWNo/UQ5AVn0thCz+6uiBeGkw+Y+6C2Ifc
U0asmvpBDijRneIK7rieV2ma9G5Xqhsusboq0BiIaSA+c8EOUxmaXyFrBmGwdydGB028m7YSrJUL
jTsTMiZC1SxHPF8SJ15XtGkethkjiWn5w9NrOIpKlDs+ieJTHf/u6ApJ1ZmtpYdDz1e0iLE7XGpC
8JAqrixfvR/cV538dD2L6C5p9SSn+bxle6V1ZpoJ5b58NR7bW5liIfP+W/XC2bMWtyjRD1ZymCnR
XF62V6pU8MdWpT2Y6N1OEPKD4qUvTaxEzhiUz35eP/Rj9cPStuyueSLySuRzOD1t8oXHj1YgTZI6
51jM7hXCnT50+3q6h45g4wyvOeGJoaU8Qg5rYtxnCBKPuebZbdHXjD0b3odoqMOtHHXL1uIGKwUt
TZqA3qpsQi2XqsVBC7wffd3t3neTN3jl8qudLmqR+1il7HuZxu6Fn4aHNnDGJ16N7kwgJzCr7Y6M
/DjZp+R+2ul7iIl/exZ/PgoGdbRZGJku9tvU+smxkyd9zORKp1EufkDrHHxp58AY6cGdOWyJSq5d
LKfNzMWRCPuwVZSQidJe+hp4L5Ku/YmHnHRLZ1c9WUzQhBlIADIq5iyq7K7JjtPwByBjStZA0EiE
Te2CeG/0JaMeJDS4PQvdVsdXPwzjRm6/4nywGc5jKkBCjIs8AL7yQcwqOGM0aYSLtZD3ZMIRoPan
951v1Q6VCtUgXaYpu0hqkigPLbPQaS6XlUnvRJtsPe53yihuePmaIeSYwPNxL8EduDhNElSjRdKT
UMtB6KpoDASi7xRbX38lEDG+JqpEIhrmXCLnX1/P6jZJcsgs2mqvjiAkpoeuvKm2sCYri+FmR4CN
SW8QOxd95UFIitz0+TqN+Vck6IdGKajzGdLj+19n5bSc2Vk4cxmnejMaeIEEVxlE/Vm/8VXWOj4W
9JESyrV8lAv2j7YdahOKTt45dZQ9xknqHaI0uyuKSbzyRN+4inJ07MCLxjdBll77kO+4PirZx7xu
U9l+f7lrF+bZr1lcynGTJP6gIKdVuYM7a9slD97X5jg4s7hipsPpt2Fw9UNSoJu5hOA0WzagyE4R
PCn5kHWqx4EzeXnzVWmq16LXvQ/1LGPSdE11ncptgoDgULwGavFXkiemk8XV0zj0D8aQlTfd5Jm/
y51DVEafB8wyTzcackueiTJrzanpTKA9UTe5PHNTbtemcbJSrmzTo+j0/l6s+dqpvUXyJfV95MsF
MJOwfemMdBcbwoaFlcPJ0N1M9sc/hM/5Y5yE5iZK1DaAz8aRe//Ka1pboQGlycDdtjLjtc8KwR+i
royhEaYXwcZowzRPA7w6g2eltBweo/BZb5QIVpeDbspMKsOM8LIsB9/TKJcBTBaT+pee8OTMbLE7
8Mk2tm0lqWOgE4FEcnzIBORFTCtiSRj9jDxkpiyoD/GBmupOPm4Nw6+GAgvWVZAyKrfbslJQV/Ek
ofs286AqoBGivXbPPLcKr362G4/VVqhesUcPUobnGTlEQpApn7tDmWuZhx6J5KiFMzOdBHvlvtpZ
j6P7J8Ja83HCGsXpWZKNp/W5tSS0MmZpgbVDjt1CSTOGW4joNaeTcAWaTdRzeMGfW2hEmDmKilgS
StfpcKyhcO6qLUKBNWeQTJN4QFCA23zhDHlnlY2PnJMzdE1iJzkq6j2QqpuAmSc7FDPlIBRZ6hi9
VD8N2bDVeNoyP5fkT45wXClCXuQafETjjRBMT9KU2GaC1um9F6L1MHxpum7D/Vf8BM165Dkk6o9E
6SWWfTSVarIkIInJrXkQd4AShkPoJJ9m9LcUbcqDry3x1Nzizk36QchMGC6dzDym/TcxeYaechfA
I8To/E5RvxX68/uR9+2jLR4AZytcfFRI2/OpqSDLrneDOzyb1/8Q6DJB/qwgSe0on8CvPggfNwzP
R+w9w4vPKdRerAgyJa1ur/4q9sPxtbvO7hn5Pv4PLKXzCbswxukgmJFvXuiu59FE/XbEddtQKdxO
yYpjb8jRaHslnQjUUadnZlJJ1susa68aRRhfJbEVvlhR1bw26uBPtqdX02FjD9bCOEp4//6sxfee
xXup9s46oTtpbxxRnxNg26LJYtKTGNAP0/qdeJO9KFsBcO3CRegP+BdobN7Mi4iU9a01wQjJFYie
Yak7grE1j72aT4FYn/txOmMmy5CkIJioBAa+XFofuqmylbqwNfFXLz1V9ZdSuPeDeleaIZw+rW0E
ng3C9E9OL88kFXkr5IQuhBgqVOWUUiPugphyZ5Wk+DA8Qc+4m0WSgo2PuRaCT3OYxb0vpEJYZgHz
hWZYqb4tBMHtUFV+ZHeNpG2t7PL7kTdStOfpTM/1/5F2JcuR40ryi2jGDVyuXHJP7VJJdaHV1gRB
cANIgsTXj7PGZp5EpSmnbQ6v36G6KxIgEIjFwz1YQyVMPU+dalBB6pO/POWxGaT+TZd0e30eMaWZ
BDfX6FEvtAI/2lwu9Dv/29TCGnwK/NkSINsxYvFDvvW3dlJurrG5fb4XH02tjqcN+b5itlBdtEyP
R/XcuacBLL2JbTFnW7sSgi5f38Rr+7n8+bu1Vb2DHvYCAqXdvRhexDXFqc+HAwtCCvp3+mGhgPr4
95Nuat1h0Q/tEQGMb708sfHt6yVYi8P86ONQjgVyZtEpDTBlsTwu79agas1GwXCnhRM3i6IkkJ2J
aUTGt4WevI/GtHqST84LT9n3qwQky8f/ZBxxKLJ4VIORSH00PpZDpiaw/mC8Y07rN+tb+ewm5sZJ
Jy/Or5JgXtrORVEbuSMk7Lx1jO32UxZ0PbZzdMdbhxt7czC7iLJrLdWLZ/69odWZR1bSVCA3XTRw
xpMX8yQD7Dkq9sv7X1rx11/w4gd8t6rVqbeQzQGgHsxxNoALk6Ia4udQd6v6kxfopHJ6fNf2mgrq
ta1cnfyCYY5klMgkXD/unDzpTTsZrs2PXrpe77dxdfwL5gVd2RtzzPw56p195/7+eusuYEBw+DEC
i/wONJvAZHw8f4Sip+UVJfDFeQpQxt9We60TZLCpWy0soomKrvGIXogOPxpdnY7cUgz0PgBHCHZb
jwdpWWCZTeb8d5Ed3EJFPfvmuFFpW2noXGtiXbxwaN0iNiVgeVuLWLcu4plCS7AmnvxXf9Nsq9iN
rBmssyyFDtmVo3nJIWOGOVhgIK6HbPDj9prcCTpdoF1Rj+VtX4G4vkJdwMPMCrNfr3zKNQUbuvzo
XEElElVhZ6Ea/GiryUO3zjTKtDMFia69yY27BpE9Uo8oM26x3ZEx3Yzt5orZSxu6DFLhAi6D6GtZ
1akwyqZf2uEz8gtggGNM3vSRV//GNu/zEDLxLdnl2nkOCnTKJXWBsdPXfPili+J7Nvw4cnuUxVYu
QLWZch0PYgQkUqlOytRm296HQkcQLWqyKMDn/ArX0mWTAYpQaNSDamy13YBVDcIQ0HgqgRjEGGAg
rvm1i4cHW/o/FlaRflsWLNQNZkj8cTrUKvwm0ASSGtzIck6vfMVlg9bvEOKi/7W1eodUPRd2hbAa
Dpu8GtGwNW4AGVZJFplQpZHfro2sX3Kf/7EH7q2Ph7USw6AdD/bCheOTqvuSsE3ZjU9fr+uiGbCc
o2AB2TfMbX80k/XN3JnTAqbjic/buM54wsp/HcHi4gFHh3I8AFhQNP5opFVBAdlUvOGF+VZBzMSm
EfGv+a2Lx+2dkfUJN4eiDJ1xiv3bYE6dJur3HaD+kNi5l0VU69TdXactvRgbvV/a8qvexUZVMxTc
WcITdENRX8oPLEvCOE/dHv+HHvmRHtwHviVPvIvya+f/YhThQ1EMWRAaN+ipfLTuTU03WzldZlHb
/fRUHGZQkfMII0cQZ5LXpsKWI766Aggz0U/zMGwNjcqVr2Z1AKHNEI5sgqbQ/wyrm1eZ4C4cScuC
q0ZT3loU9VZmwBvY9sWEBnPuQ+3aLPZzbtyHTnvtObgQFX2ws3iXd5+u1Zie5APsgANfx/aMIc/a
4s9g69732scQUWi9BLzuNuBhoidqF+bGKGmxc7lZA9FFvKgccncnaeA/aPzeLc3niUbCLq+1EJbP
uN54fF6UZNCLhhNf+Z5yYrPmE6JSbbDytNAuJrMx/Cks41FXbpBSxcdrr9Zy8b+w+RfT8253uj6k
ZAbz2V8syzIF7EHWcI8a2U5swXb9tRe6kNMDg48YAMUwtAUAn/n4LYaKZgbF5DFqNvluQdryPmr/
AYIsrpK6iwAIvwZAvfB2LLMiQFhB5hhIk5XjmzgN5grcf3HZ0IeBA1YcQtms/d2X1wbUL51nxw09
zB3g/UcQ8nFtLkQbw6DA2pgThyBO5nuyqRATA7Q/xjLY+4cmMe7+fTcP3hyIIFRIcGigA/bRKmvl
DKD7crpBs+W04FW0tkF5rV5wYRcxV+Tjki74sU+AuEK1SHAFXYBcZ8xlJ76ZEo2p4yb9+oBccD0g
hlzg0CGCKEwNf1yN5c6opJY+gtL94tb7HUae0/8Df/il9eBLLWwxFjTZ1ucw6GdnMmwfokOYwdL2
fI8y5l6yPAqnnEcMvCO0wh901a5hJOIZ6iFyuFFtF88KItm+fxi4/rdX0XWQeuA7LnhKCGKR1adc
yuMjgZJGLFtNX5sms2INsNHJEbW3Byqli4DhO/oTqgyic8a46FuVsm5o7r/+CH+LP+99wvJDfLRr
Frg2osg12IzDGZJRMvyQtPoh9sO2ScXJ3ywqlmpjxVnUb8sY5Kri72jrdYmKTyO1qx+wBgejcKpo
UwCJTCIbClTOCcFKUmytrdz3qBctkmzXuqnrE7GYDMCIv6BZgcdfVwSMikjKa6w59JCYgM62F+22
bKxTD06xr/f34vLw6qH5tnA7Yfjh4ykfQ8WLITQGFMJUikpLe7LRRFJnXWyMVCb2hkFW4SoHzaco
AktcJKMWcBoUoT/BJey6D3oGLgV8VmfD35aXvQojgpmKFr2IKzf5k6tfW1sF7eFodi64mMA9c49Q
Ijj8VQM4QyDcffU2aJolzb/E+P01iMoYslkbjB1r+IQjXT3Bwcu4ZWTb1PXOLfmh4Gz39de7cFCQ
HKCf4+CK2Cjuf/x4asjw1GjsYm67EaleG/Gq/aMxXjHzKeL8u5x3dpbf8e5hdnNvVrmF6UnIzYkD
N3p2HhCSRMxtmoRxXiTQ2gZHYC7/gWuAZtKoIStL+rvOCZuo1cQHTImMO9+j+QspSb3hRYfpj2ly
r/iLdYD195di7AIBKp4hRIwff+lYjHnt5ouqB1SubwaOXkfjTJiGMEV7JPiRqVHmYKsVhvv69bdY
5wJ/LQPqjpoCULgYWPpoOdSDj/p8tZCEt6m0+cHus/3/z8Sy+HefofKsUtQl3lVvTMjoxoW6Npr5
qfS0XsXKHTBOMulYnkDKmW39PpWIONHKaZ5p0qb2Rli3LnTAv17WxevpIlsLMTFNQJKw+midAXK5
oHNEnJ1FEmzDDXvsI3J2DiQWZ+heXfN5VnjhmAAU8r9ebw1/HJrBlnPodXje1F3jy/Km6Wt+1MUy
uNv5dkLDynk0fJvvTKscWGwWs71vmABkRJdZEVOhwSg6ap4U0ttrMcznVrTdy4IAjAoDBVynafjb
UNbwoMJCidWAHLgCyOUoxYhBgbES2FZLWFFDdHnWIR599Ee6HrOwPVRehhCFk4nKYtfL0vwm1XBX
T/nwrRsKiBHmbv/mefN3Ntl1LEaDHaEbVd9RRTBpXBtwaMjzMTgmrRujAzh8po5zsMt2PAphvxaj
M0Nhq6ZO5BUmfw4HK4/03Pg3dTH/mDV+hAcO4t/KG+xoMud+h41oU6Zb0IxOBGwAjmWYTTT67YhS
fKCr58lD16vMHBVhlsweMIBo479SwRBGgayCDWd2G/kOcxN7REjFBgyBm7l1hI7PA7DWD0VeP1J7
eGgHUMIW7QMFj9y+E0X+ZLLa/cmhpEkS1MmzxAKPTeoDL/YaOsrfKNvKU4HfsxWlX0aBwZ1Tz5vi
+5AvJbdqtoODsjW9lXhvmjTHRr8SjIgfe7cabrnsSOpBGXyDemx+0CKwo9YlYAiVwbGqXBoLUe+y
nD1N2qy22nJkbDi8lAmpwu/DmNlnJpsRNBfc+Zllnt4E0FPdSIkgNQnM2k195Bk7BZmbm27g3Xdw
qIMviuT2c2YP34U//xo87zTZbga9MrsdE9pmZQdxMiuDSpUWQA9VGO3NDPvJ9mX9I6fhFLlk+tV6
0LkVeX074+w94miAbtJFUnaclVWmkxia5xmz4olXLZRerLLyGyie6x9+r4yta83FgciaPBUl5Qma
5vaQYA6iXeJJAfpISKc3p9HO57MzdfTGNCuBQEfnwRGuz4u4WQZHoKGRVqj6pvEyAZ1my4BOsqjl
HaiD6iNDdXFrCttO9TSG255aoMZwpflncp03kgFu0eXyiUwKrATZbG0mKL23kSAOdxNHO6+VaCse
KbeqE5fpk90E3RPNGpw/7g9pBgKc1GlV/q1foJBdXXgHAfktDG5lrD6boxGkmISyiwg6St4YcZeW
adtKFyOkLhN/gsZwTjKE3l4o/Aynr8g3c29xrMLuecxri7KoY9B/9qexOlqmEND+Y+Ht2Dc92+Vh
35614E7aM105OPhV89PSXvuDeyVuMN7kh0k2/AySS4FEJasphubgW49KlsF9owd2HzSY8m9MxuO5
x1OKXDX40bVmdje7RXuXQ9UdVP55ZqCL7/ZpzgVGTwsMrUR9rayj4kOR+lLXsUV5fpZVJ495WU+p
NZc/Wwva2YUPVreBB/YNz+sw4VCKrqFFsAC5QNFoP9ajdp4A8C13oJmu7ps8B0+DDMdX0qpsK5Rk
P8Fk+qgQ5UQ4ef0BlFP4cT5o9XxS1w/ct6op6rNA3g09cfZ+7rE7qZpyX0jLTelE1KtW3sgi7dp1
IsB9gC/pTbtgGk6Avt/nMvxduj1QbJZGNzuYMUAMRnke9bo6udB72U4Y0jkGhWlHhMzzHEErdXqg
0h9TP+NgWkBcdwt3VKSOavItiu/4xiSD9hfc2JEWAznlnl8bEcrhz6jUdWkY0OkmVOG8K8IBbORk
orWRiFG0PC4c+uDxcgBFOQC1XuWb58CboVgB8OBDA/pJaMy304Er0e0WNFacgfMH3gioB2DamxZJ
ttbocwVTb7OoBk1YLFqB8KOiSIaN2orHkN5n/pxv1DBa917lFBvVBMGetIHcGBbo12fT6+4H7rXb
rmirUzhOeEyIueiXlfSoVauSJg9wSY2i2ZCRsufJGIZo8oQXdR4wCWUPdYGA8SkhmS39iBnTk8Tc
ZmIEWQuFiOEPBCr8s1GYJTTr/SI1e4PvR5erTY4hg5OLvsETa6oyGu0ZY84TuCIjj3QvPQPtKwgU
TrUyn7AZZVTkzh0R459ynpt/MHvnb8SMC+TrNns0EI8eMjS2QIvRqA0qW8EtZKaz4+Tpajey8hec
lLsjrTNsCsOqn3PfD25AkkY3jHXhCGTsGP4Jh5YdleglRhWb5si15T1bMvcTMI0R1PcNtO+zGj0E
y6DTeeYzcaI2qK03DvnsmHr6h5L9tsqBySjR+IwCUmSpCp35oCS01Wrf6bdKjeZT3bHfWZ/lieG3
/UF0eKX0MPyu+oHvjErPh7IMbYGK+KSOeKKzxC+cGa9T14io1LXedYGzsCE43rEqawXNYMudMEXt
lMHODPKgRXjstT+nymiOXQ6G40wYrx4zHjq3nCIcyh+9kZ3CqfpZDZazUwhFktGjxa3yJEIg29NA
pFXOoS54bmyx3xmeaxXIXw20/5rEq925RdhZvwZ9cTBaqb17e7Q6OzIbNVSbEeg3CYEEQ0FLwMrk
7di4ZNfjOH6zpAOXOYHOUhQZWL5HERQ/AgOVbDxP8iEsKxnlvTWcC7N9M2s/PAGe4uxnDGDuTcN1
yxieAVdW5GP1u5vUU13lwfOc1SMwxrKmDyiP/6qFofYMJRZcsrK1T/k02IeGMopgYXbM2B/G18am
/gOeMkjNaVantVUUQGWIwHyBEDoesL7Mmgib623csXmggZ0dVGPlO0sWMqo9V92yGtR2M0b7Nfps
uK1Zi/F1+LyILvTlhbAfW7drDnryBa43CqaPua3qSGWIjLKZqk1VEasANXg777menXsMtdqYq2i6
H15V9sixwB52nuo5+92UNN9aORi2dFODutzPpyy2pQGmtzob+sgPrOGuM2cSsbmWj77L78By1+xd
x2gLXJzuzsKLGc10nFKpiXtjdoaVpXkp55OgHhRcxsow7pt2rA9GyNMMkqoJAgEQ8YcFESeQxpQJ
DYohNcVgvdWjYk+lWf82sqbYUbnEQWbPyMGvB+sJ5fpjodz+6GQ+6vSlCQYiVcLrmfLGnNsgcSuq
jyGfIeA1Bfh4+Ov+ybSJaqga5uChEGjPqDbXSZiHDJElYNQYjXMnflPNcDFBK3+6IgOn32zpfTDn
nMAHUhlGI5hI3gYoKkflVNCNIcWDcCW/7SbsXDkCZppIV4LVgeUSL1TBEWBEA6mdBlN3tRuHmWtH
bqe6R1Ez565s7PDOdHv3GVSR1qPrz8GjRgcGWAl8TNtp6kcA0G5nE2C8KJdl34NXQDG6L1kndl2B
wpntDnpxRN1d6OtfymPDL8Q/JZrbDu3gPEP1glvIbg1OihfTMtxDWakqwudRO90VfpyV9vfRqMOd
J9A/Bn6oOzX5OP8JbQ764RpqZXMKPUnuQsTU1ofZJWMClz/vZhBCxoQMjEb4d8lNoGwkzFOP0BFV
PfXElRreXG3s/BnPRdnC4UW0y/ItjhZNzaEyEslcjSJNS5xEFZ55tJkhj41BFuGGwgpSjTg8cWll
/wFP41TFiDenqBE94EYtBjlqz5oOVEHyN0GQonF9TL73Pb+5L4PO2I7eoiOAaut8I3x518mB3eah
X20gH54lAWd9QhrUoiLhGdWmhz/d08pz+sRw2znypD1HjtTdOZ9sH0DEYHxFSWB5FHP5WFP7OwOQ
HJfNFhDonGf8WDOEwrZfzHuLV0ZcEGgKIuZ7MvikXh1bV1Evuhxv6vhA4AeOJiK2fVeArErlysLm
OMS6Lauh2JuhEk8Bya20LkBWj7PovQJUXPzOwQS8maZK3VWVr6Mp7OvzmBXI4HDqkhEFhBiF+uCk
epcmFfftHcmQlNVNZzwXuSk3nS2tTdiPeOANkArn/byjkA6OBtZu3Gq093nmNokO6jByRGDdAcVG
8afL3A+zqHcv2oWyhAgLEyBVk4Dbif4opRGAbmIAdgRPiWpSTewKXAoVSnBmgS8VjRM4QUMDTfMB
jBGg5rptEFIknXbPZet1GyKgLutN5hAkNdYaNaiWIxeljjzrwUBllqG/ir9Wd9sClJdnt1TcjktZ
0hu77njidKI+el5nbBoij1TPPxvDD596M6fQNRHeNpw97FunffB8au9QkeHZ81i39XhrxJAlaeOQ
IswzmK0jancO2LY6xh99EUgN99B1FLF9RiBk7aA+StsyUU3mpgRfb8eCQHRJwzXdMgn+p7Kbe/Dx
l9b9qMoBdydUh2o29TnoO6NN0RGc94wiDjVCUu+pM/G0qT2xnfvuVFeNs2nwhmLLCv7ojATKdjlj
B2C32l3V1sFpchgiFVfel4Wie9n6w24O7OZ34+N8BEhcdtrzRr5Rfmg2cTsG3Vs2h+p+qpV7O+H9
T80SwtKZ0xexLImfNIqxKCxp9cKWNHcwpjBRgzpkWtxXynsFrHuGRCwU46K6CKfbyqtRH26lsYFW
rnfgJCzGaGqbCZmpyvZtlXlPJnG7o5GPKikNNN+7zsQzC/xUKhq3Sm2Xtgics7NtDB1ex4FFJEOr
MNDGD2ihMXx578nOgeSilSOjojdeuLRJil6+/WrZsgUQV/mUnMNwREJshXxCek8cgaDQLesn5rIx
FbT5B5isDLlIN+4VKVnaSQnxj7Z0EoZRlAgj0iR2BAfEuWkByMcUdULEDC6eFgR+xBUUmf+kknYY
UESeihdL4iFFmmbv65blu1x1VZwPdN6O0q1/WZKGajkX5VPFpt8h6oEH3gMgozPPT6SfoXAAlzn9
MIZ5+lbIzr1xLFEnJc3qszcbfyo++r9UzVDl6Cd+nov5G+m8OWm5l58CRU6G5954Nj0g6zW2+Dze
USkJsWCDHzCQ6qVDKczIxDsG/bvxH6sEuNCF7h454vlgdtSNCCXvBYKK7QhxFxrzSh5tm54DMaVw
VizuA/2ka6u84Z2YEqGtkygE/4ZhlnyO6dB4J5Djgodj1vf+ArvxwikDxKgpfDftautpDsLfxJRh
D83kPEtbVUP0tKTqTNtWpNbkBVsuuV0BVOyBtFcOSCPKvDoFdCjiEZX8PbfRQ3Tbotpy5fgoCXZ6
kyGVj11T39Rm+zSBYQiRXU3SkNvklgjQgs3wxPeMlXe+6HgQoe0NXbJSWC+jtJ6547/ZJXLfqrAx
ATFBtQBjewzu2vcf8TbYZ9dpCeJkcMwQHh4nZrunlpAH2Y/Oph0AI7TBBRrVgTATSMmXsfDrWwiF
Iu2yfbgmr7w38RMTNBH1NlC1sRvM6c/cBFlks+wJtSvjnoEk5QHQqHrXNdzfh51VHVoW+r9nCCVs
SjXh97DqZ9s65MWeyx8jwW3LpRQJ9Wec6m7wkSF1HcajQjMVOBrwyfZDNqKkBE338M4LyCvjXvCn
c/w7cwwRSzkbGuhHTkp6ZjrDBKc2W1k+ZJMFtqWiBxE7eGcyglvd8tx/BE67iiypWbf3/KDMHjF7
DFKcsgRztds/Wko0fqLzlp8qOOJnpUW292kAPSDGoTwSVCG58XpNHviIh56BCfPcFsNLkyFs2yp7
yMUm6FQLAKAfxmE93QhJq9jh7R+7K1vwM+FNM/g/XFWvIUKgiAhAU2dCJiSpbpGEYfMKx06iIcvf
bA0KaKR5D8NY2KiE8OpnjsZB7IdTGbXCnvAMN2ANapHPGZW8yzHVdEen0Zy245SxP2QoyRxNvl+e
s6pqb12hg9jr6AzvFf6EkEAbdYX7p5AzmKa16M8TFyIaNSAJGFQ1UjSEs3OBgn0spf5OStAZLqHc
Rnc4vV423OdG96RD48WF9keEGfHbGplSTN3C2eCMgm+LhHdGY/7RzGPxWDq7xgV8DnU2EIdQTMb7
9vidut4TRR0z6Q1NEx2CfbnyALcGN6S39TrzmeRuGFmZf9OM8/woJ/6jsDUGgjWmJ3iehQkZVOFG
hQgxiFw2qtlmTdilrjlPyBlNdGOpE0Qyc6aNAT91Q0PvWGrUUUy/2enWQYoiqXPC3IUb9dBoisO5
OaCdCUX03gwPPSSbKETQLOdXyUbMuFIHpdMaIur7GSn9MaT8W1PMDH434+WvpgjmxOhr+miNjj5M
HpJGjOipyG9y4zVoJ/5ghuWrstrqmAE/FdeVQ61YzkMBPaA6VGk+UpKCUiOIQwkJlUZRzMWHZu+4
sdnOuUB0yfNTR4R/gxx6HpIMfuIGGw9ogDn2C0rADm+0rsVjoEz3BXc7/CVcbe7sSYLsvDGqpQPR
TiiBA74cyigbB9tJkdhkzgE5TBcboa63mrb5Pz4L629FV1lbHYJprwVlyb8lNFgaF+YiGIP/gZzk
72jQu94Is3vPGPQoY9RMJ2C17Z0X/MtR8sWEFSyixwBzomO/6vAMmlvzEHYingYoKyK4Rg02DYwq
+bodsnQ7Vh1vDPFhsg6YFDTf142kqaakhWPHs60FvVVBoOC4HXXoBVzy16Y+gX6XJS1EP5CI8QB/
WsNTA6sdCNihZDwfkJn2ew66uT6yEc8uMONNdq3zssalru2tOlhdmFc5mN37uHwpbvJdeViAvj6J
soiBROx6o+fiVv5neatulgTNqkARHRHmFkX5WJ5r9JVSAqXqcoOE9uvNvNSMfbeXzgo9aTVhqFDl
kLEC3391sqCg1yLggiJO9LWhS53G94ZWMCJieLNXoRsQI/I/t3PxmNdISv69DRezqwEkb8CasMZ/
GCxHnZPaOBhsX0KXSzD/ioVLx/y9hWWV7y4sijGW53eoq6j+edDlDnQoGzJ1j1+v49JHAWU94Glo
zbqf+Pg50mxDLpAr6XXfyVjtbFL80BY78JZsvjZ16bO8N7VaEGTfOPpvoYyrpk5q0J2H1zgmLl5X
UIAhKwWxFQFg6OOeeQ3+cNJolKL4/cNO+caInbN1PyQL9hJp6tcLurR3HmCeYG0DUAPTzB+t2Tko
3cIR9EsO+ovCzhGSIDQ3Es9/+trQxQawBxYrOCMH5DdrkI/isy06A2ijEWmiPLgHtaUbYAbylFTb
ZZDZvtp0vnT8wFMAdlkwkVlwER8XF7Q0QHMSo6LoYNCozcgRjE33ZX5NSO9iRx1Cxn4IvKwJUyu3
IAzZTCpfSKy26qVp0N3OD330rX8psy2IO2ID8Lwr27n8lesX5C9ybcEhAD60eqhcSGGRdljIE3nO
4zAf7rsZVTjLNx7MSiJmFrveLOLCg/yFq5wrGPwLvXVMpmKYCWIHGMZcj7+DUbmkdga8pmgsP7ZL
lZ07ijZP4I9ZYhD6Bvj8GFUtihRfr/vSeYXlAFOggBF8wpXzCdNkBRt7OGAoYgI2xeQvEqDtd23g
9Joh++PZUSonqqhQU0P2j+kcR98NpTlEaK8i7nJodSXu+OxYQF4BWAnwjhbgyWsBaVWoPO8cDBcT
BOW7gErjOBf029eb9/mrYZD4L1UpsPKWG64eldbqs8xFbTyuh/xROgRk5uPNkPGNWyB67V20mK9p
pVwAgYHgEzP+y+rAKLDGiwaNxNRNi0gRAuax2COcPJAbsu3u5h25Ap1ZPOPHKwEOYTgXAG8dDLb+
/SnvXhvX6shoD8ijfd0DMCBxLAFH6DM0C3IZxCa10d6aSFmlyi6Wom47fv96gy+t9sNPWJ2aaqh5
zU2QdC+6a/6RJgtucd4AzbELruB/7cV7fVpuiC8KADCi4rVDNTy/ZCyjqM4w95+5F48mww3s4J+A
4tDjm0Xr8LESxYSKbwU8Zd2Q72PI2NHLg+DOhr7PiVjCfmoDM/9H2tLdN5ny0U6eCxP8Ob3c9r2n
/BSluWpMjHkgzyObvV9fb9mnjwZQEGCxUBAgDgCRa0+SKwKuv86BTJLzh/RtBHoGpGORM2+d/qT5
lqFQ8bXFTzcbFsGrgm3DS45/rB5YUzNBZFYLYDGetJOgPWl5kPq+Irr8+SgsZvCoBvBIgO6tpxr6
qhhHx4MZGygrJ8n22S7c2pjp4fG1GHjx9euTgBIE2nIE0dynp5V0NbhDc3BmO8g/p+DnrFnsoIZp
i3sbj9LX2/fJiYDTcDl1CLTAEgJSp4+O0XHnuraW7WP1ppeHXv2xMZ4LcFGOfq1xDQ534WMtkam7
cJEA7L621rN6KKuxhLXwh+qeDf8RFVXAqL5e06cNXNYEEmfYgNv4JK1RyAA4EA4rLujuq9pLIFp8
bEV3QNp0E7JrqPPPgFzXxOkAraaJZMn7dOjB+9GSxglh7zz9yrbJsAUpcYQ+Up+aCbRKUFe6MsZ0
YR893DAIL5kEg93OKhSyVECaYAQYru/2Kt/o8bdtn3rjz9f7+DkQQo753swqPqaLuJRTAqzqnb1t
cyMjloxZbO6BbY/djbkL6/jayPOnl3NlcnUeUforIN4ZQDg9XPpd3918fPl6Vcvf8OF6rSwse/vu
XXGoia0D8xUwPoBMP0HvIat3/z8Tq2huQE+E5y5M9PSZ6jAW5OhdVau9sFMgc0UN1g+QJ4EP5+M6
6oYKK8xxBkgf9lElfOTjc3jNGV2zsnoCiS+rHq8VnFF2VtPNQLZfb9VnoPLyYrxbxuootwbSi8yB
gfZXvzHjKUHfPMWswB0EVowXCwwP8sk+gi/j/K+He9yV6dXxFoJlbc4QQOne/1GUwS98tLg2/Vii
9ntlmRdO3Ydlrs61G+pZlT7OtXk/pPWe/V7I2L39dK8PKAZD42vLztfu0gUv8cHm6qQPvTt41Qhk
sOlNzxNbepj8LfdoVOXXFFs+57mrvVwd+U72PMhy7OW4Kbyo2P333FLbxcBUIWG6diyv2lvetXe3
GPMdqI+OwHYqHJllUpnhTXaTZs/T8vZaKHptI1cxhlHKsXQ1zihr2miUZ3Txic/i9tp06pVDsk4b
/CkDciiAnUxlCUQVd6FoN+V0jTz/mpmV5/Bp7QrEAx16oUBi1Oci45HrXbnYVxxHuHIc84QJXzLA
SC92lN+L4t/7WExPYMgLaVaAmHl14DIDM/FeYy0+to442wwo+HPj5etre/HDe8hNFz0DMHCtFjEO
mA+YmQsjgX2b+XczLaMsJD/nMfna0KWnFpXj/1hauUGX15h6NHFX1b33XZwAqN/Yb/SbeTu/Li+t
c3dt3uVC4PfB4Mr5MfTGmv8i7byWI0eSKPtFMIMWr0BqFsnS6gXWVdUFrTW+fk9wdqeSSFhiuvel
bazbhp4R8PDwcL9+71yAkWvbEG0NdFkmxx9dBojJNHn2HKKOorIahhsrXd9SWOQh7iYRXDKEG3HO
kJHBQrPM1YPPzjva/Xa78d1WPRz9GVXU/OEoXThH2UVm0nfAbHKaOUWwG4H+K+EWZ/eqiyONLH4v
bugswgJ46akabayAG47PEogLt7Pm/HDfNdbW8vK+EUOh6AksTmuQWGCRxcsjLZhzVRTXZqJuqxJ+
W88jfl9bWXi6NcyDbgVFjeq8BAubdjLfak9QVT435wxS+n+RwL4yt3B3xRw1oYDH1YAaqiQ9JD4N
Bv/Q9b/+/zZv4eUlI5GzkWHHVt9J0ccseIiMjeLZmhdc75z4flc3kVyV/aACeAKF9M2I3jlb3E3r
fx9JGB2iLcgwF38/bEOnj7W4Ypqz1b4VWvjJkKf+/f19utHKELkQ5PP/tSKO7dUqhqI1U1+sghka
vn/36LxXzz+bn9kbRFbd+F34uFlCFi61SMR5oMElDM8z86o3DQv+9VCrPJsaKHP0z9pJCFYPuMNR
qLqO3zZWeFNiZYVMcitM+AlW6Zex1asV2uFc8oAbGoo5YpywP3UHxir+B7aHtQMLsR0kr1T8b+me
4dvVwY7xapq690Mp01YGBpJtFSTECbnZvSsriwOrDrqaTRIJZXiWL4kJ31ZyEaPipr4X4/DS5ojr
2jOXwjsiyeydrDLd8NpFqrmRgyKzK5Rq7Xfzjtfgc/JoPGmPxjvFgzjxi3U2Pt7/aKtbeWVycXz9
lBmeNsJk2Zym7H1JcfqfSpsIx2dmVxRpCeLUQF6vynTmYVQH7qM2fqOrT0m9kQeJ///yO8FCCMsh
pToqwourCFWHTtVzg9zxLD6ReWYGGgrbrUH+NTOW4Bk0heIMp+n1MsjnCkmKYjEFKJgGpX10lo7b
TLlrH0SQZcOI8KIrvVwNuH1zUNktyTDf5t0HY5w+Un1z73/21duIXjqz9VTPYXpYfJTRmOthVg0R
Gvyjmriwb/MPD+AI89tKeci9rT732sIIr2Jd5JQw5b3eP60O7EbKAEOl4OVqhyKz9F0fvt5f16oR
E4UKTdAZQ7fw2ghPackuBQKPqo6/m8tR9zS5OmnBVqd2NZ1E/Bu3tgT0YTmfGcyypAzTXDMstY8+
20eVJ3X7oJ7LfZIeBFJA2m3t4EtbbOnpL6sivJq4x2IL4zROlcFUeG5eolP2TlTLlYt5yD5s0TWv
beO1oUXokxJ9NMBK1t5kPs3qpZ6OerPlgWu37rWNRbCTuwEEDyAwrz3QBTTgGxGKwD1j266u7wX/
HoWwjR7AjU0KsARWSMDEGUaS/rV7JKCQGQnqZS8Mqx/ItvE4q8OtltttGF9YWbycGa4rY2s2YKk7
Wj/Nd4JXO3qMkEkkXvwUV8e/YEeAts02mH8DmSDYRhZ+Xw5hZMt1AcpREIWnJ9P/HVuyO2zR0axs
4LWdF7WRqyveCgcliBxq5GYRn+Mc2K7VvLt/hLdMLJwcGGXfJF0O+cJgwrJaKr/rYItp+sa/X2/X
8tWpGUE3m0YDVrlIfuvDDLWNZvopgDYdtdP767k9tdDpQDlD85dIaxJvXztdqiIf7DMC5fn+dJll
6HiZ8ZnfJBOzIu/n7rkiXLVgZ++bvXkFLqwujnCSVmNvFEzYRVPxIwzb3LXj0gQKaB7LcDzfN7ay
n6+WuDjLZab73cwMpicpvwrpl6y9T+b3903c1qMWCxJ+c+V6sdRahi7wwLBjvPAhOvsyc/vLBAfp
dMo2g63YoFfBVtjjtpdp2SAluWwXjoZi8cplA+vdf/gm5xO4au5HJrGOW9zCIvAsjWkiqxD5OoTR
i8AUhiODVRPIaBvokqzQVJHUX6EOvWuPUnL481/s5bW5RYSyndkamVFkAKY6p2d1n+ztnV0/Dz+F
cOV0GuQNZ1w50y+Blx2lNyUvS0lq2M7aWM8yy9POia6enXoL4LG2gyK2/z8TiyXRCgvrBPApowIK
HAN23xylok32nRNlsTvNjLFNSbNRObhNo3ASQIIkANQoBP/SwimjIR71Cqth5JrvmHPa54fsWO4H
zRNKA+He3t//dOs7+cfg4hRkTKQW2oBeQ6ZKD2Ba3Xjc6ratRY7rNYnDfnXQpChigDCU2Umn28X9
xGhFCpK3Sgdw9eNGGqBvLWjxLO7TuW0ka5I9pbfMUx1O3xLNh4RXLtJuX/Sd/tWY/P4UxkMouwj7
6T+ZdxE8bxLSWdk7Y1YbgmrsvGlKJ/jR1Rr8BL0cmWepL56buTyGUqa9SczC9gIfeE3vSMPOkKjV
G2aT7UpumZ8Icc2BFxZZ+dBWc8hcim0FH6VOcPFovt78Ncih5apKlL2DWN1Asx7VnGAwWwnS+IFC
G+Tzh7iNH2KNabTJRHBcmafgQQ4m6fn+91/9OIAA6YMKcfrlYyqcs8pWa+aifGl8Lgtpl032D1gG
vs9dsJFLb5ha1sorJyvDdMrg4HpWWsrxH3KknyE+v7+g1XPL4bEQ0FB5bS8iHwDxQdZMq/PmXmtP
UF780nzno5mBrZR9ZuRp428pgt9CDcSp5VWKurNpEOAXHl458C0AK5K9BKd4EQdpDvBboOnlbeN7
1+5GUxdygC/UesvrP7aHpNUU4eDVqSj2XfS90jeuX5HdLW8P5jN4AvMIvmXiR1fJMQdmViA/K/YN
mP7ezh57A2IHHdqSKGmgrWC8Hw2AjY+3urY/ho0Fji+Th7kvU9aWGYcJRGyYPrTFp/sOsuqGVzYW
6VMdwUITm9hIJ8YF9bOp/KrbN0W/8TTYMiPSgauoF2YNaqg9ZmQGvaeWvSRY2Pn42KrqhqlVl79a
0eLSsMwgT8wQU3l28Bn7zYfvSf/WZJi73AJqbHiGsbguosRIyW0w1R9MSnLjabxIx/a49V7c2rzF
gUJ9rbRnROW8Of6rKXLGVOmXl7VbTT/uO8OWw4kfcvWVGC1l9GrEUKY3l6Ef9nohPziMZt43s/WF
FkGpDKAaDTq2rUKNIHmnTl+j+ZDkj6gYbZyg1esPhC+kohb53xL11I9zMM3dMHm5ASnI/HnQttS1
V7/NlYXFls1FOoKCIqWzo7MZXczx2Ng/rPz9/R3bWsdixzrfYTwxFsen/1RMb2tjd//vr374q0Rr
8ffbbERrQ0QBwyzCfWYFj2SUn6rM2kiNV7/8lZ1FGhkyadLEITpLSmC7jB/ufeWDCRXN6HBD/GPM
7CJ7FKf3ypuzmKnIPOAeKvPEM3fFT6c8dPqWi63VI66T1CWxl8bIbjKnmLFobR2F9KcN8cdbCypD
5zic+2P9aO3M/f0Pthp5/mzksqnGTVVIkMrIXlHUO7TlYELwv/oTSaTZy6kL81frpqZ2Ss30n0KD
X++quYjkPQVt3eafjGU3DOWG5p7Zuw/3V7eeQlydqoWfTNDJhHVKIIrP5u9sP54EWjF8QE11c0Bo
1fWvTC28BCIIIMjCFGN2RfnAPKTLvN/Gem56N2LT/hhZJnv9BIV1JBElZG3a1UPCQANzy6G2m81w
X3Tp+6pWv2gRklVz8u2+7Y3QsURZKwECFbCFcHnUziHNIWSKt2owa1sIuJT8EsgiHfHF1zJLLQ8L
CRNJ/SvL/4Kz1WBC8/4y1hz+2sbiM5nSYI+jgo3J8uB4iKSvUrtHSZSHDXznuge/yL+4pei9o6EA
jpuC8CKPkMqw/c8tlSX2oUGyhxnUMT1mCMOU3v3FrW7glSnxDa8i1ZyNla6/XPBIpci+6cUIccT/
lCAUH7xej/gRV0bUQQviwGAHob2QYbCRvnbmRitZfOhlpnxtYnEZpu0YZYEvLsPhu1ocZOeLrKNJ
2+ym7hhOX+9v2m2PYLGgxaWVxJ0Nz2c3eYF8btvHpuj2TstgMtdL1TO1HDFJBnHTKew/ytaj37wt
tqLw2uV/vd6F4zetEXdOjUZXYze67zqlOh56LYOtLW3649RpxdZ7bu00X1tcHIMhaYCNiUDix5e6
hbtG33gBbxjQF2+OgFp3AhuI7LXleKLMDlPAxgWy6iSwaYMEUYXwyuLFIZkSTEs9FmIf+fYB+Kp5
sLWnafgSWN9lfWsGYnVBwMMR+ZJVWJgWO6Zrg9/3YkH9wdA887fALYpOnK7sRuDNtVd/2uplrh5n
OueKTWsW8M7CMVs1Gcdx6hi9t3Z1+E0dn6ZY2YiHWzYWrjfJuuH3DCGifruvqNTq4b5MPt8/Yetb
92cdi62L4NU19YJ1DPoFbicdUqz7BsQfuIkXfzbKXjib2s9l6CtQIsoX/5JcouNw0A/qwybbq8hJ
buxQcqCFg9zrjfxO4fhpWdksZLqEby2gadY+/NzvDY+Z3N0WanV1UVfGFkEwCWYIOMWixNCN0Mwb
GLhRT1ulytXiKN/mv4taeJmqFP/36+ha+8u0I3uXabnF61pwshhR9EYblb8lQ3vXBvKXLHYC3o26
4ZpwUUH9yOtu4xJb9Zar37PwSDNr+1ZOCE0hRCqWBlnblszxari9srDwR1UaeW5JfEZAfX100MJy
XxgwiG/WndeeKVdbuyy8qJGfpL3wF/0x+mxeyoNQgCsY3/pkvwXis9PABAeha53rrWmg1eD4Z4lL
vQZbIbVm5J9yjJNC2wbr19C9J6935QLCxbiRYE+J/7p/ClezbcgwiFSie6stRXhibRzMsomQg6NN
TPJxQFETMSwvPoWXNt9wk01ri/ifUSKOJ70W5yN+m+2LY6U9GY/Nm+KQH1Xz3cbabnzGkSlwilYT
9AYyui6vs56iMtIoGoRXnrPP6rBLP8Krs9O/+YfiDaRd8AhdUngAtvTFbsLzwqyISFfJlh1DhULH
jpQ4THZwOjrStLe3phlvTtzCyCJDNerSipMGIxKCjpbCIOhWuvHS2X4VORcmxE+4Wkc6whkLB6U4
CdaHunC/6xfVcw4as4TmLngDITCcK3S5xBae73+61S3k/kSVjuouDd7XppEBV/RO6XqPrOoiKW3t
lrmGSJQ2nO4buvVIoAqqw8gVGD5Ab8sXvK1lNhS7/O0WQYLhSeh0C+ns4q16Cjcy5Bt3fDFl0aTj
uGm3YMgkjRIT2TsvDfdjCcmB7SPjBWo53cDX3ezewtDiFhrUbA6iygbW5sOH3Z3G8gGKpo2zfOOA
GIGfDwp1ptrZwsUnkp1SiZSeo1xbv031Q5ROGwZu7tKFgcWd0gx1XyQdBlQwj8mlPgnw2bYgyk28
F2aEQA7zl0x+LtFGeqhmfVjwVazcf2s1zYcByrPYhrTTUb4EAeROGx639nWuDS6+Tj3B5e3Ajkq3
Pc486Belr+SlB8hS3fyz7Ybc1aa7zUBw+2R6WajNYxZemVuZjymNjVGp9Ja6iuqFnjodY/0kefDX
oOmrolXN6BJxf+Mr3lxqC6uLYDjHUa/iKTBfG3udZqfcP8rkCLZ/SUeop7aOswh7r2KWMMfkNZrw
NgKPL4nTVcziHTjnyYjrD5d+BwkLuCflKfLQldq3x2CnvN34mOIKuWdvESNb+p6qL7M8oUItrs/e
4juiNXEoH6G+3rC2eubEpDDVP6ZD7cWRSHM5l8aaDqkIVtkpf5vvimMsu/Mx+AU3MJRs+y31yttU
U+wo8lHM/XGZ8s/XoRiFU8tICLze/EEIQeeHYN9JkEW62VkDrqF8C378m1X+sbgsmEGbV1p9h6oi
rKuk0dk+O6rRsfcUdnU6VV9g7twqj9zU6F4vclko653AlpkzR8fDSOpHZvaftCHuPqhMZ9deOSKN
oz6Vmhc5byGe/lqqueaq5YQ4qhbpO576KqRu8djutSivmQjJ6l3cZXMFCcX0WzX8+PM4zH87Wvse
ZtoPSe0LWtZKFtoJEbxtvZyhBWoq7lg57YOVJtNupu/4DcZnG+WlFkLhzFcYaYYoYd/00/zcwA78
OYlSuPRms5M+wn+JyoNv19/t2Q8gslNJWINx1mHOzZQzzOBCGn2AAcelnznUu2bQoTS//+HWvFNM
xjiqqQlyp0VgGws/tWtIxOGIRzlOg5qbCfCtMbMVIwJXy9gmAFHlBhyalR2MF5WPEf+7L7131G/3
F7FyHbz6+4tF5GhuJJM9tGh5puqpdjLThzWuivaqQxYi9aH/BXTl1vtpLQ15ZXZxm8ZJlju5mgra
luAUOxftoeW+Mw9y+CY5bD4ftxa5jCMJXClDKhMlvf9IoMc7fXCrRwuYHsUSXjnqTj4l8677MW91
ZlaudRhT+IRgiC2Gj0QEv4rQmZwlpdyHQucsOimn4GgcNVSY/jHsi3ETGbiyCsJB5j5dlBfMeAyl
liTSC4NP8P+ZuzCI36C78DCBhegZnd2451b98sre4q0hQUkcl5mAdJh++5V5g/ipVGFAv++dK7nD
q1UtblNFiereRrXAyyAi1i+yhuynvZE93sIB2ToOMPxViC3cYh6kSPNTtUtYysk8Cu0zyUsfsrO8
S3bBbus7rayIgRaQtTpFQZMhgNfuEPSx5AQD+bctPw5wVNtB4xl5e7i/b+LULq9ppPVkAUqh3rfU
BkYCwInGyGyZmz/ONMqK8tOUlDDVbonorhuCOwc0HiwRywJnkCTd0DQBOb4Mp+T4xTKOes+4Pny5
91e09pVeoEpifN4A5LOIGGlvZkbcQmc8Xepz/dyfWtKO7vwX8pzeFghhNXeEAczmLc3oKxOrr78S
/Z1SmyMVNt6f3V4qXEh3lV18QKTwaysxs/O/sPetnCgxeoJmJsQo+OEi8ehhscpQ/Ou92coexy5i
eGKC7u7fbCN0QKCSxKjBkhSom0Mt1DNeGePPyfuP8GL3EyHrXXYIDlut9rUwzxNDhlJNDHfiIq/3
EVp2w5wUS4T56NQ9Zl7vijEDxD6OW0F+zRNJohASAvNKtF3E2RjKscqGiB+WTu0JSQzEAhS3l1Wa
S9IG6uaWB4H06dqW+JRXMT3lER9DzQsq8w1iGqeO/FRA88Nd5EEWR8F9+iowm9FhKztducgskefz
EkWx92asy5bJYwpnoJ6koAMDIKvw0JJ0Z3un5uf7nrL2kIH0hWsLEin5Btk2Z00WRnJDwgWFbunA
+V+Ser/XuvhcMvhnRBs56ZY98X2v9jQL6okxETpcLUmiJ8EKlE6T72aZdE4gCS67TzYkUvfXuBpU
rhe58E+DG0yfGow62l6/wMW9C3eh7ykoZx+L3XQqtl7Da156bXCRidTFhGDKAHdc7jsMCD83zqfJ
YJVbGObVZwzVJKbuuWVuRd+sZvRhreaeEeRf0SndMXkf/+h+CtC5KAHqW8DstYvtOhtenL98tEPK
JzX+Mr+1i/cTqm467Ob3P9iWkcXBYxTHh76elLuQkI1phi8Ds/Bdn2yYYQIUb1tcoPD1yIL3SGb2
a4n8KKJEHbMx6bzU0iTzZEjgGKxJ/WEWpf1g2MjCyXJi/paiWfIqKdfPs2F81fM+RHekyNpDXo3+
Xldm5DHUiZ1A7JYRU1k6IQtTwOIug8VHBWVHMKtHKMiRrikbJ7rI9qAcLCtryl3UptV+6qFkSJVk
/pRo2Yg8hCSN7phFfw1pdaws5zlNC8ltqqj9O5KNJyrbmouch+0lWZX/bpQcOGobh7tJc7KDGSf5
7wFOsYuKUgQgMcS/bbeTgvGzwavrPYJe9g5V6qKC8TqRL3GTJfAb1/avImzqxJWm8YHJ8/wx6ZT8
ULclEjswyXuN78ymO0d2eo6VHL3yrmi+anWrfjTg330XyTV/pq5+xFk1vkFnaDiUgYxIXwsltTeP
c/TNt/UfxSwHD7mlo+Fhh7nyofZ98Ne0cBqX7bH0Xe7n5d8+EiCNgTRR58+wKlc8OvU4H89KUP/i
B1BYbxoNTJCsPNe59LtWisRVWsjx+z4aP2eZox+5IHzkA4rPVp//Vvs29lAVk4+xSK3dqYwCzxha
IYcTKK4/S4WnlZMNveM4okwkJbs6tqXnyU7GgxUlOYxvFpIiTZvtBqvpLm1XM8YXx4BQlMl6MDqk
6qNxDg1vhFHLrTUxs9NPxnMQBgiPTXLypkAPxqtl337ja4bk9oX22yrV+LkNsw8JqeuugsC8sUAM
Kllb95CLjer3dA5A5c4UrXfgj5ULE13K2fCV5FEOcyjIgQQEcjC6aqtIl6nsDc+YZq7fYlC/WhpK
nVYJ65YmQ9pXUlM/+L1efihr43eR1PODnUnNSbURh/LhS9hr9Pwh7rDi3TzE3wtEP0o3ijT5Yqq9
84BGiemWNtxGXtimGhoappRS55ttKL+VpNG4Hoem+zI1opFkcjdHffPcGPpblQrxm0SyE3cw05qe
z1QceO5+ZMKz+iZP+k8lSS6andC7zpRfUWqPrsSJ3INhyT29REZvXxl2cSgNE6KFzKyOTREit0Qh
Q92NYfeXXand89whMgdNC0I7dLvctNYMxlXy7reKyo2bRuPoIiL5qUu7xm3j5hNaJTpU72ninBoT
yo2HEtnTdNcoMORNfqa/8YMy9mzJTn8wVdB9ngaHKt9cWRcjLPNfRdQWp2QShO3lNIf8S63c1U5o
fxiCOPkoF/KnsUrQxTLUDnoawzzmqdF8UGDX98oB0F7kQyeq+6PzbbbA34R6XT2OTq3vkFcciDyG
Grh2zaSBm8UsNqmb0g0sFYEkC9ETBi0CQLN1pMBXb/vx7FYd/oW8fPHQoPlI73yY3nBtTCjCOPZD
qPvtyZ4mA22UBip6eVRT3yvKuv5UBla570nvjjOMhxcKysODVTbdmd/l7/x+oNmDIOWXqkqMX0oc
fpfs/Al9Tz7nyJWWFyhAlWU3eJ2d5Ae7r/+yZR2edGcsz10Thm5fDcqFC3h+RB4n/V7LiOgQIDLQ
+3F0CAMluJAG1c+t3yQIJNkERH7EL7nlg+pM43ycMqmKvWRQk4tV4Z6hI5VIYgo+N4WmVz5pvLD8
bG+GWnUec7wmGZAyt+We/2V39nmcEvD0jf9Xms8+lNIdx2OEq33XmAgkji0SDdmUxG6rO/VpZmbi
IVXzcDealeHNWYtTwsuyD/uheiymfDjYVpa/RcXuF6/hb5k/v5Vz/4hE4+z1ZW2fgzZxdo49w5hc
Gb/NqJEurYpiJ+cL8fF2qnIviFQU7sLenp4DRZqfSwuGbaHUsq+S0DhDPJLsrV430Vkolf2UhMVZ
6VL9ORo1pAKM+HvgKDAy26M9va2qoH+IzZ4WrhUbP6tgpOhR9T/s3PqdzJP/ZMz+r17JjF8MgXS+
26lh/K4k9/18/95eS0de3aeL7GCCFSVoSzLmmvJt1WT+vkejRgJurVbzN9QovskzCqRGcDDzH0gH
8FPq7iHN9b/v/xCRINy71xcJRFX4mp7P8MhJTcdwWuDGmbP1xBJruWdDJDFXmazmV3GsZI5IvYa9
sov2/Y/2oXVHaPjqI1fMVilmNVchTREtbZ7Gy7kXhSvTQHWz9+Lxi9PAGCZ9phPr6iMUpOMuKr/8
iy1UoWKQAXlCubp4p6Zxo3DoKoAsxkOncWT0jSbD6jf6Y2DJ9B4NzIdNFr6iJ9VzElnd9zy1pU//
X6tYcgjAnFs1QdTMXjCfq4TEqnh/38DL5O+NG1wtY1Hp6VLHSpGrBVFEBi46UNHe2cNnDHvn43gy
zzDzk4uH1lshwQxxCzwq/3zylNIW812qBaG9gnLDwhWrqVTNUFHYyvgiiAViKM2LnAqDJx+KQ4Cm
+Jbzi1XdrPrK4uIZZ8SqHchhIJ7Ew755/x8E2vi+OAORbN2tR7/4/bfWIJ+3of++xa02XZEPsOnC
3Sz1uygf3SAPH4qtGe/VA6b9sbIIGtbYzrpfgXIK56fA3vvWTu10xrwfRqFgV208SleeiHyzP9YW
30wll7HTmpae2v7Vx5+G4Tmqz44a7O775+opuzKz+FCJPwey7kPlZGd/V/YeiZn7f3+t9sM6bLj0
bYjnSUEXYTBAqsqnofzi/8V7weITnQmBl/+BYXB9MX9sLc6aj0pWMVs0tfvDOB20Q3fMPMfTP0Tn
fm8Wbu3+qz76q+UtbrSucrQSDWyETiEoOVJIaPdR2QPQDVoUpQdJ3g2NLm98tLWCBazG1D9NxgAp
ci0KFmFqwpugUKvuLvNB1KrRhXxrHOVdvO9OW9Wm1V29MrYoVuRxG7WqX/SM7/JoCZAI7yUt3IgY
q0YsGHfQ/bZw7YWbTGacFojlAO4seBIGb2flw31HXIsRhiID9VLpwIDceO2HhjybucFsMBjc5xx+
exLcZodwnfUvFnJlZ3ltJVJhRI6VEO2lbPyMpB1P/qyYeVzcX8/ahl3bWWxYREcSvSzmdrVuQFnh
bbQ16XfLL8bsO0RfVKFhrFcg5nu9Y+nsIFk4G4KvsycPdv9TFxOYQFpXyF8Ry0koN4UVVj4UGQUJ
BXhpSldLT8hNq5cTqoCeMX9xomeb4ka1VRdb2TyIA3jXwcVA7rIEWiV6JvkTekze0EtubdJOmv3D
/e+zcls4GksA8w2FwE3HNgYUOzFYToXdeeaPS4l1lDvPLqgLS7k7b80orRWjHUa4kdJUdMsgJr3+
WmMmyMIBEHjqd/2oHLRddLHfkmmc/XO1q1RX2We7yfX31cPw7v5K16IRptGh0GmR6Dd4c14hSFOK
zll7mDztkO/Gk/pWdx3yGnRMtqrua/5BpQ4+d7DmgqTr9UL1XrIyuwR70h/q8/zc7irgazxDD9p7
iOQ/A2l73EK3r7nLtcnFJSmVcx0APSR/kr+O+sEMtkZ9Vp2F2Q5UBKDacZbxHGqpyVG7rvMCDU6C
qH0n5T2CMPBE27tJkg5p5Bzvf7SV9MKBGe6/FhdBvcsR9tP8tvOmyDwaUf4YQ22FKLx2yTR/f9/W
um9ylontQlBnCTarEeJSlQYH0Y/tmUrcACXrOX2IwBw6RxokO+tbeLEPNFoPzscN28LvF7khvaA/
thffzirjHGQz56LZT3so+StWyTNMJN3Tl4DqxCb2a+2V+8rk4na2a2UayBYBIl6av0pmpH+OYAvK
J+Cc3nZ2v3YehMIODzyHJu+y96oXdsrwYIVzppU/ublcRYe+0hCydIL8x/3dXPMadBtEMxR2Eqh8
X5+9nv5+o6EVikRz4xZIHPYfVaYH4+4fj4dx91wbWmRyud+mFFCD2aMIcUjsfYLzKMOn+6tZ2zlD
hd2KN7NlQcv+ejVZGmhDa6Qtf9mnItt5ial6pqJt3NSr8fHazuKsSSABU1RccQIqATpY7HhXP1SM
yvL2OkhbOIY1h7+2tri2fWO2JlTZBdByou4QH1L9PNoHy+v3CogT1fi+xbW9to/wxzk6ZHwOOYn4
71eVDqn0IxW9dXry/pda+qSZu2n8x8M/JG6ED+5rLlQdAt/XNnITscZibBqvj5IPQxLv8s78aFMg
ve8SN5F+YWbh4BXV/Xpy2tGzAmnfqenB7DbKGjdHaGFh4dkzp6vXUnpXYfnOHNF2OYbKRSl+3V/H
zYWysLLIBlKHR51kN9T/plOuBdqvLEV0NU0r5aRWXcBwTEg3vrPnb/ft3rgCdhmngFsK4jgbTbPX
n0mNmHDTdPYvntW/C6X7rk3muR+73X0zK58JWTRG2wDRKAbh/bWZtij7LkQTnvJm9sEoYtcP6y/3
TdxGcaZTr22I33Dl1ao5m1DJNBS43rV09xHj+aFCJe9pl/iUPKeQj2743i3c5MWiAcm2ZgKSWEbX
qe2GFgXYlzjxW91DrfAxdV3bpU1xmdwPW++6lzPz6moU87emqkASYZA4LgnJqh6shCmg5gUatr/N
2cueQkYFLctNADDQTPDsL/rhZWoQjAP8k1sly5WzAJAePnhBs8q3XARgbWpALs3IoCZN5/YSpbD6
k9z/Ynr1/rdccxcdwS0Z6B2wOH0RoGzkZ9M0owGhm7pbt1/meqtVvLqSKwviv185i5y1UEqX5eTV
gXrWG/AYU7qbmvY8Vu3u/mJWjhgZPvmvAvc8s+eLEOU0nQqbKwChjo4yEAUFDONgHe4bWfX+ayuL
MCVDLSgFClaa/birHA+1V4QQ9+NFPZTZiU+1TUtwe0/ij9c2F6eaHkYwvZDI9Qf/mO+mv+Od9N7a
UzTcEUG2knrhXEvvv7a2ON9ThVuotGA9k85+ZkjHsZH2oSR/laXuzRxuhP2tr7ZwwcY3o7obIchz
Ok+SC69zHlvb2nCNVS8ErQZOGCJeeDVfe2EU9qZVjtR5awbFD2papU/xYDtPoHumN2igO39teInw
guUeAnMA2GojsIX/vzboqHNvhRoxst0pBzFlpqHY7prwgVNp+1RsheS1TYSSijI2Mf92aEXykWRW
ZsyJsQMxRzfFe/r20Sfkqw+BJ7vSN0k6+1urXLlMwVn9Mbs43H01lmNj0OoQJXzBot3qJ/8Mwcqz
glZK/4kaCHk9Q7w8Kza+6JbpRYSshlEf4gA8bxVMwbHLkZaTeW676O80H4ooKA5JVWeHeqiS0/1v
u7rXXESkXQRnSNhff9q8garNihiLtKcOBfDuDchpt1CtjXR1y8wizvhaPSZzDCa7LT7aw8kvHvVh
I5aJhHfppKjbMcYh5u+Zrnu9EqJKR/eVzzddhBhye9KOCmMxW2jR9ZX818wLa+vVFWAFtVErTG+h
VwlgRDNdv9xtwuNWYyTYCPiodRDecFK/XkzWhY0ykWF5Xe5MFwvY9TOUHaFrZk65m62qBFlhpw8K
ouaoENgfA3RCj05VpG8qUfDaSFnWtpZCGqqyQEkNY1mLqVE9b4aK9tl0ac/KqX5o9+Gp/ldby+iD
iDTQi98o8iYZ6tKzqpKEAPwN+uhkkMl6Athz3+df6n5LVwGVDYyZEqRO+e717mooZ1PypFmhtMfK
cGH7EVDw+UHVXNCkT9Eb+Wdt06X7XxiXxX2zsM1blCc8Giiirr/4skVdjgYlY3AR5cl0fPngj0F0
vL/AlXBCsBbEPIJ0Hv2T1+uLArNX8wzvCYcPUfSk1V8y9Syl+7oSBJOBd9/a2ooUwIBMUanAmZfe
EUllQvonQA69djY6J9tP8uYMycqxA5GFY/D+lJkuXSyJy1tt09Qcva4Lj9mkVLsAYatdVeobYWRt
764MLUdm6zIPIt5PFHSNH2XF1LijfAaBdWhb+6DU5qe5UDZoQ9YOO711lf0DsWNT1n39uWqCMOXW
FjBlsI/UiyDcY3Z8lzRfx32x287A1vaSAh2ur4qtXD5AVDuXGgdOJk8LvzfpvrI+S+bGLm6ZWMT7
uBrnQXeY+GlazdWN8EEW4LDe2ti6VTPoOgqKbArSy5dFw0mu056JEfV7IJdunT718f6+d5sr5xVV
TBAXsCxT/15ckFXC9Jmj2IMHT93b0vpbp580lMabOd/KP1YX8x+6YyKEqYpzdnWzxJ0up7lNyQAW
c+R7/XBfy3AlSJb8mAKGbuvuBA/Sp1xDhkWJz44U7Vs53qOM6jZOfbSdLSGvtYMNjADiBNPW4Ude
LF2Vo1qCHX58UXyEyHaQf9zf21uKcyioCITCCTUV6PIiEJtGkVgAL6naBkBKm/NQv5eUfR8Vl0Y7
2+pDUhbPkxxvOOfqgePlzdChSQ2DYb7XOy2FVmNHEwsTCWYOZqcJLunDdGAI6CDF+3JrAG7Nhxgk
JxLTzNBu6hjMniaVnVJ59KXwAc7uRuhcV8cQLL6XaMnWrq5c19C5oobLXY1g+fJ8h+3YTl0001r7
AOHlU3kId6rk5s/5LtgHx+Fr/DTvVbd/9H3POG9JJax58bXxxcmvs9Qvso4eWKr9tsPuiy8Hfw/B
Rjq5tcLFE1KJk1ECmiym58XQrlAMqs7/QrpFuCeL0UWvDXk/sdarE6moaYlIVcGUyRxOIKLDNN07
VjR96zKHoYiiyb2yt5SPhQnG5v+QdmXLcePK8osYwX155dabpNYu2S8MW7ZJcAN3Evz6m9CcM+5G
8zbHc94mRhGuBlEoFKqyMmu7LJ+vn4/FA3hin/vViX0ACY3KpBPkBvLkHkqcthvR/uW6jeXDcGJE
OAxKHqcKqB47DMTNofE5EJd1Pm9llMG4XdV7X/SPE3P8/j1ZE3CLXRe3I546elhb95WyBzv29SWt
mRByBaPSQNFtwERmvvfxbtQ/kmllZ5ZSSH5zQndaBwmrKeJdrBg5VsEVaf6C/eV+I7vkQQdAbjtv
psYF4sqXdubsNqjH766vb3nLTowLZ0y1khZ6heiVMLadp5+S/dRbIG+uNJc2D2XlZ+lLXiXB+NxK
a+iopWri2cLFo5ejeKO1WLj6YH1kj/mX5h6q5dqhQMaihuRDv9FeO4z0QA7oH8mLLp6Jk7Xzv5/4
Dxrsc5I7aPRZT5NvenmIKpyEakTvyz4eSIbHtmt8LUtVsrM1C3GAVProKCXWzOeXh6d4n/xy0P7G
zD7XdLB+tMnKDbV4YZwsUjj4jVKiKpdhcEjCdHySZTtb0sN+iI72uCZiuFSOPluccP7tXB1y1f7s
nEab7KBsJxcKGQeuUtVskhoVwLV68GL0PlmdEAJKUISUPfI2MBcNN2WY3TZBebcevf+flWH0Fm1a
9NvFp1bSRXmutkBHj5YXvah71NqhV9GOLubbnFsVmMj1Nu2iUcxbovOCTJ5PgZ/7p4W8TUlVnM34
dYD8LQYVXsCkcEzvPudIAadZG7tc8pVTg8LXpGMMnISNkmNeHmUHIyB2eYO0sYrSldrm0sk7NSSE
VUzr9WjzoN89zZk3KjeO9HY9rl03YIlT7fOgKn0Rz6hFJZ6s1JhYou51C5cwRc55iscC2JAAesJY
7PnuQLDHVNtExeD8zt7on/S7dJdiqHgd4PT57hVf+ihjoM6AMibqUYInSFrWoW8FOD8XQkYjXfeq
G+NpuAGRii955SHbR75x24NzDURTUMr9ZbvFPd7sgbGGO1kMYNAQAjUOhgS1C/AAFGlKpZdwxtnG
3MQHSJwE82O8632uYNsenJX0bGkjT80J91PWqW2j8juiHx9lcGEqGJ9Y2cglrz81IVxDslrEls5X
1AbFnbnhiGs+zsm+cMwH53fQD/FqI2v1OwqXT6HaEKPhsZIjXFgFfLW8048M3I7NRlUCabfWvFtb
pnDztMTIlbZHclYwQjF0pybIM+eXfEJSWGV/zFrJT8eJmwjXTl6YjSw1SJzMDPPoFlSSlA5VcOZj
1qaUFU8i0qEx/0dnEY7JLOll1esIKyXADIPqk0nxrzvLUkkH+pG8lMrPo3gPaKWW5dD2AyZUbd2x
eu3iH1X82E63cgSlC2Jsrptb8n60qyHdxTsYF5xbkqLVRV4BsqnmvxL6ganK6//+Yvp3akDYprTJ
zHSYYaDxJ1/xcz/y9V0foka1icM19qC11QjbY/dxNtufyOfCwjSl9GAU0lqPbilhP12QcIVNfQL0
24QFmexdgjaRlgLRsDaps3SUTo0I11ddtxjPS2Gk7DVfrtoblT5hiu9Za/9cJgvn6MSU2CNIVArl
Ku4BytNfrFLDVnlsfWsfe9WfUyF8GsPjFDBXlBFFKoRWpaZk2TCm6U1ztGYavzWdU94oBRA6qlNN
K6P7/4/7/TYoBMFZiWKt6AGThKAauoHlEXTKAYf4gSsRFCfBv/L23+aEEOiYKaS1B5xe+gtFouY/
zAtSuv1L6nGtU7Xs77/NCYdrLFE9r1vgTm09xPyvp41r5JYqv5vExAAlw793TDhSnV1iqh1M0QDS
4sXtO096A8KR1ktCdZeEaMLjYZFvNU+/N4IcHJRFmN+u4se4kWs/QjhzfSFlpOf4Wn3TQ5N2O28H
N9pivJwTRDYuFK50l4IUJ/fylfi1lP6DakWGrK8FXgsRwqybxVAm/PWafnIkddt5n4CPdY2teDGo
AM7LFVKgxPepbnH6UGQdQSUOfficuCjaeHI+u05vrwT7xXwf3Zy/zYj+AllLRXJgZsTcyS4LJHPv
eH+9LlI7wIH/B1jQxTzk1KjgQSMkJGgSwWj2yh/ByHxKt9naaFSDq8bH3PVahFYXoyf0pdGM5JyY
IuYglXH36wRRhgNFPu+cXSm7/NxDP/nY8nE3b74DEyFa5VC+/ipD92yDTj0SX+/fhYSTHyN8czNm
UxWBLxkHqNrpQbz/qH264996Hby0WKOGn/y9cuFbl3k3933L46sre9MN573WNslWXxWKXjyRJ4aE
E6k7idqBDgWVDWsnjaM7R/dy9GxaQaasgOsXLXGAJbiHNDAFCEsytF4Hn0yEV1BmaZ3rgEj4XR6z
eJO2gMN5jVnnPzpjXGsULp5I4N44ellH61V4fIF7YTTSAgskieqqculqDfGU6sf1C2MhgKOxqzio
2sKUIWZ7A8hhqanwxTkv7XSXVdvr//7S/QcDaK8aFgDtwNafvyHtXkLuV9n8EYD77yMNsw0X+ATO
10eut0bxvvDRYM0GDEyB0B1269yaqRIzHnQOkQZ8ycm8iHzNSmklJC85+ZkVITmaHOpMjWz99bAZ
X7hCdLZLtvRpjSZ4IfifGhJTo5KajNQOpo3iu25H9hBODMAQdViLVytfTezaoSQU9xV4Iby4DNT8
HjzLBrCHK46wcI+frUV45hYGeNo17gjQbgTgu9/kR7KZvMplu/xhdNfegsuO/bcnfF4KJxeaWUC+
k5QwN1MDtCb1Heb9/51v/7bBf8OJDbyoVTtLYWPCXCWXJyIb++a/lIntGj/SJ4BXSELOviDfxhNz
ud6MrCuG1utjp/lpSXV5NEhTvFYW0stKiqUbQH1ad4LC5gdGm1vP0VoiB4x1w3NWWDdylBXboQAQ
gIKXegLlKKiy8mwcvjilVeYu/lJ6rOv6bzGmiTQvLkryPhCWYjRLj1SMi/ZGEdYSTTtXIeZ9L5H2
DtQwtd+nNpihHB2yrHKbAXGQfmFKGbnzQEDhp8jsa1s1lauoDRjKY8ec6EadGMRBu0G+abL41bBU
djTlSXtkVdS7ce2AlmN2hvescL5QOZOCdFQwvp/XLwxz/D4bWmsLcqPWk9V+l0Wx7A9V3wXKmGYe
aQ3D0/KGPgOVzb4CtIwJrFZCnVYCF6o6dlDwqZisHQjC677UB+q3UkM9pqnlt3rWqKco0PxUjJS6
Y6q3h6bRvsxzXmwTMmYg17UVzS+GCER+kt3RnaYNRerbLUScvLy1nH0t5bpr25S8DKC029YVOaSy
gRnOeh7j2wG0Mcxt0jl/pV3dQxIV01vqnx83BbTH6NjiZY36qin4ZmvkaaZUmMGl6PMr+hSWEVBY
cJ4mBRTS6X/kQAa7USF9h76HK9fZfu6A31ant+vn/uIcgj0SsO2/6duFiJyqpJdKB2LwINFpn+qs
Ur3eKNeO4kUEgxVeoOQzOIBpiA2mNE6UwTSBBlAb2niKXdaeVBXGrovkKri+oMvoL9gSAtmILn9d
amjDT2G3KwCdgyoDalry4Y9zcjDnAs+MuU/wWOP9I5z3LGm6VrNrCNfJoQP9mJlw8NX11SxsD4ak
gIRwTI1zIQnJTZH1A9YCHGBCfBu7BHJM/7qFywyALwMZPwheUeYHLcZ52IqdVtGIBiqZSg+iDfrr
oRUQ4o7vcsjrt2uX2bI92LQtDr4Dlfu5PXUe2ayWGM1uAwitBaB3853HNmx35d7are3R5wc6C8qw
BEwc6IexU/iI/No7CcpVD7iCPYyjB2XbMLkHEnaD54UTsKMNjkU8aRqvhPhVEL+uJQdLW4eOKui/
IRTCWw3nlsH3phSNDDKEqNjIMSg/47XhC342L9b224Il5G6TYmdSXydI5q3HfLwn5S/ZCYYaYaLY
TrW04ooXeTb/kifWhIR3HruOyVUje7HtFdPo11HtRfZHVYVGmoXXnXIhXpzZEs6w1RiQOG0l+J+e
/4BIlw167oh4Dsj+V9z/092ufUTRQXBF521hy55T4kkEzs1t/WvAo5B9rb04yPAObP3ZA1X4ForZ
4IJzIxeVydUJ8qWwdbZk4ViMGGxpEhPRZAIJg1qCtgkD2MYHrushfWJ97YOg0C1WSVX5ronLB6Ev
JpMN7C/Ywc69NKejVjS89a+iG5wFylvhdS4FsjLIQm11qnBpXz+r1piehS+Jt146m9QBNvAvCQ/T
K8O+dkfdlQJMLIVgd6y2sf/wet2Xlr6sBjJcTPkB+QZEpxBDWQkcvN2A3aCRSkwwEuWJkYy6kP86
QjNiK+vafS2N94pqP6P2Me1WzF8k1iDjBzoRCEUDFA14aJ1/4aSvWVd1gPXpXwdfDlqv3kyH7JZ7
VfFlHdK9EHaQhWI2ir8ZQV4iHFMtt5IMarpIIvJKvifxrG/spJbWqF4WdvIz2eUD9Jz8QohuGqmi
1jTqyWsIp05z1frWkdYS+OW12LgpPo2IAU6lStX0FNA2+aEPxm+4YLluKwdIRLnXD/+IHOWyHMX3
C2/U/xoVPmDn6FLqcMZ1TgPEJ1+je5ASeHxApABH2ioH1mUbVzAoBDutUYoxByGgp7XTnmqxV+Qw
U5gYxqrSWyT2kKYrXtKM3iX2e9XaK3F98SMD+AtVUI4iFEvuet6lfW8hNyN1utPU9IYUaz2rNRP8
7yeXsBNhWKKLCZzFNBwQxrEnSDasMuIuXFDIZNGdRjbmgGNGOGhWROsh/RwN1Gfms7KSH7MS3f0S
s6vPNHHym4plCOEj0G+gm0e2lhY/EmLFL508f2FjbW/tPLb3zIDGep3UOgWbZ0wfrseDi9qjA6g8
n4VAKMKAjhiNklltezKi2lm0j1J9hA6lS/IHa3i8buYyN0DMA1oWiFeOwv4kSjn55H3aI/miaDSA
1HKnO5k/y8Vh5IF9SKCcW3tElb5dN7mkQnW2AUIls5iIUXTyJ3HvBLQIHrMhR420Ht1gDkd94lJ+
xbE/oq75sgbDWYpHlqPj2II2gXNcCy5Wy0jyNIyRlQmQB9o+z6uwI9nKWbncPBl0+3yWG8I1nELu
3Mo4zDgkKaZd9XJjNLcm2inU/FZNK/JTS+fl1IzwIY3EsMaUAuvT9ypIicNuLILre7X0uTBzx4Vi
kNJd8OQkpto4I3+QkeGlLEI9K1w2vf5PNkRWIeizJF2mOBgfHNPAqsv3aiKBOff/oxkhXsd9Z3XZ
iOtdZ6qfEmefMuJB7du/vppLAXF8K9RHMfH7WSg1hERRnfBSt8Bf60W37yOoezknwpF4bzd246sA
3azDrxY3yQHoGYRCpo2wce5tSVrpKathsaNqEDUfPeYVk3YlP1l06RMjwu1T4XGrTgoGXpx6CjNN
DiaqvEqFVWzTHloc1z/iJbMgoGQcOo5hexDv6Jrg2cwaaoVSXK51MLzz8SvQUQ9bjIfsMVLBKeg5
hgdn60vmGm4B/Lqbb9ZKj5ddLv4jbPCOAEGEAS1RroDUbKZ9Dyp6syv2qar4kj3uLVu5R0oIshWz
f2gd6b6p0PFBwFQxr6yOmgc015FNa5PRS89hHcPzDrwKdPW6OHBUQCghUjo0EP+SpaIbRdsBCxvC
l/f5z3i1PML3U0j4z+yJO0A0zIppwKVxe5ziM/HtZ23D+8/gi327vt8LgezMmBCVcecntCSAfmp5
9MDScC7XqJUW3PfMglC/mhVMRcgGllPrD/L0rFrfWwW86mvkkAtH8cyMkO6qgzLrlQIzEbDJrd6F
tE4+JNt4uf69Lm9tEIaAUMmE/C3eC5qwGkkbE9khgGSZoA+zbPtrnsi7fmgOLWF3NWh8SbqWyC99
wFOTwsqQRkVyzfW0+MxsWTlhP0W+OXZPc7/6/OMFCcH3DFRiABbArQPyGjGgTQw83iZKc8y0Ub5G
czDGBGgfGZ5qj69dRL6MEuhRFPpE7HQFmbWwg2e2hTjXFikYTBLYLuvdUGBUBVyi8Y/r27fg7gZy
LmycIoM7UsxAy8EG54sEyBlJ36P+dpLXspylaAH1SwilonLsoB8orGIGvXNaRoBhRrfkUfPrTeZB
w+5X7GX+v7p/0FaFc2CsFLVqMU5WTAe7d6YiNDUhTR6sJNSG79e/2NKtCnkVvLeQDqNCLNbnIlUC
DwXD8EtyM7/H2xLMU+hA3hhfLYSkdB+H7XZ14mDhRX5mk2/jSW48TW0EnhZ99uSeBsmUBy156sYf
WnUXjUfNuRm0B22EcB4NCySUveRfX/PCOwXmwejB+ecw4S2cOPAOlWkEHjPowXWHKUJhNx33TWOG
UdpObpv9uRo9+gtgMYXHoPgOkmXB4GTMQ6YnkFRSSsPYNnPd+5MWRdvry1pwfjQzeDMB2QQGjIT8
KJayRM0ouKNp+7MAUX5jrEC2l+5tEy8aUHnBT3CDC+GjpbY+DQl0XQr3ndNT1wAZWSgd84d5/ETX
oGFLCzo1J5w19OYg2uRAFoRTKMQc8jyAghjkrJOHUdbK7TBEtY7K5YsQYuTZIoXPaEQaGNFMWP0c
zzjGKHdETz3mwcbDajRZWyH/+8lBGKAFYCQSHmwqSlMTSCJAVdWBSAeYrdxNoVL5D+qcC3EY68O0
ES5mlBt1wRkxKhixBDN9Hn+r2ZtyZ4V8kEFV3B6cDRgbhv4nn7VZu8GX1/q3XUMolltZbUQTdx6M
owStDHiDvHLD8F9+uXO/LQju2dRaDF0BrKyOvbj7nkQ0MO17dXxrhzsnNoJZDq+fuIWr+/RTGoKD
0rRnkWli+5g0HUGYfRfT9qbNyo1mshVTi3H6ZNvE10+VSYMCTQ2GPsrgW4lfgQApSEKespemW0cg
Xqqf1qdrli48lHT4fAPoucDhJ7iLZNcsNRim//Nd8ww21zDeaAZAfRwVD96WL3/+RfG4txzMSH7q
qJ4fCGBkWE0UkDbIcQ358SI/NEkNtIoOIERWrfjLUuHPPLEmYm/KPCczeq2Qzp6mA7hatkquHZMa
dMyGPPm6DoI/S/aZ4nxJ9STzBlauLHfpTJz+AMFjNWWWKZi9MC0pJ54igfx5JZ9dOux476H6jjQC
M9Hcg08CTAMJoMaxAJJyCimQ9aeqjcMpC65v2qKP6BAMNFH50dFg5r/ixIo6tqC6iT45yDjXjeLO
EEvmoxNawA5rE0qL1mwut4gOhgwqK8EjrYjhnMTwSDn3+dhNApwM6AAMdJk77x8ogC5lKyf2RBbB
jMx6XCfolya7ORx289belQfnFlzhYEY079o/ZSFAsnBqTvAJuxzJaPE7wRkOUn6rq8SVoh/Xd2zJ
71CoA64Nzxw0Z4VnTgm8jznywGXQ27z6UpPCu25geZMwsgAOHTABgU/h3CUi0ppxlxiz170PvhEq
Wy0GFhgZn28e1u+WpRYTdDGh8sx7vZekcEqpmUjbAPRPd0ZobTniTNsAOrPKKrOQO3LGNhXJI0a/
MJJ3vq7K0NuR1ujuKBC/dSHk9CKb0o2cWWHeQcKqWasOLXVDQH4LQgOuY41ZM8HgoJHCiOJx8sxb
hu6oE8YPUgB9cHDfBThe23KtzbzgG2cGhZJByjqFFCoqk+nMm7DDsFb6XDTAy+ImmBrkixpuMoCg
uR470GUS+7ad1fsR7asV91uIe6jX/bYhfLU5HSIFbWXEiAeusthuCB8AvLcwh875TJ3SM6mv32nP
K3b5vyukIGD1ABkzjGN6QuSCqAtnHEHcyoXjszv6CDSzX86+7UMNjluWt3Pp1W9QzFoJwQt1izO7
woEmNehR8hl2SVtMW0ghPTam9oy71AEEK4nuTYcV+3Ec1/Ckl+tVFNDMgNcDMFwbjLjnx2Gau5oO
IGbw5KKirtNVblSOu1ItjmnZrWwqj+vn35bjZHkn14Co3gW5mEyZTYxeA5cOOLz7TbZpAmvfbKzd
yh5ePgDQogY7nQM8MwdMCQ+ASZLLhlHcmfzZkXwBZm9DkBUrr+p27fNdbhvuZIz9c+49Xq8Qtk1l
NUMPDAkIq+PArl5K+QYi6UR66YEL7PP36yu73Cx0F1FGVRBN+LyIsLDWHCC5m0F3uYtoeicNeuHP
s04fJk2yHhx7rPS1W+DyGPLGv2FyRntIuIpqABVE7qyack34p/hR3kQbTvdngHwPp8EMjdyl4T94
wV0GGPSPHfglMh8Zd5zw0gCrfCoZNsYcQV/aBmpl56GO/+EzHQp5oE3SAy2FxsY0D3lAR1Y9jFJD
fAWc30GWlszNIobpyM4ES+D1DVi4FbEDNqh/AIlSIdMrHBe1yJIh5srXU8gCTFqEmfSIXgkCebVp
cdevodcuv/+5PcG/uPCYkWoT6nxRvcV4YukYPjCpK6vifiMczE9qb5TQEXEvFI8jMzZJLaEmNoGC
c7ydkCKVhwmK9l7lqn61kfXNdYsLy4JBXMHorEK+QKyL5Vk+OlKbwa0Ul0EGzHyJ+3/x6U5tiE4E
UgjFIDZsMIgcmhvZelVXNWT5dl9+uL/X4QipXpayETIw7eTVHW4m48mQv0Sgdm4ftVXQ32XlVwUG
D41TvOBA0yWm6LXsoHVSYDmpIj3KZPaHRApsUNnrGYTgaisY7H6XF/kbcMQrj5yFFAa2kcAArPm5
Y0LcGaZJnixUpLjwzEf9DWxU6HkQr24DPQQFji+F191j8bOCSAW84qjVXihHtzMpk862MSpkRh6o
SyBI+M2oDwb7kq42pBciuIXJl79tCSdsQDWCjoWD0QDmOumzlbd+y8CDrJZ+OgUt2H6ur22hBoeA
qgIogisX2thiBxx0rTPpWxA0GE3QUJcFMIQEo8l98MRMwFPyMal/E7jOrPKr5eSFNw0ZAOANJ1O4
5U+ueG95895GzSHzuQTZ9TUufVMgzw1UaPE+uYgn9tw1KvSj0bSyvg36rpZvu8yzZs0dxzuqba8b
W4olwE8BCoIaOD8b5ytzSDS289A0XpXaW5JIr3hdBj3pH66bWfJJpBQo0AJLzMmzz830UaZJ6TSg
6zd2G7P+iKsXhrWUshH0abUSHxdP3Kk1YbvQJ2Nql0yjlzquzXacjxLybQGb7uynKdAB8lsdX1kK
MCimAIUNijC0KvgHOPWQDLBDqlEu185R39QDqwdQ3/phNT9b/JSA12HSjNOHik2eAtyidSFj1pT8
il/tz6WBKUnZoqr4Id2qH81dCgkZ/S5+u76FC1BmFUUpvGbRNVholWhJ11u1g7Emrm00+6U/oDkN
qojaG946t3SLJGB+4ScBxhWvm77MaAAVgYPirQ4M/8WFlxGnJ46EKTS7DuU89ks0Qa9bWEpNbOBQ
gFRC3ovXi+Cgtd1BXclBdm0cIWrqK9vhkHkGSG+H23/gLQspA2YgeQ8NM2hojAje0uWjTWmCHJsP
gHIkh/JGfkrIGCTMfTNANP+8lwCdCUBQIXCL4oquCcuL1S4jUQyDhXvgqHfFTX0IAgf6p6IG8c3H
le+5sGVnBoUjOPbgz20spHqN/xcGq9DdgvcKwQQ7bTJ/3K5xK1xGMnzLT9QkekAgmRS+aT2wvNNx
jXut/WQqh5Te2/Yf36xIt4Bl47S6Duoggomyq5tI6sC9PzXdO/hDXD7jU9laKBMklo6zUgq7/Ibn
5oTYjKe0xiCsgYmxwfJylbqDtmJhwe3xCEDvE01WEH5eYBYNzDmlFbQmoFUOMhsDrRCU1rWj83X2
TLQ/K92/7heXjGfIkKE5CUgR3ic6gvR5nAQjcSO3ScM9H2N+UFneJ/eqV4F1EP5B3Fp1i8KLMDEP
DePbBmFsDbCxuGQ0fD85A4AAFxtAdJYKe8wQP6GI7LEg8eZtdut4nOgmfVhLPLlHnKe4WO5vYxdd
H3OOxglDNB4D6zM6urO0NZPuVzLmz2XSu7VN1rK/hU4J7+ui4M2LgZdEXVbc5laWG/wLVzuQJEGD
oPDGDmJfHRLOZgMMv7Rb41y/lKvi+/rbqgiVlkEgFDkMpOtdgkkF6CCHzTyjJKLM3U2vjh9mXAz7
spLKN9wvzRaemLijNGtPqSNTdPwGms7+VAKFZfRdE05SyV6KNu5e1EZbm7lY+kSgGQRHO79DMd0k
REO5TECEEaOKyfkGx7u/WC+1Wz5wz3mqm5/lZi2p+wS8Cp5wZlMIiICH1pjDhE37q3Nkr1zdVfJ0
f8CeKJhz1TwUr8LVbVnwPywUo0c2Bp4wwy08sSapJYnM8O7BY2NPv3M29+Ep92XMOf4okTBDWFnd
Iq9dF/lcSMKwXuCM+Y3KYbnCs0dnukNjDJd6HS7sHceKpIo3PVaNy0JeCnRAu77S0boskcEkdtVA
jgmpT7EcJ8eJ4UTjgGlXI3WNunGlrg/T6i6PM9fMoXi+YezjekBbiNFnJoUYHVuNUgMiDzAFaTdy
1h7b3ni6bmLhzYOzhfwR6DyABoGSP4+ZRWIncjVCopVPBHDYwTCjwN/6zL+TXdm16Wqzmv9qwVnP
LAqrosaYtiOn+2hIipkjvzSiW1O5l+VveNFl1lq9emHfYA7dBChLghpC3LcqjyH9xheobwZOib81
0DpLgnYtC1o6+KoMsVTc3RhOQbw6/5Lj2JIKIyno/OsNlX2op9aA6wKrzSX9oDrX9pHpDglaAG4a
TZVLYhnl62GCNk3b/YReV79phzg/Gmn5qvUUr0BavrQphTZ1VR2VxmzcWY7MDfjh6lCrSssdzEx5
HFuqPxmZme2crMoOatM/4sR2N51ZPKdR0bhUx2NI75ofk0lAUt7JP40q/RmlirrVoRoexqDtcZnR
aF4UEcgkUIV1D3IFqLnGig9mpwys+2XaeopVGvuuRY9Tmy3NV7ryrSV24w7GDHQdGbUbOzWbbWrb
xT0Dp+NjXWUET/YR30Eryxet6YY7s3Qw7gXSP91LwbT86EBXToU2qzqgiQVU9QYwg4+o7zMMDDM5
6BtmP/eJ04SSE32b46q+M4a2ODgGVCc9R5IkD1Dw+uAoVf41oh2CzzBXWH0yNL5kYFYCZFKozpFc
QV9iLDufFV2bugWAeT6Gp1AhlHvJQ16GtD+Xo6p2E5Rv7qqulm6MIvpR9gX7GXeOGSoGgBUKSYCI
nqYXJZVfDTP76aQxADN5V2yKCszbkIDFe1pqhmOkGR8YSJF3Ut38UlvJ/EqIWbvGxF4cR9LBVNx/
yYlSeW1vKdvrp3ohMkNFig8WAbB3iUNxEsOmPedRKzDyPM8fU/qu0RsbQpKohF43tdDoP68IC7eA
xiQWGxFCMb/vtBuyB8MZEn8zTPZ/zFaIRxSkT9AMh0wmQpVwwogkKb3Sf56wwCjetbXRhKX0DQY4
bsEG8ST+6/wIF441afnI7+64cfMpxsB+6uXTr8n6oNFrZm1HpHZF7PhRv6d0ZdMWGq3gfETiYHIl
VeTNQvqK9+lUDQ7Qquku2mh+tIt3UOPcrGMfF0IixoZBs4qGj6FhlO58mfANiFaBfYVPw1ffKknq
wzguGs+OwDqgl3Mdmvqg+HrH4gMOS/TlusssXACfEDcuUcJFIoR1mnM9o5ADj2EVDaBLX7n2KIeD
9dZUEAgfyX2JB5533SbfOeHSAck6rm0+3YLdFZass7FXS+SLnmkcZpp6TbNxuixAbPxXhvi7G1VE
TAEIizPKKDIT7kKZ9qC3x9y5q5Jt36zdNuriev42I+b+tpqkqeHwBOjzCcwlLJ27NuT+Et2tPTSW
zgW+3m9rwtcDv/FQjg0WNYXkEXu00W7BcO6q0E9dR+4teeepMb70k2pXanRMizkMIN1hiAKitAaC
SbVZW9SyR/xek3ZuppftLClamCHs2JIHqhxsdmeBHOC64y2e6pP3gFidBOkYzQauc87BZdm2vrUC
PgDxL5h0EBJPDQnBy3AyvMINuMRkTj6Lt+iAeuOfK90LVoQYHEW8stygGz47bL7JEwjB1bFBAaOm
IPBJHZUCy5Wy+w7zgZo75fa8k6pEcUdWzIEVmWsly6Uc+XTVQjZJ7LqrMoN/XuORjE/9GkfoQuXn
7KsK59kpCEBkJr5qm2VgV018idZHJJxrwX/FjtgTAyEKwSA77ERf40fOll4D4cCxNhAmfWR+07rV
Zg3ZsJAmnK5N7JFZVTwAGg+bug01QZJvpmHyYyO5ga5bmA5FuHIUFo/cydNYONmgx2prImOv6gCI
Bq4Yl4ZK7Nr3DQo0/HlMUdNmh1XJ6cVgeWJXOOqVXhcFRCh4iqKEfMoaNW3UAv4zF0S+X1/m4vV2
Yo177En8oiwzmSnjq2Zd/UxAIaFlbQCx7a0xZS+VWW8n5MzXTS4dAozVcJUqDOJfSFB2AP/WJMJD
cZzZFiPy2zhZU9dZMyHsHUAPHVMUFPPGMnHB+QRxiJVFLJ2A00UIu9Qa05jZFN4xRiNaz5tiBrnm
HzPb8bxRBjwbShCODQTD+ebkqVZXuQnwEq0PIOzr2IssB9c3Y2kdIF/EQCW4Jk1UnM5NtDbommIb
m6F339v0XqvuzfR43cRCu4QvgytQ4cEJ0Uz+G058rNMSHcSAgGFwHA14F+6UUIf8IroKX6MY2Xcd
blEE/x79vG53yQlOzQpXzMSyrIMUODK3HtWl/nU21ihXFz+eivQe7XSIr4lCwkPNJsluYKEYtV0P
rgcPhI54T6hNsrm+FpS78ZHEnNA6scX/fvIR80gZpRzc7x7YpyRXk2b5PSFJ4jZjlB1KkF6kbltp
2i0r5Go3Oc0zBNihtBI54zGe0f5u42oIpSGtwx6wxZDETPf7ctS3ehs57lww8JJlAxuAII9RliXq
WxaXxLX7BhRkTTn9lPOk3lQYXHmI5wj8sZX+nqCXfzBlguQKL1A/KRQ9dGiqfC3KRg6LOonvLAnj
XXU5gZQCjYQNcP9kZ9qT7GZo+wQFUgC3nRn9MTSRupWpNT45tmZtIA3IJFfJNCUk+pA/K3IVHTvS
AJCtgHjJzGRgMEo6A0VXqLVSuFpUOEEPYnEfJB8KSq4GubNmPibYG/G7XqXlZk4Uej+oNX1Irfob
rbSbPI7w60apxceLWgZGuAIqSr4OiriflZR1L3LF7ltgmtxsqNPnwkypF2cK8fPc0MOZyNO9HJuW
m5hpe++0evHQx2N2QyGdfWtHOiZVMCnIfLDJIYdnaeFhF+0b0qT7ugI5XFh3UTq55kgH10qbvdmU
37Uu/UXyssx8WrXOfZRNzivp7PmuMfXXuKTvhjP/nBOuyjqUnl2ggNxI2cZUY8uV86gJoT8LpiPk
VuXoVholW9opgAdMWTX+UDFd6OcDKgMJ2A+IX9lJAUVE7RjF5rQ1lcLeql3PjkNkJ40bx/U4uEZU
6IpnJA2kIhOnCpFR0UciJ0qYFzVIozr847kxHlmi3vZJQqtAmqU6Bq/DxGI/sQttM5G823TADz7E
UR917lgqTedKqbqPHQ3Pmy7Rsq3Z2mpzBBRN+gmhnextAuOa5iqlHD+PcjEd+hhQ/MCeqtRXiq52
USMcPdKMb1mZfreqHipYvaMDywWn8Sleg6Pblc6TlWazb1DpR9rSFmwTPSOlT8vaDpg53ycGMsJc
R/mqHimmVeGj9MGUqxjHSvkulckdHRX7zZFYzsJkLG03k9v6Vs5mA1E/Y02Y2Kz8oIk6+nkG+dox
TqA6MsnPbe2gwAsyoxEiKG4dKyjDSukTCi5pSGPruZHTxDNTrdrmUFh3m6J6UvJ8AgldCrUZ5KjP
U2YxoNLkY0fpsXRGmXhN1lb/x9x3LUeOZFn+yli9owdarE31g0MEEIJBTSZfYEwKaK3x9XucmVUZ
4cQSnTUva9ZdXdlMxg3X168fAVnVAs4fchOjSlfIvUhgXaNftkoZ3oZKz3FgcdIHYpTA08FWB0V3
4PQCW6kozEgXQL1sEqtpI3LDLopiHTUg8aLqfNR6NFDPlSi+r/DYYA0B9UWPpqi0cjkKDTK06aQS
I+S7gYx9Wchvw9zo3QH1LI2zciPgAlPK2yk8Ypa8qGkwbIV66DfR0GcW7MvuOg7iVHKlHeo+jq1G
k1IiFho80X3jWgWu+dsglm1qyw2438i9dWmwhiaO5V3c5knsamPX+C9pWUISkEuCmbtPAkkCziUK
ZOgj6tPU74SuzjSTK7g0t8OOm7flPEY3fpu00c6XpDS1UiFIKiecQym8yDTkHTWAkCbIvhvYLl3E
0AMnheIXljamr/ied/Ms3WH5XSSDfzcKyiFPm6dqjC5TWILDXUN4mgNVMds0mEmnKIG6KeIqhYhi
rsMSA2nVaIVizEWY/bHszWnVhU9jD7AX7PXk8Ag5Q4BbApRRbL7Qa1MB5dDCXwIDC4Wd2E4z3f+G
60t/b/ip6umlr1/NIPQe+0KpvwM2Ahm/ZKpAm8wrZaOPalDYiV8Jtw007KyyyGI7HkMUueJ0WLvT
szAPhUfVB0+mqg6zaOXTe2keV1JTzpBCHfjNrF9JSudIw1MFC9fhGPv3vHjZtWtajex5S2NCJwAu
K9R24ZP2dp8L5QAbuBqI2MGFUSc2o8DT47XXZvZO/xEGNqcaTk2I8bC0UOg/5lkhx7VZzyPBPLWn
mPeqcHTlWdlnRmBOSmUbab5yq1oJyz4cVpWBtLVF62KPAtVbl8Jm1p+j2ESCtg7YVupJjdduzJbz
RGJSRxFDB31LhQus/kmufteWkA3AZCpIO6pWaVXIdacF4dRDP7zWKk/qVl7JwT+9JLKRmMSykYYk
nzq1QrWCN1V4Wd5m2woFH2Mm8GezstfCiRxZsNceE9mrIRuXySxzrkS9sgU6ZRbvi6S0RNlOgp7M
40rWtxgH/FoUPlUQhtnyXBTpCgRB5sosgPXZFH559IfsKq2jb2Iw/O79+qNRv4KxRbpSNZq0CyEK
mhe3aY7pIXuQ1AdEvCSjtIYUXlrJKF3TSweQRtAjPZ+EvoYNS54wcvrT7IiAGUkufQWONo0FdAcM
AgAHX1UbYSsIHy08CcrcCpVAaqt5RFDxKvWACLjsNsGVfJnvGkswO29EOTLcIq79de6+1FaIEfAq
mJO6jH87b2sxRFMQ0PXAp++9Bv1jad9ppfV1ELZtUFwHFPTXVYRZCnyGhLnPUSUfseTNoSs1lCgC
JRmRnM7DZVVieeD931+DzdAv/+lagjcVEfABiKewAwkLF7XMR3rJ2pSeEREqIqpaRQEOnmglR2SA
K2uC7U3aUDAX8F6Et0sgO5iGFrM0qMM8QJO/skpJ3IbCIajXhAkWg1A9YDCHUPJnHzfSSMyQsqFw
ELePmX4vpRvkzF8P2GKZGmbkPIRmQMMAV/98WiTKhJu/Av1dWmrlCIymbihXkuq9h1drc5Dd9NFr
MG6F4gf1iZU/7SRtU3Q4EKBeW4ylBVE9i/8Hd2FEwAsNUgusabaQkCHh85sZmEjZeCiT21TZcerl
73fZWQymfFrycj8bKYBt4ia5kCwIVJgdXhEo+Hgdmsgex7TLYHcOPT7UqXSob5yPjzwbnJIUyKRH
LoNWpUzyERfE/FLoNKJB8rAIYKm8ppi/sIxpF+LtB0sKhAZmX2ylpDf8FnCDlnMKbV/quBdtwQko
e/sf9OVpJGYzHLW2KwWqfle/TGbtZTYgId+EjeiobvjbBybtSwW8Y4C4qW8i25fYOUa+acB9k6ec
wNjd5EOJRPMbct21nIB+b2ZDOgvFnM1tzOV8J04dfGe1Ywtbn2QjD1u4wlxIMFITOG+lHxc2wLN4
dERP6jIjPweVJDUUC0whKamVvEV37QeeCBLwPAlXnrCXVvJpVzJrICmDMKg0uDCr3EUy7sZhrUFr
HcjsS7Ef1zWKKaAKAT0EtFLsKNeiV1ncFeQgNr9PfDubGWzWUUAsRYBUHJZ0LJJAjc2+xi2zs7ri
KsQ1HHiTr8eLTakwE1F1xvaE/wogYDELbOhrpQJuFU+rqT02h1y8hzEd1CVX8FefynU01wBhgRZu
QYQH+eN8WpRNx4VDrFdm/jg68lY2BcJdBwftrthr2xT62mtwA/bIYgMy61nxGw0YygSXFiPqvB4P
hgRuYhyJxnRaOYI/MpbTNUZjgU0jQDoKZD6QGc4bl/sqV4NRXpvDFtmbTSHi/r6yJkfbijv1Yu00
XuxMqqMLXim0iXD1O4+HHVMY9VnBvW+rAxc1HKSH+Ni60b4Hzr4fSfwkX389TT6dzh9NPAnJ7P5t
LYNuDRVo0/BHmzPA+C/zfdloIUpIHRHl2soKq46fFTyXJNkTH4Zr+QG70NlvwHRyIQ+thJQVHqL3
wqMCP/nYgkjR9fQSX1DQoHS5BhtfC8jsZHVUS2UzI2Aa2CA0k3SVI7V4YTsdSGbzgvRzKaJ2ViNb
5Le8nbnVRvdKt3Emh3dqPNFzl/FGXTvq6Fr7NF11nKcacjnQLZm12BURqFLahOkKukbkljctYHWC
TfUH1sCti32IighlJOKViUWLTLORN3mG0sHUyg0xhsBSkjVplA9xts/t+TvIxyP+yZEz8D1W4CDj
WviuHUeou6JS7syP1EArsqOD70qZLW2l99zObsR/tDB+tfADYXUSHM/lqeInaGHwTDsTIhhW5PlH
n1CuzT/qTghTgJCCEtMnLVkUxdUuEebahGXFQZ/UrTKvhfgECftYZyAIohYCqhlOo/PNJTZ6zHkF
MWLvQ4Zxy0FrngJzi+MaimN5/qOIDKo3xMw/McrDMhl7rsBVsH2ZtofOxgsBJUKDsORA28MWTEAe
nTW9peW97CQqnbQnQ1ZNSZNlvFKZ01ZwJAu+ZrVN7YmpUt1qd7L50I/u/NVEpjvlCmDJAcjKn6Ld
jZkdKIEIhzpF+2Srot3089jFgOIIZDtFDboYbMYsxwDTzmIqmD6eLPRRItBpBLHJ+vo8WIwC0DiS
Bso1Y0WX8nz0VVhzCGbTaqTu7wP5rVqD1C3tHRoOOQlGJqCisHrxaowy4yRFdLLzpjYe4/rl60Ys
BgD/Hp2kYUGx6GnIaqthN6Gr1DohTYTnmjX/5KVu0oATFQFKBNSdXUv+mEsjbC8Esy/h8uEfodpn
z2tXl4UgUMZB0ZmSm3A5Y7ZzLFaqDYyjORdAFEsf23E0g26lQrUWhEmnYmgojdGMFCcJ9R0SASRT
cGlSROe3hwTVBfASIGi8cGuWBgmPZRJEjDkAC7UBt72VdiyMOfgoKB5CoxRITZYhP8d1rmYaj7Wf
2YHxLkyPXzdgqZ8AyoSyA62VACF5vrf0EcZboTuagLekqnRmXPBGbe3iv7Cp4AYJ+BvyaWBB2Znb
q5Mf5bRyRy9ZsplboaNe9rhkURfTYSf9iPffL+P/Cd6Kyx/bR/Pv/8GfX4pyqqMgbJk//vsQvdRF
U7y3/0N/7e+/dv5L/z6Wb/lNW7+9tYfnkv2bZ7+Iz/8Z33pun8/+YOdt1E5X3Vs9Xb81Xdp+BME3
pX/zP/3hf719fMrtVL79+cdL0eUt/bQgKvI/fv7Ie/3zD4rU+u/Tj//5s4vnDL+2ib7Xz2n7XLO/
8vbctH/+wSn/QpGREv5kHnk/dkLkb8PbXz+C6hdIVihmaZhtPIYwL+o2/PMPSf0XynWQEgK8W8Lw
0S0a9aa/fgSqIgYVTGhUWpCa/fXlzkbp16j9FyDsl0WUt82ffwjQfz87DTALIZAKWVt8Q9RQIM3K
LFt/BpZIKYt3QSBI2b3yNrsWHlsqSGPqIykt1X5NttkWVLe94MLypNgMm8TVdsZuelP2/WuLqnBz
kd+mHndMX+NXwVLc9HZGReSFyuKS6pl6JeUepAVtwwVdD081sm3sZq9/DQcCdzJ41WxTq7qqtupz
eCm/4wH+oOzFZyO0utQVeoIb5227b7ac09jGEe/xSO2RBHjJvXhV7gfbv4L5g1Nci6Zop5eTXV3V
ISk6aENn8NOVAyg/5cfiariDFBR+0lzNe30z7rv71quuuaP0IuK2GTrDpt2rKJMpTrXxrRaOMvxW
g6+y+h5fFlt8ywtpp7n+fXbNGcR40d+5ggS6BR+0wO1UIuN5UyUQMdC31dZH0JbUR8NRXP4ugMTh
tjQuv3eHaJvhY4OL8HLaUi4XunCPNryLdu743kyirQrAj7LLj6iZkdJJb/xb0Ss2+IJmY95mpmZn
drnnt9I+hNcl74QX+q2/zR2AnUEJa0m2Gd5y36k7O3xU3AL5iwH6eut2B/+qBv6b2/lPGnRq5ZsZ
ugdXId6AFOI7UEprTJRvI9VKeKwwtwsPVUqC76mwk4D42CkeCihwvRl3Er7XuIeMQmbq39qbKbck
2RxUojzO+8yNrsodpH2RtsAQS6GeuGhXiyq3vo29EIqZmVtsgp24zW+bJ+4iO+iXiPBgOIJPeDv0
+Am8Tg1WntFGtbRrya0aEr8Ghsk9JLv+OGz09+kAMET/YFyj2vEg7dqb+qirRAg3c09kkMPwRRXC
ufxFRMliUFGB/7fTPcMdY9vmpmWodrYTjtwN5ieY8GF+jDJXcwRSHPD7UNdAWcVRd2mGiryGEdmk
VvmtIQKprvpLiGGFLZEu0GkZGCeoqIKKWfOWcDv6Tpg7XAZCr1nue2eA6jrJvisQJ602odXGZnC4
zExIsRbXUBMnKcTW0lenvQ3Av7mH6EUQHwYd3fRU2CA46rZvUh6mCBHVHsSTTfWUHeZd7rRHiOwG
GUnwEa8xphFsl7xRI7JwVIEiSfI9QKXAR3SOoD52Wo2V/M7hcjoZ76m/UzKC5/dRckfp0JLLl8bR
zHG0c+jYy5bfWC1vSnf91XSj3GUxgbpYme3w/ykJwSN9kZrNS2eF0FpMbV0w3bqwAYGYRFPFVEz3
WWXlfUdGMPoV0vRkMLYwz2gnl38ZZWpNjLkPnzYZNL7najs/wLgYT9GBDcaQGcdb/6W47S7HhIS5
DcElc9xWXm4n2nO6jY7KbfUeiao7aTf+hYZtqXWmbb6HZIIjgfJ0V9ki9EOO3Q3gF5opSE5z7A8T
6RMyH5R7ECWhnJRa6gg8CmZxITi51pIYNBAZVC3Z4uSExBqRQi9IwXhFgw/qfCuXmtVvpNt6ixVM
1DseD29QjyuuegiJtj0BpIG66hyKS/lVF2HFNjpNY4rbCgzk0dPSQ/oc3XAQkTBEB2VcuCe9c9Zk
8pX9UECNl/i4UkCTDmvaAzBNaexWekb/8o8NWEjyg2oZvpm9lfUDbliylWxgAgPbSGhEyiqYFQc8
tOffofYcqa5mwF4bops7sMqbb1D5JZk9AGKsW4FgqeFOElxjtvmIYEK06L6eJMLDlClmUjyFQPnk
ZgJAjv/iRykMR6Wbbnaz8HIUSNtvRTu5h7mm8A2KFOIhv6syL3voHiAASlBw1N0SKMWaDBv+UOuq
+aRBMwMGNfcJUg71vk0cg3+AuWDhDiHhISsXgaVk8bk1P3aGpcybAoLm3mQ8o6+nGwnKgO5wM9xo
95hTZo7JfdFe89DxLvEyTupte5VYN5onKCYkd3Oz0J1peA31fWBcBZw1PDQP/BWPByKHF+2Oc+BF
Blt105Wg9XrHXerXjftqWBUUJ3grBf7vwMnP2gEQMLN7rI4dYD+No/jDQQiuc0c6wkJzVEj+pHV3
XTaQqALVGyXXAmrK40uMokxekIxoHgBuuL5F1wOY6ao/mdohtipM5Ft8zmNqhlehppBicLA4YNkQ
bmu7Kw+icVC/ZwQfa8V2b6Q4gLFtkAAUQ/VBAlVB2lRqbwuVXUyoLRH9MGQQXYAQQ0U0vIDdpyrJ
vhmwAGyJmB1gHZ0/Cse6fRICD6XoLtg371I7Isl8Ueo746gku26bGXuZ31iV3REsqg7FQPOut+3h
JWtsNeYJViIZKyI/BPNrf4AeHylL0QqwT9rlAWZ2VLYd037UsK8m+MFV57QoRE99opIo4i9xYOVE
fYHV06zn93IkO2qSPQDqOBzyzkpu/Bj2mcTo7XzDDSTedoAdlGb1Xb/WL7QYXdEeKhBU4cr1Hf9o
D+l22vtHmO9Y1feBKB5CYVBLU7XTPSq2DYi6bumpOFzkp9DrvoPhN+y679Ll4Mo7RSYA5I0qSS7B
j6us6nFQLgVXtTpLdNBW6OQIjjZu8C+hTHgXtzw/xEQrnDx0MVfLyIxgZjC4im5ryaYqvTja+jNq
7W6rPAyiGbx2nl8DQwdSoJ1nWx9PuCPeoTbbcItJhtncHyjYKiadG1nPuhuOsAhwVN0Z1K3fXvLF
Nh1gm2e98njt/in29VtZ+W2R4T9son2WoG/eCprNNuxf+v8wG6cyf//vbNyr39Ln/PU0F6e/8Hcu
buAdTaewcODDoZSMhPtnLi7w/4LuDs2CNQClII+LS9nPXFxR/iXjIoXEWDRk2D7o+MCfubgi/EvC
/RBQcJgQ4qYFgsVv5OL4nJOyjIIqA9juMGMHNEAWIJ/IVK81ye+qEjAEs2kiKyrN2pdJg9dMw9Ll
65ILyUnP/LwKnKb+59fQT+FEJu/v4DrUVgawUyqfOKAxm33KvelRuPY4xtwvaLOgmE7ZliKuNJBi
Pb/uChwkGhSjpBfR1CuuhwsU78yXZF8hr8cyhj60+XXDaD/9Km99NOw0IFvrDbNJ4jlJRzacRW6T
zhfzwHuTlJi6JqzdsmknfRWLKayUc1AAYIoxUw/qJto1B6Q7/A11UhddH4FXxozhoH9uGzNogpDB
cwKWjGb/IQ1MXzgyM/+ev6ug6ylQYgisYI23sTKAH9/ppBaKKqihxHFQmnz+poYXQmp/PV5rn8/M
+7INJkHyG5giNsWm7/uJlFW8hmRamxTMS03T54E0AQ5m+slbUm5EA7Af9ZFyU79uzMKqOpt8dJGf
dBakoFou6hEn9rdysM2TrbJWEl/qLwg2A5ECpCWq4syc4402ldqBg6c4oLfz4ORdtLKClhpxGoGZ
Zanf9noEuL2ZQeBQKHHZ5VVv9O+/7irmUebHZD4Ng+34tK/ChGvlQY4rKucDeWYVYjpcYQ2bZhOA
vWUjJ7REEjn6hbwT99mRe53XRot5lv38FZhpMXa13urdXJrtBE1VYyCc8tor1XVbAD5dlC9VVpl1
BiVumDIZBSxQpwxY6n7NyHytw5lZEw2Z0CglvobfZkSWnEQFDxGJy9cd/rm1ONlU0DdBsUe5GaWl
8w4voOwYiTO2+gHZup246Y1h9iZA3BcSxQM5azsx81CEYExA2u6T1SDkmjJGGTjYpS6bQXg1TY9Z
811PrLB8gNW5KaeHojqUv72j6CqOd6hgAL4l4lhmdhRtTHxhKkDUUIb6mquTbVJEKyi+TyPGhGAm
jjClALv5aJna70f9ZpAgWLACiFgLwR6ck6SMfoBJkSfcsenrgzzq+wp1469nxddhZHY76SpwN7hE
yExV+JYjVQ2Lzdyu8dnozDo7JyHBB3UWWo4G0Rz02fOJMOlQFIHGWgpsh7gVLOP77MJ944W6HIi4
G6xCmtbiMX2XoqoZ1XSmU6O40JR2UBKn3jeCCdP0jRGjtvJ1L37alM8bqKNofDrTQZIY/FjHwdzW
nlI+5MrKo8Sn8+v881nVKalMhrEA3BjcrdxSeZdDVjhJlroGiv2cYTCBmLXjQyHFV4sW6aCTNy73
kuOB3LDlYxJsqCBA5QG36v7eOx7dJ3QYaEHZzYBAIxVWOO89v1VTtdI0UMX0OfBiTutcmW8G6/fH
6CSKzKxZrRFy+JSXqanHsqljRzIK5+sIbDH9Z0NQUMfjOHwOPimYKEXZakpJk13Bab3EHh/4S/rm
UjkUcFm4a/T4z6uX9tyvgMzCSsApSSZZA0C7rQJrKCRYPQndaEt9oq1M8aUpeBqKWVOGgEdxo8pS
U4a/ZP/mw/7CvxCaNfsLOgrsVnEShnW/aOHC1UPOCcrRRnahTe/G2MCPKxscta6PQTK7/7sh02kP
n5xRY6UKY8CjWfpBRqUrddSYFDEQ2R1k1uuNOlntuk7+0v502khmwpdSLkSjgKAt9F882aZIfrz/
ypeAgYsQdo4s6dvX7aSj86tbIYAKaOzH2sKNVYf2N5M1ComqNKFfBriEBa7k/qDKiKvzkUFO0DgK
DNTgMwB1ROitsq+bs1aBvtqjzM65Ot6JwKSyEk8wa0J9sVb3efqtz1t1Fo0lAClB52uZgmjGzQ+c
RrqLLn+Am9eSmfMd/lPDNKYD0wAwyyHsclPJo96b5OIBHvWrHDGaWrMNAikBvhDQ3odLM504J7NR
G2ej8ks0KN5rL4EruBkA7rJBeIv231qbPk8KnMUn0WibT6J1lRKLIuBXJr+lfrbJJvHonF+7sZxv
Uh9dB1Fc6iggwDr3k4B6PUllN+loFB+pJI5vwEGo12AB4sL4nAVhlpTW5Hqr5k0AM8bSg3wl+JhE
3Aw2B9YpCWy87BzfKNVCuNaedCLYYMZGhAf28ut1trQA8D0A2QZXDA/8bD6ldLMExTI0dj4WeD9z
KUwcJNvQnCzQFOy1i620MGNghIHUCjdCAHcM5lRr88wIq3HKUUSsHABXZ7xvNOO9rqK2ol6Gk5Pj
XKgjiy/wXPCUxPdy+NQkF6gpZfOtHuDRT49u6qoy2zm8SOdtr22y6tYvLT+uSNlX4L3f+c371O3q
4FpWvK+76/xQ+Tk1Tr49c35NHR7BdQDC8Vq6LVvAkYR3rBeitCsY8MUpeBKHroSTmc7JGiQJsxHr
KneU6aBUpI9WikELiwmOEah3KRAFpYa75yFAtAhKPc44PHzWnuT2LogWW9FdW0zLE+wkDrNowXXQ
OC2vMa+BzaQsmMr0PdnSwIKJ1vF3i9MLqG9UOJFlfDKjglUT36oa9BNqq4VwN41WmPr+h4NXs3YY
L0WD8RUOEdRb0Y1MHwplkKhRAw/CwVTx5J3jedXfy5Th43CetDL3lnYMDfgK6D4rkNFmV6oUl1qd
QyfWFJXHILwX1kDfa59PG3sy52qxHrlZwdyuwTfGt7C0NXja0pSjHDLMN6hSAuVzHqFKewmJM1qg
+jXMdPnpWZn1zJM5A7DvoZusWPJFItRC4lRSnV1/vXaXZiLu2cBIoQoFmy0WYyQWCW/EBUarqksn
VHS8g4eWlghWDJWXenzhEbdIAZkDtP67NskQMFBWvsMHr4w5MGEgAU1tqpQMahhzLAd9GIZTVsO1
crA6e8ZTUmBxu9zDm+UWIAeSebNd3VGa2Gz6ToPX/QBgVe2KpiTFTWqO377ulIUNDZQ+wLp0XHZp
InQ+JCpK+MDgRngvw1NZnpKs8mYDX64hX8dZ2NCAhsUNA0LwYCGyfY+vIE8K1yLXURszlcCtgkdI
ubIePx4B2N49jcK0Ju1Eofd5I/xg3HX3/H0YkdnhbcmF1gioZJCRbW6Gb9oB8Bcntpvv7WF1v6OT
+KvvQBfByTKSC4PrxYwPcKDKgCFB38/l7gH3MKnm9npOtLBqgdiSYF6FMxWUDOY+MMDZphC10Ieq
QU9CvFvr6spZtLhuYNMp4bSghTj2pMgCPcgVHr6j1PQHSCi3B9SkI4VXWPmmH6A5sTJZmMrfxzEL
repfEZkzA4qbQZ4HOhA2m9EJgGyK2x3IykdaYa0Ta47XU/OFvQkhgUCUqIT0p7qSMpdwP80LjlCm
eeTi2HirvWI7KBZYWKawUa54B1SUQ6RtgT9Y43wtLcPT6OL5pIHwBWp+IaIXMm+2UNjXYrfLnuq1
usziMjxpJbMDC0Hh+3GCOMjcrRQ0jVB+9AdpZZdjUPB/jZ8OzLYM3aTPzNcuSWDtCr/CBvCZ+AWq
KqElA8wJfhk4ZiLJNzre09dI+8tD+HdU9nYFXeGprTlE5bcRriJUWhnP285aDWNxxcGh8Wfj2JtV
gKfIXpgRRlatWe9gjPD69V4pLm4hJxGY2aDGkJb1y5AjqWBl7yOKW5ZoDhtq/hM7utVY2KQ3ykWL
S4HvjteFN16gmdbX32JxEVJJMpDAoFcNO43zOanAr1oVQ97HIJYeLNo3HHBccOITgVKL7eBm9XVy
aXKiPEQ963jYJbBA/6SaAjH3kwhVUO6I7rXheowm++AO4Zp3gPH46rJfDAmUK7IqFABAuDlvozBN
ujiLJUdmbnryo8rVoGSNmnJw+3VnLsWhrsrUqAAP+ewWKuec1AySFNCHG6q75DuDDLgI/I9WRm1h
I0EdD47KiIb3efacrSGxE+giMKQ8Z9jT0JKuznd1caM2v399OAvEHLXzLKqhWgsBsIOKk2wDyKJS
u821xbbWHuY0DTU5E5UB+UlYFA7gTheVFG0iCP/URrHyRrJ0zp02SWaK4jxkrTrh40ru6RA8nl36
3FR4tBYUrMrOy5hZTJpwFoxJBHk1S5IpjQPAJ+6N5lpNVmbcwmZ49vnMHjJGCsdnoRp8aM3k8ByR
Ntxm/Xq3MLHPwjAHCpTqBjEtMbEFIIkBTJGI4QMDB9MR8vUKWtqOqCgQyscq7j+fDmj4gsfJ1GE7
qq3Sk2GjwgGnZPcm+OwoVud34lplZGEXPgvI9GAWCkI4Syf7nx5j/2sgZ4hM7j/Y/+iKYWYELW/h
HRDgdiqHfb4XKQ3sRDgfJJS+7typ1HMLJn+ok0z8m6wi8x+0XZi8fd2rC8OnwJIU+t4wSsL/MDGn
PubkLpd80qmPDchxgC6W9tchlpKB0xgswKUq42mqaAxK7aAFAJiG2SgBkEAkVLYZ/jdWvMkevg67
MP9B9YPVjwBdcdxtmPUlt6M0pRWiUq2lDiTUgXKX3dUSwMIGpVCcFahQ1HPEoOv8JN3HC8aQFQPi
0FRHc2PHABIAsHcYasUuD0Q5cPOrm8fSVqXAExAwLtTGIRDPtM6H0ndbNpgr9GymlwwsBjo3K685
Dt/XTuaFveosGrMSCi7z806hbZzi4G6oq+AgcXiC/XrEGIAFzRrBKwF5HzQmXJCRdpx3JZekFVfp
QYFafAuSwQT4dXCVbEMHYgtbfQ++gqe69AY1EWqZ8Zu6vJ/jM0MpJ6EMJBYHNUswQIpratQEYOpG
AsD+d+WxfwRDConsCkg91KnoyjyZN9Bf1PJ+LPEiX0mE697TMoar5ObrLv08cKDTnwShk/ckyNSn
TWiE0DML++E7ELqXlS87/7sQTD0X6hiiX7VZYab5N9+/NroVWMHn9aWJEGijtVBM9087FB8bVTjH
aWGK8M/ln+TsuUnhNbuWziz0FCRg8JYLgBK0eijv6bSnYGycZqMIWHkWDk/83N9ro/d1RzGPrR8j
Dso4xBRQa8c/KJzzNASomWGWZSHAcJoXix+ugoFtAMe+mye8ooGevF1n6y626yQoM6ebGI4uSpaX
ps4ftWwHecGVVtHxPT+10FknAZh5PBqh5EcJWpUGzzMYm0lPOKBBy2iwm/G204+y/1DP7wJXezhg
ZBl0URE4aY6MEbx24u9ff53Puz74tVA5psBNjBmrUSRPgSxlRVXCXQfxPozDG2/9hWghGUEcVDLx
SgQhHzBtz8dyHgy11PmmNLUb5PMoF2wy5IrDY3gtmbhU22svXww06cfkMajWMUB0AN2yzyYQfc9q
jcM4Qgn9ctj4HhCpwJbz/4G/5+ecAG0D/BVAWHQiFt552xIxnYKkH/AkmgH4DpZSDCRFsrLZM8CN
vxr0KwqTeVRBPQd9UJQ/xbEaIpVWgrcn3FgsnzyDqIG9cW0/XFyDQFVDbUDF/Qi8xPO2RW2HAnAu
Iwd5+ZACsEMH2qwtCW4pWiRy4rt/MnKogQB/BUEaVJ5ZxnQsBUZWYZmYXIs5mTuhE5k654x2CjmF
NRUwYWEBnEVjGphOtQpnMDU0e13gRLOSpRpcDM3nSO5rkackfkekTmhQDAW0ZNOE/V05jpxdcdpt
3PbtpmkMiNJiS4aGrgiulZYC3S2msh2OXHmIgzhayQ8/p70gmwKAQvfFD6OZ8yHJOIEztD7DltFW
hTXp0ASexG4wNa1MDqORGZDcVUZrFpT4+uvNYuFoOYvMpDU97vuGMvM4WlLXr3MyhHdp3JnpGp19
aa6jbIoiOwTa8PipMGckpoYAHyw4byWhBPeQIIE7aDxGe26ELnEq8BAGLnzSDu09hyFwUjx07wPc
NmqUr/Mx0yG4HMGyAhLQK1fexR7QwbfG45WO3YWZLVVjNOFEF2Ehb3U4UPnzTa1eaukq8GFhT4Gu
G/yCUQHhISfE5KtVxUPiV0AgGNUN7xNYRw0BvW7juyBlQXzajN3EWdO7XDj7wEwQqVUxNjNAd89n
VoyCoDT1WOx6l15ndfHYt2s560IiDpNgFKs0VaEy/mwByce7SipmiAFfwT1/L4EsmqFaXHnaM6DA
a5smPVaYwxYmWiB2wE+U3mqYGTvDfnyScg6r2xnAtIzstnBL/wP8g7KqK4p3/6AKiAaCEIGIEK3A
Zeq8E8eoA7tepfv0Ud+0lxg0s3EkMCItauKYglL29aJcXCwnAdkqLs93WYxiD6CJVSw6o5qAN6wY
x7LNLopmgpMmnECf5Xhwm6prHUVPX4Q8FDZZNjzI4xhehkMgET70xzVQKO3cz53/d0+wdV+ZH4y6
qZBbgDKKCoQ97jiztrU7Wg8Af3KtH9bCMWMtZQAA9BFSjHRf7zVwvIMNdxDgSkJFXdbwoEub8Gmn
M/nM4APwAkfz0PRhZFoZG1l4GJPW4sWegP9D4Hz39SgvLU2kTVShjUqoScysgi9hKBctNv022uv1
06rj3NJ+81FJobAWCuRhZm3R4Xo1SaE5zjXx+R0fPhfNympcyHyp1isecuHiBQ9OZvMcoZCQKzOH
xCF9qCWJNANEcJobhcNb7Zo6zVLigkQTMApQrvAMx96N+ygNU1wX8Yr5bo2PpQdhWxuEfbulQB3F
LDdre81SD1LlN2ohiRuRzpxZlcI1wawDSFGq3T4Kh70iNheGsNaJixsoVN+AHQORDZVpZqSUHpo/
jQDBexBGZ2BQqZZB41Qgk8IllrNW97OlZXUaj1lWbRSBN6EjnnpVoxe5C/kGykKwFoV3mLuajtFv
z+4Zp9GYdTWLDbJsCbcdamc6Ww2gL9KBwkMCZw0espT54REDb/l4oZU/KWkJLfymw6DLAI77IS4u
wVDoPyh4LXbgSRzmetBgvoRG0dG3ven9x76U7QcKPjWj9eFaylAMXEfQMgXVLvbSLPT60M+5Dz8E
JM/KsXDzfesV4KD7jnYIM9BiM6d7WJslS32JkgPWm4hHIZ69RsKzGzCCBOBJsTGUPRepsZMX+cM4
iRm41NNGSWoA0SCKQ4BRXSl4fNqKsRLAAcHFElc92PsyWYsmRG2j1Dj/uPIqEbygfM4gpRoYCWj/
z329KrH+aStGPGSn0CdGdgqFNGYBFmMViDw8YCD1WN3Dkpag/mZWVoIx5YEl5laLl0sNPA3IrMAK
MKBQnnGVRe69NUZ5I5TvkW4QOYOwtAQFV0P49vVps7SXYddEngb5GhFoifPTQOAKMczrLDA51Sv+
L2nXtRu5rmy/SIByeFXqYLc99jjNvAgTJVE5h6+/i96422o20TwzGwc4L96YaorFYrFq1VrRrQWw
dCPKDui/wZ70rQ1m25phSGEGYjN9OMbBgBIlWF/mfb3vleMc0AgtSm8vviNlxqJcXLhoHDygmFVN
1krWQgMadpUcL21CSQp1cHO0zg2pUzeyfl//iJwzcWaOWeAiA1FMqhJYtyPFC2anAQV1vBdFshOc
+AJ6NAP4b/i+dlHwM6daa8YMIDFtABx1ABWJ45m3YO3w7RD9Rf/6qjjxZWuNbU4Uudq1yoRix1L3
rtzcQuPHS9K9qjxft8NxQdjBDQciLaQ87KQF2sqzkhG59Frlt5QWdyvpTo0pf7tuhVeXAj8TGPrA
k4f+L9v+TSWjRcZTAbrchmq2hxQXniOQlRmf16Dw43txKYznFluL7HWQRnOqyiicLpbtdjO4Z2o7
KCCh3IxB0b0669es+yxYJc9FDDQJACFE8nVRUomKerFH+jH7H8mTFsJHQqReg2scgTsHtOS6OU6e
h3bEhzUmz+skKFrXC86ZOcmJaxbD9wGqOIRE0KCQtGM1/7huj5PrOTKYiyERjosPfXwmIkPRcUp0
qYX409f6oKAPTQNJ5vXB+JLvwTctBGVfrpAaRIkKxLsGaPeYXI8kpIzQ+Ebjw4i8UvuWjmBZWpYw
6+6STrS6yxN3box1mK6voFYEYyOdODrSMAmx2EA6SbvMl5DL0skjYRXu8vxRXljUAAC6RKLJ5s9d
p2BGp4ZVRXHNnREWR/Be+/EpvZ3eIEZ21G/iUMRqLLLJRMwKE32DndOVKpAhreNBP3WTcjKyKT8I
XIbG+vPbB51AANfABKireFTRn7Jp9OgyVNN1Cdl6+db70Q5Klj7ojKDrgfY4rTM2oigtMsgcCqno
UbfqgOqeQxTaPRBi3SUv0o5idOwAqmaeYIE8r0GZnUYatMdRrzpfYD42rTlKuMJpE1k/UUL7EgyB
dFpNudNd9U0Llj0wWf/NrMZAQog2xX0PKCLMVi9oX4CSaQAjROTXQZaAmho1EN/4IuIz5jkOSko0
glMSbsoJst3NBg9X2aLDT6kuu8gE7RngX1HdlfPygvABpv4ggkHx5Gz+gPEMktkD1kY1myEA7xE/
O+loITchuG4EWS0HBQBrAG4iDZPRnWbBXZ2Zd0pkY03qjkiYdGnB4HZPAfpd5fWvllfWmOr+X4aG
LsOpiqIrFJwhKEKf6WwtAIOo9jrI6F4joRhBgfdIdzFCVuGcihaIYDrmIkorLm5FxiaT46KJ3DTo
dVP0QbQz9sWuDsq7/2Ew78JTGDv0mG7OfdfW0ZAXwAGAGegNdNvH6tR/h9xNaLrdQXmuveRX+nr9
TFwuDQTtQHKrqHpiboT9nKQekrU30ZxZFelkdDNyXUSZEoxERfG4VG/KCp6qRn+6bvVyobCK8SQq
RIMaiMxcURIEKTHWARIyRWsDRSau3Eq+k8TBX5hBPQqvL9RYTTYd7HMyLhCuBZUECBztm7W8yyzB
S4FG/bNQ/U5w/2GCud1buY1iCXItXmtDsGd6yXQRVc5FrGQsMM5XWi30Sduh8gz7m2Yd7errvAaR
LdgRrh/gytGpfpqDSHXuetBxLMvSTBMvazxNWz05wsPRvIF2pAaAtF39kERiWe/P7otPtzHJXDr4
LaSPC+wOlAehsegq+xhc3ikG5efA+Q3qtBOtjEIRVOAVnBAC70M9wEQEQavkfZhvc8xKbUzkWKGy
4kFR7tonmrK0+3LBkEZ7F/9EUBPOTV1+XloGwKgIXgtI51l8CFRCcZ1reJbLRyPsdibwS2YoC81c
vhjeyw0fdphvakdOOxYT+vdVC5Wi4RudmEowdoLaCr3exKHxItlkDDInebSsBcLKaIbVEJNSyj0a
io3+OCyxO+bfr5/m9+N67jDnH5G5SPOhTrPFxOKm2QYJKPKh9MvYzT+kkjz1hbGXkiZxQVzRuDmZ
X64bvzzn53UVJjTXmtXalQYoBPrCd22VuiSbBBjcyyv8vXZjon0IBRIcQ+ZbpsBQ90lHy+i+Eo5P
YKL51RH3H1VBFShtQRZ2GYTpkj7MMZ/T6PNKLwxsnbmezOToqPeqLnjBikzQY7E5aQWZhiGvwOVj
2oSqdh6SUnrrMb4oyuz42/P/a7FkJrObwYPVGyPa8vLO3llhfKxvQFLhfKOTOmVQnqSfsQgJKTLJ
RP5VWeulHFH4Ikrv2pjdTwQuxztaH/uDrsT5x8sG0ilKiUtSnqpAbaFp6tvpjyaREaMrwQekcYE9
WltbjHtbCRA9kwNfACx1bVskV8+qBiDFLEgceR8NgBeQzAHHaVwM6OPVk7eaDRc3u8TYZw0aHr3U
Sw/XDyv1XHY1mMej3XkQ20Ml4vzL5ci3a0kh6E9jigqEoGTsXAtNxfzBVl9W7fN1azwnpxAw+tp+
lyw5t6Y1MjA1MUJDWgRSvY/bg6nvr5u4BIJgFfhsoMpWgO5FG+fcRqzNACI0yAwpEkr50YLcA/Mb
yh0IgY07ChTt8erNg3w3fpG/C3E2dPeZ76ngrQ3sIS7My+d2MzV1Gaud5Eamv7Rol9ZhtbNv18XL
VHcO6OCY6NHE2UK8lKDiBsk98LOwF2aeSRYhMp7AHSRrRyPzyFg8qpnpq/HXMSvDXFYEx+2yVf0u
4/Bhkp6RTbBqU6KRfMQ3bn3tjRKJ0+zbvqXZdwJS2L/LvjEcA7IFABqAVEQB+NykI7XNqKf4sHRb
6ciotkv27U4Ia+ZsoIrWH60/oWoCrZtzO/FsKBKGxagdLRzvwa4L0ooTxJg92S2f13twRQsclgYn
xmWAgwUOhWb4EB1mIr86qdNYTQ0GjSAB1T1mR8czvoKqyld9eW+vInOcuLI1R2nzt3vX2EC/ASAu
AeHmqg+gSgt04FHqvTq4fUCNQqYlECyRZxMgVpBLUtD2RZ3NkCOjy3WJdgOlz8nPOoT+UuTPj9rj
6EloClI578f/aJPZyDwa9DWhDTT5oWhDKQdbu+lV4CrPNK9YQtD1YmpHuFLeZm5XymymWSmNIg9Y
KciIDzK44JU9TdQBfgrVG6Gzcq3ZJrwHM5SA/DN3kR51c+kMMlD3n/XjsAPlrd/45BudFk2CPxQO
Q2QB5SmIDEEUimr+pVTFMNcOxA7RHKQgHCrIpIDJwFu97qnfGZ+Un4INpCeaPRcm5nohiALRSKgo
nDtqIsmDkY9VDHPFnQNy+vEIxInb7kpPBNPi3OmAPlMyOg2FGlTtz005RTkseolmSEQcb4HoG2QH
zAg6hN+ur4mTp6DdiHFb4P4ouog5e+VgyxEYwkrPahs3BXn+fF/qz+AjC4GfuG7qciQcu4WQAmsm
esgXo6jl2updPmHwnFKeUgGtZjfdqS/dY+c1p+XLCI4145vzoN9CFnkXfV/2olIQ7xGChAJwLUjB
olnHeueqViRVenB5WGs4DqHeh8Q+gPgglKOdOf0cEgWk7n/xMtBk4OXxMqfDUuxWop86qWkFmpX+
R3kb7ahYw/xgPUz/U7WLk8+cGaPnc3sPNmsZZxLYzaXivsi/j6CWFvHlKJzr/cwGc8ZJHmkOMWED
8fqNKkojprgNOBo8qhIDlvjFL3BRxP5v0auHcyoAfKMTlTolyGE1umXoEqrWgg5XXBFoA/6u4h/l
GoyDiO+S9xXxkEMXXgeC/UJf14qUIkpN2EkaxyfG107GEg3/+nngGVGh3kIJWQCJZG9ZWixcC8Mq
PQ0E4hEknfW3sRA4H+ea0zY22KvVGiWrmmfMoEYUK7f601IIVnEJhwfV1NYEE6kauSMK5KkoExRI
kzGPT2eE0CJO3+qdiPOH53lbW4x3j7hvYqAjQdkx5+W+6nVIMsR7C8yqU2GC72rI7sBgsru+T7yn
/dkKGX/PG2dFywMr7IJ2dKFkch/5au0uP5J9EUL1Uzj9xN01gHTxVIB/4A44P8TlPKvm1GHgMH2Z
U3cETzOKXM3kgZLeV0y3CaswCUTdfq47bowyq1RjaSrVGkbNQtnV2eCapnQqFuHwqGhx9O+bCFUO
kjzNuU2/5hRM0J7wMbD0CskdKNFDRx1gG197ur6DnEuO6n39+z3p0jcmKyONMoRmhH01cYEeggTt
cdUjL1FP6Z9Jc7+nJGe2mIdIUqkozEQ9oCDrp16FUN7N3Aje4Zx65JkJutzNclCfI21WYJSMEvJ1
u38ENsVwAtFXY7Ids6vTNG+N0svbt3V23AYiz1nnSvM3MvjXN0jke0yOWg32rC/Id7w4PinKJ4jJ
SPWv6yYEbse2E5y1G4amgQniQAUFwoLaKPAywSLeA+VmW0rNmjstxbYoGD2CPhXUHCZdRADD33sM
VZlU2Rt56Pney9FqdWqM07POIbRKeiA1AWWEpJ03P8YHOSQvFIxag2r6AcIXoTC/p1GASYHhex/2
WfcuolFVGmTc5DCjU7kMfvGMM+warWuG5TGFik9wfeP4n/XDIuPt6BfOarJgxSbufIxDdPpjXu3+
mw3G1WuQoSpQcgbMY7idx9AZH9FOv26Cf4ug9YknPFLBCzyQPeXakqlwwMkA7GEACCggn7FtHvhx
AZP/u5cfenQfFplV5enk9NOKA4wVaZ4VgkUh0F0NvnGkA1YiYAD3hOFhhOEEDFiBxOrcNc0hntKO
YIGp5U8QnSDym+AT0n+BdT6gIzGVb6MsAWDtuYXaMttlMYE8kI8RhOUokQI0Ym4ws+4JLNFPw1rC
hYFnLIpmqHQylvTBbvtuxlMFoklB943quJZh82x+0lGS0CDoaocEnbVHMTyGd8AxzQi2F9R8IK7J
HPDEWhzISOJBlmqFp3WvWVm7SX1cOugpOY9Tt4vmx+uL5SXVuk2LLCbtW1w8ipzcAgEkvqpl35uo
9pvPA0iO/3jMAF6xtUK9ZxMdEyO265paqaYC2gODuzSCQ8zNRPFmViwqmKjCS85N4DW9jJra4KHl
L1DFW/fKXXEge+rrwpck76MB/A8VRcpYe1H8Sxsj77JmRmJ9ikBQUn4hwDHEB4w4NAc6dZoDjeIc
RPg3XizcWmUSQyWrlszpYDWVGneZXQxI93F43R04HVac383SmETQ7gqrHjG+i1k8oFHkgLyhXg12
d5rWQ07p22RT1SnBiROtjHGPUtbzTltR2dSXICblPpH3aR/vBUuj34c91tulMYdLi+NqMS0szfxa
PuleFjSVN+47H8gJxRXfliInoX/f+PyoTiWpqLlY2UcgM+pUaAFKv3uokV1fGC/0UoyECkA29D1N
xhBRx6YDpyAgrdYKoTqQiBOh4AUv+G5tsCExSe0W9LXYoV1/0G4wCuZGn82QHB1Besu9KW1MoBqY
CnZAhsLcW3KLOUiHZoPQYoPqeQc9x9sOUw3yPvd+/s2H+zDFhAyDxHYmGVhUOn+NtRsZ0P7rBnhN
fQzs/WtBZ25F4MKtrmqxGDweD86N8zrvaY158jUPonbJ1796PNoYTHQ0oEgvla07bL8SVVgSZWZu
MXeMU3toJhfqoi7m439Mq5/VYHkRrJPrghuzTGjq5CJCPwRmqW7CfIheCN519q0BnYZ6l/4Qjw/x
Dtd2nUyYMqEC4lQGPmyx7InZuSMa0yNF25sClBB/C0HICeAJEpuLuUt7Rd0h6rE0UKPudKoF2f2i
3Z7htnUHFaOXokyKszTUC1EipamihnLzedyQ1glBuAH7SlZrQQHd2dGuH2rNwEtMeRTsG90XJiSe
2WKOteqsltYpDj1smGMF9FB5dfCCoIyS7bMIq8qJ8mfGmJO9gIlQzkssbDZ/xN1Rq25mK7i+II4J
JDIYNARsG4Vmttrq1OVslxGYY2rpRJxwgnbh9HDdBC9AoZELymaMGlM2FCZqALDmWLMBIhTjM0W/
Iif74oA1YWcd8+Pkzn/zdKCNY5AboeYJciPm2tJtUnb5DGKXCfSDFB6alKBQpeTG5n74Lho3vORD
x3QEGtZodCACgwSQOVm6PddTaSaAxWFSbvDib7KHW+WhudMDDZIoUDg4gFPMAoer9dsMNegwUjm2
QXRZ08Ih45n4GRTnBUkMtK6ZwmIrSXMHVjZgUoGo0W4hLloAegv+9XYX3WXfr+8p58jZCiCNkFZA
3/NizGydk7KfdIrXwImO6k9L9LIoBDPNAvekHs4uamuHOQGrZFcKBe+AO/3g1H5OJjdRjtmkQD8W
AOPy8N+WxXiqMoNTflzhOSlRb0ar9ZUS4nlV/7vtalGY5C0N/X4LfMrwfzzQzqPWqIxKUSZYWmPE
q1eS8lRXkUeW6bTEy77XT9KCn1EeRqUNMwX1+1Q6tFHtkjT1SoyrAKqahUaPwQ6tJC/XvwMvKoB7
wDQcBZNhF0hZZ45rZTXx27qsOHTTuCuczMcAanjdDK/FZW/tMLegXE2205h2jCRJ/Q0Ja6RKoBnx
IUgMXCTwYOtN4UFd2WuhoevmOx0oSVHnkLdUyoGOuKRy+B36qFSjSMex6XKwAIarc5dJgmSdt9Nb
E8wqW0KImhNciHkeDtOJrG0g13d6D8Vl1AkJ+XT9q3LAphjXAj4MR5PGXPY1bqs90UqLLimA2oAT
Nif0RBsfcsbgsfXIDfqFHnm2vfZH8RdhAX1RDJVjrO+Smd+QZ3M0I1i2pUcZyuRTdqtID5g9da8v
kbtpGzvM80eyEjIgi0SRaznZ9ad5zly9FNQOuTZAH4sJKgX9SLay0DeTaQ2UxjCdDTQy3kwLgrJL
5F9fCS+QIvcE2glkYXiGMxGny2OtkmqcNL1PPWf4XWSjV2JqdlkFzwSOIQelIJDVYIbhkqI2HYwq
U0ZE7L6q3Tj30/RutgBUnN+uL4h327/P+SOqmRalhDyPa7NiT5I9jrjt8Ryh1VYoZ2I4ozrkQXbf
7AXWOLce+sSoOQGUhuICOwBmkVquUwuIcXVHoVrxUXmocL8mwQSN8Ou2OCk7ID4YIADGACz47NRJ
rvfyqBPAxle7DwCGudOiVpQq0VyBue8w5oV6AoUYqHDh848nTXYBGT0j8VSn/OIoY+DIOLbG8D0r
ei/v27CHhndjZphZdG7bRfkkNeRLE02LIGRdegs678CjoW0M2DiQKee/oy0H9J1UYBfnRfHs3vFk
0h7idEaUrAQngPNegC06EYkZU9raZWxFtQN23JJQ8mRaI6cNrh6idbkr7egAmC5iR6Xh9vwbU3vY
RTQEYJdND9fWsueiAXkSZDZC6qDxUT38cHYl5rBEGTynyHZujH7oTU0jn+tWBci0QuGL6iate/u2
OoDaFgsTPYMu/fPcFPM0SeXCTEkOkG4VO59bR/+mWrLo210et3Mb9KrbLEe18xZKxlgOTa2HuxQw
vt6FUrtffP6LJzK1BZcAQBxpPJtXV2ZCCtDzocSa+0rq6h5l8NE/QTUswzUG3IT1Td43r9cPOSd8
nVulX3mzQqtS1ShuwCcjP8QmxrjLsH1VD85XMOjftac/JokGX/92jfQS2lpregyf1HQkKdlV4xe9
uq/j/ZQJwgrfMz6+JOOEZVNGJbGAeHaMx0Y6QFxd8NFEBhjXA6m81rQ93KIHnPSfI7V86d3utoTA
GhrHR2FBmXuIISdDaS7w2mEDZZwgr1QmCq6eMBDXVPuq+T5jLMPMxz36cW9yBbRnkb/p1erpGH9J
7Ul0Fi5jNfaO8r6ghYM+ADu5us6Fvi7N+6Jp3RcSbMEMwXvdJXdkX4MsTZD0XA4iUnEHXD6oXAJM
d5GV68toj8hAcAEpeiBF0NlezX0dR75VIVeOogq0y8khJuM+V5R7zHCEmgXmNhlwVHuEHjMI8NX0
WbD1vI1Q3oVxcG2h+MJ4cG0NTt6v+FGtj2ST8kn2N6PntJApMVDrEW0872LammNcGX2ZVEtLXJB6
mwamgw7kyVwUv5+f/uO6GJfuIMKIBiTWpZ+GgOIGVstNb+FMkG2LPFHizDtA22UxcVVTK6OpW1ib
8s9VB9fVGpH38Nx1a4K5ZmWZ5HlfwgQlXgaY0CNUgNEJOjDR5MHUeaK3O99f4RSYWwdZsM0y4Kjx
ZDn5AIvLw/i2LO54C/Eiv7+Rf5LFhWIP8lBPf439mQjWSpfC3vAKSo/oNKGNhp7keVRVFpDFgE4V
hjt1dtuy3gMlt+/GFODTHGoQa35QAbNv6kiUjnJPw8Yy/fsmniudKUnWtCRetbjWvYkuaLFbY1dX
3sUmJZxSQVLKOw8qJJhx9BQoTbMAB2NQl1qpMWltOac+hbq3uTfmg1GKXlzU3dlPurXDnLtqQv1r
HmAHZE2uVIP5PL5Rl59wOM+RfcHZ450GWpJETg+lWmzh+Vd0uki1xiTGeGTY366+gtkcj8oz4vH6
SG8Ua3JFcYWGqcv1oWYIqCQQk2wdtK3aUVdnBUW8oQE1UtjHsytXgnuSv1kfRhjvWB09z5p2BaFq
d1QxfGneSPXnpBZNCPDcHyzC/66F+XxNl0zd3GYYcIqdh0gyTqqyhsNoHaui2I/W9KylSpj2kWB1
ok9Id3Xj+yPGMaxehdlk6IF1TQ6TnuPQOd517+CawaMEAzMaOv4sraO5qk0cWTAzq33QWPONOWie
bIg+ItcHP8ywZI6abCZSRnn+JGBCfFOvMPNQKInA1QWLYZkZpaRNdCfBYvQYx6qQbte5CcpoEhQb
RWYYx8uJXI0OHv6enB+65FM1HnPn8fq2iL4X43RLgYrMqGEl5ny/tqi7W39R16eVJRC4ofJDKayZ
K1mRS7XXc2CLa80bbyl3ju4nL87DP4SeoojAfQmgkGXjsoB4B14h5/6cas1AshLmkoN9HO+pcnD3
ZoPdT91Ln0TWuDtEAf9oYEH4jL0rrUqRJqXE420qVi+ZZjfvIA+/jLvru8QN4xszzBmFmK4zTzIc
oY7KW0dP39IB5KOmEgAH75aW+jchYWOO+YSRGRfd2mNVs2S5lnQzjuCLF2nncfMMOtry/9+OuZvU
qW0ziDKgkh449+Mt1V4Yb/SfI16Jmlf51f2CwR0pvP4luWWLrVXGG2tTr0urxkNR2q8h1V8e3RhK
D4ong5Uj9kWsqvydw2wL3BHez7JNxmqRzj3dOSJNYQul3R5J1NA+zlnulopocZfohfdhUsiCYG76
smW3GGU5jw02Lk3BEqruOj2MHb9b99pUupLpJRB210xBZOfeW2CmR50SrIkXTGNxm6wj6fCgwsAL
hqGkuzpIP+l7UaeMG6k2Zphcu4qmbl3pYxUJjauQJ0uEneW6Bog4FFppxRuVfRl24E23Z2NCUfcU
fxtedABOx70RdANw/v8LMQEveOANquOCRZYN5p3zSGXVVtfNNiqTS5b5GSjManUKC3MSVMS569Jx
ztDXp09QNq/WFPB+xTVJ0NlfQ/rUiwBYKJHFUwJNocIZb58wT4KRURClYTCWussmn8BsbtwjR8Rs
jvJrkF/k0r1+ggX/Pjvs0c6kc6YF/z5Iw8AapqY/TWkQuDR3Zz7W4DAvkThrO0IguedJmANNIPrt
fJFFUEFeVgkJJDgapmIwMMYEohkUJmVkY/qms4aDouYuiSfAqcfB9LRIErxw+B/twxhzeJYOtaSh
xYJMCRdiJ933i/L7+r5wvxn4ckDMgiccavrn+55moAOTc6ynIEvqySZARvocE7cuZsHucDploMvZ
mKKfduNi2WpW0pzESL8m5+BEUOlryY+mAx+fA3FbRfNvuu/Ny5D/ILPq62h1y23/NZfIMYEkipsX
ooYot1yMmKFiwB6izBdzjNbUjk3agkQijxIToyx0OsyW0x0Gol6zOQchvJ5/k0gBKvO5631k2r27
LL2w1EQjBvsc2v4OJmEsRmWAMivif+bihqsPppcd++/gVvmmp26PqRNR3ZXjVzjQNIhh/h1Dh4wT
R92oO1lDGw7m6Ddl92IOyZ9KBqBUuDXBuK6MLltsJaiCZtHrUu3wHx+aSvMz/et1/+XlIzYUM0wD
ZLgYtmXz1LGfQCQmoyc1h8knGVz31cm5K54zLz1Iu3mHjycDYysa9uJ9QYRDkPmDvQC4XubYGINU
TgCyVV7sjCh9po9plbxeXxnnZCLHAi4Z3DS05MfcM7VTRETJwWKUjtZw6useJIh1s3q5WVaio8lJ
BtAIA2BIxbbhMDC2DNLKMeYMatQVlbDYAwdxm93Me/1pvdG/1JhzX27bzK1PFnGXG1E2zvmWULjW
8D/Q7ioYKTuPC/ra21Y11bVXtgerfzHKP27G6g4asaDIA2DItlmsTplgGjzOsDiSuq0Ug0boVgL4
LxbBKalLM8fYga+BuhU1KYBNWJ/Q20XLLaxD0/Dof4i0z2kXDMWT2d0ZaM9f9w7OoCsFbsLraT2c
0o6efzWMYGNiI8bgX4Ha3qH0m2eA8EH1IHlGUH6TD/1vzTOhlhErnggEe7lh4A5H6KBk7JTXi/GW
tp1IKcUtYFUtTladvoHuV0Qcefkxz23Q37C5LOTWtmI9x6ZB2QXjGrbmDlb91ayTXZTPv9CjdmsH
8yLVw6wsoZqCEDSzdvEAIGk+3eTx6Ha25Y2z6ha29cf+RH8a5pvQnwYqi61eaVqVdIOGW8F2PmNo
yzXsu8Lu3KwQZYA07p87FDUEnwIHBBXXYHKyYarnMVLi/L25T+GPaRAHVgCpuSC9F53Cy3ADLCdG
ShAEwG1zMQnedLmVW32be3Xnd8NJ6m/H/PG6z/JMWO8jCVRHEqJRzJ7KeqRPSZ+/Y9jslyW+Sfo/
rr2A8w+qXhgWwSm80LUFLL+LSYxVRP2zkX6Zqi9D7V9fxWUGeG6CvdmcLB5UCSYsi6Sv4GrSfcXu
5n1VjvazrWai+jr3q22WxHgB+GAj0uiwV9ok3UVaC2SetMb7fnQ6wdLoBrAOt/l6LB58mpS2a5IJ
1V8F7G76D0kB8WVeeIUa9J1gpwSfkX1i53Gk6KRucm9qozdVRhsmKazTqtSrX+rV0/U94+SedNNQ
FAWIEqVMtrykgGCtNxwbQAf9sYQoCwnrm/GVTritEDUKugr4B9nN/OhONDzCX+eHZSbrraW1UjKk
Q15nx4NrOT3xhhFqIOCpLMOybHpB4sV3lw97zCHL20SWq1gvvAwzWvr8RGpc3KMgBHIep+ffkzkE
nVnkMSiWUq9++wdlTEcumjfzXe9HjKen0f7SMT8WxZwBFbyea2M6KZhu34zsIYn+vL18th52Ard3
gFNJJKxnSg8USCW9JqEDVZjT8D7bEXnq3wR3OkPyTrpFW0rnwdBUV0uebVhEVjL6tOeZ7eTPA9gU
m1DcyeWf7A9r9ANvrlMLs7kxUeERQ4eZB0yq5lJyiGKgJFUpcxVD9Ni7TCjp9/ywR710Y0+VSnO2
BqxOcxyvrg+NfT/IezxIglKJ/cm4aQAwFpxxvud/2GROmmpFw1DFiCiQCvsB9mdvOaVBZHgGRYNT
ZPao+9m9qPHKd80Pq8x5wxR6I0Vpl3u51n+uiukQF45gZdzNQ2cOUAqLZgNMqmfC+ZV+NFLg0OCI
477s+53d/cpRUZv6SJBYctezMUaTks3OGbPldJNBr7ecfNKdGYRoooc3Z6PAQolqP0V0yBcczxUp
16nBQB3K7zeGGszgFhEp1olMMKuoRh2YQRsmMudVTfaycqsX4XV/47j42SqYA1zPUln2s5R6Vowh
dzmYWxVMH7GrtTdEARV/+8kcf1w3KVoV3bvN3thLrDk9XZVq1G4xB2oEZx+/XDfCKYvgWUHfgiBu
xqg0i/YBA4ZkdiMWNofjrQZCrvjwj/RR6ot4PThZvgH0pQWcJ14SBit3oc2zrTcSFkSiXYqPVpmO
n44aRg9+AqrlSqvgWcG5jIGUxiiipQOBDpKC8w8oaV2LJ3VMvJZ8VapjWt1UbeMbJBccIt79CEN0
MAbSpSDnZe7HCLBwR0Mqigd13/pGmIf9vsqhzSDfFiF66p/+/PEJeJYJcUaQDMmX9dt5jcwGYz8o
ruW7tZDdYnoo6Fi2cprN51pUBeU54sYaW83t+1bRugHLi6PXUT9o0q2R7QRuSM8Pc+dvV8RWc2X0
A7M2XpA4YWivv58P6bHeG0A/zqf+JB7y5boGpRqjrImXJZCkmsukWkBOXeW/y2H0jDIPVb0LSWwK
kifuxwOUDS87lPAxE37uhPM4YaytRzIz41JcdkN9ikRAdw7lJNwBEF9ag8PAEIt0r5REqiQTmXwH
7amn+SmFPHp9s9xrD9oxcs09CchzJThcnOHsM6NsIQe+mbfgPKo95bON/6tA/0HxxXgoA6znSSBP
y7+KgKvcbftYKCtLpQM5bRYrarizctupN3Z8mnvLwxEXnGjOHbz9oBpzoUTzmAIBDjtpA46Aoo2z
Halqp/WqrLMNqLPnn0u7fBCcAb6r/LuNbKWl0LNhzRdY1R8WzLnNh+yhatz2pndNV67c/k51l+9C
0kueVcRjyANhqFS5eERbSTn0c4ILYCh+ZeSlzTu3+WOhI5D0bm0wAbLGgLCqA0XtWeWXEg3WsQoK
IekC3RQ2hIDCDHYQhkGGwFzR7ZxExZAjTDl7/ViH5B4JIO4yANM8MTkG997cWmNuZydzIiclBQGE
gUqr/KPFA8F2PCtFVDecJA2XJeqWmIAEDyM7MaBlSj0VTYWnZFmHqOd4dit4n/DO1cYC+yAy1qwG
7yksQKg3d6G+7NtTX7gaeO2t7KfAzXmHCwyyiopWND1lTERcDGnollQHDVwY79en4TTtct+J3fy1
/E1Vf9H8djCakN5LTwLL3A+JUi0dMcFgENtknfVeX1a0Db0Fz9jb8SC9kjDdzZAydQCAUwJ5j5K3
IpgZExllYolsoomUNTA6a6tvDxjBUwTRimcBLC0odFjw/YveQUG6xCRSSxCXECogpGKUj9e/nMgC
/fsmFU0wUt+htIEHpPa773J3rcLrBt4/PXt4t2ugUWpjwbCiPukVfKXecdO74m6A4iccAsLo650N
LMEx/gkC9p3hp3ctpKDEhH68I7D9AfTvmx8AncEUCTd+AMrcfrJ+z8tfWrVrlOD6QrlxY2uHno6N
nX4s15R0NdwhzJ+KoILadXUw3kVuRFMrnBlQuPrGMZiwG+eTpE4J1kQOC471IyXvG/eJRwWp9af5
OPhU4D7zrYPyU38rH9W9KSi18C4XDEfgpANcj9Yjs1qrXSt5GG2oXydWOKSDZ+rZTpVXwVflvSzs
d9JYyGMCpsGE/hw03mQwV+KB2dWNF68cQlIfDPPLDMYk9fP1LeQ9BbfGmMOQ6W1fFSuMLVAKmkuy
16wsSNLSrdGqW7TVM0GukpqqIOHinkFKL2yCHxd6gUzYBE9hX0TOQDy1SJ4cpTpFaexdXxkvMmMs
818TTKgy5KqvHBs1y7IYvXi6tdTBk5ObnASjI9gx7mow/YkgjBKtzD47p6Xp1gEoQGRYkAuf9lku
EhHmHugPCyyfcGauczVS5x+N26Z+zqtPelS6UymowHIff2gz/v9K2OtMI0uZ2gM9ZHLf3Q2x9A1o
0C+YTMvdqjNbt4jnaWetcuQ6Q0J6V1sJmAzG6VtpTBGwBokI+Mo9DJsfxOxiscg9KU1cB9ZCTlo1
u9VqvIH2/ACmFleKo+9mIhruF+wm273WiJzVZQ3HKZYBLUmrVvwqzhSBe/Ivic3KmJM3aVWNwiY+
tb4bAV7P/dUlfukXD7ZvBCbmAMzbJZT9zE9cHcdzbz1dPx/caLaxT/++id1Q7EuqJKNbDfmCcfRm
yINOQswl3Z+Lq3BjhbmJumyIWoA7cUO8TUF8s0Iulmq86yG0OkMRxQZ/5yxULuggNhKy8yXF6zC1
ejvCWN+E83LbFKKrXWSBWc4MRPww6DPcUZ+QuSouqFWvb4vIAnPJZJBbjuJoISAYklzbDjK1F1jg
b/zHV2Iu0lTWJ7mWYMEgo9v3T4ZFoBl5+G/LoPfOxrsGmSxqlLxvheLKWucOn68b4EZEB3Tn4GQA
eJJNf5VcdjpzxE5M0eAn9b3ejWAtnl27F1xV/Ji4scSEoMVKkj7RelD5JFAEb9GCA4HbHqyZdCIK
MB2hYi+3GgEn/ndt2vnHG4c4smPjH4u9b+L9B24adKna+H+2yXMKVJBAIk+JPC7AgW3T6RiuhlOY
aQ+yUd2bnbvVFpSPeHsGggSg1jGwo0KG9XxdYPdxlKyZ8Myc9ee+7cEjhHLPL0ca8sM4qn8R4NCj
ApMBVGIuNRPaVK/MObEKryFH3Q7U5K5eBPcl/6t9mKCHeePlcSOZFpn/j7Qv25EbV7b9IgHULL1q
yKnmcrlc9otgV9uaZ4kavv4uVp/rVjJ5k9c+wAZ6A+52JKmIYIxrASK7Knyl++TghTR1mVcTvhTb
g3DXNg72okw2HqRW7aPFa13ABJEZoPp2O9oADm6dYDY7EFX34P8CB6XulX1CAqdan+Y8edPs/GlZ
RsMrhyT2zHZuD3PcGbtl0Po7s7Fe5jH72rStlIBK5PtdVUWtGiBL7kW1sDL7pc9VmCgBii0YqNo9
utZPPX58kGHyXUrAycyCf2u28jhDRTI8txaFz6mwtriEABVDs9z1y/5Ujx/7mG5Anq97IcHyB3aL
wCzMCE+QFPCDIbHrFsU8TJgF8CvNM3fqATn4qTzawIL9S88AkihMu6CdBr4FThVsM1IsQGRmfp/4
M5q91S4OCShsPECYpxkoMyJfUsgTvUdbidyLp7WK02o5ClFWh8U697ErDtevUGhDmyNxD57aOQ0d
gUjlT1ZgG7f1/KmWvXiyM3AvXuxM62yD5NZPq1/99AVkeP+7I3CP3TosmBJU2bYMnbwF6YY9n2Jp
SVAUCm++BD/i4rYUdMssYGNdBR2sLOWv5Vd6k2Oyygpo57mLB9vSsFXiHnVJ3UeYfW+Fcwlb10+p
mqkJosU+tPbpoau8h/yQ7ewQbQ4zpKHuI+1nAStwYTGLgi7H/voli03tP0UxOPMu19LNEmXA7N5p
BGJas2M0jtY/DArRkPN7XW62wLA30rg3uEuseiQpSqKM37bZ0YO610AQoEjXF4Sv/VYS94iswHXI
HVQnAYrQaECSKLD8bAGduECl3Ng5hzxwg6iXqKxUKudJhmqNzWJGldSOg6IL/gXFsQIwfjavThwY
uwGcSfX/ztYNzpmszTSDaZTVmStysGz60JJxp0Sa7HBMFS5eAgPlZbDioJJocNpqgYtmGlltdH2I
ntpnRs3UhbXGdvIwUS17oIUebCONU8zEsRVMUULaaDheYh1NQDQVRSBRf8HrhlDXAU4XkED0iy35
bl3cMnFQZJj85tZ8iA86cMfb9xGIp/NePnYj8JmMixhDDsDtw2w1d4WT1cRVb0GcA1rw5Mv4F5MU
Z38/d2lmHlkltiRQAaJa8ZVGWEhXI4WwCR8Zxq6gxnUmijPlNcOQemHiKNkRELuH4bCeGDqDbCJA
oAZnYjg7JkrlTFWM8MM18RKXrVfjUSukG/YyMZzh6kNGo1THaRTtpz7+MtqAqm/XdU18YYBmZcvh
BFHNeVibjcvgYBMYaaFbeHk6+WVyqvNDon93xzRUtMqz/xxfFCBL+m+RfNMmq9sGdoz8g4K4du2w
OmJqd3Uum0cSXx5qA6DaRAbMl3DztcwKc4DWJdXXVD22oAiqc//67QllIIXCUjj617rBBTTZXGIf
galbOlh7J7cPRgXM4E4/Xhcj4L9kuFQ6wkBkbNjq4tS6ArTXUCTsysDSRpCUYs/5aOKjMaQqN7S/
uU8d2oVp4mHkJnHCTtZYFh0Uy1dYXgFVo23YnMIvsYWBWx3x/ay+xuVJAYuJK6MwEbUYUHJnoa4N
bnvkcee6GM1rYtQdTpl2jeGlSRSM+XRMi9RDk8jxyHqjRvOb69T3yhidMNsveUsEUddWPq+YtrE6
FqH4mnFKPtlrHjh9Ftqx402T6yV9C5ALmSMRud7NkT+uZJNVtlWqVG2NBnNmvNdOOLfvEs0RPI9n
Z+J8r24NgK6y8OG69zF0a48xYtv34xvAQtnWumyRVmOayD3HIA/APjJgf0Dryc8ukSVXxkH76Ghg
1KGwfW2wdq453GEV6ec894Fuay8qeTU151M6nvQ4AHq4F9MkWKOwUd8s62UtE09xglfT/KHF3ycq
q3wL7hw/0ULbBeUkLK1yxlTTEUAxmYqib9kqj7pe2g91V/y8fvEyIZzBNFqN3RADQqwB1C4VAMo6
WZAsKLFguxN+B3zPADXmGyuVPTtzkqeYngn71+T2Xxq5AoQo2hEBJQ1J0PnGDxk8mchKIRYpPjZ6
jEs8wpEktq64BCd7mkL7gwm3PqIHjWhLNpUuvERMixmokDlsHu7cITR2TjEpn+Q+UaYnM3OfLFe2
8SsKjnGc/2Qwp7CxQC1d13RM2XDf6E/hGowIIbHAkAMoC1P3ql/vpgOtdte1Q5TgnEnlXJ1Z2mSw
TKiHUe7dN2aU+X5+che/vy3AgPsX47+Yt8M9Yg9QdS+3z1Usm9gj8wLAvW71yV+sP68dnEngwn1j
6uyoqmH3ivK0DuEYyYYV2Y1cOJbNEThdoHQoU4Su/yZp454e0qOGxEWm3oKH7uwcnDqsY55nTZnm
2Ca5U9bvSxpo01/45DMZ3McH6opewcm1MNw5cF5bzJ6t96sfecOTcpTlYaLYYSuNn4IkK4AtUz1u
wXVGXt1/k4l7FU0oehjQ5cNi6H2If2I4ofuLFsqZaC6xSIxqSbUV9pvY3U86F4c4iSWNerH9/qcX
LvfAfaRKhYrjGXtr8Rw4212F8Aj0vE9L7ZUaOEIBnS0reAp9rwscMczOmhgK4t4QaphN7zRwgiUW
V8AY6uFl69VfrD4s8RRMr3m9B2gEOBnR/tCx+HbunxgaN1AvcYcGCF8B54BaIPt4ICDOgvd/N1mq
GINHw9frggXBEOCisRwBEgUb66Lct1vrOGn0bMAuhkoPUZG/5sbX1nFPVoVdQhODH70sTRQVnsDT
iyVbYBEbjIbo/KjNnC3JPAPC2XjKIg9Qm8UjZj5u4lP0oj8h3n1aAaSShdPBPBYn5133jYPM/EUd
oLPfwKnTCKpZcGKwpfOHIYj2QBQK9Gds9MDZ1Lt4J4WMET1x2zNzitQB7LMCrGnt64Off1/CHnTW
kxEo37tfSzAeS8iUEiz+Pw6JHWa2GXq54lgrwMpyCghVSGCc8gM8EP6//74UOwbcoQSyh1wYNHwQ
cf6PRM6tJuOUzKOdMZBY4sc36sE6WqhjFwDFlKHiiDz4VhTnXceqLYcYGO5+Xp6K9W7ofJ1Inm/h
R8PEPFgebDa+xtlk7aZL3fQoApvGs6t+n2Wry8LwAGOGvwVwr2nvLpVZxwxrBzU6dCHLvRp75B+K
boOGGTKLSLyMyJ1t5XGPa5PQoiYplsKLGmtWHXah9ko7guRTsk4p/Dabc3FqoHZxlxvzB1TIFLS9
C6pAzCrH2uG67xLeH4jpNUZWAMAQfm2tV40pWlpkkuUSDvZBRQV5PkyNR6KT41lYsN/LStYilcCW
NRZ6wW5DLmpoxaiZkdohkUsK60vXlLcLlU05yURwrskwxqYieZujPWN7RdZ7tSZRA9Fbsz0E74za
NVbaBM2TEqvL35LWaIA5Zjaf2yqpbpV1xu1NavRy/WMJj4UcGNUTAOtf8MAlmqEsmgvXQOqfarvL
DEnjVvj3AwPH0EA8fwmHOdJYSdskrX11eqzIXdN9u/77hZe2+fs5W41HEHoYPWynT03FG83uqVat
5zaLn9ummL0KLIfXBYqMSN8I5Iw1mmPsTThwDmiTeKmr/aCL7kXD+HpdjGg7wwZrBHAbQBwBV8Rp
w5K3BFOBHz57rr0lBMjwDTRi8LpXbGci5ABH3176UghP54IkAEwjKOjzSClg/52AWAI4+z5cfi3f
VcdzGLq3hUHn5rm6j/0hD8BVIdF8mVTOMRF3acYyQ8NpJgoDt39epiRYdFOiiyI/CwSY34fj3iZ4
v6KjKnTF7Ijmm237tcaQobc0Dg0LLZdoptgN/ieObyPGy2SoKYNLN/bxQWGDJVZQ3jpe5NE7YDHK
wBmEluYCqg29NIzO8s9iX4zxkqhY310T4k9LDpzpQKKTTOf4aBgPLvCudVCLAsbkPERU6zQdsumD
x4T46gdQv/tMQWLCwrOs9WSjyMJQaSuQ+2IoSrS9/rGxhissAN07ZTBpvw+moN5hrvufVCpSpCQb
kRqHNNO5tFgrFSHo+jCGoMY8xDjXixnGhmcErPsKshbUIv/BcM312xUJBtASQBNNxIYYPDi/3GZs
ItNWRjgWVd8n0frQpPlnQ6efzTWRTFqJ7A2ohXihsT2HOSHOh8UOCnTl1IGf1ejCyrjL89Kf87/x
YBAAyB5GGKxZnLYAGXRyEg0ezK68BYGngdeZcX8F+oqGK7ODBVH3XwCSY9B5I5a7x6pvabIu4FWJ
sHIAJqM8fU3ip7j9C2eyEcPD0dZa07hphdntmZAXd4hviUG90Wn9BaRR1zXjwrJR0DVApfcvG8cF
FLJlx3PfzUvrE7vxpvEYEcnQwaWdcRK44KYxrbgAMjd4N/Gd8sPqRRMykvXe3LNR/+auly00XCg7
Ewj9Y1u9WHLkk013BaRAh3DKj9ofVYeiqfNDGe6IFl6/ucvMh5PDHaxanJIsBuTQ3QLC6jgcJy8+
grwS1CK1/aehASeMuc9NMVOf7XhK8qLFvCogG/KvVuP4Uy4J4i/BzDgpTFs2Ujrs3Q92BildkH7H
5stHnhxbfpSA2lnZD/vKB8HDkwzX/MPxnTl/yMW3QncBKxmX/inN6xZQwBPqZif0hPJ7yqISBqeu
QF12MOh3R/XQJAddJmbzwSz9x8Rg7AfgecPsP1wknqDzg6vok0KRAClVYq5I1/ckvgV6vuQbimwN
U67YlwN0G0IvTkhRAM26rwBtQPX5U9Qvd+C5PEqUkikdf5NbGdwXzEYkMXHZstaBuuvv2R1qR+eT
si931Z2MT1VkaVth7C3YqAtJUizyJyb6TskSEjNYael17eLV0lLnxauC74NVMowwgGX0EttsUubS
KSOgAg0BApB7s/LYUKDhkV37mDz/W9ogUowz9kH4y9xKZeffnC+eYrMebUh17hyg+yvPmuItX/uv
5ZHZOLDPCiO4/v1EKrKVyL2eTjnkpIu11l/blwWVgWWWTO9eRo7cTXIvJ5kjdFwdnKkL3AfNT/z0
ZD8PHhvAGj7LmoYiBWHosS52AEEGymt8TREnxAYergRAj2mqh/1CbyfL/VTrf0zzjHNhHBlwcAaa
2RfcCKq6aBTIEY0fdQnouY3YPA5x0kqcvuhAaBVjTBRY4XBZnMab8+QmQ45ACsxBL5lW7QyaBiTR
9yjqfL6uCpdZGjvRRhanfbkGhadO2vqtvkyaVzWN5neule+MRGsCkCiNpwI1xh2x+znMDfVxwFzp
LrXcR1o3madNRYmhfcfw5hG9oes/TmCPKjjD8MCywWxCOD1VE2uiplO1QAIhfmU9xO4rNWQgPiJd
PZPC6eo4zfXidpjLLW771+iUnvTnLlT9/JFV/v+4uoi8Y3skLrZb69WiqlG2/ty9TW4YAYeVSNI2
4a2BxhfIJgy9gtee0qGF1ZgJnrkiumuT4mSSn/rU+de/Dbt7zmsBBvI/KZzedEOjDEpT4yBm6i3G
F9O8Mekxq18X56/UYCOKUwOsF9JEKXBnNMcWSve1QWhsDV+un0fgE8/Ow2kBltUWOjUQkmtPA/3H
0CWGxj7sxX1hJA+gLDbmcPgt/cQyS+CJNKyNNhzZlCFSpIN2+OOdeaZfGzHcy1xWRTNOyghQNKDv
m1XqObJYXmwvGxFM/zbvlZFMhtkltPwAbCSh4qUn45jjsQIMp7SFf4kAyh2I0zNnprOFNf0W0rC8
/pJr2A5YwYnlfiNv0Vt6y+YU8sACIY70LoWGtDkop3f6Yjup1kO0ZtxY9U0b/eoHSdtblLcwTho2
oaAib+aHMEp3/J/jDVh6UzwM6Z+cx/fZJ7vkRrtJ/hTvgF3mRhqL6zafro/tXqUTtMPMhvrYx/pt
Ozsj3kprRSfXyMPrNsVshtP5s7eFu8CI9ouiEfaO1ffV8ku1fSMNuyg0jH3V7q7LEnws6D3mT1F5
AEUTv9A3LbOS0XUBLm0z3pf04NLlEMu6xUIhYIkx2ZA+QYx4fn9rbkRu1CDupfTGcn11ftBlVXqZ
CM6AhwZd7yzDOQjC3F7bpfRLVsiyZVH8jvDr9znYj9joQYE9oSh1KMCI1y9VaniacxrM92Qsg3kG
xa4drspj0f0syGNeS1RQfD7o+weqNOpf56Jr241pp+N8S6S8zvbXZW3vi1iiDCKzYuirv6Vwit5q
1QS9qzvfwULXScf+vwL8c7/41d6SYHxgDIJ/oX4bgZxmKGmeFVqNYymYyTcQqRxVGZYos5YLa9qI
4DQjoT04ZRYXvFxduyuWT5M6gXss8cpsV9uyoX/Bc4WBH/RB0cJH9MWXN6g5gRjdhDCMD4e9ESAF
w1IY8dqs3i3x1wrvV5xKwj1hgg7WewbKhlfSJZyvrxPVpVOfoYhzUrqjA6iI7oO8G7SPAfjMb2oX
Zbf+2O3tk7NrpD04kWq6CJocYOgw/mQuNpvAlrc22coQn5+b/Laf9+4ky/bEMjD4gRYfaDUc7ojU
TTq9oG3nF6X9pMTlMUvVb26rS2osYjFgcHMAMYS0iNMVF7V0WlsosaRwg0rsnuJR9epxDq5rvbA6
5WIaEtxJyCEwXnJuzboNkLR1gZwmoIGGAml6Mu+XnRoCpCq8Lov9Vbz6b0Vxj0mL1S8QagALsFvs
h8lKT5lTBYP9Q59loa3w8tBMBG4Z2wnldZ8kJhmUmqBMQ57m5GZRE7COSz6Q0ENhqPy3EM5DDauT
DATtUhQsU4xT5SHccHw7s3X3nRFjIVBWnf8ACbu4QOC2s94fwlCXU+/ErWKtn3GsYQH0q/M5UW9H
E7HuK3Fv3CY06ntDMby+3+XU8Qb9ITJ+5LZ731hgagYE026eDR877EN10qew+74Wla8Vb053GvGv
mB0gSOtvY7RbclWiZWK/8PuXO4TraDhtktHEhmE688dadXlgE+xgJMkqLwqqQ/+V1Q2tQxLqlX9A
c0PWmRJ/rc0v4F4tfbB6yxiYZ0J5GSDlXv9ZCQevPi7HBstPfzwehqTc3YjjlENNl2UmEw5sqoCN
sd+0kXqASdvnw6e/MCrgrWISFwVD7HSf2+9iZTptWIa9pm6o0PkWBHveqH0x0kgSc4hiQRdjuIwL
0UZviNO+0moTPSLMU8T1LskQvkfFaZz0b3QwfjrpfAC0veQ9EWcqm3CXOx14bFvN1RDATxjNNfwq
QNQW9IGLEnO8ky1ZCPwT2JkAYY/GIvgsHO6baUm7EjfBN1Pdw1yBZGW5AX6eV03+9U8mCAMwc441
B9AvqCp6weefTElGdVA0XGQ2Y7q4HXZJ+XOqj0ARjejufyeK+2ZGqysLXVHtyojqZ8XgkyYCQdgU
GL0WZokqaeoJb/C/k/HIikOp52SI4aCqCmURw3e1A6mTnRSmQeDftzf44Sg30e+yxoleTzDmGqX/
/GUkj70MGEbykXggxX7N6zXKUFOiWhPPwWCayZMGPhoPPtjBIpuNzXxPq5X36x9MdjJO4fscq/7G
ynRDe1XV56KdvalYJAooFGJiYwkr7EhadfYZN9c3D4a+DiWEzPH3qPxREoz/tZ+uH0SoChsZ3GNv
dB1VFM0ufD1zpxstqUDLbI/xDbWNT5nbWpIXhoVD3NPIyMd+H4mzKVpiiS0laCf3Gn1TauvBcmvJ
rTFbuSaCs6V2QV6us8JfZv9I7S92eeimX5qN98QCGe36ZTKavzGn/w7FT28YempTyjxuTMJRn7xZ
e7CLdyueZG5WrBAIZuBMQZBscZ6vUXJHSSgKjpjEa0DulHpurLke0Xr0oIZ/ZhAlt/0/azt+SZty
Zylp0MXuPjEAykYbYBEMkhTzkgcBZQ5NR0qCG0Uuwb9qZK7z2ikwezzku9Lx9Z2FNbf1nkw+QFMX
oPdXYffK2jnx3+SBZ6KZpm2MQy+tCpOPEJ1G9xM9UvWl1r5ftw3hs7Y9HvseGxlq66ZGTBvWXFlr
D+WwmxwUD7QAa14WymebRMbxUVchAJPGzAVni4mpIEcvOqQsWe1F4PgZJcYuiq4wjMMikH8lcOZn
NvVCJhsOeTl1LwyuQPFVbCOiy82mVdsvMZGorEBj0U4w2bIyCL0xg39+g6DyHmc7jQDFWbfBoDWh
VrZ3uplJ3Iog5tmK4VcnQDvbLrqG3opT6bsypt+Kwr6r5trHOv2+UGc/M2WDMYKHByIROuJ/jK6Z
+1itDYw+p0F+SUm/i5fl0OtfdIAwk/7UGYbkGkWaCBYaFxkFbpJtyp7fY5YYRdLGmL2hO2Zk9d7G
yhjmslnj0ng2X64rvsCFoiBB0EMH9DfSTS4I12aDZDMLR4hD72bFDRarOZGxu0c89BIVfZhWbkDN
SrYiIniM2EA4HjvMwhkY9jg/paX05WLHkGs4vQ8U00w5qbbn9idj2JHeBAbSPs7Doko8LQ2BnJm6
P9Ju8PJod/38Hwuk3BuCH2IjgAZEjgYgmfMf4nYd9rAzlsE15aEt7+N69Azg8hMbKRkmy7ChPKF0
XFHJ2yXU441czj5HJUMAU6BfHFsdYNBvSif26PJPTkCkvr7ppsQfCO/bwbunM6YxvCjnx6SmVvVu
3HQ4SdA4OYiE/2kzQPP2P6/fp9ALbOSw37Hxo7Nq1SmqhJ3f168Wotq+eugGWWFQdhjumyWt1ca2
g0pkS1668SZ2fyWuP9TP148i8NFYJfrvyvgvNKIrS3VImY13I/5MZIvqIhd9JoCzAZKVuTaNGENy
2wMpb8oiXFGwSCiqgiNINB6juvGy5hQZ78u8eEMdXj+f6FOpSBs1FcoP8GROvOv0wDha+85PtFt9
+KW6QDWSWJfoQ21E8M56zAxjzg28qmAIXdXPkbNX7DDSZbEJC4Z4G8bOFSZMUF0F2xmnD4Oqktnt
G8Qmgf2uB/HJCNpb1f//25sRqcVWGKcWyVLOip6DxM023sd8v7ayvX7hC7CVwH2YyHar1VFH2NAp
O7JqLT2QTwySssR4tww9RSINe8vnFkvHBri/BqS59Qsr67d7KxhBExMHZKcF+e4vao4M1gRlQAx7
YCpIP5e3rgBVMPoIH6u9i7BY1lU3S7cnZJA9pOwv4rViK4h9yI0ryscC7SubXSMGqiw/2znBem9g
Zv3fYbRV4mGZkvHisFkJhl+gkWvIEc7F9fM8JGnq5L5DV08ZDlase0p/2yxfE9kOp6hEzLhDGcUK
Vr4xfXcua8rrPCnATIkh8uHofgEOOIJV1e8fGymsisiEt6K4W3RKDNMULBHpF2BZ9B5Vvi/0qaza
4Lo30oT3h4FWuERM2F0sNxp2EoO1cal9RMTaL+M59+LAPOqe/mbv9AO9aYP2iLUhbz6AXiAgQfxo
gl0dQyX9YxLKVoeEYQGcIqbaATeNohB3w31UW0u1AFdQx5xMkJjF+xxHt3OGeq2KhVa2dUmxBIhd
eCzQ/kU1AASRgBcxMCNtXdBkAhkWEP0JerwOqDC0GTTH1O/zp+sXLsrowBGOES90yNGO4hU2cq3Z
IVWBegqw88nJCpvb+MDGDtd75RuwLoewu9cOoHVUJJYpeng2gvmaVEa0xmm7qvPzAUFt/Zwto0c7
WedLpLgwECC0YHwNp+MeBbsDZWSuITHIEnPf6oD2rSuvU+2wNmQgJaKBClzlf7K4NyHWwbZhzlru
YwaWsTDX36I95vPCJAD11ltTID2ukXXRz24gQ3oVRhFb2ZzfsRTkrfrowkBPMz5kD7B77chMZA0/
1kb319VG/PH+71GRXp67nroaaDPWfe0PRRY09hA4ZbrP2lwSOYi8wX+n0nmqVHeu4WtzDaQ6zr2K
aahS3/WgczWq2ssLmSWI4oetMPbnm5ditTU6NHbf+tadrXoRgCvj0AUDAl5AtosgewGFzsUBrzDI
04G5BJLmc3maprR1y+bPWeejvc9PHTCxEoYxIUmzBLeIejasG0hFKMbxUX9bAqnKXNEQ65XR9NIC
tq1idavv0y+0tg8K0Cf+WDtQqkd3FD1u8xJYfpwT6IdSIs1YXhbrh6PcLJqkyydQQIxwwjWycdFL
tPe+qmzkF8gwBhUdNyyR2J8r05W4KFFUtJXCI75bOVHKNUPOT/YMyHQ+VAcLuykxONXl1SBmolzo
AGGsq4xToYnNuSrHmZ3ImjHDPrifTfsUOQ+OETox9n2PURFo1p+bMF5ZjCFgBeeD3vpc/ZJkaeO0
wNmsbDjEpEdJbwXwjiJ50UVjsJCD8TwcihEtcZ6pA+UcUM11MLm/Mp7KcY9sfviS+8uDtgMBx+fi
lDzJZvUEXh/k0qDHAn0V9hL46onpuvGUEpBI2fOjMt67Wooh1xs1HiWKfokKDNQ6FAxZMo1FzIs3
ulnXwuwnlLu0Sj10w4/WzEpPnauwzdw7oPbvRjw5rqN1nu78iIck8TqQxTnd25oXXobGsFusngFq
qyl9B5Z6mJX1Q9bEEj1mDw+vWajHoXAFvnkGyHj+qWEm1tStGdRYPbn10SJPk/rWp4+gCwhm7Y+B
WGGTaHqiI0nAca3yTf7azfUxKaFYyuTuzGr2Fjc/IaR7vu5kRMsuZ3I4f+0omFvAbjzmPm/ZfMQC
dGk2jIS9pDeA6IOxE/tjKAb6silgkeM+E8w5biPBXS49DpgeWn+nD6cFOJA0QM2myI7aIGnvinr0
Z+K42DubdaqCuBxD+NMwfY5j4PGtBX3V1UINy4Qub1rU/UxLG0lNXTmHtigQY1Tx2zwlKdyjbe4S
u3Z23eD8qNDtBwrdkP0gda4/95Ga+E5cZcfrn0Zgfme/mNO3DKOypl6gZtL0SZiYhzbWdtPgx1KU
v0v7w5rYdtOOK1xWRlk3QGmvkN0lj+YRLA4aQFiAyusfqZ9qQb9b/XsGA93tn2T1p4sniMkG2BYc
m25bF4znceImEY0J5me7dA+a61tFdwDjZr/+4WVCDFotWITDuNglseA4N8DaS7BMaOf1S5qvrwi1
9F2k0a+NlsuQXpgunXkKJowt6LDQ7pK6DTOrqpJTq8BUShhjmVfVZRXPyzeVE8FFyVEzu51aRshV
d+QXYqzTAOLn8ogQK4ieZeMlom8E/jK0z0xGbMlj5XSo2hvmgKl2pW+Pa5o8FOb8ebBlayWXjxw7
1EYO54tKTHDptB9z39QABGQhBl+D/AAMSKBClx3Dw/Ll6LAXZvYhFM1BxwT6EJK3c7dOrGVQrNhC
5VAF5HT7OaMZVrceikj2foi/mY2ZCLwgCFf5RtUAurhxmUzkwQ9TaO7Sk+KPu/qWldZARiqJGC7C
VXYszBujyYgnBC/4+bGGpKJTDveBUhRYautftnUyF2XfFT+WRfaGMFd9oe8OpkowZYfpSD7mGpwF
bZGRLS6GOYCbVq9HvuZgkmVSTmydW/nzNiY73UYip/5OT9V2LGDObl/dRBb1tdH6RJpREt1dFoeY
HBdZL2FYDaCoO7/Fpuw1o6V2juxCeRiO7T56BHTarbWrvkmhmZiXvbjFjSymqNvMKcNPyIEJ6IOI
KNCn1LOjMKfE0yY45ulbn7deVnxSowORDfsJ7XsjmYuZZ8ug5jxDV9K6PdhO+1LT6sZSjcN1H3yZ
XnO3yX01e+qdWl8Y+Nyv9pWxGuf7+OjexS9LUITpzpSYgBA7jUF7IH7SBVUZxbVNonQLNjM/TYD3
GJogCgYPYOQ6CnzFBxp598ejcTijreFy0OVEud7ivqJjDpODhlSNObKg0B/7dL+Ot7H9F7vxqCQy
00aV76KxqUdRVpRmg3HujIRu4Z7sWPOiePYdx5Hcosg/YokcKS8GFdQLbN4ECAY2JTC1wf2eDceV
pp7hfI5t2eSxUDu2gjiPRRa3spcZQDZ1PFpelRDDpwYF3+rSD7eT6SDHIu4L4FczcHXV5QHG+aVz
Ji3UxnK9zwFctLuur+KTGyb+S/g1zI6cG2RjRqTKVIbzYbw5w61lPtYjgClkWyjCdwFF2t9yuGcP
7KiuCRpRtN27Ew3mIL8pUF+fyYmNb+Y7WT1WZO2sjMc2h7AsyqeSjdUCmGKFtWcVgYNRT1banWq3
+H799tjn4t0ZwyOC58RIr8HXDFNVz3KscACcZYp2itLs4NIkDkX0gRwLcMou8LaxU8P+fOMxbceh
GelxEpuisx/m+nuR39DhLwwAS7uopLP13YveXqeOyVSlOMgQo+jZP6n2U05br7El6iYMfxwgg4Bj
Bni36HucH0fN12zQWeUzwhhxGf67FwKa+Rf1qURo8omGKlb/ZRW0i4IJHBaSWnDbYD0JiGJcHuY0
UzdawEj3yYnigevA7s0YV2XFBKEz3srhzVudypSCH33LPVX7uQ/2KQZv05ySUBYDiVQQjDZIbSxU
MdDlOb/QhZb9sNjAVE3ygXpmruSek3++ruYia9rK4I4FHJuuHRzIWPJfA+AZnJ+xrJ0jPAbWPYAj
A8W4IFBeIjNp1F4DNCxS05O72uNdYi66f/0glwk5FAHVF1A+w17VizkqSvs6TiuUMbUkd+8Vu+jw
sqh55Y/K6B5AZJ6809k2vyWjYntm2jxmWSErVQuPirEKJBnYX8ca+/kXa8tEzbocRx11O8wnNeh0
ydShTAL3vfIeRjYPgM6rsKzrGnvwX3uSixS5JfQufx+Cs+O6aPRB7Zja3RLzJreDD/qmoPTLt3b0
a1jY0xoCXQkoItcly87G+cPMzgcXWGel39ll6WGm6ti6xut1GSxG49369nBcrOi4yzyqNQ6X92Bn
dmLjcZ1djPHaGCgqf3ZY540LWRgutDHg26GDiKoYyp/nWkEbvZuxUQN4nuxLMj4u85dIhlwmSpdA
5P1bBJcF5o5doTUCxVP09muWji+rlWMi1fBGoG7ptQwERZRYIHSD43UxKoXnkYstxmFsVWNQKowU
tvflabhBH/RW2QNlPLAkjQuBOp6J4sKLzOgoIFgtqOMMlN088qwZG2STp2O49bpuSE/FmS+GlC2r
tFFIcu6mUAvbPXk09yQowTX0x90RDaMUbEweGJiYk+TT9oHMORDTgfFaTJ+0fE+TB1sGU6oL9A6B
r2EgfYZP1PjBOho7zVprC8i2Gu2zNWoUqMAz4uwaJcFxLftgrGrFt5TOBbijY4aagQazqifA3Vrb
58hYGy9Xl/RE6lTdkbJ7LFvtea4aG4AE4LIwtOGly/X0i+qksddGWvOppGbhFXE9917eY8cvX91u
9igw6T4Ny1h7/Twq/5DKqtydMcxvpVt0R2or5FfqDpoEJEV0ejAbYu4cc68AnuEs3aqNBNTo6KQ0
ZnzTwajLxryfFxJeVxqB02IEir/FcMbdV3E+ksFEio2ZxAKBTi7jTBMZwFYCZ9vL0oLGyMJBJvOm
QxZtJDDzFWSxvUT/JTfmcP1c3YHzmHsgV1azFaKoeqNj2tImsoF2mRjOd3RN3mFtHTc2K3PYKjf2
/I9LZTVMyaXx60LtpOspcIaB0qe9LprpjYvqJ8D6tOHoryuA7Dic01BjLTVSNwInZPO+ukebjfxY
kpdREORulcxhSrjJFICoCIbiFLklSe8c9cbqc09vgqVNdhE9NegiGZlkkE52KvbnG4lFh6miZYF/
itejSn2afeqm4/WLE7xZZ4din3AjwiaK0WUdMvOsTfdFTW8jrQtbd95rRfZUmen+ujjZiTh/UM+L
NRCtRZcOaNq9ogeKVnuOJUNTkSke5w/yzHIWBdNL/lBmz5n6aWiyGwBSA1WlkBxIROZydoGcYxjy
lICjS2EQb9MvAqi1QfMIdCHMHvBSekvqTe/gIXT3wDgEKGt/0DEGEu9kYZvkYvnJTqKs1YToGqoy
p2Gtp0eHFGEWyQZIRY5Wt5Ano9mCNUB+DGvVm6LtowkWjce/Vu4rd5L4P9Gn20rgrIwky/8h7cua
7MSVrX8REUxieBWwh5p2zXb5hfDIPAiQBPr138J9v+NdFHdz2jc6ul/srixJSSqVuXKtNJUIt8AS
18CaPxDwQ3bkrduqYKzZQT3PA8wecsnQvlo4vpFi1LtHHTFr7oziDfgxz7gvnI0veG2/zq0sHJFl
ynCNEjW2ymBRr8TNkGwR1W0tZOGAjc09L8/RWLGnZNeWzaEdoAXZuLemtVVeW12NjXqP6aCO/SFf
sguP1WWG8c/STIMYZdfS3oixawU8yDj8x8TvB+ZZPOqnuFZGjCCL1HkIgcT/LcLxP+/7/0ZdenVN
YG6eGfEw/7BE3YnCk1pc24DVQSJCr3+1nbW7HPNWM1rILoNdG30boHAWJ2Sk/YARfIUyRcyoaZxq
wwgcHpIx0qyv4wgu0uKai+9yi9t4bWlndpfkp4MrWW4ls93uW289MWOjH74Wc2ZZN3Q2UDzzlzTU
eZalfCgKSJd0hNboKts56PA3Auyae58bWXxB8dBrOaSrcVuYz6mGKB70zo2hPf7FGYFefe4czkwg
SzfIhWe53Crgd7djCEzpdXGLcXRoNpnXW1R+azU678zWEm9ZQnSvyjluJzel9Y131Z3ScHSp2ifP
fCdDjBfS7BSrjRRp1Q3n5isecuhSolP+PuI1bdoLt+xx9+5n0Q5gz/Y1BM5yClr2jQLJR0QIXlbn
thanZmd8aH2zwgW8s2fAVgAc6+3czyuB91avA4b4ks125frGnq1w8aGxqRihCIwHcX6UkfRC66A9
Ym4rwLRGf+QnttOpFhqb8wFzcrkoZ5wvdjmE2hiFaLISuXT8s486SFGUoXd0UpQkx8g5/BV38jt7
i9x90FOoAShcKmkd7ydfHrv+sSHHSrxe/ijWvu+zQ1wqDKtqgOaXhB2/gWJjDnF1JyNH1fhbRDxb
hhbZe1zp9kzWj6E3VlDRg2mt8g683pq5WjVz9kpcmHHFjC1v8BwpfWcnfPFzbE3M0m3RGa9FrPOn
4hyWz66wukz1Gk2wIkA59ptZWTS1EjzNfb5P2vjfgi/n7+xsSfOSz2x5Vdr0QIkgBE93FkQ70ubV
8j5fdoP5W/3g3mc25vWe2Wjy3NH8BHFDDPnnqdRDDDtQPBsOqkKpQiQqTDfZQVc/ZfTM7BkrO/N2
LBYWty4HBRTuFolkg9b3ZYjU9rYE5cSOBFWY385TwFu1/tXsA6zCxixXBfbiZbkCzHGprWkuIvMT
0McFyOyTCCoLoetCVrgIt9Wu55i73Ntzg4s4WU/9VECxZO4LjQd/OCL7oOnwy8zATmPsLp/jmvuT
eSQLTQAXeqwL92ejC8BD1eFVot3PfD8jCN7ZRuBftQFmKR0dE+joLatdhdeZEsI8eCNX+8Q86hpK
TMfLy1h3DYJaEtCyqNx5i3us7Wq/gkjazBauByp0D82VcZ1EA9W+sGMSpBGS+q0G1+q6AOPAsDEm
qiG9+v4biE1ZZIUOXMXELTqCkIxpt/oWodVaExeNpj9WFlVWRxHNEzNSxLttj2akDhiOgBQF7uj/
YuR9a0kLd6iMzvYQ04uAWfYPAqBZZVcdtQsn2jiv+Qd98PGzVS3iodBzZ+IZDPXR0JwGHszZx3Cw
n0b/SXuYh7/IRmL6v7jIn42c134Wsjr8foOaYTCai+zD3eVhfKyfQBhKUwIcohna4FHamtxbTbfP
1rmIkw7Rcq5mrYGp1ckhZy0P8yr+dnk3t4wsnD/TR6M1UTLG+Ff8NXXJEOHh8e+9Hb1OH8S6oE0H
MmQZfNtsSsjkQrtr8u5M7ybV7u2t0uCcir13ivcmFpvFq77xJwsmeJeFXhvlJPLGg62sQDpXTf4S
xw+XN24ltr+3uNg59D29YupnUP+uPRaHPExDFhbHmBLMECSbvYWVj/m9vUVot0U1Tilp8F6J7Glm
sDiAYXAK/uF74HTc8vmPVwlAc7i6HMP7zX+6CFHctpUAgwUm+Pc+tYHpZF/nEJLtxZWYIn8PhP/e
DVGl2sIkfnTJ94YXUYuX3CFK4Sh740G1n+ItyNeaq5wvbBmo+FiBWQM/Pz8mBwN4L7mb9eq3CkIf
05z3y1iEKVk5XjxJmLHwYmZjZHoveRvmY2Tp0WbRZiVCwRpEEmY9L6gdLS/K2Ad4hkw4LUIlFE57
2s00b0WQf/2t5fFbOcp5vPwJrG7kH5vLGRpMxCqWcNgUBlUYO+q0N05AfPmY6N+HOkJ+f9nexxtm
XiPgBiCcBPxpCXwEhLkdrdLGbpbpPgEBX7kHsdf+spEVTAg8HrwAALD5KOYtd9IC5tsgCum2DDi0
iXva1rTaZ4FD8fralfPY6tawybpNoNnm4gdqRkuwqj1aMerLv22OoIRMg5FFMWYLZ4HaEWA9CMVu
6WqsfWVoJP7H5CKcdJ6vxbYJk31+LPVHPf3Xnbo5cNhA8GB+mQA+9P7KlH3busDv49XS5TdKGMdR
E4ecuBsJ4qrj45BmQn7opn3Qas0svRk4ZoICH0OmDf1nQLK+7sPq2QLjxtUMUNIPBgkuu8nq9gF4
jhEkqLV9kCVRpkQXcgSLS5ZmTwVG1RLBN/LrFRNz7QgKeshLAdtcBODBU6IWaVMGaUsNN4lUwzdS
qZUQbxoYb/gtAwhi+sUZDVkCwHJaQ4fbyjDSTmg5FZTkRVhkUWs+/esdM0FIj3zXwXjfh3JRZZhp
ycD4C42c8mZi1QGEoX+xY+cmFj6daYYOIjIQSZkOmDWqH81W13bN294tYrFjsdDJNKmqDOKX/pfR
YSKl3GmR/1XE0cxIYdLqCWNJW3XylcAHq5gVAQmpA+bYxY2VE0totdHCE7y4+0Lq+KnNHHGciX+3
ot/8oxZ51DtTy1ur1Oux9EekttBeM6hkVABEA/YBdmx2/lsHvPeGyVUnxKgiSqUOOsRL6QUNhPFO
AnI80E4fCX+QKgLlGy2thrb598suuLqPZ6aWSSJQBYkzwt8t/5BPJ6mFjrWxmrWP1jgzMa/27KVA
jLSxxwwO0vYGP7SyVuCsq/9Ckw8FlBlpDYINxNbl2ztRpCn8FiQl6II3r/+M9Q8VrW6siTq7Of/c
IpJa3zvUmWdqawymLKIRiwkmz0YsLDXULpXlVW4Unxq329i/+Qg++J/9x8wi+RNF3PtQLQd7SFbv
HRXFPQgGiQCeeiO/XV0PJqYxDjUT3y2TiSlLiwRQzCpoMoUiYcaLcJLWqWmtMrjsdasucWZp4XXj
pBrZOdi5DMTquHFp4VnhZROru3ZmYuF1dq1SDxQvVdCW6UkWRfbQOrF/i2FNIxgt+XrZ2tbWLcJs
6TLmdwViRC9eEhNVaQUlMLWRXK69r0yMmKIviGrdR92A3kg8dwD5Id47GJL+p8MQH+Rn5zRGTZht
drxXj+nM3vznZ1+uLXIjz/qmCvy4pC5/NePj5W2bD+GDa2NACH27OXFYZkRlqw9+OUJkTBmvQxZW
5lM6PJJ2V/kb3rCWTiJhMJEqo7MKt1i4Qyo6FL9zbF0FnCcGlFHHDTBAG42B5AEB1Vww/BfzT6vr
O7O6cAt8Z3k8guQ00MF7yIbvSXw76F/y4mraLAHNUeDDVrqQhcONoX9EpWumSGsHIxbBYAVzxpeG
3rN0930401TW+zE+XD661e/rzN7iE+6TduSkwIYqXwbtmFwlemhVLVX6Rjq76oRnhhYnB/FiVdn9
HCvS+NZ1yrCz6w3v2DKxOKaSt1alNWC+gRCjCtuq8/fczJMNK/+LD/45okWmpMuqKIWPI2KR2kE1
dj/Jh+x/ntoeNJSLwJJ/ISmMa9H1wfAMyaCPcwOF5caenhRlgFFDmkwPavrC5P6yL6xGvzMb8/6e
xYk+YwwIECRjYtKvsHu7rESjKf582cr6x/RnJfNvcWaFDbifsgnbl2dQubEaYJvdrL9LdU/tPOn0
z53ety+Xba5mt9BTR/VgriCgtv/eqDUIrxwNVs5gCTw4JgKym5krBWOT3qkCyBSd5Dm3sH5cNry2
pSaq4IhVkEWAjMV7u82Yt23cwe7QcfU0uSSnMk7Te1PTNrZ11RJwozrGJ/E8XeZNMiaDxk0c3jS8
mOmTbQax9vXyYtZODhwfM9MzXjlwxPeLycxyyJukhzSafl/Xh7E/8GnvDJ8LfeOG3DK0+JD1sZ2y
Op35nfwrRW5KI/S1UAfKebOfum4JLJ6YNXI/0sxkWQwievDZBpB8o7ZzlZPvpeXSfv7I6t3l7VsL
TzNh6P+3tQi1eitGkidYVV59EayBpvW/hlDN0Jw/BhbnAy7UMsty6BElfQbI7deh/NdzkO8NLM9F
eJJZJu75EYjbaXpzjYHqzAsc5/XyVs0hdHkLAmQEqi0HsBx8r+89bbSmgbvmgJSc3SbDKTXBQQJ1
8yGskTBpXti00WWDq18PQTnHQpsMDCCLmA4xAnC6JhNmOTQzYOgpcnmn6q3SynzCH5YFSgQEAvD/
IAV8v6xS76F43GP/IBF8SgnUM9z80ALHF/jZuJGTrXgbpsx8jKJjXg/Ft4UzECMbXK0as4C4EyUD
TWyTXt6ztYsQGCAo9KCiiIfh8n07tIVIyjGBCDbqsnm8b5GnvFT7LjJ3ULT1+rBOduZh61W91i4A
6y6G+pFvQtZwObhnQ5E49zu8b0o7cq6qCMThdNABXQnm0v10+AvlCFBZgBYRtIWmiz7PssszFVXH
bGd+FkRTNP4waLPP9vPgXsYBk9kCqK69D96ZWwSKPh9s1vsIFF04TVTdwF4Qh3yXOmhwViG6QBvv
uJUo+M7gwlc4j/VRG3AllwkkX0gobJ3azRR2xauCyMqG28xevvgKCM4ONzFUwDEvvkgzugaccywG
qEsGCpJO/V67y47aXtxul4JXPrh3pubP/izXsAqt5laKOr4T3wz5Szrem4jzrvzX2BKEqbMVLQ4s
Zb0WGwOaqIN6apJfPf+sT1vYqa2lLM7IUE1nY5h4prv2qOFcJeZPS7sT2b+fD5hDrgkiS+AFEArn
B8rZlhV1Wicq1oqA64J6FnWS+1a+XXaBlWj7zsYivGcQgLe8HISjddmHxBxvehBZuJW2/7+ZWTha
YZicgWANE+Ud7bwMuoPUAUXxZSNrqSUWg6iA5hTair/Hms42LC35NJguuGFmWRkN79H2aXrhP+fG
ykz26UDTIKVbyMj1HfxjdOFxpj90rZujSG8NQVNey+HNk1tYs/k2//Cdni1s4XGe1J2BGKgpdl26
K/T6kGj1TaM3EZPyE7QVD7X9fHkvt1a1yC+c1mtjhuGaQO9d2nUmnYbPzN7Iktbuj3cHtrjrgdlW
WleiwjgfmA4IYnxPIpv+lisPtI0lrV2S59aWkEfS1FIMRT5bQ8u+/zqTa2oBfKOh4y97BwDrbguc
tbaNBoQvHUCYMPX4G9565pGsJ44cC0Q9PRmpU331m2uwml0+qhWMLIjqzows4oTv1ajhVjAyXcX7
Kmr29aE5gir0vyAZXHPEc1OLcOG1Lsk0H6EPyDqWPHuToFg5jV2MPAC/f9hY2fybL/0e2QzyTscF
PstdeKElC9EnAn4/UxRj+Bvphffk/ZbTyEK1UaydY9AlYwtnbP0kyZthLty3kqbdpxglusvr2bCw
HJMTtVNCpxwPQ6sWtDNPXf9y2cDqB4U0EyrGQOxD82oRKKQGWhRiZggUnydAlqxDHBp38dNMM5Ns
0sys3YMzLg8pGZrZ6Cm/v5+E0zV9ij5E4A2PGRCqhL2m9WPVb4zxfiTGxZv93M7CCzLeTp3MEGG9
MqqP7i550B6NwwyMgpvPU0oe4DBdIOnhLzBF7ywvXMLwvIQZPSwT8zUDPygDthI6E5cPbS1GzEPz
eBhg1AKME++30csnUoGLrQxsp6yeVMkhnzf45oNWw/BlU2sOeG5q8erxLYNLTNOibNDl91WqR12u
bZhYc4pzE4tg1MSapdXO3DSyr01gJ5yH0ThA/e/yQlYd/dzMIhBhULjugI6qAm0I4gc7KMMZ9JrL
cIzIf8GVNrvyMjacm5s39iyO18LDdBfHqqzuYJK3FrewFVb88yj+JuSdW5q95cySn7pDnnlze/lB
RmCI3FuP/q0K9BDDB7utXvaW6y1yl5b4+QhgKtoRKMbFsogm092X1daattxuEShA69XqgA6h3JLR
8sZ5qO7aXbqDoHFZUiPwf23jolbv+vNtXMQMV3OkK9Ao+J1ZxL/MF3UQVHu1k1BEswhOc+39BZQC
qCiMGeJxSgiIbN6f3MRzybQKNR/el49cDA21uuTxr/z+j5GFeyS29GJj/J0xdTcADgXpU7ZnUE5s
wunb32Qv5ytauIcpjclKHdyISZNAUkTRyTp0dnh5SWsBw0a9D3WEmYmQLGKSnWuqcAqcFOMvuZPQ
JBmgzfgozI2ux5qvn9tZBCbV+S7TPXR6XZHgZL7J7FTw18trWQ1L50YWYYmjN6VlJXqk487YVVG6
U6DAvxLBTN0+HbrNMLj2ZZ3bW/hc6dRTznyEwS4k38dQo/3eQy5NAgtKqIiFM1CZuQ//x1UunNDW
FPGHem79TfQfKWgBamsQsc15hvY3NRGM7f7xkIUbenFbDHJGBXjFr1F1tIGYXWUm1Hem0K83IGWr
kQPlOvgiQPOYsFz4o187Y5/UsCYD+6q/q3GxuHf6yb1CPzh0j9tvhNUzROnOtzAz4rnLIgxGztyp
zfGVjQOjzLorrY3zWvX8MwOL40o1c6xVhZgxjXXIp2dpgLtD7S47xdoNCZIa1CAhXgJa/YUn5uOc
eDbYtoLsSFpSQk6t81BnOdj5tlTiVib1QFh6Zmy5oslqMZOMiirvqCh3w00agN94R6LpxL9DSBCz
6+mh3bv3xafLq1zdStAPAv+KHgWomt7H+LKMndw1sZX5sM/US1G/SbnxDFmNh39MOIt0kOd6ZuoN
3CH3qbCiND9Z6qhpPy8vZN0Kkve5WGxhavz9Qowi8f9RO1JAfdEsGcvQgZTXiAEep3a29Ojm23aZ
PmHA5j/WFmFRZawpOoKrcdLbXeuM91mdf+mgpl2z+OAKb2/q2RZ73XosPjO68EhdgYREuNhIe2/t
6rDZ532gvcx6RBDfO2zK/26tceGTeZ62lYkvICjVSHNQRFXTF7szaJqhp4miQ8O3uJRWAwc+AwhA
IF4BxPL+DDkBuYfe4rJx5VOjZXTyNgLHeiy00Y+z8FlDS2YRC3VrjIle4M6EagYyxN+PryuVB9Tk
VP+cgkgUUuNbz73VZSH2ovQ5t3+Wrpm1deMNBc5NXpHPKoSYVDA//G30nQLk9oApbxXdV4/OAdmR
ixcd1IMWXzWaRMlgDUCNapp/VaL/k3UgcBjHYieM7smWWhCX6eHyB7gew/4YXVajOua7nM8vmOJ1
5mgFxPOuGAGnHygmfzHCffAe04hf2xvbu7q7Z2YXR8r6IelEinSrkf1dn/anAYDmy0tbDZIQ70Qu
h8oNxALf+yWGEnR/kBlYwFH0skyF2b2vfPqbAPbHyHL7iklrvGwGsYjmDRqIlBiAIw6naqsduXqv
ndlZ7BdqLCg/COyXUOikSbP4UhJ5XyQoIBJIH6phwy9Wzwe4kpmi1AKOebF5mXChD4A5HKTDFe1n
Pccvl09nw8CSrIJMkCi1GJI3wy2oZp50vtGaXg+8f5awLHpWpDJqP4Zn+08TPDuLhm9u5NDyzttN
B/V2eTmr1iBMAaybB6D8BxFQO0fp0J074c6t2s0P5mxf3Mzws9/CRRt1hzXXJggUno1/Pgp9xpYm
aoPD65wyKq2X3r7BWMrlBa05HDGRedrQE0WiMf/5WQEgaaoWSsyyCpyGlSGb7BNBBu9LFDrS2rjW
+62657pBoGJ0EH4jgVtcXK1tllne43We9U6IRgbK/dcWWF9N7au9hbxdtWWZDmA4UCX7MG7QZV3L
YgcNoKLjQZpFSBupBYIRLXslWzIS85eyTDrmBzlQHmiefeDh9RKnTuwGyAUlywhyYbTOyidm8+uy
9qjWsoNVJDcyGzeaGmuZFd4qALibOD2k3e/Pr0czgCmOIq89Jsk35ZbmATSzABuJXB5U0/zFs/bc
3PzrnLlLa6jc5jFgM5AmCCE0QQ0cndC2OuGrjn+2qoVXFvWQVtmAMMi9kHAWoRJgqa17eNU7zows
EppKk05SmE4WuPGXKntIoShk6uGUPk/J/vJHtroc8Cf+pv81ET3e75php46dFWizE+IH2ZTvpuLN
7Xn4760ApoPGD8ZZXQzAvLeCxjofQEGJQKhwwYufZfs9k7vLNlbCOeiZ55E1aEQQ9wPyQ9ZTbJla
FsT4jPTyrlF/U2R4Z2LhYqx0U6A81FxLy/n+Hy1RkBu5E4AQYwS9yJEmu2lrHmUNe+FA13kWjMBT
HPWh97vnOtpoVCinBDXAgb/nob03EjUcA2vAQ/wX2OKVrQQaCDqlc7cJYJbFcQ2dpht6L8ADDOae
jBGKRP7yYa21MmZIIEb/kFUbH+DZ4L8eUILHjxe7IZxeUzvoablT34YDQ2GSHe0Tvyk+VzvAH7dQ
C7g9VkITbGOGDUomuL6WkX4y+7TVZQmZEaB+wTepeV8zq28d6mKOLgPdpTPYANsxNxQTH67rWv8x
8EIPWeY8GxPBfI6vX+fVRHQMcPFvtV2YtOn1ep8PxrTrRZ8HiWhOFrGnMHaKx5oXX7SMPHCPjbRN
1BRMJVrKtleRwM3yDM/Nih1RwuIj5Ub6mfe5dy+8yvyUNWZF21moL/ZKLSzU0KJJm/E0ALBy1hNv
02t8dcWxxCLyEBdAQRU6eIE+Zi+GyMUuR7t3Ju3Ug8kYWVh20D4YMDgemrbSKZvT03ZkD74/6Fe1
6eG5neMHo4bxXMteUDONZdhwrwv1FGgjhoQvVLwe94jq6Hf2MX4Twl/0NkluSs8Q3yy7fPLNNgc9
BUupO5LuUKZpQ/0S2L9Jl+6OD8Zpairnl+dX8K2i0mjpcvvNclUbdj5HbzNt9DBOpcsomIYHYBXi
3A8gDZOFbdJ4v7p4vC9i/gL/NPedN+pUcicJu2xMd1rnaZEQnRUOoy+pbMkLaB+SHUKdTtFD9Q+q
1SojjFWGR1Tdl2GWoKpVmXVg9OTTaMb23hUupFIzW1BmQJG4YLKAbFBe9ZSn9kmT4yc7a/Qjx/Bd
hLdUdZKsc3djNlUA86iXpo2ray8TgqaqsZ5Km6VR0WEYeVSCh5VbVrRAo2tf2/Ih6dzboSXyVtUs
uY1LqP0ZmWrue8ct4BH2z04l7CR9K6axAh0HDrKmnDj1jgELcfBMWVFWJSrKBqfYawUQfLUCJZmf
AitTAVn9OAysCR00lX9Mk5nsMVPHHnun9jCyX6sni5Oakt5GV1RLGsoGFQdGbPtvqarNqELUjrx5
prqexg68t0V3AHMt6MLsqfD2MeZgqMH5L942+gGfzucJj7lrxrvvrWsDcuKTR+aDck5Xbovcpvhh
V2UbQlNBu9fT+KeOyAb+bdF90swUnLikR+VlnKxIkAZk8IU7BLVNWDBACeu6VZNJQW2XHkwuQMU2
kuYASSJ+wOB8EQ4EhHng6vUh7uGX8kUj1g8Z+1NY1NoYCglfdCxBUBKeUrCaKx7luisCGy/ecGAo
BJYKqvRCJn7k5TaqtyJ9YV3xrS0UCzoCLsa+Lc2o9FsTVTXvE/I6c9dZabkfQRAMRh3SHrN+IIHS
R+fWrEx0CVJWyX0iPAYQeUxCLltQ/lrOPTweWu4eSQDrhKTq4GT5IZvKa+4bY0AAeIugX0jo6NcY
KFeDdsuF610JVvdXEhDEg18MeVAOph0kfnpTc/48ol0WlQNKERaxHqWVl8c60atDjPOwqMfc/ATo
pRY2lp7Rvo31e2XkNa3xq+8lsMZhVtjy6HXxcEh7g0esBDukWVvHwibjl2EU39I0k688jmNM1ON5
riesummaxAxZnblR5Zh9COVw9eZDsf5O+l72WdTmD5fHxf2QG2aEAFHdu3HtHzMowR+ZKX9ViCCP
CYnvMgPPu5LUoHOURTIEXWJBZ7pUJaTYUJOhXmw5VK97vseQs4ocLu0rMc5qvh0+fScu/Rs76apd
mxrxm+Z7w7W0PBOUnZmR7Mai9Kmhdykldf3kiERcp9ysbsdq8IK4Ze11rMbhMRmNx1LWZWQMPfss
Ze4GWu2lp84h1V4DdWzoExFT3wD1fd5bnE4t+O/jZKJ20j6yPHlrFIcuNr44arbpzzx2sC1dM9Ix
HeujUZgszPW0Ogh71ADK69400j6rpCp2GNRNjxAp10NPMHEUUv+WxUZ7pZBv3IiSGTvN7/hzA1mz
YyuAmU0mxuhU6wXtNdc5Ki3X8OSPs7AZrB9WBmrCws+HYJQdpy0vWVirwf9iS0QOZEUGxD4BLn6L
LW7imnIV4qbVhX7n6Q99TRqquGnhFh4L8cr9rO8wqNy5gQfY5Z1VeDfgJXXwgRYQ42V+TEtlfNVV
JW6Y23vHwsjGO5j8ofKy3tlCipPOMu1aSzG8aI86hvynnpxUmxkOKDWdQyx7raJelU+7yklaOhQ9
JqMhSZjSRJL60Rmne0dr1C9hAy2ZJBhyochTP8ddbh81DDKEiV/d8zQjewdY9k91mmdRB8mmG80h
UGkSAj/Y04tAdNK4miy0nmTeFjSzhBuwoT11hVOdYk9AXdiqq+9OA7p+TaBY4xqxuClkP6BYG5e7
HHwt1yVUnqlSAo9ChRhpp5l1NWi9SXMw10EK1rD5jT4m2n7SxnYnnbREh0bz5T10HeK9zjnkNWLz
Z+EmjGYY0qCxEOaV1drt7cT6TxDZgZBVXUlgl3XVRK4xyKs8acvbundZoBGtt0PpKf+Qph2KcXEm
FW1wp343B+IGuhP/wK0OrnqS5tZPGEe8LzutCfuWm89y6JL9UPcVxYVkRJ7f5mEFutaDqwGo3IoJ
NaQK2l0sa6YAK/k5GfmTC263AGyi8cETbnZli5rR3sy+JLh5cJ17yXPSes33sRrnFgRaESBX4vgE
3Mq5mcbiNe+rR7wRkys88ZMrzxnGx9hqjQNypA7p1sAimaTGHUT5mqgpYuOA3CcJiBAsyEs3OyjF
8lNdQ/KnYA4OQPdieEZcOL/aEU6huDzkfg/va7VnppS8hv6fYJHPbf5LYuY+sHtmRfifWFTjWXUU
HXtleZXsu3QUX1zmVFQQm0FkayTFK2qx8X2fG3cg5rMOSeyya30CQVtJKvBDWF1HjRhEbVaPOyrh
zSuIuDllnNz6Q/pJJ7lLMxJ7h9oy21veW7P2mpdH+HqLFzE2t0kpXXTFqziCcLAZGCJ+S5hCwGs7
7x4jfVdF5+V3Ju/ZdVlU7pdUCO+hyiuH015Z/Z3tMiSpnebbYAiGUgzNdKbt5xvzini9NkREB/9l
2dnP0JHJDl3lFT+SrsH8gNQ8P7KY1ggqDPktmeCttUID2G39JqgUB5mI1HOIWloycurBv5q4p+9y
WVpR0XMZ6oWfemDnQBYgCAND+9Bb+XOpAY9JK9DjhWps4nsHM/sgDNHaB4jKjMcGPEpQfnZ6cATE
xs5r2manx9BUqKGZeBz8JI+kNcS7MU0KFPhy46FDBeZoVFP62qfVS4+qRghy7v7Vw18+AjKmoYzm
p88SU+x0ELl6brriWRaVvu9kwt98S6AOhYWQA7GrPCxjzb5WrlvdJ5Vm7DHDb1GFN9ax0Kzyx2gm
ap9NPscVkBBFCznepmb9iE5DTHvuke+gncbYY4EZH4xNlVgo6+9M1UOeBw7S7CQ6EoFyYkmZqJAJ
CE0E/pSiBRGTWv7qxhR0RZXuQnG7w38DPS3Rcq+6KajrPt7pPCNXmKy7q8CNrwUV86x7u2zaKUzi
FDaMRqpXk6XfyAxVak15i8+8PGC4/9ZwyxjBcqyyKqwNhZtJos0Dar1eGlCblPHeL3RjZ5aNcWiE
ET+KCt8nmA29vS6FekuK4QQXeyK8bz47o46EKWn4q2WmOYSFRb3T3cTa2b4oj5oxtdQnafrsQWtp
x6qqvC5IYg2UjPajnqTt0WVyfFKtUT4b0Cg94UHygBeMsR8HsDPwxtLmnQLHsY8pFkTw/rtw8v7W
IykxaC5H7WpKS/N58FN5Nyh8qfj3wW/BiAyAidiBNSOlnjb693lnp7tSNAYmr/gPFxChg9NOwycd
4NwEvRgXqWwy5LdDkveIu257kF3dHVB9iJFPIG2pmdXfjt5kgsesSMiuyJgZVopNnzRSxi8Vk2l1
Xds4vXBKHON2EATkFr7e4mk/TgITRqzrwkzaKlJd0oZNPr8PGuTpd6KcdCPqp7zh1Gc14pXX+bdu
n2g7U43xdSeHJGwSe4C6nxOHbet/hzbWgHCvdxHCqnxwpXNy5NC8arkjoCKh2DcxmMUDHyWIuo3R
zo6GGtM7nU3dl9yHYdlnCq/VXpyMHmEdmXhzxAsQSpaxnj8mOab6/XboQ82BbLAoLf0WVwZ5i108
7ajTthBxcaE0odEsr+68UYHYamJgV2v7OGh5n+28zE8ejbrt9sRwXIS6pJM3o2b2eNO1xk1VJ9kb
STh4+zx7h6ndp9zPH6SuQNlmsyfVOelu6jJwqvLi3hLeHfOtb8LijyxxPnml1f8/jq5kSVJcCX4R
ZoDEdmXJPbP2qq6+YLX0SGKTkBACvv55vsvY9PTMdGWCFBHuHu4w1RzTsaRiJVcoENZ/uJ4bFFgW
wqN8adBlUZPeR+Tg3Z/uPOkyGB+Ys9GffZYuZ+naZyUik5RI2MBG0ZBIB9Ri3p7TpCXPuNww8MRS
75qMtu/K3GciO5tTjWEun21To1VgGAowbe2HdX0RWf9Te5vJmReP+Ev4vugRKv0+wMThovAvfC0x
93VTsrdzQwpfxeKDeOJtUz3/aGCJVvHO715mD5nj1sO9wRf1RjcUkzDu4l9L63nBgG6xfQmn0cO6
8IdprUXh1Ez2qu3H2zYmUZEFIyJabBuV2DeiQR5b1PxuhLs/Re95VAHmDmGcO0Y83OaCed3fVfsr
JAbRLzH0H/KzP4NaB7t68KfcYIp9SrgV1axD/ExrAhp2SEJTxA4dvz/CZyldYtDsGd5Wu3jNMcMj
wfhZ++gYR5a3XKMisRlXjiHxJZ2B3OBqGa8pWchxwG3wOMJXCSZOQ1qXZETP4GwKAUI/U9RMGnlI
C2rt3yRDKAZ+zfh5gZ/KdeCklFy9hCLZjgboyNE2XHwNazgdMmcHlisnBcriQo9YAJGvGZrYM2u4
/1+SNtsxkpl/0lBBoHy3qtCBJ/ZZw0JoE9uhjMWknwg18c5s3rxfQw978tAVHPiooUrDOUQPNWIo
G5qNYl8rTCFNN/skG8Y3Kt2Px4z+Ezfw+soRS6UxiEjJy6RXEvIRzvRDptDzwvKTRL8S9fMy8Syr
tkWQck6o/Zm3+YsTj3/gygpxgfv9GhYNjHnKRG+/7ZKaCmuRSKVHfClcZt/qhJxj6nvFir0dLI4j
ZCuhu8FicXxJnqY5xZyF3ojWZSLtU5fUiOZ4YOlF4RWNtjMTjyaJ8iaL93wt4Vl/c3WbZ226i+ql
8CjJobw56FDdPINpGAuMavqVjlZJd2Ld0xZkVeemfBrf2vay0Q/CYccFRwMqvWoaN0SzhFdiun2N
gpRuNwd9LtXeblvWX+UNpaj7/3i9gk0QcKnIZI7FyD8LHjCtYdjrNaVO4rqQQ/1fzJqTUvIA86/C
9fo8h4BR/CfPqN9g/qUeyaERqHr64gYECEXNIXFYqfOzYtVvgWKVGeuCk/4Bm3FHOHtWaHkfeDMd
YJBaGho/YpEnl6M80nbdU5yeWRjMHvtpfUC+WU5gFZ96R8dM7iNsWh2E3c0U1tYxXItLsnRvvd7y
mUJOXcuDy45Dqo89+bDUPwg37w2Gb/wpeWdR5sfkg4EObad57weYFMQ7qvgxibKLzOLS0Ra3xlnh
GnQLBWr4ZMl0mNT7bBy6/inXy3ysrX4OZJh7AQHelLz3KSL+qNkxFxc6PHli28fZUKlhaHOVPcYZ
yfUmj9Ggdra3+DjzmU76bPsyiXqU1/7TZBTPNkvhf4Ks4Ziw73RkhZvDPQ/XcxapczdjCEAjmyTy
bVyyZ9YCYPThbrOe0m19XNw7vu6dcmgImUYFh9nNivaBnlJoV/r6fiNQtY+tegiUB7XA8h4QTEg1
zvpMT5KMBbYhDm4L9wteNzY3VWrCmw3Wy7b8bTMArV01t/4H0apkkXdQ4WsSqDwhch9Ff+IeMaZy
vDbLF4seGG4QL9le3cYeUwAsSxPkq1cjs/3X93FJ14BqWzw7/JY0ttL2j5C/ut4zbj43gFtLi9Aa
Qf1yi/eCrMVi0yruT9sMNM+MOAfzkwjjfJTPML+oIpz9CPBDm6w7dOoI+1TVBv8GZAAcXHjVCIZW
YbQnSILckuexziot/bzHNMzkfwuwPLtHGHLOUMbgA3yOySc675NG1yGHwkOfPPhL5cAfieG9zt41
EgmzxuWiR8c5of2ZnwwLHyNPF3M9FrF46uBBkPAYSPC6Z0OdeynBLviEOqavjd52aKd2y5r8bfvw
tW59TPzaliiA08jLFRV9YI+Je4odAt1Zu+spKv6rXOYydpfVuaJv8cNBPQ7czIyoujHJ5wkzxroj
0yNHSZ2w/bE152h5mbo3TN9latJyQh8OFKAlPtCCh9X/QkPksR+/O6bma23Pw/o4868eAHMvUfTf
7QTNNkbLdR73CSpAk/56K1waw0/BopyDd0IYQbUO6S5Z9PMwh98CycBIYhFDNW9A6NfmTU0HA/Av
CzagFstxgTn7yv6QLkXturbDxRkMNwoXUs3MDSGx+0kvFTeJKqOalmLF7zoZXgN5mgYX5F70YM1D
w8bvaeqAH6fI692qpIkrkdZnX9gtX8y0r/GvKhKemnk+Dl76JK18EDV9G5EaqCN9zQSyfWoWftzv
02HOPhYJBihiZtd2AVTdBGco47wKk6XQmOuxB/Wypuc2XK/KczvEM/zHmD8UrK9vGbRf97Us40+F
rR3qaltuIck7eMyUWabe2yg9mH7LN6iq4u5+SQ076At2mNX206gPNNS7aAISsiWutCI9hO6FL+kx
MLpaxhgr3aRcGIIwEXMjFvgy+A3aR/+kzILdaH12nnzlkS7lOuUovuXGgzwVy4Vp1A897zJaV0LS
wrp4r+FFPeFWl6m8CIBtDf6fCWJ7ZxBVYxucvXo+eB4pVJAV3EUPIJ1vC6EXyn9EsD1gvRI30CPX
wymO2SEaX7zpFKSvtUD+021Wr1x8Z4AoO/KQJc9sxN+lG26guhjJx2wOS1YG9Y0hfJCdhS93q8iu
pt2vQ3jualrobqi0+9t2soLm7NiPuxaLbdjSZ796HM5zenEAfutMHRv+Z9QfLdIOOP+YlVcmTfoU
Mrf3xQIo5IWR8CK2h/u83vQwBml/O+YdHIYjvJ4B3H4285mB3vHfV7ruJ7iB08iWiUBESKyAnXsV
53MeI28ya93Zm9pTECIOA+aJscQdRqA53PkCToDQLluEYEePvLvc3QUG+xEEXw4p1cmnrAdUtuhN
Glf1aktyqX8TtBSNwgNt5gtkW+W0ftDYgVlAAz4UCsjU2nwb3EU9/wG4/XfYvttJIfYlyzeSHB0w
TDIsOOn+US4qj/0QQPFaei0vBv6wBPyU+k0ZGx+VLjnWfvInA3oxdPN52uKHNQ6anImnFtdSFxlM
1ToPXVcm7q8EW0W8GjilnxSh/s7anwx4wvQ+RNjDH+yYd/OpDb6GGK4Ww68Jj9mYfRouilnFRQq7
FbD3Sw1IGIHPHaTcNioh5CrXCeBum1Pb7JIVW63N0za5M5I2C48vB4HiFyVvIXbUGeYrGWEjr5vh
u3OMEOCoFWxVgnlH7VDIKaswV30s27fFIsYwTrla64qxpGjr5RBmy9Eb1qId+/cVS4s5wO1KdBBO
mi3PFCk8AOFtWg0J/RC0KWky7DXrbkEPsdoIxgnDS48MJ43kb5Miv2LBJ1kxu48KfYYpVkAkGuyA
hNVpbf4EiYcz88jwDhOZYIjFH8JOaptfUoR61SFMh5u9Wb6EO6rVv4z6Xx/41bpM+RYEJU8yPMUd
zg5mFA8dRr2najrCVaIIWVSRDIEhkCc4UQ4E40oMjE2CTXvWgj0MYwpGxyuxufZoului0ko1n1Y8
TqhqvGmaT/jMjqXrM4EZOOXj5xgwcDNie0VPMaC8CDxdAXt18JeGX0Tr6EEQ665TyyimiRhdzKrS
KSdYH9t3mUVJTQCOIMxkKZVs/McmYyg0LPKBheGTskHod5Y5sQvm+ZGvgn0A5ggO1Immkv342Hpx
cwSbeJDJ+uY6ZOsJicfv0NaFHjDfDsLGiopuvbJlkbdw7qLSdFh814P4weoNKzSyxSEN6aOjqM2X
ADK+N2FNKkwvcdmjWd8ngwfj+wFzHqUJGiCFsARvGTBwjcNcDQQE6Jy2AHoQF7pvEXT1RiZ/PDVb
YAuGGLtivePufByjMoQuNUd8Ga86w7rDrOapIhz2T+myvm2piK711vn/Rr39uzvSfrjFvG9Jyw6U
o6BymB+d23jacsIm/TjJ6MBZ7f4Q0PP/hKUDsoyzt7Z3H2EGhA7ZTnjRAQ7YMkwnv0JAgi16AbgU
nhzLCYfX243Q8+eeHZDTCnTk0s4oe7Z1ocSRx+gCZ7tsT2L+2oewQY29GdPEpkAm19A4kFmbcsPH
+uiBOOWJYAAOatpgs5L5HIuHmC3zNnGIw8l6/hJts9pT0STnTN2bj23rj5sKl2ozXYyqkYE5CQHH
dTyhdyC4feprrs7Uk3UeQLujwAL4SZXFNYicdWgrINUWQMLd/wlGInmvgui7SZLMFKSLTXQwjOuH
jtTpO6ILv+nEETdB/D+m75HSxGkk8shz7SldR3R0JmhBoTWROdTG/IAxtV6ugAvvlUdq0HWMXUEw
hE9E9zEY6xhRwWYAIKhaNe2cv1AY+2MexUeAWgZZyN0/mS3+bbbLb826xs8XVjc4INKUmdpoqbYa
PH5qsOjVoLLumAX1LSZu90i/jE5cAAmMxo3vabJuV23UDDym+Z4Z7GyERrzo2nTsvxXG6xwFJ4sf
Br0+1h0ujECNIcDODW3UvMqfMbjfZ4zBzSW0Nj1ab/BOJjHzi5lA5dTowB79pH9yrNmKtHbDOeod
e+cmtLtOYlqqINjgD51GgmDcZJDEE8bLvpNpDhbIXWgIWFUzZ47AlJajcj3dxVmTgveMgLNP1NvJ
tW73yxY+tffYrGaWzYwnsegiS1YYt48O/WmXrcWEVoxt280iZhJtRpsdwnk1+bghEAIL1U8TVS8Z
hQhDxED8CPdpHgz8JTXiEJltufUwcP3opP1kCXWAfurKS8Imn4YmzDMTFDKw/81h7Fd9N1n0N+OB
yvovNo/x2Ji7EzNoYSTjp9nvz5x1j1EqUZq3pskFDxEri+A60lyFbh4i7qV5uPrFVA8p2PQQdmcT
YeFbkjXe3qtXsjdDUJebbjEWKS+6eB2ulXxol/G2toM+dk330EYtBa0RuejFH6IZQ6kI6moJQ8As
FMbvoHpzO+vLGPSYKZfZvk9jtAL0kh7LZY9U3c3y+cpNg7m+Dcl2bkUSn+0SOTh4duzqMNuUXiim
dwy0wUdKOu95CGAaSbB5WK7dMj/IPnxKRPA4+AEYW4zoVT9Gf3E9ARxqmStItPzzgAM9UaHTyvLh
s6tDwEPTFn6lqccx8y8bdB1RMz9pgwUrT1mKIufp1whvmJ/DqC15BsB0UP56bhRLcjXzR5LdN70z
8aN9CQrYILPXtwlwXPDOpZrDOxc9po9Bg3TZbY7xMqfIEURXnGWlj/uxVGKW+41zUBtbk9ylJt+t
GbsbjwGYhqYd/0718tcisXfCDNqHRz4lHUxtyVRC/RaetqEeb/BTjI6s6/9jiRgf+h6+pAXzJ8S1
4PKsAHtic2zL3pZZ9RdNkv8IkcgYsuGKrrdjiGlalxvzcdRg4bJdk7T/E9c8QvsL2ClCtmKOdEyo
ryEtyjm09K/Q1MSF6NqbcRnqYe29SzJjP1epFwdJyUabS+eoyQXO8Glkq/jxptH79hL63mZsfvfk
pHfCQZq39IhnCw3aFS/1PmO5JQ8bOLenDfa9uFiCeip9RPHkmnmwcV3NDSBYVG2jbAAWCuhtkBf/
4EFlf263rt1LE9FDQzl/4pHRMNXpUExGibxLbKfyilhLd62SG+z0KVwfE74sLxy7xojEtLhqbdyl
cPOqCX5/hmRBxTtEydG8ibrKKNwhi4/muG4E27uYbtiyjs3FjjEoC087FKSegghG2KVftJkVv0Z0
2xU85lrC4SP8xmyQHlBdvLOyTlTbFEGZYfq3mNJ/tULb4AFIKxUo0FMU2bnqZfBvmURWOgSXbUXQ
LREoJY05yKDOU5Dwh2hY3/oJCwXzhFbZ9lN90h5RAnfyneFZsKjFa7RhqZ7+G4FBXudpUaUb4v+c
kOSNbSmHD+8d05C9y21KJT41JqnZmgx46mqKiOFi8Fsc0n4zbh869TyYEIElw2SuNPHCU1gLWxDh
J4es8+XFn6e12BIP9pYBlusWzNFi+KK9MiU18m8/GLlD75jspItXQBt3qc1Uv0V8y4qUsPNGGfjy
mM3A92spzrPiMf5Lu1wSnwFnQW2gE942bOLiLYeepUSWdgBZ2yIJFESATdQKe9IUOp8d0gCvk4by
eF5UdedZ7RrzopXIlBlDoirXueOoqbtCz/XX0vUDL4cuQxU9E+HZS0TC97rFFgD50yr9OunB5QuM
mFFh7XdL8Csv7sZd0vJPTwVoe2OdlnWIaVSFXOy2bPpt1o0cRr9D64tvDf1d5INJH9F4Yh3rNXJI
dAJ6v+01GbFGpM0ATDw62a0VZ+J3BtwmhxLTQqTSmglvIewDcoG3PDfxOhziKUMrIxb27LkAojID
uDng8wdJh1DkNNWvspdTHk4QYQAT+wOwFEb91H5lnnu2ylMXNw40hyvzp+YTUGPFvPLOgz4mHPR6
CDVfaVvvGvDhTNE548C3cU677P72YvXVWV+gKVcQD7RARqcBjWXq9S1ATgKoDrQ/SgV/bufgZeB+
sxe67iuattguajQ6ytQfbymJAHOvcj3azE0lUxjgWDKYfO4bXY4xe7dzBxrDAb1cp+jDjlhQYhg6
d8mAFXMsvADa6RpyZetMbmEvun2f1fHrEtT/SObifBOovrrFAOJ3tM6ZCcMqC7e7cNC/kwZoBPHC
dMcgUv+iWsD/tZHdNdGsv61u646+n17oMi17yBz+xFS7A7f4sNpAta+6/lkG4JsbsIlvTT/g28Rd
xRC7bAB+ROu2jwQGpCwdIfpx41nd/wA03Oy8BkENtCvbu85gsLds3TcB1A561tvBsS7eMQAkZTjd
KZI79ZS001ouzqNvLE5UbikBmwWb9aNJyHsQGvNo0P2c6EBlNW0bP8YNpMmLdKeUCA239+AG31bQ
yACdGj56r2uTCi8njf8V2NAVvEc8YDuJusQXjzATFl0Gzz572l8wdHk9VHPg9LMlPLdQ10NcRxiO
t0Ort3Fd1BZjmx+D0ozSexQV/O0PpAa+maG9nAUhOTz9h4prLAbEvIeAVC7hix9iM7GgSp1GiHWw
TZ3AZ2TrenlYwtSWqY9/aLsIZGYPFV+DENbcJ9OQwz+cF6GgiMupF1BYMnqVfk8hulDzfgP3nKdB
90U6hKJPYoY2rGXyOMvsg5MFBzNaAmCbsMEfGsgrQv0PKR5RYTnO2nIXYniMJ7tho/KwDjYr5pGP
AFWHbsfpFO2SYAGWQMhrjxT5fF0WLJVlKBoewHkQ6MTlsNH5iJv5sY3CoGi3cLviGWFVcF019gTF
c0YYuiTf6dJTeIeDyCOXDARJ/5MEIss9aAj14i5s9JZ8F9v1xwEOrZRP/3ogXqGJDGweY+e3ho9N
g5oysgfSGMi4GqqvznEAuX58m4ZgPCjtz0Ww2RnN6W50BzC4Jtn1Ezgv26Oh120aXlQ607xdiNhx
DVaIwvy0DEXcVqnPQkzQzHtvhTiFG5SVW0doDh0ZYs1JioGwjZp9CqnMpiJojdLmGZAJCra/HVSK
fJUI3F2Jx/icobvbYUM6ugGmHZ60JV/1NAI5Gj4XUPNVjBS/P9HkH2ulxifZgIYBX2uuI84PQlbT
F2oGUOhj/Kprik3gvcYTW4GI9S1OFGXA/JZOp+/IvYTktdmgdx4gPc6hefWCPKsBnYGladPHJtj+
xCYeH4JIvorO9JWH2OBJo6b4gz8cx0EZwIeiFOFjE/W2MkHoDg6hgBArY3Ts6Qo8q/FWgD7Nj5QQ
XKQ0KrO0+9swbaoOppYPUbCI86rpupvsvXuc1696CFgxWYkHGcUpOuNuuECM1j2iSb1T5QTyLazP
3CHs8V9a99dxnSAcFsEbzZrHZewzMAeAletutIXzj37X7WTtOEC7UR8jjZxt6Tm+S+cWzrvSDftW
B+91ghlv+NPYdr6hv593xJJfm8aPdehflpineyjWPO8vbB6Lwa7bkS9BAlQ1lQWZ+0/hWwhUSH+I
B6AJ0GVZbH8TBtwsZjfIhCBjxBuAoTa1VuVqE/eLcfgX1/TazgMihGkCQKUfTtGmnptthgs/bVqg
gwFvQQNIgXZtgXEba+64IS7d5zGIst04jRQkL/R2aCZPcnL/1mFCLAGyDJYisN1wxGIi+JIJI/7I
tznPkgk0CJj5DatH5IjdwfaSRvYZ1gKP0jUEs43gFdUtcs4j0pW9sf8R9GdViOTSIoZ/Z9G1K+Bg
vz0zJGTjhQnCfIFFsyh037yEozf/a53sjrIDsrmouC8zpm7h/6VLKRQyezbJ9VxHTXSd0hAq2SQB
xQSZZTGF9XppGwFOjI/dD5SP/o5EGLUVbZYd+PbgXXcQ4Mkx4E15F4qVHus/mDBXFjdgwXrgH7P3
K2K3HciCErNZv6lEgqvDV+G4A7U+IWmQgkJovDaDKgpCJ2sA2C8MQjASkxHEV/zehmqCIO7ZSfhO
IghxxYsyoNDY0xBjDcA39LWz0QbNZMw/4Tl2Yjj/u1Fb7OcGEK3h7yCJEONLOzj2NhIN9nRddmBW
1Xo0VkJtLMCg8yV2bwByshdvudVyA1SUp1l7yHR9WJr2ECYW93NNH4BWjgRdPgVo4oHoebBMtFDk
t509ZYFxryTJng241hNCXzFwbctQl6mELgJIs7OHaUlhgW/96WpYPey0s+IWUSgpmF3mAuQM63Af
89/ETQ3EN1BSZxM06M628Y2N0fc2gUiPRzFVnYi+vNUlR831+JCB48jbuoGWvA0AxoeYGGVC9zAg
BHeV1N8Z90YM0v3b0MzRBR7yPO9qPO4lgijE80VWeeoepi2ToNIdNhNIzWneiQxiRbQOdY2svETF
EpYQcAHQevZPkcqmS13DgxkYwXL2EjOVkJ01hQjG5NFDnxvhreDB/ZFz8t3J4SWCQqDKjA/wVcn+
yY6Bg7icfoVRH500yZ5FnV413nksuqDJCVdEpKYQx7zUCi+Shre6qWB2OR17MXonKKr3YgEI0TrI
ZrXnYbFuBlS7sQ7ogYBnPXSToJlt+oprBFJXmqJwx+tFaiwxCMXpb9ZGz3pbgmOmAgvDzDh6wtAo
quB+2DlGxwvKxm0I0volRJF/SZYVBHfS7tjceiVUa+nJW3vx6ea+LzsghDsntzJyQblJXO/NMEHZ
s3lBBMnpYHYq6aAVxibJf3zjS8HghADTcf+EeAS/wOUxgbQOwQ713aPQ4i+S9gLIm4g7Ct/ZiiQY
Q4HPDmgnpBrHYzA7CGoMwvEmfRcGy1H9Th7kEVhXTyGoGeKjEQKDf5Rg4TDjBnIALPOWqwmHqquj
Op8Zq4O8QzcFztfSDwvc3xPNLbrLQObYYRuoAUM8Ts2t06CqLWS7Hz4ESC9Lqtsfjwr3J8haUqSK
Tec4tXMxGsaQiqriV6z2rNi0RjowkHgU3xEElEWZhL6QJYcI+yl5HG/mbzzY2yDpP+eJR7tyi58A
FALWI77XZMA4ODX6GdcglBQW94U38a2I0+G9V9NLnJozOkH01y0oa8gI4P22tD7gT5gf7DwZeNiR
CX7DlUQvURR+yZgNFTKH2C7J4uEhvlsgjFJdcESDE5siXucUNvMPwLDuUwhEVt+YSG2RhWuCBi9u
HchhY187X9FPsTmAinOY7bCH8IdoX1yZp7bdFIqZ5COuhwxqUaHBbHWwK/JAo2KPEKrmOc0wRGWg
YLkFSp9jAK9Pa5o0ZaiNAeiFMCegO2K4IdIZEtHsce0c3Oy80D/0Se923aLGXQelxc56/ZwnNUYp
zGO4t6L+GjcepB7UTzAdx/0rnrMtdUCezRr+rKCzZhCDEHH0w4+ew2esPsG0k+L63/RooPi36sio
AqWYLuwSxkCV03R8xpleX/ClrAUB0HEl8XZsoRJ+jVUMjkaiy40xWvyOKcQ/LmywHczHc4N917uB
VwgGwh8vDbaF9/RuvgJJflsGWBo61PfRo1UNqIkVkoCQZJAMuwX0c4eNGcuyqC4xAYdoadinn8Hd
EYtg8c113hXiOXMg811QAboCcu4Vg6ZigN47NMelGBfkyNX9uzCr+kljRg79uGDGE/HN6DQ5x5kl
ULiiS8e35qOsKjwJ7FJXGxkAJXTMVvCNe6TAjnb+fe99EFEIxxrYqcLv8DYtQu18PwwLaEd4nlmZ
ngK33hImAabMG9TZgXMfUZgMJURv+KW/ol8YSXyU2DY54yvpbjWf/zi09Ds5Nm43gaEAmwYcCdsl
V/DEiN+b75pdYE4YCL3t1xjzS+XqDlM64GqM6pd63hys3ziOf2xCsNRC5LOPLa95+zEC4owbXYrv
kbRvAEi933GDWmoaxvmrD7LPLuzZkaKFPcmVmGLRJELtbQCN3ldn+Ig1sJYLwPjZCxadXGXiNLuE
JG7/bY0mz9q05Cx5l/z1Yfb9Eob+j7jDYzWH3AFGvpB+MuGXQ+zbslt8/o3+FvgcboRT56WXDFd/
1UAIeRDdQncTliBzTFPebqUeLHOjEcJEyF2Ak29ZA0I1Ee67lymdQJGOPVQuvpe3WUZ+BnyNpUew
0rU0GSavYOa7YFvROfQYzZNx8vdxOLjHWs6Y59roPyKBkY1u9E+bbt70AO4ubYE0h4P89Tr4DtsF
BsSzmX8CItNd3OJ8bQ1uToWtKQAhmuEakDhWBshJ6MH5Cd3GBDGSac4JuHqAt+uN8eFpQpJzHo4N
vlZvuILCQS5fO9QoQwsAR1iSN/NN8Ah9G5NQh/jpI041IIIMKn85v0581M/ST9/7WU7VgAoNjAEy
uQUdP6SigZdPBEkpEaNYFlj1Q0yji2byH0FYUTWJUN5maDArou39/UnAc6a9h1UmGN88u6AHmIf7
t2hk8z7Ps32UlCR7v2uHx4gPIdIDFRRAqwdonyog6o5DAyZiCAahgurxYV5BN+FHgJgbi4GIcHnH
1jfdyzpbcgV27rGJJ2zFQneAfhiycjgWQyGpsYWmuwnVL/X9MpAcqIoZfmDrBkZlcBTvAEAa7FXU
bzWfsodttD4+gYIzbgogazQdeB8I//6hwcSqKiChItnGsEJ/ukHkYo6BmJs3AHfyaFfDANVlK7R2
ETsNGvo36OojnjeExSU65DPIqfosMLEd1rAD0IYXCCDP/zg6j+1IkSCKfhHnJB62BUV5eZXMhiO1
JGxC4s3Xz63ZzGq6u6SCzIgX793QX9Z+UAH+ZD9s2puQnWgA06b5nz9rvyofyr1Hv/M+Iv1HomSU
txB125GtnkKmFPOXGGLegJULQIE0D/20Xt5ms4ojwDaYBUX+I2kCjnK11YcsvRHPK87jQPmW+c/u
Lepup664o1z/3Cc9NoSWzjlrG++nqaqJKB2Pp0Bg2rG2Lt1Iv+lCI+XGMlufm4ATBchP+5QZ9i+g
pXJT2YC8bpz6TWIOf3GWUg1URhkuSf1dUr7jYuDIcxSG3BHjBhmmsg+xy3NoZQ2mLyUfPGxYSSUk
qv3wz2mLd6g48bEzkquRdG9W4z2vXeIEDdnzc61Z9Tkxq2yPKNQQ2pL3unTulkVcs9a577Rkl1n2
j10wLnEyVW7MXhn7XlNpoDX5a1PgkLddbiNCZgjDwl6fmmVxw9yzf6yyfxlVvIbMQV6UlSB+3RwO
7E5zNoszO58DdzUxMzyA/y+JwBCPJSHp4XFR5XKHqvjuZhElcGhJ1j12zjlNZmQNqqMD9l0cluhI
9+tK1L9O+Es7a3zVezns1r7KnrParbdtNvobzCfkm5ruuZzdhUJ7uRkO8on9GrMIZNn8jYZ3p9U+
M//Jv66GGvZdt6SbqbI+jGpllzEZr4AQMyKKjkspT7QhcDUbv4BXV1vhMmXrl2rm5xse46ajYo1Z
AlusuoMjwvtVq3FeFutSlqW+T0kZbywVL7sOy3sUs0z43mzKOmKaNoS0mvfKiqtNEyefnu52O/Yd
FpEBwTvKjRp3Uhtj9dRwzAeQ13HqkXWN6tVpyc3iyaoJEWH1Et/4aNeNZev2QQOv+zKT8YjgZef4
suchKtaYN8VXY2g3xCsmqaXc/jfrh4a7pq7RNpnGjNYuNwnC5LXHsl6Dae2dlWftd5wKhm8FtlYv
xRuSrO6LTLRDutjsNdDRKTkV235nxA4qipk0oYh759qaKFtN1mXPs/IU5A5juV+T2xHprsueLHHH
9KO5OI2BwUbhqJj9ZGtN5dlz52uVlJ/GOL1lWfZSVSURgEL3w8XgTh+TSbz5Pr+lTFPtkxD4cfUc
OaQ1mZGWWpc9JLPmbJlq2rt+7N7Tm8Ziu9oQmqthPBoaXscmpbgriE78xH5THmXKnNoQ3hcn5FvH
A3tPkHr8rJc6/yLm3Rwz3wVDX6HE/GnT+q713RwNhDfheDkPdkaWtFknFcpJXn3d+ypzlR29mdGA
7851FBeVv8NeMeGC45qt/ebJ7h0LD7NG2ZP75YKYU2ZuaBIZ2NbmstyCH91Di+YZzmr4Mu2qD4ld
M5pQDqYgPz9Ps71TDC++/XnE5mv6DyY5ninukrOM1WfKSO0yLEMSdS2RXidm4q2tRv7S1xlbJget
e8wrP9nEWD/RauRlXeovQbW503NWw5A4YrF8A7Ox9nV57AuzDrXFKXeJk/yRi10ehK8urW3Is522
/l4w2nvNYvHWzYvcaSarlhO7vkpDqsOkLDJ8lRkMDbbGxnUKGcUDxysOoZfWGNvPCVTOdRFaE+V1
N3ZB3c7rvk5uz+eI6aDUOHWYDjF5M2r3bxRdEhZFykyvAfLoFtxEU6JvFW76raGPTIObuBuCBrzw
cR3sf0tSXfmL6VyqMm3qqCoM5ySUyyNgK1R6/J84DxprWjZmQyzdmJ03O5HdD8uMrrUytJvXU0Gv
wE00B4tVZH/SyC7oOV+inbwzsH1jQwZhuRhIlkU+e1e/8sWTWm77wuUa8m/BvxgsfSd7Zlb0G/kQ
6VqcfmrrSs3ktOJXFtQjgmRO0HIHiVaVb8mSeDEGBFffiAXtSOs8k22XabfF45Mg5A/a3u/79xm2
1XVGZNqVZuXshqa3t0j40FAybz05GWJuPI/ZoeEu2LEOCjjHWDy2qs8htXZNdfbSZQwnLuIkGEWL
m1Im8Uumuv4VUmMWcQhjzh5wXeJh4beVkQyfO2xDtbD7t4oowGYmILFH4BieLU+X7wjwMRMSJXaQ
dfaa0btOJJh2hX2cv4mkPsVO+gggojiLNqsfPEE3KBY3vitLZCQ2vq4rTpSizsi6Ou5nadkns6yG
kOriQY/jZO8p7Z44JEJb1ogo08vuRIqyO6o8Y1bcqIq9rZ7XPxFfyA5mOxYkvw1motihTCvVN3Ex
fjSMOPjF4tDpktyArebXDUfS5HzO0mnuGk74e6ktapfyDm+rCi86XyboI0mi2pqVuWdl9XopC707
O4adsxVylZucXfERMSUtEK5pBT6mmi1bPZkdLNa+yVgKzXKxGj5Bld33qWAbezV/FJzo29UZ3NCt
+nvfxPBRzncLHJ290usXbancv9XFfW2uz/3ath9C9BgiwPu2BPpFueOsw7KqkuLCHkxMvLP2TkK8
2QryHVujRaQ04s57llDlN24x9Vsmof+KNn5mXK/RXGkjtTQizna1GU45xO2Pk9fcEYZreKUEaYyZ
UQSxVfPc4Sl5iCev2mK50vadWBWvv/vQ+vm4nQq64XhxmrAwGMtBWusvieCQS6ra3Bnme2I5xpuf
IbJ6yCZaHplxcYBHsUnJA/Q1urpT0DbW7rM+O6E+ZYdsIhVuYTQd/fx+bt9xPzOR0H9lyRyLV56a
dWGGXCH8Y4PELK87cnzwksEMCgP7hOaP6bEqVvbj2GTk53XhWk/zSzFIlJWURkqdlY4vYe32q2/s
6+4shsvgFrcGDjDAnt+S6+xncgRJKmAPbJJ7RldEHXFpbTiF0D3FsJO3eaWozKtIf4Y13/mMX03m
HCBit6tL2GdVc4fJkLVLunMYPI3tR679t6qCz+XSdmA5RRylq+LA8xAZqLn2HFRvqz1dBTpO5Y5n
enCXxSEloxatYcpm54+F+TPj9C/zIrDW7IBS9a9dyifLtphY/1Gb/eDjCmPlPrZevC/j5l/t9o/x
CJNsafc5B5pXgQypkERL9zrjXBaNYIv0nBIjXbJpr1bcfCJtX01PPGmJtbMM/8WrrQ3V/BOmhG2+
tDPyov1Gh06+SztR0hpQX+LBQCFidV6m2mxLE9HRImBMVeBePSXv/YagbFwb/YZxxHCLRTnHKsOc
MK21YsLU5nvOBIaHqfs6WLALqgzfdJZbp7bxjcDKSSTIqcwii5zUATDMp97Ri9HpHVLDP+J22A/K
Jmmlw/LoIyaUvHR1oBvaZsLWOQi2kw11qLf6nvDPfp7zRxafH9pkZH9Ze1gtBU/CfmLqjSOCh6L7
lZ2zMSgkTc+GF4BFutLO+GV2Iz7wUsOuKtS+1ie8BiIq3eKoWeqzrctwap0dvnpMHTcccQwWwh8x
NuO+iDmoFK0vlJtnxXE3uMO/hhEQDtj2MBPZMJZ54wrjXDNP7VtqN6PJ9p39RvrlUS6kamdPF8Gg
wLEnLPxm4NeLMir9hJqB+8TqH1cm5GVqb4cKUwWuJcZR1udQ5OwjF2GKeEI6lMjEKLdcHEF8Sx40
40dKpr9be+pPBiyWb0TcVKFZJ7+M7w9Nx4LiZuZnTvaLbpzzeYxUvx5A6PC2sKVxInxQTQ0ACZ1B
jf5tVXi4al4dpAZSBQwXKztsTAZaC4pyuf6uTDBaj2zBXLnRZNUfg9sjSZrthwIUJOeOxZZ1OLfD
X59begBxF995iyepYF8i60Vs3phb7FTKOsQK8q+rVvyk4p/VmFEWa+9uMx8z0lFjV91mK9tBPuhN
ezcUP+aMP99XL1gtziZpdQQtrxki3/zSJSuBPHnuqQtUTjfNa9rn3m/rrlHjq1e/r98bGV9izYvk
BL4Dn35VTwRL8j1FqsLyuFwnwI9uQsG5uPeVMli5zPOezjjdoTMchipFSTP22bycLYXNJZujOht2
tFOkt6b3TFeB0vSntfEDqW65ZCCZ9OsTBhsrLyP+DJlRETASnTlZam2eiJa3JofbsqVF2yiOBlfq
9/rqhGVBgY/KdfONX6pVPbWtdos5vOKB/HQS+4pNY2sP5lPWVlfXhZfBnYHvOvksfbktyQMLfXom
cUl+U9spAimajKPKM3+Jm5NuJQFljcVbSp+ymU1zazozDo7a9TDIejtCoddmdILYcgNTNEGhjxfV
TQdtdU41NjZPb6NpIRtxs66X6XdVekkQr7CvFDzXvLvWVnNy/e9qomCLOevH4adf0rMQHX7J8p9O
N4TV4KjPWPHsmpxOlyyvmpEzI+yCtcuSTWuZ2ybLIuFQHznqPU3nZ/vG+vC57sqyvpDk4+rO3mDn
HGuNobZnbFXhvLmz9sA3vGHHLybDbr32I/gtKDc2E5cSA049LltZiTM3Lfk3ti/k9UPhMQzT/FCT
Ne+jcZC+86dPkvvFurjcaa6aQj/mE2T6l+KRJ2FZLxs6SawJTH/clhffZkxp9cl2IMcgMy58zlCB
7hoXxcleu0NWjo925T4JiZrSFB+jT3HZRwQStkPrHbKiP2fzHMmUkU0xzmfmwqEasjxwEnwdlsM3
Cg2wo4/lsWq23pDtxrwNuOKf1oFuDHsmprJTlf2YEzwKr9vVi0fPV/wmzUCelDkfT1+nETEp451n
fuNpaLBhur/zmoVpVuHn9iKdsEPlaO9l/ddmsDYNZp5dd5lSjRB/9aVALDqyT8AFppHoja/RSe+c
jv0cTWE+VnZ1QYvbOgnXtRXrB30iXmmoR819q0qT29AOFrY10ajIqHHqn9gxfhYhH7Qqv9OXWzEo
nhO7DHFtTht2uh6cIr16Lrqhtpr3qZPTYTXzvrMocBaDpetc5gXkkB7MS9/WhxYDpLPKHW6ToIzX
AyOg90rj21nBeXWTfWdQO+bxeOmyW0TJDqxiPUwpIbqx/DOL71G6Bz2pI4+3PxZmtPLtClWF7HG5
6gnRhZGYgo+Ti39vjvVjOtrPKIUv3sjJgdhJSP5azE+LyVdYX+0xPRS9uS1d45hqJe3UEozpxOwN
yTL9FIt+lQzfgFBFstHf0h5p2PudfN5NNR+9br7ztPVfrxA5kF2TJSWlW++mtj6bcXxnjTJigavY
ZHV8yHESY2ieENCZ+mPQIXuMUmjgx6miySMaZFIt9f/SxjpPaNSJGM66T5OG40bSWkxzs02ghVMS
D6hexfBCWxA4bXtB5aE88EIG4lSijnbSvfTUNPNpcWdsIn6kOdpe1tTGXXGXZF9tzpzacbh8cYqA
+QuMsf80aAoR3wJfk1Hbsd+HnWpAb+yy3rEVFDXACIRJX+f1w75IbyN1khbDwARgSC6iyzCP988M
hTYGzCrdySJlFYck/XXdeWOo+MqkdnPjrMiyQgOcIV+4X16bBhaKZsuAzHfGo3DK11XzH6FhHBQx
HM0W4ews5qbAFG0qaivWMfvFCGyIE8+Vr+4sWCcsX7GeBlK2b6nnkhvtu/uu5jNLHuOSjAdshoMc
nAPzz7C73fdEJwGuDojC+I+E0rdaTYoR//je92/QlfLor+w7stuAzo2EirXNivU7Wd97yUxVIxOg
x/dzNXyuM1YyBaS6deWhsGsyxRXapNtuMWTTKvZbAv/lpnQUOvrYRn784Y/4PBD+Nsidu0FRmyS1
e9Pq+bgW0WvXeMxj76zpjNDyGet2goNm/Gpw/yHBBG2cY4bKXrArUHYbO1ljhDU5+sbuyvDvaFav
AoM2eQWxGcgr4UINEWZx8XnnWnUsoyfBj/lT662I/2lj2+MxZnTrFOVReOwxa42dtpQvLuC2zcAI
s4rrFyHQufn8G6c3rhCZ2xBC5HkQzFZHxWuUPq9VumPUHiJYfstu3OaJfnFuj2T9T5fiMI9O2Ez1
y0JNMc5y1+fq1Uo/aEQDq5RR4WmbnLis47Ik0GhQAVnncjs1von/PWX5lDOaS7BntQc/Td7douBr
M5jgmjA4+tSZCbqNO41G1EIQI5UZb2MJxZuxvW80/G2aCLlTUF/kq13lVRDnnFNVQabbwp3d6LsY
78YWCXDeSAbpuPedjW88SRviEx0Ek2w5pKTQkf/TAmyfcPs3spsY1YpuNzq464hUDRMxCqM+rvO/
2RxmDIDDgfWS6w6AwR4vZxXc+Auiy0kkcDiZzLRyf9RCTicM6NPLhFJOmJrlJbl7EbY6KjzM943T
YIgbVh0BZn1b/IY7fpm//Vr525gHw8vk+1yn8MdkeHPzO5M4WnzY3EbrEO69VWUf8KAIrA17b3bP
5oiM1xR3zsrbwNx3L4fJ3RS2/5aVLnRG8W3W6ctQWnt9SJoTCZedyKszy97zjbU2qEST/4TQdidL
DtaJc59OcQfh58leje2sjfu2KA5EQiBpsOcZEyDJf/gdp7zN/xKAENIAGskYNJndKC+IxlL9ep37
tBaMhk1H7TRvOhWpdVEJJ2dfEgIn6j7a7ftYIGYTmJ7K8SFbR77jBSeZdN88zR4CprhfYEQDoG3G
0c0wYCptYxBZahsodLa7d4v1YuMldObx2xv8NrJMxDpHGKE2x+StsMDFdcTE83meZtxzub2FZwFu
DsLR3LQTcaPfilLLh/+DdetRjPMWZxQRMmfnqgb1WfZQa5YnJdHgNLTqztiOcnE3ZQX7Ks8+NFZX
LDpwq8q5K2J+Q9DsMK3DSKLxrd7jaXwf+/xGDOzaQHnJQTp8EHgkt5oXSOJqPGQulXDFKJfz9CGG
RrMM7bUaGFt1JO4WrvysGN8aYmW8Ub3zbprl8+Qu6UENcgwBstHfgagaNTA5xej/8yvrlPaSC896
dmhjsAc77Cv26zwsSFP5MaP8HE84KInlGaLOZmjni4p7PiMRN/+v4UW3VPK1TA3myHy2AP7R0i/S
2NWCcxNTOO1FHvbNfJky+jydhx0apdvk315nc6dU9a7mCcSMjY/ZMzeTKWqmQm0d5XNzssX3kK0X
ZrIn8hhlOI+ABpLKBBFnqqcVSZnuqBlOSVsNFyQXdMeEu9JK0OFTn174pjO5wxJiI6EgTnFrIeKa
ln9IYkyFpgb0MO7eMgNCS0IX3xXdgQnpu9321ylN7pBdBhwC7bEeynvlTkHZLC8Juj1O3P5dzUPA
BfVqTj4ZUENQLufHGy5BDPkujhmiu8ikVvtR0Y3oMzgMPfuBXCEjz6/WzbCOLqEC98fNnusBdRW1
DoAlF2ZOyspiTCitLCwa8KRDv0uMAmtPElb9FCkIPl03fFh6u2/owHPL+hKTjeik9l3GPVYXV7p3
tquD4rP7J+wgBsd5U2x0g5Ixiy+6ZuAXnbdubDzTlR7W7DvFWDIb6XM6YnUX/jGbxdswpducu0Un
TIXeR59iPC0e6bJxCCynp+y+obU0Er9kMhm+3qcry49ul8rw59ueH3Sqe81pOgEp75aUSXXroRM7
eJno293V3aOpHCf6vAm4CEndp6ECMITGkk7NlsYDJqWM8I2+j5RKgA1+RO7j28sXoqXze92yn22M
q8Dv2icOjLNy6cJHt8WWVIVttZxpXTeixV1Umj+8J0gDy49W+XdsQA/7cT6mCOzzVH+LNl9CKgVK
NOTquitpdCZ/k7v1b5PWD35f1ITa7XKf1jSKPd0a4yHsHjW/dJ0HbTDVZTRI5s1JSxC+vXdzE1Jm
5xPTF++mPT6OmQTRZMgOWJMfn+oh2SdVfmocY1NV/A1d7G0kJgiSl1tcBntNaTBW+ojUSGjAlsm7
ZJc01r/Fsb7q1UbAQy5Qa5hp/hGCyYtMkUXlCHJxMsqPuH7r+hsVz94jYQQ47XH46gE2jlOcuY+G
OUZZ7rx0Ju+xqbPBW8eRV024QVlqilcR0hTXwSrqa8skJWXCgLg7nm98B+Rgfl6XG1pRfGszBltt
IM4v8BRZFoMm6F0YEvTQyI0Iol22gWTTU7ciq8BYyraVtGxiPfHH7BHyS1YLuqciCVIkZPipfiHA
1Jn+WJNQDoT1Jxon8jGXekRye8+702f9rVnthfNH7bUJHNxA66TWYksU640+YttwLfcauowUT2Mz
Hf2W3TPAahUArkq3n/TC3U9O9TgK6jlZHwyv2WCVOJatMVDrWe+L0b6RRX/kgr/WBUWF2cgTe3u4
1NATvMF7sl316mLJMRZCzxWefZhdxtUG8mO0eQQDiVGmTrWbM2dQeIvTJCTg/FFl/Unl61s28Uc1
6g0gY4e8B357k3dxpx79Mq5Jbxv3iYYfsiELNRqOH/SSic8ttWGvK0mJfGGyNTXZ02rO9xWmT0YP
wPhUf4fjgNBgrg/HVRqkDQvjoAmjwQ0lClS7fDzInDF8Vp7MKn+uHLhInkX7T6Ra7yN4CUvQTPGH
a2BwFtmpdK0wr9pPN41/yBUROi7vFPHloPLc7AYn24g8e3XwIAJvXR86vSeHawdxiuMRXXifk3Cl
WUFTke/GMP16NvGOQSi5FV3MA+NjanVdh3cnO7Wyh5OC5F1TeuNNegTK/IeJ8HV1Emu/CEQh0jFH
j8x8FE84MTUKnVHzo7gbo85fd2niXWKvOZYOdg0R33ClyXARRJOVJF6xLlMoZ1ugnmpHabuA53Q7
DdqGX2tzSyf4VYXvc3UonWs80CUedk4XDKTfeQW+t7fvsolZf++/GTAFQRzLDFuiPNzeqkVVzKTz
89LLe1nkzh7iYLNbYIhAoMQAaJrJRprC3OIAZl8v07MV6a3X/6HPXgf+uTb2H6F49EGWNrvenvF1
14eOvWFgTJ64o/GV+EnJkTBUGxm7alvWKeWvRMAp4fhkLkh4YqGb1iAWaIr0bgLLlkzZa2H0N8YC
FeRsAhIqIdhU85cfL8wxtQjOZxXpQ/FXiJ/Vme5Ezo1Zrl+a13xqhRV2KEKjq47+2OJ9S7B3O/5+
Iizkrva9owhRQDFeBPbB5sXCnioTnc7BaINKA/iH178RfB5khiTQU9BGN81S0SWxfRAmIqJAR/4k
GylIsWIUXA5dPSPvAkKFGB2gV0BxhhAJd3PTmJxRg0Vyrk9xZhkwIf1ZnrLMO5gQBdaEL1S0oTfM
SHvLhuDS1iiHD3KqQbXqf6bjP8EFOSnIHcxocDkVvl1BrspIURehrZ1zc3hPiz7d+Sb6bQ9uqXH5
ENgg5qC2ulPCaoSxgQoC3etcT+2xW4c1aBzlhiwpfXPXT37vJ23scAo7j/HSb+cFE1Sp9cYO5kjF
iNndVom/YW76lbn9oReFixiAqX2etUdAKs+DVWz1bgVFI0EKqcMwyTPRWl7veDfk/mvjwREAG7SZ
nd8mcbtPiUnO7VqHPrWKQAcQGct3oxBbz7YCi6kTUlEzaKjoRUDIPkjjdBtzXW7HhSma53L0OwKz
uKiOltt+rSBisltvgbQuyOCtLmJBDws07HvjyRakiCaEtCjD+0jqrr5zhPWG45TnucMw4mb3M1yj
1nQEhhKqGJ+5P7BpLu23pBpfR77tBgJc0RYfvQ9iROpoSnWxr022W5hoWOPgvnhryilSbye7/Ko9
HtiB3i7POgad5r2Y/Ke8Whg9FO5WUcfyjkTc3h+Q4hmcyAMOPoogQnsdxsi0SD9n7+IztcS88VoM
1lFRkxaEtMcljhgjHXRGsYM2/UiRiIhOb6sZ2q6//VLGBa5Xi7S64BYHJrG3RqKAro9zT5D9bmCz
OcVysZzlz9et557TMMX0L5MRJ196V1mfCV8K9IR6j3QMQQZARFo+kHu6wFYc0TUI66Yvq59F+IQ+
8rk7kyTeYunaV708N0Id+kQ9EDk75JO2bZH4qThwqTdG5PXVXzX130VF+ocpSaI+BzDFCJc37Cp4
lLy5twcsDkvzbylrB1yq+jV7mR996P4hR0G8t0GE7lIGlQcTV+3OIXtGN0C6S4tb9RsPHANGUzyW
JchenQqYRbVT4CFtYeMEm+aqhwpfAevInSFKkf2P8G+n3ZKB32TY9zqN6sCZtW6SFuWnsoy7pCy2
1ZB/AvKjRqinXUuVxVgT5VssOXqRNQRdPxyE5VzyMT0nWRn5fnqo/6de45bRjf6uxXHiySFaLdJ5
5eJVB5BHRtDfjBm6OKfwPx47nBKzSD6mxqrhqNu0lb23z1J1rm6k6SnxQjx3L4UysiOIEcYoXPVo
kOMd2JGvhuTb0BavytXfbWM9Gcx4LFfc+5PJQoT6sHS4sSb8qiZlWcZodJhBUwqngxfl3XS1Ei5I
95jgrJBcHAlzcrX+jrX6MtFu3Lo7ce+CPuMkUKhNnkEqOlfPcUuqTeBlrwjO8e/wqgHInWg2ucYl
fpjB2YGUOTgZqcSsO2ZN+pLSeRQFv/QGo0iJicrSnuxmPq8jVItK65iYOoB6NAjQ1K4DpKV+3uoN
tfXAOghTvqyz9T2DoOYHZtql548VTTmmhDtTdy6tv55XT3kBrk+G3Ot7arS8quoEPpXx8HjKY8a/
S3cwbPoaxnMuBHj6J+wq8JNyr8Ifre+GbHjwdV5jHfpH2BvTvZ+TzcAW2txSAxaeeeD9PAf8DEKZ
T7MFwGue6O16Cyq9D7gy6Kf8IcYvF66L+1XYaE/Yj+BkWuMOUs5ztnojFE9oD5nDWWSyXyZHwt7B
3nceVl3c1WBWl1Xf3ibXbdkEigkvxubnsX4GwrFs+r4/dMKdItPP9kYB8k85TGacO1KyQWyueO5X
hq0ejA/m4KElMEG0nhl6DqQAS0nolIKRdZ3gce6W8hXU6FkmfQwNm15lMn3r2FZ8+/BObZiWa7tz
dBXpPpOKstLw/tRI2AtjKfKbFj7JcsVhuVTw8noetwXIqhZ4NoxKCvZT7nYvpewuPfGNoG4JhPvZ
Wjw6wB5JSP/rxnTbeMlVdOJdeMgfgAKwBczVg0K9zcwc+Wj+QleAUkIaDFfpybDa0GJMNmTJIVvU
sQVoFLfDvXszlrmp2BX+02zPXzEGt4kpYK23Jy72Q1ozeYZaiCXY3KRlxgwZc1beTj9dbNwru30U
vXu3jCnUkZsqSiwyNk48atyaeOoYhW08JNKgddorSZlLJp1f08ruEhKLyIPQX1xWsqQIeDPHdOjq
3GC96V4M9hm0PW42oAZtqn8zwCWtGxMNwmXJ+ojQcOvLXA5vtd2Q7TIfVZUeBdNQvHQbfdEp8cA5
OmrCeix2RhkfOq0MYbOFZFjf5sxgZF9/DhWUPg3sf06d0PliW9BBe9z9vp3sV4e1T0Cdqb7yvVda
h7WFB2VacLclo2GxXyH1ACOZ9ymApP1Q8UN0k78caPA+Szw5IH/cc5OKB0hApFZ1dw+g50Fb3adk
rpBovhwT7WH1o1HV772v4xVhYj3aE34m/9Dqt9esQaxBWewH42ykOH+rr5vtaLD132YdjvjImIzm
vxoqD25RopHAA3WqpML6F/Ngbuy2emITyqGOzVfvtkTGQ64evOycaRDl5Rxx1b/ZaXMETHr0IXrY
K/n8HLWpqpmNsYdhyRUQlfHe4EXtbQrmbqEKSUrI4bB2PV7IXNkPCRw6OKz7Ya6/nT6JwzJd3hwY
aSNoq9ZmD8/IIx83lD7Fk7tY21l2W5yktzF09ZuY/XNhILfrbmADIeTqCxakA9bBRuYSH6dpYWoG
QGtde4OEDjtkpNHv25mAm2Gl330nefK7O46Ph76HW0SwZhRXZYIpWeoba4e4UHUdPfRPXHPZXP2N
OuMKiIuLHh9GHXwFSkShacc5T5+p5LG2MZKxDf7T5dU7ts8h6qR3daxp57cOSg5Um3I5Nnm2txL5
ScjpnZnCwXCWU0kUFrwN3TWIhDuE4atTO8R2Zyii431a5lfHTh67TN5Vkv4rZVVgRXvA5a7D0WId
qF4Zh9VIfs1GhOCjDpxfDwVJ56Iwz8pe31vbD025BMuAcu3Y6a42geJY5TnBOF3fthHT8xII7rNd
5s1HiMrG3oLRwGCZyAjuAO0ik2QKxjE1IyktvgTQt9hmiT+s8lu3/s0djXmbvoIq/J3KilZygjbR
dul8yYsSSLwGwz1jxE3KYQwlIGLmYeg7mTOArcLr47WEUfkABJmSTVbcVhU3JT634bX5j7TzWo4b
y9b0q3T0dSMG3pyYMxfpkJm0ouhvEBJJwXuPp58POlGtJIRJTKkj6qpYxUVsu/Zav5HUI297dSUo
aYDsSPxIP6fbih4EqFByr4DbbCtl+NAE8AOlzHu7dJIGRA29rrC3ViI+SXFYPTmIRPQ0vXagx9+w
X0h28Hm3Lh3HPDCQLKQ0Okj7RLC2KhjFZOBQclJgAFr2GkUv2DFF0F0DCngRarSgggUj+qY6eDSU
tO6qmDdTm2TrhLKF27QoGonvpVZxu2AR1GgvMDoNSoBy7dpD1APe64KnzEL9G4aXbzU0EdFNdUUQ
Ux2PiaK5M1WENQp9PejB1uBpWQvFBQ+zg6DKT17yIyutOxHYXFm+QFuoAWC33lrKdDtxnsEJPnS0
36mXdZZyOYgVYoMU41CCVZziBd+rHfT5qzAQbvXc+FoDLcyHxu4S7TsyC3aeKjRiYbxRZjIFg+a4
sNP74D0zg0dKsdueI3XlxsYuYwsUsEkVbhk4S7ZbBvtW5glWqyvTpaBviD8iJL406v94aqwl3bly
2+pHh95GkOubjLUfh3T3A7x6KuQTOhPcqYIIFwhtZWCkCvk5NZNNqKKAXnQSCDnTv48j/1g6IKjF
iDtLKLaWxgbveWCiv71OO/daiNCpNRKM0EV9DwosAI2fwR8JeceSnuQOqnRudmcN5o06hDuPVrgX
u6jMNbs0BVc2yoQaMDXJXUnX6HsFiAMFgoUeUrpFimCvxc2FIsSH1lBvedMjAY4+jQ1T81VzNR7U
HdQA/0UGwWUHsfMlbupkz4semjVuA/yuwpRuGydIgUgP1kXpj44ngtVtDAEFQsfM9KMX9nCUovsU
WcxMljcpAOwyfVbV5jKWUzuzxFfMwy57wSSh1/DnQ1dnxU4GAteY732m2G0ufa8tI7oa8JM2QYGw
tEm8O3kfAza47obWlmTza1DFO6GRi4PvctcVYpQjaCM9W308XA/IcAFQiXfUpek45LfViB4uW9ow
wIUuUi5taCsPIG2p37fwaapYhYhKRiS0ogLwmm5wLva8ZdEBOSiNZqJwWL74ivWBS4S3l6z6e+Sa
CYe99IpymEdeSuEN5W2EJUKT0kZPT881xzpGQRsNMoVZ2Q2MLxTIY0qCxSvY7h++W+toC5omkr7Z
hxulFM6obGZdWO6LAYZCKb6H9NpzLUx3xpAEx5D2GkVR2rKaCaxcg4UYwc3sgl1XWWjuBcmVIQkc
OSOePiKP33tht/FdZL78a9+lfWqYAICqAr8bpQMNQJ08DB4p8t9kAbqw9Mi5AHAqjtgtvo332l60
2MvCRys+pm17zEo4ikl+MGoXZdN3CZkGg5mm3rVWQANUofCKNxDNrFEdNe8EoG+gvZQeSlv52omp
DW8HmhM65/pLkFCYU7qLSPCwGhlG5wdexjBhcUhjeIC3GWvLcsGTYKWzk0vJJ0etkSFK4dxJpkj9
ydmUKHt2Qb/Kc+Om7EpE9NiHsmqPKs19+x6Y4q2CHKauoW/qBXDMMBwb4n0g01zxK/OASsZ9VL2G
JXAf1de2Ro1pFwZGJuoaJMNso5JMvliZsnJ0lACll0K7gLt/2XnYlCCfg1QC/TZ1sHMtfihyEN9Z
gA6Gkt8jK0BFB0KHme/F6skCMFOV74IPINCiCYzjSn/BhVnaOYKJD36Rhl9zAw20Ms2/q5wzlBwo
oneINu1Nd+w1DALNBwOdKJ3FSbVSXCleKq0kOh5hmf6AM+Jutc49RjIigS6dMr1n13rrwG+NbenV
zykNhkNS9T+v9kcd5e215UIjyiR4HnIe31spnoyofT07jfKjScorjJJ4UVI+VKSq4o1yF7gfOm1x
ZHavKjgJdPpBV0QwDEpEAVYDDZiLwhNhYwjJtUNHsnDQtnCESxCjNLfj7AlOgWCrtXTPg6jZRCXi
OQbrDc8NtBMdje4kWm79F8HDDwR5TPIhUVSuBpJxFFtpC1M1a5DurMjsTF4ToFf0TTeqvgDsvZOV
4kbwcISSMb3JwP9uyHDAK+X4IgbxsWvCa6p64WVs4gqDDMrKlwKyvTEfEQT+tNSGm7lFHu6B5yEi
xS0nHTAtq0R6tsD+55D4tEZh+cvH1hfu8SuRuEJ7wL8thGr/uc6d51jq6C2DczegvNAyc+8Kx0O5
gNMlz+HnmCG1E0F7op5X6emXuPMGW/ab4opeXiMi12wV15WiIEEXRgNwxpLjDckQqF9CIfToLOFb
UZkDaFNSkqMsONaRTluHaiD959QoMtJF3AOo+1KmFQP1GiYrIg2K1QC4UlnxjdwADZGhzChiCdUj
JclFjxaU1ZZuCReFXlpbrY/dDxGEj8KTL+7tQcgMuyvl18FxinWfsR1MyCcovFoBF7+U8YLWFWAF
sodGYTcU1pMRRa+KO0SXtdUjAj5Ew3EwIJQ7MBdGpr63TcHF3KBNyIM3FaKDKpn8paLTfI8Tk5c4
ELtrEJz9ZiQaXvghequFy76oRrmRYsw+5NqkbSpBnu0ppH2RdbkArpDgvFILzZ0b5zdRUoYbJajS
vYrZ3ErqONphdJdffGjNXJYppU9Tl/Yl2cFGh3iz64bQY7fk8sEBuXWt6CCd2sG6peFLUVjJ0+Ge
5wJoN5yU4BVZYn6hyiGqla3kvmoNkMfIh0qhmWZ567Vl9d5L3h1WmTDBOpDQewV+1CbNdDJFSIF7
R/Sf/FRLDiDTvyITGm9TqXzWMem597kxdi4NXCqtun8he72801uEoOQCscVa0emKUctcDR1dkZok
S6XHGAx7DyvrjSJ3+XfJQqQQDywJT5qIRCsdkBCjcOLi56JiPHaXQK5ag3mpvsgU8cGP5shMUGaX
uj3ykiEapa5yqaYyIg5S/qKC58Clc+RRPKsFh7pCsSUVt/xvt25SP1ToZ8MkABeNVZhTaSHtHRRc
WOytNVBNjjfQitZBOwoxV0fDEunO0mMvMWSoLawNqZ2X8WUXpxcVpdl100OEFlXpouzLAc3Y4CGU
uq9w1C57qUVtFGUtt83tcBCOZtNedXr0XQm8h8ySIISqt2kMl7Q1IWkWFccKvak7L+mfxSa4keVu
LxTpOz45vFlIiuFvSHSlQD7mwLz72LwOzXc4zh+ogRwwrdhZAvX1jie3EpIct/oD/8NT2kpH2A3v
rozAcxS8Fem3MNUh9lbU2t3Uv2z19LXRmWodrmHfd1fsAlwlYtvkIZcgv6qHxp1eDI9mPAAc1IwX
07F2ERmBjpVPo723ev5oBuKB/t59O6rnUkgJjWSVgaKQm5BeYXaH4opt1RYZQrrWqb74boaqGiAG
kLO91o3GO9oOQfcaQgQ9sYqqMqAj8TJAv753Iu5QM3+uStCKyG0dQCrKD74nlVsrC7UduTFycxoc
Ey/X5B2PFR5Q1KYxzWwzul5NnKzcRuWgpy9ODVljtwYd1qSt+mYJirVXUuFp0IYOp64ggVKGVK+n
J9m2ynGwKlIhfQU0KZAZZbpwE3hoULEo4nJjItFEMS3Pb8ymu5PqrDgiS4ZVSyYd9BYEi6CYA2dm
nK87ZDNsLYl4wyrwSfY67+CtkhEcb2AuZNFvH5BODS8sevgXyWgPxZir69bS7tHKLLe5MLJGSwV2
dWL5j6k8uAc3E4SX0nRuglAKLzzTG0AMepycEaRFkGl+sxVxNX3wpFpYY+QEoMIIeRuggH/nUSfZ
VhIEZAmnGTD0PmInYz/EhYSGRkvchjzGSHq3FJsQ8whxns0t631UO6WsFn+RKj8EIIxSTxFI0kPS
ysOlktcGxVDnWUwzdDMb6Mr04JFgHgJEmTyIQgYqnFvTo07o9zoF66h+7QCr8VAJG/05a0aiMaty
jz7csDc6ZH+0rFNtOXDiN1lIaJXydFqDG+cwSkr4rqUSaO8IU4bPuodYSFsDqciyGrUweMMelFOK
cla9RWvlPZML8FUpYvtwmnS7H5XCMI7gFgYAA+ed8qNKhssTFLvUwC15nqHdcR07UPtzirhSJnc/
AqZ6rXgw4QHohhdBi16/m0ok+nl3o1EOuRL6RrrRnAo1xagdCzyV+NyrCTC6QMlKivBme/RiXByh
HIBixrkIB5MCb5Xoe44C3KZWugQTz8y6iXPyVcxyR08mvFXIfGC9CABbA0u+VUP3reoMgJ1MLG0t
TUcxa+h7En7+EzBdCU5PuXiJlGMXbnBDdfeFFsTgz33xG9RF/On84RBhcYoSQYULcKRaZCdCfaOA
eRRtC3WWJCP7FxztozLhm7VRNKgrfIKB1QbfY+Sf3FLnkneGUQHSp+5e9v21gofqplK0Gxr2yWGg
19m7jbRFFNzcqD0Yhlimb2ZYcX1VaVloixVGlGLjS3ba5fK3MHgGJ6vFWPAEarAr9L7aJXL4yuRB
5jC7biVFOrOVAnAiT+EXYCE8bDswaxfAS0qosEhjrv2hepd08bZUMlCIJXqHeN+QiAoir3ZUaW/i
rDDe0ev9ZvgmkvVZW/+IIyvYCG3yYDSZcuxTU9wEDXg0yxegz1l+eKGi7LLP8sJ6wQ2sRqUW/Qgz
g7eF9LFymzoDkHpU+QOsOW/LjOpRLqXovOkRdsyV+uI5YrMDfYJPAVpYpD+qdDWU7Qdky7HNXPaj
dAIXYRpoxbUxBNqF28MQlr2uAcfv4o8WDvfgfZxLvUDyLaw/Etd4x7f8zrWu05JtWjfSM5kDMiiS
LD75QSLTpJWHoyECj03E1AU0WjZ06uOcHdnIyr1SRgpqLrIE4D9DQTIHzCcqYLckT3uMA+x4tIiH
rh6rd2ZCwMbhoSmkX4UIpSyzEJVLKmz6DeKBgOVriaMQUZs1iV53Aw0A0fi82BaVwXEbemgnoHu7
kmjRbcTEGZ17sJ2JacpBVfyulEG7511O6dvTwWVy23RhRbJfIWO5pe6rI+wKalN1LZHkED42GE9f
s0B2gdc1YW/zjpaFr2agPCHsg/mpoUS2h/cg2lGURnGPgiDmJFzqARDVukAmpKKbHcij2mtRvSDA
Bh8Of551jw8sUrmy8IR8bwaMS7W2olQcK0vlL1OwcV6pEoQ6M4WaIbSFdZFwp95JQVveo5jKcwQZ
bZp4SnjfV6i/eQ0KOiDqHhCG5HZz4u+DKsR4YETyYxFYN4GskFxoLQ+XNrxBc+QmVyp5r0XadUgb
rbpRfUV6jrB3jHZtRb8KkAMkxoomyNq3krcmwVDc0FLnrqOPiMWsLh6hlJp3eMI9R00prdhQl1Vf
U0mUQ/OZl0ROxRGki6Dl4toCYGZzd35pKywAKJdoX1iy6LiqFRdPC6ACac732KJHBieOEmmEhWHq
vHV6a7QAmrzrsGnSTVAn11qe93f6UHcXPrCELd1JRJS85i4DSHNFueNb7MrxUY6Q8CEr4x7lxONN
Dp5yrUCTf4M1nm7CqupuONypkI8AkoLGexP44QMFBzoioZTh5KFW9Ilpv0lmfZUNde/vmojuaJ0o
zyhpGHdFG5akdeU9LDQPEYrwzcz4/AA2+F2Z6O3XHrd2lHkgUotSKV+1piBdVibkAgnjiKDusF0p
CvGC7POR7kq4+pepWbGaaiGWS2AhxJF01phX//JaNJktHkKoHPHS8qSrfvA2//zH//o///ut+y/3
I71N4cinyT94Vd6mPrCe//6n8c9/ZP/zbw/v//1Pk3eOjgcr7u6ibKoiHB9+/vbtzk9c/mPpX4XV
GGphAdBqnG8CIAKpu0EnxMcNprfPRzLnIkmywdtKkXRTlD5H4tUOYLRyIMK22TEWugst0eye/ope
+MfGDbFJ9r6eDzn+8dOP0w0FD0xD1kxJUj6HrCN4k60GrQyp+SK6bLx7K7z9gxAmMkK6LkuSZk7H
T+njKrIQXzODvcxD0gcrp3AWn48yN0sYrSuKrFkqQqmTKKXnC/CTUQ2LUBPgeQ2+McDfeU1tAUW8
7kHvPv4koGKg9aCbJurOn0cujTq0OxofTTn/UgCZ1+pAeAB0xTt1WFiB6swkGZqmc2dahgnz+3Mo
R+lBxDds5gaEGN/4rJrJ6vzXSPJCDP1zDBJmuHHjrlduEPDb5TaA1h3SMOtgy1NtvRBtXFbTZXf6
ReNsnuwp06PT5JR0HdQrwEn1Y7YDhb02gQEDM94i+nwRLOytcYx+i2jppmoYpmLx9P0cscP7tUfP
ECkCyNeC9eCUWGOKC6O4FGQc5JPPwuE1LhoZ/hGuH/TzxHULDatBevX88C2FmWxaQ0zg47s5nTIq
SQYF497cB/nhfBBpbtWh1ySbiqHhZyJbnz+m7BNB0wePj1lbN8Uh2eRX5Ht2s6WLso2ONHwXVsXc
Z1E25R/JlPlnPB5PRk/0jagbxerguqpfSqrI9KgoG6f5wlIYl/J0KZimbKj00BF+/m0pdDId5R7R
c7AvsHZxR3e9t7j9OD9+S1EmawEVp6qmB5GtA9H9UPG41w3rWkkgSOIUfj6UNC7e379Il0xFEsH2
TaeqbpW8SSXcW9r1sOs23nq4iC4w/9lmtra0LOa2Lk91Fdocd6Elj7N4MkuNWQkizVG01HYgJFfq
NrX9dbmJrnlHr9xNvbDWZw8mS5cMQ9VkKOny5KgQ0rppNcQF185ru60O0t7YyjdI8qzTnb8xFk7a
mSVoUdqQuOxNrhJzckpoSP6gp0N2riNoJQaKDbjIrg1le37CZtbGpzCTtdEJRuxZGSq1YvMgKQ9F
fKF36JYFS2M3sy4sSVE0Mgp8iFAc/zxX1RALUaoouJ9VtnpUNu7RvK/DnWWnm+jjT8ZOMiSFm55w
qjE5lRyj0BRJZmHoCt0EzBjhvPGU+/sjdxpkPLROVp+sYEgsUsNeA3mDpI5znZ78aC3xCj7K5flQ
P3Ofya6yZFGWLVDnum5MExdTw4ikl0FPiXZwDz5h423UjXkDLX0vrryt+fePP5QNVYkuJKpLkj45
b40gG7S0Q2y3jFBZRJOhlkl2v5z/qPGXTL/J0rgEactBzzEmuwlGl1AVNOzXiP3upL1vQ5bYZfbS
bTt3eZCEkTfrliqOe/fzPGX6IJkpyhjraoPj1bWxG/ZYFSJ9ssbRYh3uKKgsTde4aT5/miEycqx3
bnmiTsYvHwzNtShaQ0vfcl3tmv0Atv4OVfNdtBVQLFjIa8ehOhNPEj9/YmqEtY/iFk8sRAgGhGhw
40zgc71l6tP5SZsZTT4NP2KWh6wo1Mw+h+p7IcmUHNASviDHq+IQb90tAoYrmoqHyi4e1OuFgL8f
HGiDoHEuqiScILkm09eB0QxAFWJ9jOSRzfuU7KyM1oINRG1X7M5H+31Nfg42npYne1qSxFp2VJrC
jvjSDU9G8VUMnjoRkxx5Cx9jKD7Ox5N+P34JKMuQLdjaqLNNTioEgHDn0SxOeVibj8C7tL3/pboA
mYto6E27ocxw0z2A5VjY4fNxeQXJliiKqjqZxiYFyRilxE1GKVEfbPzo/3slS9XCwT9Oz3Rp8mz9
K5A2XZptUyNCIvCBHcqPPg7YifcMQ+GwMJDj7/ktzrgg1TGvlqYnZKy1ghVQoof5A/f3SjUfE1Fd
N0jGecmjGdm9/pr34cLHzWQETN9J1Ml6GUCC0aNB0gci1QE6lrerVgjyr4crjDgXs9LFcJMj0zdd
l0KJHq/NK9MGGcA1UB0tW9/BE9wsLZHZmTv5tkkO3CaOFYUKIwpzKlEPrv5edAtX6FKIySo0CySx
9QxnpqZR8YTJLoCqX4DJWAjz+/OBWTJVXVZVSBHG9HjsKwH+U8ERYtDRQCa0EvcLq28ugiGLXJoS
r37s8z6fG+CsXY9CeLCm3zcc4Csg9nps9sZV9iibNp5/4z2zXQg6dzKeBh1voZPDqmrBwsRVG60h
lu7GjCrZp7ySx7XwB69kICyyYeqaaHIcTy/rIoSna6DqvUbettoUh/4K1v6aoixeOLvO9ndLKdzM
Q+JzxMnyw0+DIo7HkIb9Nvt5zaBsEG/bjbwJd+bCWM7Nn6nQY0H4CxcrabKxNGCWo3kplinBXau/
helmYa7mMoLTAJOvwQhNdlAWCNbyl+EZEbS9sM03Gr3Hbbz5k7eDwVVimBJLXh6Tn88rI+5FUYhb
Uqu0/tZVlD1rgDsLa34u5ziNMdm7daepMX6TpG+cR6q/l8xoUyO4hQAQne6Fg3bmoJBoVZDBYX5h
UTT5/EG9Rr3e9wDR5iFwmMalWguw7jYzAC2en6mlSONKOdlUUacrQ6hSDtK86GikN8j52QCfFqJI
82F0CZU/mdR3+vB3o6bROpEPwtAPHvVeXWsXKAmv6w2slWiPdNYWHMrCKp+ZMkbxV9BxkZ58W+VL
Fq4rwN04LN/Drj92EhIXQyM/aTXKgBgT/cFYQtHRwAWy+KfPsAHPcNAMFEIT66bRrzrxCl2c8yFm
Ni4dLNMSJVUyqDdMNm7jBVVb6bTfG/4CZDfVylkLrqy/nA8zd/N+ijPZUWrEi6ivfSgXW2knbfyt
Nqa89cbbixd0bO7Ph5v7KoXiE6f7z4ruZG+BP6tbFE7YWzy8NFFFmXVhauYiaKJoaZZEJo/S9+el
oMIydtuW6oJbvJX0/MqFx93cgPHiGkvEpqFrhjjZseoQjEVpniT5/zyBkKlZeT+Cx/G2yOyl22Lm
cz5FG39+srIBt+XolbOdxHbw9oZZjdI3xdJTchyUSY75Kcq4qU+iFNTfaW+LHHe2u5f21V6zpS2I
x7+/TWWR6gXJLHPLtfs5TNSWBeCuBPRRGWw1a59XJQgqpCwRTgpk+/xSm3kIEEw1dDpLqqwqk3nK
NU1Nqx5HjgDl77Y5VB7gnhp05EKcuRmSRIszXNNlXfr5rjwZOxppaVeDDl77LVzkwQMG1nvywp00
9zqlsYMhsKwp2IROn1Nh4Jq6lVDpRLXXlrfDPnb3LX2etbhLts2Hv5FegmpzfgRnl7qkiQo1BpUE
SZkkf16d5Rkk0PFsSL/JW/cI4m8b3pPzbZbfALPjyBNHQsVofKtO3lNKWAsDbhojXT9CS+PD4/Y9
/z0ztwQvUlmjfGZZPN0mEYCESiKEEl7ZXm+8GJX6FU0bfJtSyXx25eCbECphvLDk51YhxxBTRgNQ
Ms3JMW6qNfW6nnmrTeRuIhEDMOM19ZpbeO8L0zVu0ukm5uvozNFsFPVpaT/zIjwOKhZ8X3w3NLt0
v5nSwgjOLsPTGJPTtUoHE+o8XRHQDrAeb6W9uREPmj1s08tgH2/cnfD378Fxzv76KmUyaV5lgJXp
iCiYV7WMsOLN+UUxt+xkqtAyKSUXuT45kwQ4RWjhg7sLYrR4jDY2vkQFujjno8zOzUmUyWHk6yaX
+XgYIem8goulxT5ksIWKkjz/LawcsFC00ac5gynWaILJOPj2x/Kb9lYfpa+UBgEIrpEF3VhrwKX5
ZtTtfgRCty7vUf7gUeUuPrDlmZoF7fVff8gkqaiaGqhHrMAk3LRb+brcju3O2ha29YtxnUMUtJFi
Xvkb3Osf2v3Sm25+sH9FnyzSLCga9Btphqcjzq7JV4BwtgPY9fNzOre1f32kJE5WJohava1zVqbq
wOYb+cTHXP4oq4Wjfxyr37Y1CETeb6os0xL6fGkSJASWz9LBV4IbDMBrjsbmINggZt49dzjqUrsQ
cnYAT0JODi2EYRIHSbN4rViQPiGKX/VLLa7ZwaNmbVqyKep0Mj5/lZDk+B3XbLsIaGSBrjF6DzZS
pYt9/dlLjLSfbrTMLjfNcdOc3M8YM5p4GYzjB9PusrXdbYMW7Uq/6bYIhi3mOLNjdxJu/PlpuALd
52QcOxe6OKLBxmO6NHYzTROEq09iTJZEL6hIxSgoBwYHx26v3S3g10P0bdgWa38HqWKhyrQ4hJPJ
8jARS5vYSkgP4+tsh+LiCifWA8WgLZqYf7KtgJnpaFyQvk9vTLV1kk7X+Dho9Jb5zQDYiO15WD+d
372z83QSZnJE6RG6mqhg00nrBRsxCXREeDGGnv33w/AU1lRSRJJReXLwV2ouVpgWJ2uh/eobO6G/
qtSLPwlhqjy5EQlTf3txV1WSqE3Fiqu+B3p3jWfLBUiW7fkoc0+EsQj9V5TJPUlC7xd6GmRrz2ov
PKrpmVI+UZa0kb+VcZ9RouAl47F9Pqo0d/qNiZPKQ9i0KMt83k64jFKslXmeQiDeSBvEondIx14B
Y137l/Elzu/b/IC6qh1/X4g8d5meRp4sEFOj6B4MIZC0Xb8FR7zpnhA2H6vggi3vBdSFFkuDc4fi
acjJxWXp0D0SsOKQzs2nSk73bSMChQxUaDzl4/nvm1v/J7HUye3lgo8bhJGTrMFexH7Yz+5FfWHN
zB4cp0EmDwijF1Cu9unu0ohRdiNkQooZwuaHs5JX/YW/MGdL3zRZo4pWt1AlsEdWfRnDqI2HyVeZ
Xp0fuNnT9/SjJltakTBuERD7WMspFoIQPXPhVtRu/Q67j/IJYTVUEwvvyjNGX49d1RzOx19YJOrk
PqtisZYKiR0xGN9Qysh4BSrJRV7fng+zNJbjz0/usRZhWkF0uKAz60pS95jByUulmrlaIb3kf29u
dXKPiRAm4h4ywzrBS+EobzGigK69ke/Vm/IS0aS1v7E26dKinEtOT6NOjhQJMS3Fi1F5hIMo5/ag
bdMUtWDnvUvffRoBbYX4T7N0kM1HBV5DmRfMizWZNikVPStPgQ8JGNqryEi28HXcQWqQDsHRQ1Ih
e8kKiaTYI9yYeMXCtTo/n7/iT+bTr0U/RzI+QZsKI53mEpkD+BYLQeZP619BJhPaenBCXY3bztDf
NKTLemhfDWRhdMYVfdfrS1tx3NDT3FiRzLFXBFSKquLnRepiFA25R2DO1u0Wq6A198K1ukFtfSts
vIfzO2L+QvgVbLLvu0wrwiwDqxerLoL1qHuYr/9ZhMkawaxJMyOctVEdRoExvuqTxWW4NGKTZZBV
JhBwTDVJHfVjtkNaf0dlfi2vwt1ySWd+zf0asclycCRHEYOBYErwrYEbIY/WCQuQlPnj8FeMyW42
/VLxQtjoa8e4RqPgKaiQatfNY4jMx382O5OEoJVgEjmNm659o3sp0XPWLefpPwsxSQDCMvMtoEPU
lj3MNnLbKJdQC+NwnNkx5uTaL0ZXK39U71ejkdTX2CB9trQ49sKAyBUE5Y/zXzS7BGQNDCPpvAIU
9PMO9dHRwUCTLKpWd8Nwoaj4XSzkv/MX8kmMyahlWO1UHibeIHcce4TtuA+asWqOP7vTG+Ol0haO
uZ+4899G8d8RlenTH9kcE2oXKYDVg+zy002JsYcTBdeqNXwo4luevykRSsEu0GERcVpkioYavZrm
sqm9jVk126LUDmGGXIghh49DIbx6+E2dH/q5RjOVrb/GnlfI57FPMNdom5KxH9voMTXjclcBLMZj
bxlsPns4nsSanMQgpyKEvki9GmTzbXGbH7Pb0nY21SpE3/8HuoeL+LfZnQ/Khze9SUPYmCxl1wd0
E/hMu89Z5n7AibkM32gCLjR85lfwrzCTUcSpTivyAuK4H9uKdoiSC4ipCzM1Xh2/r6dfMSajV/NO
xSuPg3JswmEsXtvV3r+sN+FtfosHE9rAm/MRZz9KoZpEXV8GJjUJWKlSaUWo2K49anRRsW2rl8KN
/mhjnkSZ3JiC46edU3GfBZfSm7tHUJQi5GBH31CqpVKxVPebf26cxJvcn03bGPGgU+DHYClALfUQ
7eBNX6roI9gy0On9Ut9s/ug5iTiO80mWDOmrEIeE5g/iXKgRfHNshe5ZT6WpBwEBJBL77YWpW/zK
ya2qKyhi9CWjmtVrpDZ/1lU7WNe2tEbBN9gufeTslXHyjZMbtncCIdX0URVdQGn4Uu1vnNEzK3wZ
xN35VTmbPp5EmlwWkqv2luwhhFX70W1IoSSwfjQe2uSteK1mJToif/RiBHUBnJUUEnjd5/kz1U6u
YdrlFAfR9kgeVA1+7RIXYvZsVIFCAjNSqNBMgrQF0ioRTuV4HJdXfY4rQr7U2prdzychJvu5ttC0
HnpeUmb7KqXm1oTljXPKwtJb+pDJfm6SsEC0jFODo9AczVDjeHV+Bcx/x4gXBSNADj3ZT45WOqJY
swLEFMqlwRNlKL+0aAlsz8eZXdMnbbnJePldg1+sSGcTR4UHTUIFPBH2rfrqWOp6NLb5z6JNxi2D
D+wlDm+/AQOuCI1HIdo7+mWQYUW7VDGbvRVPvmycw5MTCXMazxQpm1G7R7DMfcSuS6mUlR7en/+m
+bXwq7E5mSnd87xUk6OUnPFDrA+IuJ7//fMr4dfvn5xyMQaYgHhCrl3QUEmxgRdPYXjzB0E0ypoi
aZgoT7sQKv4TmV4KAc4Wva13X8JegvKcLizqn63r3673kzCTc03tjRS5B3Qh++OYoHb7EVOO6dUy
kWd21E4iTVLh1A8lLTJZ183Oveveje9jodS9bMDne9/UHbpYuG7/yV76FXMKhB40WRHKBrqIaiJ+
lLfQqmtETp0kvFNxlcDqMVufn7Y5cLmsnIScnKh1DlMfUZXw57s/vIupHBXfhRg4hA6IDkHIVXvj
b9zN4g01e25ouiaNXBUkiSY7GacttI11ErUkjoc1rxvbgtxvcLbXETrEXbuwQGd32Um88ecnuznB
9bGLEhNjobTA8hFFvHyhuTN7555EmOxjX9YxFjNojxXKpZ8hWP61UA891P8uvIia+/MTN788fw3f
ZFOLqguERWW0nOStJqPIh+uu/fInMcCGAsgBVzmllw2eniN4O7ZlY1TtvrnlTdN9Ox/i/7H+fsWY
XB910GsoMVIKwgHz0AhrlJziB2HdrPND+9Xb15fJtr1ABllcWPjj9v39IPkVd7L8INEjblcQNziA
S90X+373/4PTmk8xtV9xJsuu1VpRQj58/D5lh1aVXezle8QOgCgLB3lYOB/nF/mvaJMlmFBlbgOf
t2MdRsYGFbN843IxbM5P2mwUfDHYtqwMMDmft1Jfu03pF6RIceY8t5WKZ57p2OdjzM7PT8CZjiAe
SLfPMTwk8KJw4EvwjOvrTazSHMC+xoi/NgayRps0fj4fcPa2Nw0VA3sQbta0vRgC/0/chI8qHSQl
o3Lro/0YY+Bd/X0+NM1Li7xMB4868vU+f9qgJoLRxxy5AOlXbbYzEKGM44WC7uz5YI3IA8h5IuTX
z0FaIdNNbAuoq4jyradkX/pWuYjUZGGaZpfCSZjJ9aH0huFq6FCth7STkbIMJGQ/lpDdc1OjAgf8
iTRDP2Wy3vCYENCYxdHQs5Qr9Fk8PJ1xbMqgAxbY8JxfB3MDhzIf0EBATCyD8YtP7gnSGFgibccX
Ze277ltXdakj5VnHC1nZ7EeNPImfmGRTG+/HkzgaHlfYbY70cTTyhuyIFaXt4YbgvJ//nvk4I9Yf
IBMM6EkcZL/NQMctFEVeYaXW+1LZNfHB6hcO8tlhA234V5hJYpYNjdkhAEhJtzSPeFZvQK9eWrGy
cMCNf+302AYt/O8wk6XQ4XCOEQgUYc159ept1b3JCd6lGAB0C+fB3AdhswG+EToQb9rJOnAcsU0k
lGQgBZdI4e560DXoC5+fnNl89jTK+FecrAKMR2JRLmAh98exqtPskeOELVPZxuF8pLmNehpoXCYn
gWLfH8QuYVl3oYo6pmr90L0l2OTcUjuNMVlqblhQlx06VEyCY+Rv4kpdWdbXaljiX8wtgtM4k7Um
WWauJhZL2izqtaS2V5F5M4QFEmbVBl2l2/Mjt7QQJksuKs02xu+R265TroMsMteGIOxxiVvYQbOp
wslnTWG7QGhoaAZAx9u1tIMAvHcOxhYRtV2+s16W6NvjXz3dSKfBJgf3gFdO7Vfs10LfI5+POHsi
P8oelhY3rVdvTHXh6xZG8efHn6w/f5DqqBrIV2MV9Z7hiKL5Ksl356dqYZFPk4YQS7s0VJkqVdR2
3kiZ0f4gx9cgyCiaBhTpN9a7oKtaoA/UBPTRfCK9Guiv45gjFNfYb/p/UjA/iTaty4diS4u9pe3Q
eVhc6PKb71pIX5oLh+rs3Pz6qGnp7v+S9l27keRMs09UQHlzW7a71XIjjcbcFMaWtyz/9CeoPTtT
TRHN/fQDC+yFgMkmK5lMZkZG5F03tnWHbZsd9YshgUY5S4v7dP7fSY/A2qTohgWQooFHJ3OSID2j
mMuMcmsG7r1JfTD17wnqRQ0I/wRQZG41GbwsMsYWdIyvsJ4Qd3lJSI/XOxQUXwfQHyXPskId0ZW2
bVC/bgS+xz++O5PMhdFYWd6CzRgSVvkJugdecZMFUmD2p+pYHvpINAHCxXPtl8hcHZI5kB5HChj8
IH1ofTvCfNihi7IICkF3bQD9PDSj/fXQfIJi9/Vzxg30u6XSv+8OsyZB5m01EDx0NHKgemhCY6TT
v2mlIGiI7DAXSmksxGrAOe61xVlrT1p8HqtzNQv63lz3NynNBCapLJ3FxWu5ZEzTnOHaKj5VGWBp
UO82BXgEvnfsjDDxtlhQMoOsCEXf1amfHEhURBLU1o+QAfeGX6JOg9Ae88hQigQafgRv99I6xFGL
fhEUKr+i9EH5qsRcAdw9BLAQsxKOY4Ey5dIjshjsu0OFK5kUh6UdPKUMRkNU0uaG950R5t4v8Gpq
NqhYewCruDI0SzVd4Nh8CxqkVG0MMODhebmMSrc21ZmBsuuaH0l1Mldhwkf/hTf3roNZN8pBACg1
EwMrqVfHvAHEdH2kM9KUq0L+gp1S7mgBoo8UK7h+VvlL+mOQvUOMzpkKsKqj+msY3joDq7UINo17
Sv8uib0+lMVpY8DAILSVJD/Bkg1Ky7g5tqv1YjW2ILDzVgN2JbyMwZ6Hm4Txs3EsydA4EkpSuu12
2d1YCg4qbzGmamEeGgNoIGBjzqkxpl2xaUqD+Vfld9XIJ+BHIQYebqmousYFFexNMUd0K4ziH160
Rolo7xFSVD9AAbgFtKMryveE1hjXljowRSVYHF4a+m/oON1kXnZ0IlR3hcQh3I+020P69931YKZ2
vw6N1oFT3oT+xUuyfrru068sWuwpMnGENBmYDPpSv7SwVFavlTXKngkp07uhjcGCXDoQyJyK+KwQ
q4cCUTtEaQwI07hufYDx38InpvGrLNA1VFvtd9GtILECmYlnJIp+M9fVA/iw7YcKA5x+V7bNQU2n
5Ma2oX2bNz300xbK/Kx3yUNWEyBFR6Icry+LOu+bVZnAcaK3CWpIk9k3THuCyr5FumdNmr+CBLqD
hK6MlmoM6tsUKJjr5rifaWeOSSBiYuiTYkDVd9Wg22BBInx5T2YJCoY/K2IShU6dMJxC0+WxfJpi
vzA+xHZ4fRW8h8zeBBMRVkmCJAJ9QasYuKUv6B4wdlWIT+BdcBQXaQB6RcfImbiwOHM9lBVSESTL
Hjh45NrwoBJ9fS1cI5qNRoGhwbvZ6yezjcYsiF14Wla7GepoDXH8zMkEVwI3OzZ3dhhHS2Ngp1SH
dtEeUUM5Kjep/8N8oqmx6v6H0ENP4xu/3pljHC0jQ60q9IJAZIXm4Jr+yNTpNjXg3WOJ1kLfl+7c
lA+QErsFM6soW31l5rhmn/HC0kimAopJmMl+TCcXL6kAyqThK8QVjQYLDBu/5zP4+ULheBEN4dcs
M85Ztkgr5w0flAQLZi7wIPC0Oy3SQ4i9+pKgosgtJu0/K5MfDVZXVimyCyRhvpTetPG3LPttgB3V
DJxy83TyqU0FxRFuDNl9WiadSUpSFxB6gidBD6Ztn0gqSM65yPbdotiqSLlJYO/uLSTOJ+0z3o0Q
g/T7G/u8fjZBf+VqwXow72LBw4N/W+KcY8YTo6wgubu8YCR5rhxbxVaWZ9nTPeVQRVAFPuZ4yIlS
de4WYtxIAy0VCIdZ1sO+7IliEASwEbMj2/BQD9l7qoyoTPwxwRyA2CYzpDZBSikpv5zkA2RvSPJB
U1c/R2kJsiY1iKdFrBvcWLazybi+YUt6g6dC4RXgsE+tUw6RLmMWRDL6w9+cL8if4pVv6A4mIC8/
E0TDdVzQeHbE89ehmZ4T+asDRA0QIk/viMw7Q0z2ZEBte14MhLC++2xWvYfcICS14l+3wnUF9J4V
wAhB+comAE7Vy3psoNExFeNdKm3ft1UW7JjIBOPYSWerxtzg0i8UyOtYVWBCfuX6KriVCXSM/yyD
cbdtSJO2XjF3+Epc07gmzo8UQJHZxwzMYfSbZzVz8Ri5MR6K7wLb9B5+4xEgpAAeU8Y9yvKvQu5i
LGUdZfv6TAEi8bHzR3/1h0iM1OV6OHSPoJWGVh76BJfOB0ntsphjIBiaeDxOuvbSS1NYWa3AKbg+
vsuhGNfrMcs2o1OETl5KIET3cxqS31mcebWkPQo2j+scmBZFT9BB7YxttJFpsQBEQ11HkYdA6iAo
MiRuampQXHWiKjV9AuUkySjdVXdOs5n5alNGE8RDTGsQFFr5ufC/P+XtSPi4QCszxU+ROtDK+doY
rPMxt1q31t9ztP8sWmGx3XOVWVA7oDFk06rDFGvWTZvmtQtNsfdg5eg07j/7C3bgS4+p+mJGfx63
CqQXwrJSfBvE23GCib4YY1vrz+ufU7SFjONAf2ohcr39Qz47jvI3Fc8I8M4Hcd1ZEMHoROgsrqda
IHLEscMoGltqMElRyj09EMM6vcRL5mu2TEXkASpXVUGywz18O1tMPh5D5yApbPgHmMBfxhxKpU73
2MyxIJZxXxc7M8wXg/rojDcSrSNDOEfudIhGbE8rHoLrtEVzUgOkpRy1dfSufzruQbRRRkNFDRpy
7EhpXaZQgoJ6qpeiAoWU2F0WEVKeZwLXJgjggEHQFTZ6gX12lkYN9YABqzBQ8s9Fjz+e/4GWAEx5
ICQG3w6TAcQxlGpN0uHJRAB1/paVL5l1Xrvbbaj969vFrXbuTTGZrzyrGRSJURYawvZI6XXUY+0q
3j+cHEJwPO+O2Vtjkl5o+DXxWiMZiA39oc+a45KPZ6ttw6lXcK+aJ6dZPCBzv1QpUpJOxOPCpY4B
BBqQLKR06EUx9mNMy25mgRrV7GV3mupiPNdXv8S4WbufQxSDRv1dSHkLQGIZCRXMysy3XBUdkusz
VEXKM7TVXRKZD7pLsZC9B77Ho+BzcjfYwpgTZvBlC6Ccyzg5QBG4n4kKogk7sk/aIfbBy1mBGqdC
P0O0Nl7UspD1gEJDo/yfzDU+yhBi3BTUKDCKBM3qX7lif6ir9AEUW8H1dXHJXPammMRIafsF6rmv
H64+LufqmxyUYRrWN+qXsQURhOLlbvcEie4wj9KzIiRYp8eATY729pmvWIEAzcmJ1XrKffwI6dkt
tML6aXrIQ8hn+D1ECU+QQwSewneOolPD32awZzp4LiK9YNaeo3TbQDASw9ay6ppJfo8x3sOap1/s
wnxH9KSscv+aYpbZj4OcDzgl0AYLC8C3UI8UXAv8gLMzwQScTGpVVGpmegTnYAOZQhOZx8lrjjUI
FCTRG5je1G+/298FMQceIpwNtIshWaQ9mVFxyE62b56tr9C2wFmHBsrzdT/lJvC7DXSY8mo+Qlx0
APLYkxNy20/AW8mb30DMrss7t4I2YOMk0Zj9oiN4tZkdVnivXUn3FK+nNku4ZD9Hsnooy74n0GNC
DVTwuLYw/s1EBl1NGkrngpplRH7/S/U9pR4y/P9QNOclGXtrTGho9HaCzCtSw9mBXHA6ZJKPxho0
XzJLhHGjP5z9xHtTzPGQprasIVyISuksGV7SSrE3pGoriEC8Q7i3wpwMM1PVsdhgpWuce0xu3NsL
lF7LBINBRv6ubwWhJt0AaS4K2kzuNEk94ApEasFwNtIz4tIqyuA25/SQnkwBYxf3REIl5Y81Jtu1
8iarHJTowRP9KV5Azv4xx9UoQQ60uVsdiNV2D7Ue1Q4k60SCR1w32ZlmnHJRyqHviYUG8oa4DdVu
UhjHJK0FH4/rIjszjDeOfTZ004wVKrZyrpLpMTZELQH6/d944c4E44Vj1QzGQIm4DLn/EEttoC33
iWaCQAgStAdBlOE6IxQkUGXTaZLIfLFxTfo8mRBlUIFYPZpWpKVX+viCblu5pjv7vYv5pf+QzdB4
+WaZO8vMB1N6Z+0VdD1QU8To/ufBH45z1HlgSnfjJxAGNOf6DrO9wGzMB9FUEXeLoVGEmQsIZIEK
HL9t1xzTF71XIAkKZoIqO8l24ieafg9SrcJVZ/UrJR8SbDN/sX8NMtus6e2WlxA+96ATO/jmyTpQ
aRAI+HaI5V6Hx71PjuahBXsd1DrbzhUVOLnHAxx6NliHIGDEjni3ujqnaobvjKe2u25Borxkq+A5
yMtsKE/fvzaY56Bsk2mTMrvziq5w9eK4STd6Z7ip87KSAOqT1/eUbw1E4JgOA6yW1dizGiseGj0r
PcOatR+jJa3R5GwfJaOaPQg1jF5qaOgQTrgOrxvmHhn9r2HmfOpSW6KVgUgzyW2Qqh5U/6Cb/p3I
36/b4bYS7J0h5qLIl2laW0r1ZhXg2lwUF+jksezdpgeYxARXT+O2KaAsrSDV4SzQxCS1jP9QPgTX
7OXpIInRz+BVgNhV4s/x59H5RcyjBB3J6+sTmWECgASU4DTqSN/atgtHkJCsOhri2xLN9pd3WEIx
FAOraCbILJ6g1KUFdyDa+kOBi08rX4B/dHPHvO1aEaUoxyspdcsfU0xkQSPByrcOZKK1ocZHs7Ni
D7Vk/QwKx59VAhLHvpznm2HuRPk270F6YZn5amDQQzu7L0tvzg/1UQ/q1KUSLPqTqvjGSfbTIL4T
xVHObYjJMaqngAoGWAsYD531aYNuO2bliFydlmWBFKiRL//7eYMRxGoDr9G3iiGZgmExyDaVEAn5
bOZ9REAoAJKvrXCi627Ca3O9TrtAfQhD1A6rz1jPU90oRost9KzSyzI0nWo/e3S8MUygCAwiHiiO
374jNF9YZVxGb3oVc/cN9EgrVMvLwlfV5ckWMaVwT5ttIC/HHA/efkxwNsdlcZBsYqQa4n+p5DeL
4mnzwcwFMy+8qIXl/DXELKeUNwjAEfjEWJw2C3l6CcHqpMXw7m2evVjxKVO9En3gd327v2YZ90eN
rpxGB9fB4EuQdT2SyAk6+Ezq0RfaCmLM9REq4SKz3PO+Wy0TxOIeVRkLeCsPkuaj5LYZlEsqCRpC
7iY7I4bvzfF5k4r2qUjbFIK4eL8Za60dG31FxQ8Aqs1Lx3p6KM38Jc+GzXWU4UWde+nDqA+iiiYv
P0f1CMNi+P7ol7B35qgWk7mUOTK8sxJSGT40PEMrSsCALdal4R2nC2vMRTn2SzmhyIBP8rk5rFVg
jDhQxFsO6k8lDgYbD0aqtyI9C1yBE5WgVQZdCYzGYdbm9XftsjurQzsSCMUSUIdDe8QQqIdRFeLq
LvrvlCMYBG1iyR/qX0w6C8Ea6F+ZwLCiicyEwloBZ48p4RQjkR4SgBso/5sUVEjxSi953gIxHIY3
t3lhkzrnbqGOumR6FcOmHEG4fnBc557CTO2jRlzw0NPaq3HSPHG7nAdesQBWB/xPh3bfm0gZN2Ot
k6nCFr/UR/kbQdruAMqGUT3Kpi6uD3LS1wt7TFAhfQMeOQOXm2Z/U4zDBp3ArHi87jc8t0HvX6PD
h5Ralynw5EpVQ8YRuynFk5+Xv5NOkIYIDLAVnaztIV8O0jyvhD59VgZ9LeqU8CAT2CcbQiU6ZroB
lbr0CJvg8djqIBFytICqN2aB7SdJ4ER2SOuZ1zeME/sgh2ogVQRMDuOabMjd9LidbaynqW/q5E4Z
buQ09vrCT9UXxfavG+M7+84a3d2ds4MIYGkIwWEiv7VQ/2Z8aj/Vv5cPGxzcDstHfLbQ+CKiTeXc
mhdLZJ77M/hwnIQgI5AhlzPn37PMX0B4soXXF8f1jN3amEhZ5i1SnBJmJLSaNv0WbOPudQv8b4WB
V3woBCeWVRd8YmOuxti9dPtUQAwll12wkCgaVA5PayZwdG7kp4p1/1pjjmtVmplWZT1yKBulWbK5
ikuZG3QXAxH1ByuSgbdHDBb4Iz2gb0Lwzirjj7ZV64U2wirlkR6jKlpO/2WKj5dp0xwK4ApM9kIX
iAkUGNqyrDRBQro+6qcS89BQBIrD7aT/eIVUtFF66xyufz6uH/41yY5HLBAE0hQHn2+0iWcpd1pM
x8POuSGAknHjLKD3EOagSQ07qGpVdZ3IBbYQg3CuvkSgu3Od5T3faWeEubakYrOHNUUqGiehSYZw
AId/lp/L/EHdDvo2uJY2C9yff2HtbDLfbNpA3qVWWFjxYkfFzXYoPCXavPb/SxCLGi3cfUQtBKQD
6OoCmHIZrFLSqPWa6XhJLF9j0rjTem/OP677BI3lrLurso6nkYU8583wctE6TRfXKlBENon0+VsZ
g2XKyvzZKtzS6QXWuFfL3hzz1chiJG2HIXaAejTQ76GKfLJdSnxc+J2gkMTbvb0pZveydVXiOh+g
nUK+L3k4K7+a8vn65vEOlArFcMMwNdobp5u7u006CyjfusTmyW3xscC4hKI1H0m34fH167olXrgA
3gRoDAMMAECdMBs3IuXOtxbuPoTZHd7iN8mj+iWJFs92Zb98zJ6a7wKL9F9kPOPCIrN/lSNJUkZM
4Hb6MQuXZepu+qVOIzA/xq5GsvxQZAkAYUT9blr9wzBlL4W9dH6ZxoVrrcUKZZf6cbIs/MJpAIdQ
JYFUHrRDojud3gPMDwWuA+USUGkqyCOYR6ndVWM/5igBbc6Su2admpHhgCFtcLTUXdFgdxfJSD/k
dpfjw1QvqtLHATSjKxfqPkIyWd4tvP81zK2VrrMzDSZm0OgceP45Qe6k3uOVTPWBoiYUC4vwXONi
/cyNVeogSF9NrJ8U6edZHb9uSXJrFFuIF/zXfKtOpQm69gS9WinDMD/GlKzNH/CU0pZSVI57xbhe
+xh0e3ZHwpKU3sYAZYfrs32OPZK482kOjNA6pKEVdD9GCLZDV+Y7WIlc+rSgqklDVEYifQbu6d85
Bf377nd0+ZyVlU7QHyvTqGnHQG/G0xQXgiDDvRIA34C0GghUMAnGnJJlia3G2MwOJTnPxrMpDzfL
TT9RSIXsd09lpH64fi75C/tjkGWW6lZMNUkyfX0vnxL9riKfY00wmsV94e8WZTAnCnMT44yiY4dJ
jOxODbpI8khI5c+gpeGLUBtCa8yJiXNFWXELwStA4NM+0d7N4lGdW+objeCDcUO2hXcGwgWVi2fi
6LIWxOgklFat6SZrAnmzQhUwSGcUQeg44RPchn8NsY5hDZq5rug4t6RzEZ+CMXks0eZrq9/50HuO
crjuF3xPdGQMtihUSo59teUrlCIcFa/bIcaJm1CyiPGcJiSoS3dB9UoszUCX8Oas7ywyeylLjgLd
+ImGOpoq20clIv9hYIebogA5Bz1uAHR1Fla/6XmWySrNlItPS/VBau5r58YuJ1f5KNhCzngLVMJk
Kl+J/0E78zJoLMYEFuMJTC5G91gpUANN3DoPFVU/1OttYmEAvVBdMibudbs8n9ybZQ6AITfV1Ay4
21f0TNtI3h6mInCO143w7qW9EeaWqCqn2zC5U3pbVnkxmF9VIVqcbg/rDxD+xGSVg9qBzaZD6TRX
o1ThbFGFKwXSFtkpPldHJcgfRa807uNwb4vxvWFdiDIkOF6GA1niwQlydOrXJAsGA8Gqco79Zqsg
LZndxEHpyipwAypho8e+jR6YpCqCb8itLOx/EHPe414Hx1Sdd684IogX+LHfoz9L2Z5pA1xB6W68
Wb5c/6jc2PnXKtTdLz0263NnMBMdnfbErzBx6tegr+8w0La6zVG5FZdrBBuPGe5Li9CIUNt6c+g6
J9ro9/LQ/FIOD32wYNxVPnSyu0Gn6B2MNJjeAaoPSTDUHlnlSnXslVrdUJmvlXO+vqTlL9V63rTw
+n5yD8nOCpO9NFsVq5kKD26cuyLPQRcr+GDco74zwKQli56YxCYaBt8zAmyQt4LCUxvO2iS4DUR2
6N936U9Zdo7eNisQGQo4r+wUIj2zFpZrGulCUVFes8ZCTgBpWfBSYdyeeQbFuroMWoeWfX7snymV
54TkrvxQn8h7VrUzxBz6TK3A0Q3iYK+2PtjVz9Q5jsRxTfPluhfwUqz9epij3MymlasaXj51nntD
H61g0XQ2wVgE977eWWGR4ZNOFDuHtIWn39LRzTKEein5MQXzUXYTCHUU7ykn7A0yJ7cZlkraCMU6
NJJf2wfMDIW1qETIj0h/vxHLor4kJG5SGfif/LyF2WE7OIESyWHsUunz98zC712PRRkoydyTcYK1
LQnU3wCJBtMBSdaivGr1okl53TP4UX63OiZAzLWkymuOzHhT3Oxbczc9lShJ2j+tr+3L7Guefmj8
NuoEfs/3Fc2AZi/uVYwXMp+uKJGfJiPtXof1M96sauLRorwGBIdrbNCrzMJK1OvlYUeRv/41yqQl
ay8TOYMEsjd9tiMn1DIKTw/tswowhzt/XgIQeh6cA2SsxJw43CO4s81kK2A1TnvdQAtCs6JeS0LN
dNXlHWKVFwtkP2Yip5qqockcZ0eMj7pGO7hGfpOpwrFNGjHeZEa75TBhfyZgD8SrGJ0n51b9agLl
GkC17aD7ZemOP6bejVPofzq3s//fBh1E9pnrQHdGpZpoX5tys9ZhEY0hFWwTxWfRV2MuAlnuwIJH
qY0NdCCK4sGwykiSRYOPIivMLaB1ZpuDjwLMXc7yYlggwkmKlz7JQsFZp//OtY/GXANJ29a2GmPT
ihcNAh75YfI3f71tIseTPiYPm0UHzouH/yYXqwg+GfvO38xxM/UYe9kZbgskznLIvwMBD7SfeqRK
9LT/PB77yDhmv52Hd90Vfx2WrQAAgAvgmIXW7LDa597sntPRDm0cRMEe03P8do9tEEdbEHIFBugy
T1lnkoM4GF12dbtdbeSvEOUNM8+2jmmFIQoVgCPR04H6+huTgKkCUgHY5hvimUUFXUtbG50HKlWD
PE9L4a7F1y4zBHcF1310A/RyeAphwIA585CEXPHkQMxONPtT44D/mEgHR9bu1qx3JTu7ByOKIKfg
noydSeaYQ/2lLccRk9p2imqfodwas4W+qogem38d7eww59wxCPiQKGILZ8+naAww68ee+owiihqW
uBUMkQqGaGXMmW97TOuRYcPU0ozSjXUiQMgkoqFOkRHGGaV+XgCtwbIk6aayjuX8WIigPnzn++MU
7KmuZXDhOAWcoqmUx77NwroFyFz+EgMe/Z6jhfnNV2YdzF4x/tcOyaKokkNp76sbGkOqoLmtPHlE
NYgSh70r+O/sMc6XV6TviJHUng1QUm8c6vqGjJ8Fi+LVgjTTBCzBoNV+g8kLHHvqmhnMP5hEoNG4
CBYIkVLJtsxbQwKwtwoJ0v+gj8iNxju7TKoAjhhnLi0bczTRGMwvxmH5rh8pzjy51aIlmO7ImUKC
ktD+qIrKQ/TffhOwdraZDxkn5VK1Mh4KxC79qrW95eP1XeU6JSY7KUUGGoEsYnFVSEEg+tJ4gxQ/
KYV6GFoLI2WGftNkWykIi/zgsbPGpJVdorajbWGOwxgxTVI/zFEW6EfyuX5RguZJXF/mnmqcAsrK
IRs2C5hJATNM8gxUDKUU9jEQLfFJc/Lg+hbyyyI7K0yGni/GsE0AeXjSQT+lHhizbpOPIJeqzlR4
cT0oR/NjKkBJcm8Y9ALBMkUrbiyEIFvToVhJiseIaaP00s/DvSyvimvHzg1w3djcfsu9tFdFWuhc
j3Q0NDyQH6MdycT/ZrX6pVswj56baE5n3RPYulKBn3A/284GE/EnG7wTst11nj4vXpKjJ0Dp2z4I
Phs3/wDjHXYRUtRg1WbyD8wazGCjR2Kc+PLsr6/cFpK3PZbb4Z8wKWT75BWZoXyNb6agn4v5t0uT
TdK3hGhD6Tn9wcpiL04fCpKGg+lta4jRd9uJ+tF/xzpBgmNRWXna7WfiZrE2fTcRHDoTxYblrIHF
Q31ug8WD9iB6kiLEE89BdNgD2BqSRXgvX66xWlCJLWqkjxv4HTGYBtqad7jHzgJ7kUJBNbNkih0E
Vv4+kz512vqwjAL34Png3ghzqFVpcwa9WdHfr3tIC59yHRQMIqow3pUGiK6JIUgZ3CPsPb2mTjpo
yYiV2IuPcVQ3GzDUk1VujqkiUV7P/zB/jTGXtN7rSqeBQNDr6hxPzkT/kbUi7hv+rv21wTi4acV5
TGzYkPKvanpS2p+bcE5B5dyJtBIMdAyAspicv3Qw9HAme6U4PlplAi9WZKHKRAswtGf4nk3bG6Ob
uiumbkOT9gkoudDjzaCG1j93ROQEvD3bm2DikDO0SWVvMKGhLtwmL/mkovIowGXx7ou9EebjD0VV
QaMFRpZpyaIht34oefMzISpGfjs1KCXnJh/Qsb8ee3hWEXc0xDqUrwAxutw9I620OK3h38QInQR3
/ovyKVsgTyyHg3S4bou3jUDVKThGOExo717aWs3RkOt6wbM1xftgcUl7a7Tv2MW9DeqaO28oypwU
Qz2jCE3GA5jJ8/peUn1SfdNzOchWR7B9oiUxnq5ITq9nG8yNbeEWVphOFYA1wfV942WA+zUxHj5M
haHEBfZNL3+BCc5Fuok5MYTuj9ftiBZD/77bu3Kai7bKsZh5OufKozpDKDb6v5lgnLx3hjXRF5gw
Z8m19HOTxOBa8q4b4YVRlA5tBbebphts5uUsTZvVCvaLgCxP7T4Pm2AVPKZDzA/9scBiNa2yX7Ip
g4UppCreLdB/wGC/QmArTz0i72pfpKjy5e+i+gg3lbV0VC1Qa1YUwFouP1Ldx6AuNavqlY48O5Rg
4lRQxadQM+k3RepBv/P5+n5y/WJnkvloejvP2dzj5a2YgVydpwUjD//7PCJ4QXSo6CBtxbAnc45K
BSoC9jghNGiJmzTQAcyU0LLPuSkwxF/LX0PMWcrrSW/7DfFOxQu1/GonL7olSPy57rdbC/OFhnwo
CgIZBm/sB7dKnjBMLog63KC9s8B8EMMeMHU4wQI4+JI2dWfpPMRRnN3U2eQv2XvCNrgFAHIF1Ru4
ki49blqB4bMUnNliHty5BpOnfrdIx//dx2zM80BJSQPvBDtosC2DnQwE7GvpdEMKGaNkB5UI7gZe
Lre3wXz7dYsR4bQNpxbw2Vk5mE3t5sbk6nXvOiIFTe5BtRU6mwR9I+3N+09S0Ji0HEAOeuAtNkAO
ElCrueZxu4uf6ONlPvTg5vtwfRt5V8XOKBuYZGNLzNVRkKmYMQRvNzfZQmUMnMq/bofn43s7zFVe
Lh1SoTztvVifH7pJyt02F80o844qIEWQ/8A8G4rPTKYKxJRTEktBUk9i0zeM7UaBm3zsylXU7eWu
ZmeJnrfdxaduJpFlyqAxbHqYxPqxWePgHRu2M8G+uYoELIY18M7LJr8g0/tc5angm3C//R8Tb6j8
gM2QpnFOesjBdo47ydnk6cq31czdaVgFy+FV3P5+mzdkfvUE4hoCPJuX6LIvbeW3Kq1cyJ96+fTd
0TrwqxZBnhOB1ese8YbXj+idhIaAAWCGebPqnZs2iWuvQpQsvWzYkh6eLpomQwkNOETG8WZLT2K5
QA8iP6qn5fNYujJ6H6lHfhVRHCrREKgYBamee/eu9+ab3BW3QXgRns7xYswWnG4oEl96ZGylLU2X
Ad6LQRRhLqD/OWrdU2Ik7rIek3YSpExcmPLeIHOl5NtWmXWl4QIOlx/OZ1ojo1BP8mOBTBY4joVU
Z9xvuVshu8ljlsXriNd71r6UcWSruMZE4HORDeZcG2Roa6LBRmr2v4oGAjWLHqRVHb7jbO+Wwpzt
XjYkIx6xd8AOucrg5hBR/D9ZeMX47AKUUc5D1TeAdWlQyV51P4fjX7cgcLjX0ZCdBaczJF1PcLQy
e4BvT+UWqWu13icF+VB0fX5SyxUUr80wCKIWN/b+3bxXxMrOMJhdx9lYcWMZizH7GO1S/VkVlbW5
oXFnhEkv4x7PAXvBF8rkW11u/TVFN0A/1+XL9V3k4mt2x+j1mO1Ws6yjAl5pG+3fHpVmDXe+5I25
O44uiF2/vHNKd2+QCRR2ZSZVPGAKSY+Mz1vm6gGdezK+Gr1rnAyQ+hRC5IloM+nfd2vU1WwyShN3
PwGMtPaVw5j7MfS6/cVbAKuvILXThGVUZgJwOHc8ab9WJmQgXMi13MOwM65fpVryqkJChlM0m2dq
0i0Z7UObDWelH0JJbvx1eIf4tgW+VRUDPpaMZgzjRqM1FHWfIEk1+zvbvs/bD44oEHM3F40eiL7q
EC9lsUTtplR9qyJk1Uvv5uR2Qn29r/0hObzHU3eG1MuvaKGsqUgJOArTo+zJALzER+0D8WmHWPLf
M69vY3Ieqs0gcqbS5ZfWgCSQhlYllHYj+zYH9N0qBSQE+H3zZDQFE18TPCioMzCXuE3r+OANAhMb
ZqUvLdpWUk+ahW+1KBADiHEAhzRobeUx1oso15pnwX7Sf++aPWY/SxTrrHqTgQix7ygzAPklee16
MCLoiVShSGaS16ez6aMChQATDRJWoEeBKoq8kRZnQcpXnxTZ/WwR6ayUUAletrH6lpvVF33JVHdb
LMw2WyX8SE1ACjv8KOvhHf0gzC8AkoIZOIwCsGVEWaotcy6Qq8Oj3bE+dzPBvOfjO/Z4b4WJPMS2
IHuZgOQHW+Kr4KqOE+dQVsTHMLJPpPkmVeRwSaDtKU3gEowFVxUnnUBaKGsOOlEWNGsZlxrtvpXJ
kvXeBOSpoqtuPhtBqv/vMBHEGEhjmRiowOwxE+X01ClaSRorULfkBwVN7cLqHlNku4LN5Nz4tK+G
thOYZul81OUB0ZsJxbMZm0mh4ooPAKGOkQDzC/iEXMVLb8iZCnWn0XwQwSw4R5M2U+irGJPVOhtG
TQf6pdZELQ/fJAfsBeDaMy1MIoP4ahhLQSDgpbYOQg5Yy4DseCs11RVx0S4DanImqWtPIiW0pvrf
+mx+oGyTapOe1/W3RbqDagLKaIxBb72Q2dzctRSVi3mFQ8hEQ2FIw4sW/STmBpln3ezarum8LgB1
zG17zFXoJo4RHQZKX8ABNkMbJlQPtScEKnCebA74PBAJAVQF6TzjV07WO02pY7ykAbjZVcotnAwp
HAp1cZN0DnI1RYvT8ggUma57GudKuzBMHXGXL2TWNhaGmVdeIaOCuLmldYcfYAyCshvPzOu6TIMq
l7H+bCt929tkqTxbjtTRT+bWpfWJScTuy0lYnb0dJghNRWOVxBx7b0EnMNZjtxalGTxsL6ILTTSo
iCdofC53bMvNuZUKzKHJUOxxAKQZ8hNpflv5raTfxxbiG9gVlG95eWqWaIH2lpaXrlVDh+ulLW4z
WVAz5UUKFURxiHzQ6ntDhmCigNkNIwZYZLDrQEvb7+ovax5a2Fo5vh0cPbjuMLwd1hQ8voGagN4I
C1I3tjWbhgEFx675tVhhaQsSSU4cx1WFWGAAdQJgIxP5cqedY0tBHbDuOl8G4/u8KncS+XF9Fdy4
szfDOEoC1m2lq1rQlQbEBi1ScaPctDfpS715hpcH6W0dicjaeCnyxdIYzzG1UuoMHa+ppI993QgH
/TCXlasZx0mt/XH9MdV41x2UzRMslqY3TPoDOjUMVOK7UTkQJrCpGWAnDvgvvSGHIAidbgTvFISD
FAhh1kESptF1g7xotrdHfWgXVNDnlYd1RiCdN0cJJ2eIb9U1P6PNqXzvqnl2l9ZOXPxUJ1LLWbjP
dDnscpEKoBwOJiEM7tGftzNfZSkE0azXb6uE49csmG50nw4VV8culI7CoMN7WL4OxRpIahG/38yP
tjOVxmlrT8Y053akVCudb7vVA5TEfBFYkBdK4SUIPChfv0UQWQCItEM7VV6vKflhnrvnAgNe4Phe
b+p0lES+89YcFIUw0wmFQbyqQEd/uZm5aUyKOnZQGfy2gOmnCv4fad/VJDeuNPuLGEFvXmm7e3q8
0UgvDFl67/nrv8TsPRIbjSBWe19OnA1FTDXAQqFQlZXZhphcSzwynWcKvti6iwxOr38DHmBcyLCN
pPVDPwGtJyqn6+ZQqWRthWBOPEF5HqIs/RfoWxu+aAzgFs3RLnpJNEHBeKtWvCLW9a4lZY2Xg8Xv
KVTX0GmyNH6MhVkEzeus3xupat1ZvWb8fVpI9gc6EjLaJKCzuNwkM9dAtmZik4z0S9qjAvqtzjhn
ijUqBhtQ/UQLBvhm+pWWReYkFmNbOrp2Y01vyfi9L36s+REZi9ND3RhofnP49fcHeWuTipJ9Hy7q
qhOboEUsKn/STAiWu4Cq+mvmosWATs3rvknW48mC3gdyQjyc1CuyULPTs14RcIV3nhkoLmj5vfWO
dFBJxptymzKs+wzITWC7ICQhgy7/8tPJ8ZzOVYmzayizW8SncZFdzopID46OR4DpgyYGsBssiMqx
yjIXhNFE8qMtd5rsLaXp6/W506CGV/vZSqQtv1kr555mBqWtVWphQiEUdVohqU7e0P9GHzoJ5PsV
yqqFG/GZCNjb+HuNtBhpBAIRVRWxxvp9WewvGNIJIi9xwH1a23fATPMtsi41vI0IEhDNdgBwqQ8X
ZXKVdPhw/fs/69OPy+e+BXsEAY1y5b4Z+4mXH1AL0G7XwQdAn7941VEoMXEWRp8g9zPPeCIoQCjV
BpZrcbI6xilAFQslGQm4HzSHaJSWJMSTIEFjBQPh1YEMOXaBcbcGut0cQcLvcaGV1xUSE4vDYxN6
v3g+0+jwdCy0qKmBDlcD452MzEB/M6iO663g8jBhrLCOm4sw/wCGTvgLL7/coERrHWcqhGre6+P0
WJ5NKLs6pV8EFdgaB2dyVb8CNWULGZf9o8i4zJC361gfWMdJ6/LScmzEKElloFjBJLFjNostjaHd
6u8aKHf2LZG/dHnmzQtLVOQsRaVMoqmvnMWY3BK5SFZ3QQI61n0zJGXcM0OllFYvpUtooPcAsMEK
eWvRlhGUAeOxm/64b4q5IpkgBkGJjUuISiLDCmUklQzlWBmmViavrsHIp3Bi5XUYwbYpBuSeMKqA
chS1nmpWJhFqU4Wjh3eRdO6rp/1FMP8+wOyg9zdBaUxXiaQoqofJwgCcWP4047th4DjY9WsMQ9yq
RgZNNYyb0kEJkwApRvDJmPVytzZegY/RjKLTtqktDV/zlPf9WR9FQVKAWAG6VezapUNX42gZq2GA
YTV9Hto2Aqv26GRxW3PcmbVvWzvk3zcptYLwMEqzDGCThRFrUziXU8LxL5Yrb02QpW5MaDLA3Y0g
oRLRZXZrZl7eQxFXfZ9Ro415ILGPD0EfnK016nxmxlJUa4QFkWkYUvEG35HiFo/JK+mtjobdepLT
2vmjheK3+Km7wevBD5/iLzxWHcarEAmjYsEh8Vy5LrjlzWJUtYZfIjzP6GMTXQLpzgjim+XAG4Zm
hb+tKeorotZcrIoIU7P8U89vhLSzSyUoVB4JEvE6enO3dqhPWQ/zFHY67IiPxndMlkOqJzonAeol
MbRjQdH7sn+qWa4DBlSUzwjD/NWMNzY3xV0Ke3kGrr8hUx/SPD0Kc3sMK/mYiu//f+ZIZrLxVL3J
5kQolMJJ5MEGEszOlF+i/kstT5nAMcX8YipCIfIbKArST9lFMQu16WEq1r2a6NQpKsjD38SIh1pj
BRIdshQKVAihkku3LEatK8Up0cBvM0xnEJV6RV+akI4Y/vqlBG/f2KFyYYi+zkOtwU4Tg4rE+LUU
om8Ufy+MCCtAToMiVMeRojseYyJNVVrqcIhOvLEyqBaC4kbpF3ffEVg5oYFqOZS80OyBkCOVyeRt
UmuLAv6txps86JhhyF89zqfVy1FV4UYKxrH6GMMCCb+EoSz6lTnMxrBAjjmHctnwq0VGiOzQJhAs
jKKkGB3lauwRR6bOsSnhOgMplsIY8UnzuEQ6jPkvMqxKiHliNwGpqxC0QeQvwf5mMjwQ7FFQkgUf
pIKBDipo9GuoSasB7OyaeEb/tdYdS+Nk1Yw4AdYdImWAZWmo314e3BqMfnWCEr8TVqJrZYd6fUqX
21ZS0HjguAYjESCpNFQlkSvBJvkp2xhRZU2eWhXofNbQz8InbQhKoNCb1lOaQwSan/3NI5Gb+lIX
VRoqDwhDkM71+QKHjw3EpRUgdEXN/H0jjBIE6jEaWsQSHB50k1Q9JrbSsl/kDszBIPglbDWE4Fe2
F3s47Fti+AKeddD0JEJ9AMtR50oHzU8hg2fRwWBEZa+dBWBNqx0lhYdsZXnExhCN3VnFTEgVFSua
ADXNtCCdP6X5+7BWbsh99jCeWNtFfSQCG5eohdxaZQlFIiv6qo+PfXdUp9tIiO1Zf4/0wxqlNpSu
O51zrthf7c9mfgSxjd2hsLTFmmA3TtrHLKttVNUBFgKvEZ4mQx09iWV0K3cSBHl56Tz5TlduCY5X
qACA0c+gD9zaZYI4FHgzqwEYeoIsUALVRxWHt0RGoLKQ/wIFbeCyvJppgvZQonQT7IS3xDGJrsLk
V0fZBmTK5XVIWVH/who5jJsNBRg+i5MQlRXp3gxUr7lVXeGWZIsZ6hw8a4wM4MIYFbOEWBb7Ffm3
k6C/k6k3OjR49fZx5NJxsvYQyR9iL7qQ1tWwUVpoqdBliFjleT2Tx7iIalHkkBL2cMOt0bMOw9Ya
WfZmD3tNGyy5hLXllDwRJQzgTb7KtmgLLs8W64yT3NBUcIuhbkP+fWNqktDkjCqYGkIvxnBgk36q
rcLv4rOqP+7HLVYYVgANIvTkpCdHBUgA8ZVQbiaMmZQoT3dB2yv2vgVWZNxaIF9xs5hSnsoYeQC6
j+JjjMnl5IvO00dkLgJ3PobADAgW0w3OQatX1G5Qymtr6ApUj+FkcB4I1xZQ0AL2R9FBQ6CgnHC5
iGVJlqGEjKZT9qfU+Ay2iP1NYpxQGEBLRsXYrolyHfXJx0SZ5hnvSAeqAYqFJn6JSZzqu6gABEc0
MnkBiLUgwOAB90F77bpsoeIaMdc1Lp1MgOpNa4GcyNtf0nUYIJQNAEkAeULGFqgLHoKfUVmIWuWA
y8qNJcPrk86OmgT//WPfEoOo69IU9XWEOSoaq4SpLMfbGFdv7ESecYfhuekByEURZFZINk2v/C5y
9Cuvr4tLy1SsG+u2B30VLMcTCLMbNxSeSrHzGtFPx8+l+XXQfu6vlberVBQSxLCPwwEGwdbthotg
y+3kioAnTiHnimJawkMBZDaIQ2DQvXT5EEj4Rc6zyqnSU6jfpcOrLj4kfz9hgg1U8RTGc9dALk3l
TXNcQ97YRH1TER+i6GSKYPS/1XganMy14OAS0guAFGlCdbmOslIVUHTM5Z+a8lpWD71yWkeOx5OP
fZk7YC0k/qDsTq52ai1l2YXxEs5EwPgmqoMcM4+Cu//5mXHitw1QgFLTU0a3AFidg0MJTvZm+GDc
Q9Wb8JH8t5t8syAYoy4HSYuVTBFSeHcp2rUFNLpaHgzrbUhf9pe1u3MwRN0R66y3rQBFM6dq3mbp
1Ypux/p13wR35yh/zivRKCWFVNJ/We+1v37KLReg26d/iO2qivelmGtCbkIIO0wgR6mTqhfL2s0z
RnTGd/2kOspBn+zpMzBZ1uM/mVd+a/woeVURZkDaWKXukRn9JVwxqHmXqRbo6Wg38SETnlXL9PrU
q/NDzmND+ahAX7n9xiRVICnAzSAoCeY5/xHVBk3PN/FBeIrOQmfPJ/H+H80HqFHfrj+gsv2i8HJ2
xmwc/BSPPAJABCU2jRZBJpUJoapDKhGisCRtVz93kw1ck9N/JeM0llu+8xAjjH7XpVHq0tGWIkmA
PSwc9cvgFU9D0B+AWH8aPjDPyw2POZ38uatdRo2IPNCRTtEPzKpPxDxLRChNl4IRrL2qH5Mm5KQ5
1zUAsqbfRujHpVY3hlyN8J4UbdChjfx6aX2jax2pOaomEkSDU99grYoAUw2cEBTxPr7sJjmU606M
1RFsslZ5n4Jr21KfOceexCh635C0YWxSBAkLapKX15jRl2quEu7oZBycXn3Tqt6bl3sreV7am8w2
RzuEt44c9CBrIyGxgrIkEiAd1+elVV0L03HWyDHUEruLD4YOCajBXuajCpKUek440Ya5jxt7VLDJ
AA5L+6VCMXQO/SbzJp1XWmNbwLUGXnkUKGVqH3MUwYrSLCET0PbfrUV6sCrV4XwrEoKvvhV5Ff8/
G1SIjoZuGiIMLHzMuOqkseBHAab/UC1s0bLmyUawYiWoKsAthlIoThR1l2Li1IpKCQrHJcRB9VGx
I1SI2pPSy3hI3DSgIbVQKt9fI+tW2NqkrlRrGZsy1ME6X3deK3/VO08ZX/ZNkBB/tYuQPtVxkknv
n4rHiVjU3TSD+WOqgmYFPdvyNuK/xOK1DQ/7ppiRF+792xaV8qBSkmKCxczAhBUG2a/oSSWTfv73
7rt6Hz/9GyFBzup06qOFU76WWQZyo05AIQquFOS9cWx19WuStQ/G0nIyfOYHU3URr0pg6HGWL0/y
0BRABC4gXde0FHpuoOUApYBsfeZsJCtD1TdmyPHbBMKmbHB/haA4UjWbzHdnN8kJPWUo8r4RNdLB
JzPewhHgkX3DzGO9sUsFqrxb2rRcUaFPa/M21DRbyRbOpcL8YhsTVGyqpBZCpwN8xAoHP5Fu9fD7
nAaFqNuK8Gl/NcxLebuN5LdsthEK31ORyqD4aoEqDrJD6uduCjA88MyLN/yoAy4pNYl7V6fNUIB7
Ad0cSvSURXmWokaS0D9vP0A9HdIA43VwCWhJcLXj/vqYXwugLAtlDoWINl4uzywmeRpqLE8zvsq6
aBuz5u1bYMbEjQUqeFiCJNd42VSof5onUoNoPeMENQNO4Ph4cV1tGwTDwTkNCgiZnqcS1sbM5Q5x
cDppbu+O5/IMOD84HotAdwdfepIKuwiIcBCRUyCjgEQmFBw8h+7bwp0eJvt2/WtIqY2w2l+NPxlZ
P9Y1IYHXxF+CFUjjT9H8qiX4P5x8h2eI2t5eNua21WFoTs9TejfLbjufrd6wy4jHQ/1xI+8tiorN
EKhYxLAE0kKz45fkV32Mof5OlGKO+afOJ3nqeBqBVJQeiyPRO86d8Ou+M7HcFTcQJnNQl8OdTsXO
phenHuLpuVO0oIPv8aF50gcMLAJR+P5jgo6bmVXKvQjU2XLCKwsNHtXNXgg7J7+uzUDgwxaZpAR7
CbJwukbXZaE16QOqCDPwdLrTBOaD+GDdjc4AFxUPcupkn/Y3kBnP0IQg4FJ0GGWayKZWsiGcxRSs
5T+RL4AZOnfNI0AzZIx+DjKfh6pjXEOAThtofGDKUdRoyFTS9OEw9LBnWoCbzaNj5b/a5BBhBGB/
ZYxrFWVHZP0o3yOY0bCppYu6DuKKtVMUXh/f5Pp7zyOuZH2vCxvUYTMU8PeHImwo7cmqP4epl0yK
rTSBMgMFYfpifStCHAHQoOZpbF0jedhfI+OwX9inDmAbScvaJyD7zaDHFknvkgGctadXj4jc+5aY
u4k3Dq4EtJKuaAX7qEokbSxAqWTldqZ/0hXPaH7u22CuBqVAzIhqGICjD3MKrrU10mBjqBW7n8lb
DW4yHfr0U1Nm/8U9NsaoY41OsBw1XVUD9mjaU5IG3do7isbD/bD37c+ayL9v0oVRK8sia2GmLs6z
+Rxlvs5TpuRtG5X9zGBWq5QCTlBa91Z0N4JyrxTvVrmyK5lHfsC4vGWw3v7+ROS3bJYD8thalAGi
dkSpshsr9gRltcMlWKZPUrnaaTo7Fa9Zy9tC6pBlRl6azYz1jflLKX1uk+8Ylt33PPInqIvsYlnU
OQJdhJksHUxoUAvXy9oeQ18o7tbx0HUvQv2+b41Bxg9gwp9dpEmPwqJUpFHGLhrizySbXTnVHWW9
acMHaVqcRNDtWu/tGON6rSA7E5hqBkgNKnH7XiXip6l6WSyohISR25e/9n8aZ68V6vGYhuC6w9AO
yCZA8q2KYJo6GAonaDHu7IvVU+/8qtLSZbGw+jl5EnvJrnjcbJwDQV9pcZh22FXiMOWtHJOa8nuu
PGLc0mmWb/v7xVwLwDMfWFOIZVP5Rw2UYlhrEBaRw3NkuYP2ff/vM2/Lzd+nolReoUdSEu10Mz4m
a+cUUu0p0zENJc4JYC8EhXEA0QCpU6g4NY1Kg3OGOKWZoT3L0sPc6px3LjN2oIL6PxNUnAqnPtUE
q66dtXZF4aFBKw26ro40vCVKFuBHOQJaaf9h/0wAjtD2hKYmnVAVk5UtJbFZtsepKexlOCRjkHAJ
V5nfCerUAFoia9MN6jv1s5GOSdi2Tq5kx8GIMEoo3VqAN0tjzHEJpndvTFFfqhYnoVYG8ESQcoHa
lHZtfk6Hr0KU2A2XWopnjPpmpbFMRRzDWKTf6MY5gRDEGkmujiy//PtUHvipP1tIXS0pJDvTWV6Q
yodRIFmAqurHfWdgBreNBeoi6eYSH64jzrBmQZKHvoFSZp7/Pf4c0X1jhrpMimYahUbAmY27Uz4F
RnkaeZQLHHczqRKVhLZpXtUIaKPirtWbt94aLaemwjytf1ZByyA3ZlKuUwi+jrpSnEE5TXpxaGOo
V/p5elCaLxWqmvufh9Xm2W6cSV0MfSS1ZZVB+VZ8VBcvfumP2g2Y753vNjDFOnDSInA3iYxxHwJi
Al6LEyw4/mEqVHIDhe+lWrCri1nb3ZKfx/qu02QO2pcZaTcbS4UKMBosRiYRPx+K+7qw7rOWF/VY
C0GqDsVR4D1ALEB54GDlaVmMQMGq6+eh8xW1fmsGneMgLB/cGKHLpHNpNLKegT8GMhLC9HPpRMea
bpuwdvfdgoW9kLeGqJykDWUxM0sdj6zn/nP/IRHTfIkeTRdDJMVZckJ7fK1f5ad9s6zPRFp+mBBH
Xwcok0tniIYR1Fgp8DhdBWBR1zkKj0WfvYF/LFCxFTz3+hDrsBAOYOQ1MOZQSYdUgFLk4/5SmIbA
1I8RPUwjGTq1gUNRtTK0g9DRH6vAkMAG8ykVQJjMVWwlB4ROoyVAmFTJhIqERnfzpybrwqVGye0f
OZXcHTXQeUFVXnKIRMwkeehS7a+NlblvTVIxw1ISM0XagOJoZ7kpRpoT4RQlB3U6IUC5SrNyYgTT
LTZLpGLE3ImRGXXgrERJ6Iw2yyky2mB/SazIu10SFSCiMe7iUBDR2SvuWzMYGmjN/gAIwM5SX1t8
IF04a2L1WOStRcrXQRIm5/UKckw9g0yATQCcgJg4eun3dvKiOIi7fveNh+JkRim04tDbARDRoOva
arp2E6YFcLpSffXxBAdN0ijGvtCFPFALzxR184/tZNarATq9tDfglLLdD69WymvYM31jsyAq7EZ6
kiWQAq6dqmoOYaidlaLl3JGsfAzTvSCSAOEatoxKksq8G9C/RFmk6Nvncv5ugHk4ihY/y6uTlVYc
T2QGjo01atsWTLoPTSWjRgIMEIABevY6mz/N4rDv8Mx925ih9g1jD2Fv9KCQM9TRqwfZFXgCD5yF
0PkSpMWhBD6DdLAXMKLf37TQdZpKT104xXeeHSrS5lVYG3kDO5n1KdMkJBF3Y+9HCufqZQa9PxtG
J0qKPknTbGLDEjm+DSGCUDXTudeXXx2QVKLVJJ4O6Pr+R2JGJUCgZQvz1+C4IUvfVH70zuhmbcAZ
XY2gKRZba4Ih9sYe0qWvJrrb/XTcN8hMBwno+n8WKV9XhAWT7B0QB+hXLrYFeA+I/yRfsDtnPsSS
lyU2plXPIE5zQRwZn7qb6Nv+T2CGjc0voPy/6sHIYw1p66RWdsZg1aNsRe6s8apPbP//s1DK//W2
ryZQd6EgYry2+mMYcuI7ZxlX4jZJXvdCCXcRxHMjepJyy53x5XgHLfA4LEY0Vk3TOjomb0FKIrqx
Wf0M+1+VrN+o6ze5VT18Tg4GhrNxNPImb4oCIRev01FN7TA/zmgp7HsAC9MnQ/8DbHNAGWNEinJ7
tbdGeek0iJz40ROZolBdLVjcf1D5vBuRMYELGq2NNcrl416PxZJYi8/KOyQQb83A8ENPviUtewGY
wgoNSxNSOEESTO/tjX4f3pMhXB6fDttj/qyacnyhnIxVWeAxkJa6q9YgHJX7/sv+1rI/3h8btNdj
uhLslpAb01FKHrsYKCmO37Oj8W8LNP9GVUB1QCDUpBNIVmu5dZox9UPlrRsTjiXOftEj9MMijJFu
wFJrQIZXewCRp9es/v6GMbtNG++gAVKWsEZl1EAnDezAn45A6D7kIKlT69XWJuk9waiWVXSeWHul
8EWRHWHiMenyNpRKfqcYI6RLgR9QJmi3KnFuC+sqOY1YekXDe8TyjBH/2Vw4nV6rrZQjZysW6zvm
PG21a/xBSxwhKd73d5bx+RRgBNBERiaKHj1lSssF1NE6PGW1FKPS8TEXwRKcvO0b+QAcUK+jCyvk
V2wWVKYrcBU9YuScTkdDPMf1qap/GBIIo5LMNYbGnXAStPU5KWJ7Kb4LUmKLo2j3sprYvf5QK+sD
ODpiW6rP2vijVnO3Vm6jpveX5KnMHnJoTtfK92EyDtDGtaOuesmMoBxeVOU1El/12BvGwc6hfacZ
90KDHBgd+ZjHNsh6TFwsk3zXzTK1zAxl7GgDlpYZmpqN41uFPaKfPLmt/ZyfIp9HDCMzQsmFSSps
6uI6CBEIVBxJMEBdbbrLjKYhZo/Ll1L5YdReqn7XgN3FCGOrnfuycjrlFM6Sawqm11h+I+R2IRzF
ogJaU7Mb5ceqvGgRp/DDKmRc/EwqqkozSFHVGD8TMLY7xe8AZBMKe70RvBYE/c3ZOiHTeFQ+7/sd
q8N/YZYKtNY6TL1SwmwjWoepTuyiVexKCeK0d5XlXIQnWWrtYgBFbIWUahHtlNeLJx9gx/Vp1G/U
Adw9VGTlfWZXPRDqAkoE6mkwP43Cd856GYFju156ptRq51aoEzjg5BAHbI+E1dw8ig8kU2zt6p4M
okucphbv434kEhu3L+NEXAUccbC0PJvdzSSqbgdCP2m8s2K0ZTEjNBx15a1egzp50Bsv1g8iiaGc
JgvnKNDwijmG2K2x4Gcs8mMfZ66+8C4BRqqH7YUiM8mHQOhCne9unMwisaQGUzufLPEsK+/1eta6
yhsx5lVhfxueA8tM7/ljkTremZwnRSujDFdYwPilfVkHdVcPtjGpT9ZUWf48SNUxLpvcbkPpyVqn
BFrqAx4MvfG871zsmwJYchWvIChuUDF8BHepEaWoisuAKKzmU2KAg9jkZEZsB/5jhNphPV4rdI8F
0oQl7QPFTwEK1SFZo9c8KkPeeqitVcOkr4TQREoRa6Mrl6A+qYYSU22hrHNypA/4Bh0EQOkiYwrU
hBfSvTg5TMJx0cFcmLzVx9G37iUfg8LA8qruEBTBaA8uoeTv30SXQMcqP7mXeLcTy3mJejomOcB4
AGDg5eUkoKiyGjPkAsnwNQgiP4av/4XKActlLVAdGAT4TQaIL+3I5aqvrQg73a8w6GxUyO+gTeJW
L+WJDxsj9wa1saoIhigdqEpQrNNIJzk3q3lUMLAvmwQ7UAxm+ixGYhTgHWZ64MLCIz02TUCtZCHj
PMFY8LgL49SlNicFbt6Q8FFWYQpFnRKeKvpN1x2r1XpRGpBgZoKf9OZRqaBzPf89xzm+JihNySQz
2ncfT6pN3NUySSsra8LgeTkBDqsCVxD1c/gohQnvPcGqSIB8ERtsySqciP6qq4BxcJnQ3Zlful/S
cXLiB8GW7MSznAKw0u+T359CPBW9/IARcZ+HBL76zshMdXCPoCOBNikmqi+daiVsSdMIXMMyrrZc
BaGA+yXy5eiHsh7LRuAc2OvEgdgzSCEfVjEBTyUOeic2yxotBKn7cVi+hA/yQw8OqOpBPeiRnXzb
D65sg5DahF0Me2CLLxcogF0+SzM04NZ74bm4GwJCuZcogOhCm9C3jjLnsryKfjAERhxZQiAH8pEG
irRyP0oN3tzOMLz2g7ekKHTzSoJMG2D2Q0uEjG3SNoZkKUdNT4CvFCZvMCZbK+InOeWRibN8gxAI
/s8M9YSRxqHrzCmGLPmQ+qmlnaZ6vJFAgGK3Nd6i6eAu0vy3fSWyfdg3DMWRBh3NvSOXsplaOWyu
wksGEk9FfqzGwW9UToxhbuEfO7Se31ya0DQWQLkzNm7Z3E/APVgzJznn2aAqt1YhC1M6ZsAeGpZX
iChsdlBLMJx9Dycn9CJSf+yYbsqkM3t9/QxtAamlcSIMiFC/lOrbSF8PNURFKsgkoXv2t4kEMYfr
Bx5OSCxp+iA5yaI6lMPKwcswiY+j8WwIXm392l/UdY0MZggJE1aEvsTVEK+pTJaYFaDcnU4mJiKQ
GTrmmWCkMzfyeTUylqOD1A/sKSpaLVcxmJBAtZIFoJKoQGgMTKeqYYNBy9aSH1L1isV6+6tj2gOJ
Go4WDF7xWK/ZhImMGPZ65UdXunN5j+JmMb6ArNOxqoITc6/Sd2wljpOIiUUdUYn+YiAAgWJyFoHS
QLPAaaXWKDamsuX+/Zq2VqgEM5GySBpTXCRiU/uRMNsWKKYqyARgZizzk0F/B5VbsG+TsTI0hCEP
AjEisILReJIiAby3MkzQJiv6Cn1HPQ9MST3sG2GcL8DX4OoSSJlQR6VOsVFX+twnKSrp06cejMLN
wyD5MhBtJa7KfVNXSTo+jgx2a8xggtLyikElmkoLXNs6qG/TszjdT9ZsJ8OhGWWOHUZgurBD/HOT
3wATZU1WjvvDmmO/M1XPRBRcRJ6iJM8MdfXCI6FE0oal06jVTQTq165FUcCK5M/728YKFqAYxbmF
SD04wCwqMzZGEPJDv7ICZfDi6U7qQ2/sMwbJke0P9sS5oa5f5eQrgY0BlXtJQbggy97s3jKN0ppo
gCpNThhMp8nTfMlOXdNt3Pqw/lIgayAceX3gD5QsFeY1SJYQH8QhRqp2abVQS2OMQTjq6NBsKQxk
Sll3a/bfi2oEaVeJ9oFqQuNSfelL3TcEUHu2xrFCUy3qVFwN7YMeRjejlDhFY9p5qPhFJtmjsP4c
qtwDnvxQN9rNqGnn0RSPU7W6fbp6sTh9rjBIvUQVxwVZpwrxHS8LC5/saop1tJIRsEfcv2v9WMbn
PnsB7sGKkJUtEeeCvH5O4IORwRAyMUvwS9TWWUtSimIug5gLdGo1GJfCAwQRbJScnf9wk8AU0UYC
7S2oaalgMYHDAFeJAYUdKbZ7PK0jzZ6Ve0V8r/OjIT1zHJ/8OdopAHYg+wg9eQgyXTpFGLdK2c0T
gu5J89senm85FSSLCkK+wyNWY30ybCAckABfARe4NCaOeT7NhYXrUcvVOyvUteNUmK2rSv3DatYD
Wo2g4d1fISsiqqBxwYEDnAPP60ubmC9KO2XKE0erHyvVVQtcli1kLXgwPdbatnaoVHeOmsKUB7zz
stRCoI9tDNbZZXjXjHcxb/yYdWttbVHxIxzyIVpzBU+gMnRBjHPO05WDGWBFXvgg2LeBIkcDgsJy
KtUUo/2LAK+t6E71JlSlQq8WeSeLuRLI0+CyQtSFbsXl19E7gKPLtkLcbV706mUa/f2vz3q8aXgO
/DZAHadl1cJWN/FZjF5r7HKa3QGMi+1SHbS4UDAs0t7LouDjUfnUKvh4emkjG0bmuz5xfglzR/Hc
Ql0A0mdXU3S5NPdCLyK9aUrlKAGrLOqfOz2+78JPYlHMdpZ9FSNJtFvtJZPlmxm9kLGSTpOAqJPr
nJSEeeHhKYt6IW4C/A91LLqWYELygcwPmo/g00G5X7XzrxARxPgu79wzl26RfByJOMSPqI9QLnKo
Ngmy1UJ6qSbNKarltpbST/s7zLMiX/qShgaWgckmtIfzX3XptwlEc8zF+XsjZGwPeg0obWH/Lo0Y
XSzLZWFB2DftMIhitafJiN9mmdviZ8UT6DxiKhFJAiicqA+UW7G8ipIA5Ixm92BFA8kb8IOOfFTu
Jn/1xjcZBC9IxsHewKulM50DF4IIShmMJyDJulzkVAIvBoIDXAqPo9sfG9BBJmcioND+i0vhmvUS
l6sGQkjwKUDKTaQZXiYoXUq5hIJOeiQabuNBRc2ViDUYx7//dkSvBG9OkTxByZZv0i5oVQFr3+BF
KJc/4vVGyzs01dx9G6yAtrVBJ8ZDP6ulieqD1B6m6rUo/r7qAKYtjDwigIBHm36KlWosxa2O2c6+
vK9GSFNWroyUbH8RrDtza4T8+2ajZkwgSJOJkzRAIW3+oc29u4qDLfNKKCwfJ8Inlmhh7vb61Rxn
+VJWZIg5kw5hU3mqJB5NI+kdIZUGuwlD8798HjzBiLIEkOj0e69SsrRYIFvqTP0riC3tweRdOCTK
0AkViAp+W6Ci0FpCe1b/mOD8H9G0K38efFIqjNzq2/6HYp6drTUqSsSCVkK0i0TWPDCaA2Q97Rrk
7ULzPDf+GA9grQkmXjj/KN3Ta0SFEu/Mj7FwurSvZFMFdTmMrKjBgssULKSdk7rgSssXcE8pTgFJ
kMzNg/YnjwjiekgRwQIHGJKeOgF008XYZC5jMdQl8Dcudl3ZolM9dRCW9xIINveH9tC5qRyo95Or
/CtmuA90ztXSQZ1D2B0hTkHny+O4zJVR4N5Ung3Vq4/NVwVs26EbPIjvyDEDoogCKNTiFoCWczee
fM4r66aJZ5yEFw9G8S8PZtwJiZGECdIlzFw6c2xXt2hcOaCb/RF3tnqInv+afovstwUVM5WU0q4m
rA1p0cdOBw1MGpV3IO+9H4VfHB9mPkFQrMWOouqN99zlotY+RdWnjysUbEc3VrzUgPqseagx8i/c
6t2xNo66DBLGr/t2yV7Re4kv+NssdVCtJeyjuMNeNuNncXmFOodtQFqilI8zFMxErbBlHkyfFe82
T1baebMsnqxFQCFI0ZfZBr35SY7Kb62+ulKEpuKojMH+GlkGtw8uclttArkpF4UuRngjx6Hug+PV
GYf+FIUxeJ4+rYvl7VtjJttbc1TeoEpQhJ0zBf1Fb/FUp77HaEBhV+9NZed30CQ7zAlngcxSCkgp
8FJGBYBoBV2uEIkDZH5BhoHkQfPNQIfeHajvHdUWQEZDGKzjV937sb9OVqKJNyyGVpCcIXUmu77Z
1SVKl6LUUA6Vl8VfAT6ercEVIu6IEeu0gxIMr5ePwvIHdGtjZximNKwFFPPEU7Ta2SE66a72uP6S
HDzO3fRV41yOrGt/a486EbKSdEre43LshS+pNT+AZfphXeebBjPd+ztI/I4+e1tL1LVlWmucRgm+
2ii9TdPR4tXzmF9os3PE/mbnhKQC3GtBOU/p3NW6SXO3nzitmWvcIyLjdg2Us3f5MFtrjjDcLfbs
Evx3+pw09nqX53YJYWBw71rHbuHs3DWQTcHFq+qAeaDyr5v0FbAqcdOaC258UJo/an7hEdk9LZC+
qPdETy2BRGjPq44yHHFrk4ZqV1OuFVKF+77z1JMJupkqUBAtITAxubK7HFrN2fcP1uZeWKSOdZ2Q
BnpjARLnDYXbYXPjZyihAqogPOL9CPZ2XhubFbxQ7FAktAIsPEVoJZK4teRiJrPmnRcG/QMSUle7
y9+Uk44oot9lvNSNnCbqDFzYo5JssWxlqSowkJse6+PwSOwphZ2dkxcivWPGnMSUcSQuzFFBq5oT
M+tV3D1idkqgyymfV17855mg3j5LVmv9asFEP9h999yvntxw4j0jcFysgkqAoB0/m30ET7TktzV9
HuX/sEtAFYhEOg16prQThGFiGnpInm/Vy5DZhfSmcl/2xHfpD0/oCU0FtX+MwlK+PbUdZGBT8FPJ
QfL0f6RdWXPcNrP9RazivrxynRmNVtuy7BeWI1vcwH3nr78Hyk1EQcgg8fcSV8VV7mmiu9Ho5Rxa
TC4A0zbgPY8i1VHgRzzP3ctiQvpaIlkkGmCzpxCDVJ712mcwbraT7eZu9V00oc+rHJgA/qWvK6Cu
AM/9feDVdYskhZQB7Pxm8XswBaY+ZnACK9KC5osoN+VGiZ00tgWvTCjsFuCG9uwv8qk7AprKi/01
d8snI5Ki4ZpEIq+lv//D2SHRANUJoINxA7zXr6yw5RZT2K38mBwawMQpUXskJ+G58eyctsb/ksME
BzwzDKevX+Of9Zxd5T4lEHKujaA+JiCVnA+GYFJUJJAJD7Ix6gpSGLR4ewog397qyAMuGyMvPOx1
YsKDOhsY/EK71avxQo3zYz78ypP7yzLod7l0Poz9bZhakCGn9rrkB2bXvTYZval53jTR7S9Qhp0d
RslasnJ6QN1T8uM7qsqRm2JQEMsHa7j6GDIQQpTxmlBoPWGYDJ0aC5xITNyw61Wt9OL1wnilBj+O
IX1s5/8ibvA/45soJmw07dgUNYGorDvb43VShvZ4k1SC6CSSQoPXLkszWkC612B58lLjIQe/6PIE
jA1N2BPnlSvefThq+zs5ibrFZKUfrvNRq0BYyv34mIfLVeE90y9oX6Xf54MwOvHivCpTzA3KMgLW
4vdi7bE1xk3DXQWu8VdIydZXwMhFSX1FuwY8awTkGt4kaCaDworx3q03rXFaIAqVA7DOPQ3S11aE
Vc/9jKgJY3SHTu3gVnmvT56t6tSaEDKFwxnT6ycKBpidtJs1VAL1gOl1Wh8W0wfzYu5eLhML5WaT
9b6H3CHMbrbb/GyeyiANAUerI9GO/cIzb1EO97FRJUQf56bbe+HMlx2l2BmqDjlN9mh3KMSDnPmL
9tCH2EkwQ+NUBbTOZQkxC0Q6M7GyTWaZxDKS0Slsjspz4y8hpUZBtcI+gy/p8xg2h9FPD+rB+Wb8
vBxDhTozhqsu2lhrDsq/W+J32PYJem/7avvkBZSNFcDecbVGib99uyxWoDL7yBhqrPLq+qt5/YnA
qkVORE6/laKgfKaYoDNW7Q9Qjw1Q5ntlQuS2r7fQCtvICYqzERkYugAxguDO4yq1E8aEniybbQ0U
lDRfQBPnNouKoxkWYS7oCvDKkhine1OK8c2uKGKL2Mi7pnALda+PUkyWSLeATRiD7NBGxoN+29he
+jDc2KArNR8unx03/uzEMy5aKhkxXmEL0W297ScURJ3ya6l2/mUx1NnY232vJeOMklZOm5kjSZn7
zG+nzJfBuV1ModY91s3hsize5bSXxXjgUFVrTWg3cZKHq3ogxx40HZOUnQG4H10WRY3gklqMvxVV
q2xIWtBu0VY/L4uTHBfBZRE8OwTRAKYgMX72cd63zLo1TYgDmveIxpEyUuBc4g7bx1l0VCf2chh7
VwEBmNQp5BQv8X0WWj5onSY/nzzw14ZpiGJJ51N+eyxazU9L8G+gXBV6MsznxD4HBuLpbCQwAZg8
aVgU3Ly0QkKrkFtIL/wkkDx028PZL+9kH9NILl1mFoUWjhe8E8xkTRZoWfV+o9iu8nEhT7qaADi9
dS+fJMdY3glhkqYVoy72WmpAFdcDjKW76iyaIeQ9q96JYA6xqUZJklR8wNkrfiQHSkiATXbdlZ/A
J4oOcPJJNPTEy23fiWTiF6ln3Rkp9uTsyR5OzG2vAYQWobh0JYL6FdoHE6zwPNXLNX29aKSDjCxm
OWbYk/iL0nnAUigx3Qx5dSSSzYvT7/RkIljWrkoxznD1wc8/b34ZWK7qAfM+iP0mGM+qn56So4TR
MvC2CgkKec2zd9KZmIbhqLUE1SnGXB7ll/GG8tbgArxuctTLZ/Ts8oDcKEF+T1uVovkoXn3tnXAm
yulj1uoLrXeVxN3C+PGVvdsFcXjtxu58C6o3wd0r8BQ2oQDx0bKUZo+unOJivsCtRmGaRj36Qqhh
ASawea6UhKZpjeMqYRPmvgGY2ysdYHDdfRqInhScKI7NBhD+YSsc1z2b5kvqpOTmgE9Ih/XKUxHN
oR6SkwikntdVtlQKH6qiwI0BIcYb7TLpJDJj/qM641kWxccmKD8PkZjwkXtEO0GMK9oaQGfLXi+8
otXCTCKftkw7Xo6X/Gi2k8G4XF5gnGHCSDlef3GkPdNsiHyVrkdcBng8B8mtqEctUorxsrIulyyl
0zMbYHuHuXSVX5dV4qQm746H8aQCwy2Y0IHVLcAclA+bcaqlazD9XJbCvc3evhvLEoM5YrNNKMhr
vt3lAzA3TqYIYoZ7NoBBhzFj/B4TmoyhJY2lAOgamgDE5rT5TZjd0+4dCGhW9xVNURgUhCIZk5Ni
kGZK6PDS2YWAQqdIXguubA2z3vIV5c+QBJOUPHPY68jY37Jq07BtJXqSWxEqWeVt04//flJ7CYzB
LY5cy3GOCy2LgyX7llmHtfh8WQQ3eu9lMDY32GpbV7RWo0eUpsW6olBsYxjf0qEw/F/Bg4JXbKAA
+X9ZBlvaVafNiTGuBRvHw7f3yK0FlJniAN6/4NmIyEOCJlBvu1YjSK94Fex3gpns0TZXe5TogJV+
r5/o89D2lSi+pfLEg5Eia7ToBbMrTW3JXA9VjM/aY63hdvOdsAoBC4CF41L1aaYqzgJ4fr3/skwC
uVTjWpoWRKYZ5hfPcvWtbr9etpaPiEEa5Q16Oz3qEzu1GiOb8pa2aQwXD6dT8+QcGx9ISL6CSSGg
PQY62pb6z8GVQ9WvAbTzmHh1WHmiC1P4fdkAMyZLt6F1ife3TlyklRgvrA5GtAGfs8as6yjED+Sm
snvdmQCjZvqS5yu+r3zKDs0nELChvdOfzTA9aYKiPTeV3ctiYstgpKudbFCvDxa/uyuC6SDjeUeX
1xfPfqIh1JhdO4gDUWFDKJoJOqBYbLJmRcau3zfnOKr8POxRKko95aqMdNd0jVN3Q0oMqQqbI9RC
2axrrzUTi6y1sjpCIJqcndvlnJ30O8BagC7NDMtPYBYXXIS863YnjoXpa+Wk6kEAiud5+auYdDcF
5Xx3rfcCp/kHw6EjBajvA0mRccx1rUx5nHCYs6efkoNyMO9wiG5+hW5wcNlB/+H03mQxDlphFrMa
LchawvLHigIfCZ2wRvcMr7zn9lj6zfW/AxOjZ/Px7N4EMw6pLFNv1ToEK83krc3ZwlDkFil4FcxP
43ylEwEoIT/avcljvbHsyQz2cnhj+6hoh0W7JyLEXJEIxgmteiMT8tfCa9Q8BElINHRK6Ihwej7S
Gr3G1DdNGIfT9TTbJNqTyY/ZQ/FgPqqn6jPgef3uj+XexBtKTt0fGARBQ6gObRAHiqizRUfHuJ2j
2Vj465HXqli8H+lM+FEPVdBLX7ZNgRidWQnRrQJoBnSkVY8mjJ53iNZmuB5E63D0c10wRLZK5CSz
2S1UTKX/atDf0v1mw2ISuqyWEa62qF/IeymCSe8v59aZi35aHHUFFCGcG43q1Cswpba4EzLd7mYQ
ntQ/XHtv0phQUijbkHY0W6Nl5wmIV8NtfJyw2FXd5AfsP/uimCzwAZYnnnQqkbcYX3PcrqvhqlIi
QzSdJoqPbP8psdtOsm0kFdVZC41zFmAgKKxutmtJXCnhJ+1vH5AJG3aTGDIAb+iUFXChaMkUy1Z3
2k0Pli1kLLhlRNWKf8iw30QyYQTAIM1KaPjXUaKVnimnV/oHBalWfYAGicsj3FoU5hcxhoL+JBqV
TKab5QspK1pNoLMhm3/sXZBE04pQ9t0KNCBhBYm3Xavhj5P4AvpoLwpK0ejAmIYOxAF2E1AvtziX
anqnZtJ3RVeedCO7j2UnuhxLOOOh7+Uw91wd63iIb1gglk9UR/m6ud0OKVqGoy/XrhKQ73kkHUVn
KdKO/v0u/Z2dsbO0wsrxQC8PfZF5c9WdbIAECrT7GFTea8dY6bpZ4O8zkz9H1spTHjZX2w32dDxK
a9eKtPoYmDHTA5I0OnSoqIrKxH/FqKulWF9HbSnwynTQMGTTRaLqE+/j7cSwNETpsvVO37QAxmsl
f5DjIBnss9R2V5c/HlcM9gJpM0QHzjITIqtl1rphhvX3sX5vOMWvrgBfrF2JUnTqRe/vGXy1nRzG
Aodim2tUtjDjdabIUsshOdMZnsIHMLzAHngq0f4LiM5l0GR+eDObG+lAYAaIdO00yZ+n9JTpAoei
QYjVZi+CiRmqIi2pYfSIi8ovzeiPaPccAD901nSAHrfV038/o7005tJUnWmqgYwFdLUmDUfbwZC1
6pJRNG3K6VopsiVjrwJAmwagwJjQi2XMcphjoEAYt0C3TFXA2ip+/z33KSknWsMvc2i7IPX15Fty
g9UWAEe5lzXlBqr9T2CyO61ZHUdPUrR1gLLpdcf6lIYTai2VR/058bpICdLThI1V0fOGk1i+157x
a8x853NvYrldjwBL4c2Lux0sDyDJ11ZguiMwO1HgiUvX8vuABlEzaKL/3jp79xtYpzfLuLF7sy68
eCpdbLyb6926Cjz+Y8b3XgZju3lr2+PYYISiI3G06l8d9Y9iAQN78bXJjoMhQHH6+GqENHDRahSi
Rf+wQ5lOVdX0Vl9i10M6m8sXZTSCTEXlTIQiz3PJvSDmEtDVeigBtAZDmaqgSy2/aBLPyCzsuD8m
qiDEfMyLoBUQFjV4iWkCveL9zTakhDgxxRdRrC9t+bBVvsAPeDEMw6MazUcwacTuVw0NWFVWBYDx
s9eiwrcBjCMLsqjM3OZH9VhlHt1QTnwR5hYn+4JiO7mM/2VEbxxLwiOOTn9Pt80tSIVKtwn6Y/kM
7LYwFu0Cce1jJ5DxOkygT382/bMqPqMvJ7ulWfrWkhA3TbQ5EHxXejBs4N7pZzKvqtRy+qTuCzpQ
Tz7rHiCDruzP05+h5X6+EnVdBMfIrkl3dqbmXWrnXgweHvCCuYmG7nva/p65AEwCC8SY2WZx9lZr
KdSixop8fD2d09jt7rApACCVMTQi2W9+JLSLK6wq8vIuoBX8LZVxuTWxlLbF4pGn3dKbIjtl1w6G
0JCqu/LB+Xz56Pif8k0Yczk1gHPCPi7C1pacnepUxp9r0VIJNzLu9GGMf0AZLzcTrfRW+TS3Gaje
bwsNe6OZG7dLlK2bIIqI5DG2X9ejQZoK1mGDx1upAHCyJd9itXGVjQwuttYOcy/Iw7hR0gGwCl4d
WJ1mHxxOvmRNM1JUuPh76mBsUD5i49Fd09LDWUb//ciwtE6BNkGbDMCY91Gy2GoLpGE4stG62hQQ
enwyRQBgnCE9BdPSbzKY3KgelT4zwPT4OjHRuoqPqZ5rQ37t5CtI/+XSvdeFoyE8Y9xLZeJ/Tkwg
7aYUkgJlBbpPkCGjJSg4D66Gonr7M8VKoyg34rnbXii9lPbPqV4rgJ2MOwGxcfXqGw2rMtvD9KKG
tCcjKgz9w5cFvKSGZw4QGBjrlJoRGa6N0+tfFj87YAJSDfoIkPZAoHYb4jqn0l+/xoIIzbsPsBv6
l1Q2A4p1kKe0K5RcyHlEXc15iJWbSRF9S/4BvolhTFMuaUs3Reiiwx866lCVeV0BDt24af0lACRr
A/7BSPQy4XTVqLW+iWWsFbkdcFBN7PgOPo2YxE/9yVVvQdsXkKg+XHY/ekDsXQcsN4BJ2JhFw/T1
e3sh/TC0WUIPMF3uc6P5BuDil27RfdXArqbWob08ocmMPy/L/Qct3wQzcTSXZLnBFGaNt15zLLGv
2QQ2VtEHbGwQ7zc6MPSbvklj7LQytMpKenQq22B9nZlKHqyQIpeBJ11GLIU/0lX8Ak+Xu+3nZVV5
EfxNNvA03n/iFJM1ChixKm+up8Yts+y5y8md0g3fNjDSgXLUn3QRVhD/8ypA36LL92BFoLa9iwMd
0dV4qF6HxCYfQ65u/8U+AlQ7whR2ii7XZRW5DrmTxlzycWkU5aDEKOKos9dYsbu2rkZX0zdBi4If
cHaSGHuNYwBwlTP0mp7sSDmT2+TL5PgDoBReO8Cf0tMiubXgNcQNBDuhjK3GxtSCGAr1D73IDlY8
/gFckWghq2gymQaUD84IABsg9gKw4UNXK9+UYign3Bh9UABjyDMXdz1pdFYqNG6y8+pLL/ZtdQNN
o/QhP6Sn/z5/ATfZ/QDm9tiUTUedBz8AQehaGpXj0M+/c9/vRDCGmVtOB/IpdEaytb7uiU1cZfmh
T4lgkoRT1n+vCmOSJtiPjYFii7QvcyAHBiKMPLtxOGGfyqWTmXourEtT47t0foxxFhPRxp5O01bF
5FY2SAyT0pPWqK8Jns6iVxE9jEvSGKvUGpMAlwusGIVxVbWHpn657NSif5+JmeMQt3Gh4h6y6us1
+6U1wmSF99DamRvbvtqypnU0EFt5tQWSB3AVXlnfNQtzjsqpP+pX4+D+1tt1L5K509OyWxIMUaGZ
+zwHaqBcSchVtpMc0vAhbo7wIwdQmcAFYANJiRFHKgISXgMWQerJa52f7XgaRZCpIhlMvpDpNckb
urLlrObdION9ldc/C2d9uGwO3Ge/DRiZv3Rh8tlk61VLqk367F+DFrOblQsGV3QHFA+mkflxgrLX
ZZki1Zh45Ki5syqv2excUuC+ME/GMB9kwRuLrxrKNLpmQUONXcXtUZZy1gaqdVgJGWiql0vegPUd
7dT+zBS3Eu/jclV7E8kWoK1SzaStQxGzdK8k4sEUDzRt3k7m7Z/1U+ko+prcW3onkjFGu9CMtIsx
/NjWd3H9ok6HutM8bTpePjRuvqMCeQvdX/xXY6JgNRWyvtW4orMmdvW0uLNJ59VSMrmO2WC0eM2A
VNx8+9+EMsEQUL4At6ah11FeZuA7T3pr+5U0/lGsZut1U3/jyPksSGL5Z/imKRMhmzxVktmA57XG
8mDO5HYYrc+JpgiuTG4gfvugbJjMtDFH5RJXZgPSo9WOj0DMvPz1/sEB/taE7fA3M6lJOSE/poNY
veGnGfZPTHdFPm4rHlCxqmtRLV3w8dguv62PgzxoCP6N8timR6UOEvLlsloCS2T7VqOqFBLa4Lk3
rZ9UlEWN6W5pTV/tvmXJt0mIr8O9znbnxESrdlmkfCykHPCp183k6p7iJmi8L/mJbJ4e5kHmC+lQ
RF+R/v0uzwcfmF0lMd2jqa6c4j7ujqsIpo2b1QAHWaG4t1iyZ0Q0VbHo8kjNr9WDLUsAt/kkOXfd
dojL5HD5xLi9HfCF/i2MSdsmpTATtOWQat/jzQ2gsmpwyR/py+t+y8H6ud7bnizcP+Z/xTepTMgi
WlPoVQcVzZTcSQSAt3oz+tksykr5Bvkmh4lSeuHMiQosei+J5SJ0gMXkb8rc+4PVOFdKPf3SeiOJ
5qb7dfmz8iP/m1wmUBVmbEkOwRO0mMujUYHlRGldpx3ctEkEVzY/WP0til3232YyZb0CUZkykCAb
JpC7Z6uokcOVAmQ5LHCD2h0F3/dmbw+ShFY3xUcwZXchL5gmu/zFuBaxE8DYYUeqodFL2oou5Ct7
xVZXMf8x2rHgyccPvDs5jOXN61D1mYk72bjtH/XHlO7b+w7GS0BjiJ3l6vvYBJc149rCTiJjg1rX
6EtXDGhTNkVg4KFemf1VKWPH34kFFxfX3EEpARwYC29a9lapS7vWYgfgXwp6s5XUu0WquOk8RvGc
ym5tDWFl5gL74x/cm0wmG9aG2gGrDlI58GlUbrelviOlmme0tSDN+Yeje5PE5MP1lGdGQUPv7L2W
WF7h1EwM12IVG9hSorc5Z6YLL9rd16Q+sQv1+mjZCanQeZjLgL6WUl/NXQJUqbAMR1D+CZJivos5
mPdAVxbDLEzMAIiApWUZugCq/XWLIycT8SLwDfFvAWykWJe8i5MJkz/FnEepNrnxGpDR9LdM0M8Q
aPL6YXcfzkpIjY0MWjManvptcUdNUJUSCWBsTtLUVtocMwc9c2EO3iCvKh6YuSIQwzfttw/GGNww
toNOLJxIEgd5dV3G15nQqPku+yaDMbJcXjNMlKK0PvjrS/oN5K3JoY+GA8r5wPFfwYyFQbCgihof
m/mCcEEt6kNBA3jf/29xr7W/3Tl1s5IOioExgFkPjeEqk00/a8NVDpX1RPTJnezfChYAiAOVHAD9
P5BL1O3Yx8aIakCN14E7aM1N5gBLfLYHUTmKW9rbSWLukzJupTluxspLujn52W7kJY0t61CuBA/N
si0e08ysfcmWb7V1yr60/YKx13gyBMGfa6kmQh/mLADuzCL891Mey5OKGGI6dzOxgjQTESTxw9RO
BGNBtZ4rekrwEqPDHMAtvLGqJHVBiKh78iRZJzA91geMENSBaQOOtgMfVJIYRPCi4frK7lfQv9/Z
kpVsACyt8TQD2+NV36w/Orn5PBQiQFauu+zEMMcqWc5itwoeMZVkAVQYbyaAnUxd6vVZ+s1EXEsS
Pbx8f3M1w6v6FRKNMqK812wD70/p0DWdFXBr8aC7Vl4gRouqiyIxzAdcyVLkzTi0XqaTK61rPaDc
fFE14dQp99G0U4f5glssS6ABoBWyc3GjIuFPovZMuzGgHfQOos1qjlaA3gAuDyg1FPRJmXQL2/pG
rk0Y7VBkoD9Pp1ydXHMSjDNxNkYgZCeFSbHUrdftfMQsXh/M8jUdAI198kf+CIxV1MmCuvMp7FWD
eqOo0cWxR4AygtwUIK+ahsnT98YBVJh4JQUkT1JogOZPwwTeVrrr7K2kPm2FSFPO6b2Tx9x88pQZ
fdsWhacpZx1QuccSPW79p4PInUSxS8EnRVUsXgvonUzmGrQK3c50KwOvYBmMq6uF2KdCh9T6UtRu
cSzOcmh44kEWahnM5YQRLqBkYHLGwh9MOgTQZUJIAvbaJYm9RDupxb1MCr+3xntnFWxAcC7CvSx2
ndhSm6RASCy8mcyhTDBwdzVvgbIe1e4+Vn+aQl56kUDGbIY0t82sKCHQs+8z4uqznyIfi+h6nBUM
L9aX/EcDLN36TsKAu+jepy7+8dNS+k+wEgOtnAk1at/Om0rZidDPOC7jyxwfYgUsS71/OXLyMnZ8
1zdBTKwpALtDJBXJzeqNQftA57LBKI3ldsyMwmTs3/IO01Hx+MHY/geuWm1t9MKI4Y3xl+zmdQ78
yvF6v3kE2idd9hPpx/2QO3lM3NHXQc3yDvLkezOyX5Twz4HA7DwFmkeC4kiZIn7r9HZCGccoc0uP
HQLbGUFOXm1xQCbDb2eUvAan/3X5BOnd9sFS3mSxlVCtSVFQSDFSXTXF6Nr2prj9WAi8j3tH7IQw
zjDnS2PUdOlXnzTJk8EnUxp54iajerysDVeQZaK3QFEqPlAMZ4mZW/GM4yq7MM2+2T2oZ58ui+C1
QXETvclgsgUlU5xRIQBQrTdA5wIB2Qe6T4bVxSmQcc0m3iCcT+Ye0k4k4875NLV2U8KdbUm/MqXy
D6eTQ4Fa3IC1k8F4styreWIuUKt7Xju3eNgyt8NAYYDxKgwDzI5bp37+kH2OXQOunfwGSw+94N8+
K5NHpCSTQTq0oMfRgiVYz6JkCLbpINBSZCCMPydGJw15imxlrLccLCnkMTZqYPmB+uhTTtb0aiwM
59Z21qPcS+pNrldXm1aT7+XQloHet9m9ndvaoVoWUTOQG2l2+jNOb8ZFYwG/DGVnqV1P8Vp/bRx5
C+SkzF2pKJtPl7+EQBy7ViwNRoUaE9Lslvi58qnWelcFKr8mMituOvOmFkt5MjnSWGQKPNKobilu
KIpH3hQHFja14So0YfuthNQB77fuaMAiYSUqpV7Y+gRSr3r4Udt+j7psl/1OQNvJYJK0ZN6WbQAH
iaen0i+lXF5WdflUGNrj5UPiZUiAEsNeiErhDFhV1FIu7ZnykynqeV5zDyRoleUR52asB++yKF6I
2YtiNCLlVq76YGBhwEIeXySA3IolLbgshKsP5uLwUgZQ6Afs6XzoY6lNBnRlUV+2zkUZbGC6tI7V
+uWyIJ51U0bBvwQx2rSjoZbbUKIrUMzRWmZBM2GLUeoTX24zQU7C+3IaYIrAkgAgGZmd9ytyc9OG
JCHodCz3lV3cl63gs/GClob9a/R/gbyEV+r7JwgZbNO01qHG0GB5zhugbpr1vbaIrgCeGB182TqW
MimrD3NLl9lsGJVltQBhxqgSqU4qGbxySn9Dm70Y5mykqkgssH9Bm/rZib81XeEusyAPoGGczWr2
MpgvZo663ZANquQyNobmU+UcEpQRliF1zeobbgCB94g+HZMTxElqm7kmt16lvFTm5jZSsIpI07mv
tL1S9EfsCjCyZMd5sTl4ibZ+jOFxjLO1CxBoMwyMxK4GLK6b2m8iQ1Dr5eb4OsDoQZFl6+YHks6+
J7KaqhLaG9dypEdaSFnS7HPruENA2Qk60RAAN8VC4AYxqAUmBPAcvde0IzWgRXQsYcpRZYOWjb72
AWaFxSyMyGAvGPVa4bXBV3MnlMaU3efdAKLcgp+28KqnwS9MNJuJPx3IVdmBDo4Eki8J7kZeNNxr
yWQ8pJQ2MJ/DEbCPepTkB2NIXFX67pDnvprcywFRqB2T+AArZZWaWcV79FT8mFCiQW+FYk/hIq4/
U8A/0dNJpB2Tz5BlkQdJoVaDkqQDriHyo5giM/+sp/7/phs7vL6mRmeXlkG8OT9VR1rxqr5KDjCM
XMVD4eLfGAsNUh8CzJuxvLId74zFMme7GYBpCsQu8nnxK+BRV39YnhxWgYodEkHI5OXmO0vRmJCJ
jbTeavuZ8igkB+0gBTMY3cRVA24U2ynFRE3HSRMjTsEuVi1yc69uTuer82hE7WJ/vnxkvPsZtQk8
0zSQu6Ky9t7X1nyrs7RUMQipbyG621EZAyJxrIC+WdYiDl7eBIRiYPofL0LAvH0EFNRNabOoKfaB
Eo7AKioO5T19ti0PLXB7NG8r3PWwfLusIy8vAIAdZUuj4xfsdZpZMSiAZIDRztlxkx8mVdDo5jkY
xosQH8EGAVh+5hvOSY3qizSXntydUxBe9I2b2BFpMLctiTyMZ+57WUxsrI1lTYhpY/8xiq+NkLav
sjOlyaQTnqIxJq5x7BRj4iKOMi+60aFEmXdTv7i6Xd0U6p1tDfeXT4hn73utmJjYO1gN3BqckJxY
uWuMaP72qE/opBCkI6KjYmJhLU2F0uo4KqMA+PAQGCABzvLvi/Jlnp4u6yQQxcbCvpgH06hxUqtk
R133YMsSZgSKsIvHwJhEHW3eUgR4Vv42QjYONrK9dLNEDeN+BUPzUQc0voOO3JFSM6H+J8izeK2w
d/KYSIjWhjmCmayEK5ebZ4TZSfKqQ3GswFAWipaiuNIQnrCWjzU67NMxltiCfVBtnRUcMttPG8uc
RfZUbzerYnvVeqtmhgt+eTwunxrpd55jlClWQyNVU9FYfB8gx1RBA2eTMi/FoI+db+5k/fcNDKw4
QycgNoAkgq2+T3rtJGmZ5F636l+AQnHXKtpdrrYvl+2Rl7WqqgLgDlArQiF2YqWrG6nuEjxeDbc5
O59UYIv1EZo3V12HFRMaQfLvovuSE3rfyWSspG+LbMu1JffM2Xne5OxTp4vAd7kiQLNKIfyxWcLe
YGaRz2MyZTmoXC3E3ZehFfS3eQKwaqSAag1Eaza7bqRJmtNKGCLyrL51Cfnl/Lp8MJzgBwYoQwcJ
JZDZP6ypxdaUmN2Qom+9VktoVUt7KPQUWE191gnCH08ULl8TV70DrkTWBArHsJrUQfNFAulBXrkz
Plu3CUoynFsDxE9vQpgzt6dGV1a6aFOp54RcOcq3NA/sUhCAOKfyTgqTIlVZL8cNgZSc6LfyAIDF
MRZ8LV5MRW8DvVR6sQN9iNluK0clHduxA6IbHiL1zRiVHnZf1tfR4X/R4uDc7RpqF6ptofNNOznv
Q03rgOe90+h7/PpPtgbb3yIjooAj4rudcz0B70mTgQ8DEhebTVrKrHHAYY52g1xanwuCyeFFCyUZ
GOi19oTRBve/GzkFNET4QXsfzOnvdUutpSTDPKNwnlaf8tSYXAkT9Gh1PFyWwzOLvRzG+MzRKOVM
hhxzMo9YEnyoC8W/LIL3gnvFb/tLF+aczE03iKyh1YaOYoT9Q2+7Sv3mavHocBxpXeFdS/9B5o0D
ygbZwDscqzagm3//8ZpFAnAQrZUDL8szHF/RH/TleWkTTJ3I7mr/YUup10wPZX6bKP64CS4ojkOD
tQgXIGSDuY0dkh7zySwthc5xEgDeoDaxBEk9qF66gedZA5y74APz5OGeotOHcAebnc6bx7yY0nkt
vLa3vHbMvCx7LOPkQGxBZBcI+uDf27yRlEiFNyTk07xkz4Y9/tQzA8UNbTkIrIbjcIggf2vFTuqV
W7tUQwXWeSN1B1/2JNc4k2c6Rg8OTRO4+527fFeuxd19kZaMS3QqZRtOt8Kzqipa2imYc4Bj1J90
8fuOZ6joQjt44SkW0MEYz9AqVPsmW8NkUvzdjIyQhLa/drdK6lH1/hUrFP31rG/sRdKAsHv/Tw78
olBpLe55xTwfFu0O8qfllXi7iYR5KPW0j9IsIIVhzkxT2T4AMRfTnpuUeHkNcCjVM73mc3lT+Vlg
Ho0gfRwzoCSZh/ygulUkRCSg9w0jHYU4XNzIc+AaLB5/V9RLY6MD5SGc/zITICwMrX0jmXOQ5uup
62O/b8eoTe0vDWqsAvvlnK2hoPuhgKzSwVg6c7b1kCUdWJ0x+1aE9EvPD3R7vwCAK5ZpFnTEhQhw
nI+NnE4G6zguqo8j1kNW1vEqw2P0CIRbV1lECcY6YU+X4x/vxDD+seiYTBwtUHtJ8rmSvmngPZQO
8RwKvh/v8PbaMN8PA4/OYuo4POwD5/a3LP+Zbkd5jRQ9HI0vCiCaZpQdLwvl5HvvVGOcQ1W3FhkH
pmrn7gH7VZUqo3/8+bIMTlx7J4P+hp0DxqWJvRYViVg8+Zl80mLdL/poASh7TqLfEaUjvgCk5uPY
9oLWr961QItEVdZuFgSx09of0u2EdV7vfxLFXg0ZaZacUO6zTi47t1W1wrXq9nZr8HivXgrSC8yD
VjhY10aGqZoqcr+P07pyi7dhp8EIJ3u03HLS7jX52M0eSesQOBbBZrSCW5Z7bjuJ1C1252baddXP
E/xZzTrPKq+26XkiQa1pbmKKOsHUzi5pR3/LTtaQWpVeAusHkBS+ZdyujuBy5brwThf6dXf/PtgU
6rGXMOs8lpGNDadqfDSwYpU7An8SfTMmEZOkepFmLHh6NfH79NBLN3Z9vQDbUz/+hvm9KcRy1lh9
kXYAwEg9G4gWWnauJ39SD7Nz6sn3y5IEhsdS1ySDpBZSRQ1PHYBtEct3C1DmvGTEs6oruutO6u/l
bVODy2J5nSX0sf42eIOJuqilNstqI7hPz1u4PlIyzhIQ+eOzBTTR6pSEItxgwdmxrysySnbrbPBo
LAG4S2645fJ1nA/g0vQQvwThgxt4d9oxgXd22m1OazjXqHxrtygtUzcRjeLyZSBYoCaBBWA22Yrb
GkTeDb7gaJMrawBGVx91uqAyyzePNyGMIkmVK4lZYfwVu8fO5ufa2VSuqDopsOmt/145oCCJf2vE
XCUkJ7WlJ9S9QGo04IkIVMbssS4FzsWPRm9imMi3AlBAkWccjl0/L/IP0A4JbJsfjt4EMOGuSvLY
7lLwBM6YGlYjHSxNLfhlLKzc934OjBNKMSmy73/wqDepbBAsHdvpQRb6iuNshEUg3eh3dCazP3bA
Kk1CEQm2yACZaJi2RFOSFgYYG09dFqR67TaFIOLSf+PjzWH/H2lf1lw3b2z7V07lnbkAON86yQPI
PWmeLMl+YcmyzHkEQRL89XfRyfm0RfFsxr5VSSUu2QIBNBqN7tVroeTrTL0z84A7GOPBAgICYKza
5mgc2csG3KdKeJ1ufw0d44mi97mO11ok14adeSd3cCsSTT3jeYA2gcKmhEcy+zK64lDKtvdM0m5L
Cw9Fxupue9p8lpf1fcqzQFEaIgJZFY5c5ShO2/PciHm7hpv6X6zlfZTZwU710VJDjLNGK5NTdAiF
LK65TC2/F2ynUMONNctLwbQZoaeFJK6PuIzjTeTrXfP7BTSc+/dvmZ373hxNMP/hW4a02MUjkiqa
zp3A2CNn7uf2yo33K3Y7ZVOz8x81WmyTSdccAsaH/Kz0Um88M6CUsAaSXtvJmR8waaFbIDKdcmwx
2oKaXaobl0ExrJyRZX/2vnyzg58qEZVJBXeTpoIjpAPr60oGaG0is5OO4NQMZI63ixGFh3Kwbhq9
eGvLtSThst/8ayLz3gAItAkwcOOwp1bFVborkvsOOjZrDdaLswHqDTzL4E0kxmw2eQ2InT3prDLx
MorzIX5C1/rpM7wgsQjZUROwNzbR5CLj+TEiFekYGG2KCj6ETYpDcRHfASMEStIUCmPia7/Vz6yt
hPBcA064Neb0xUjnaOyZfUtwNdnD1EVVuQAJAUhcgA9Sa8adgimODvsTf3U03MzKRzsTwZDCV3b2
l0YOPx3Ag5ow/r6yopPL/XRqLcQ5QF6h8jyv4qs4MPRoWlEoEvjscYI+6bvkCuD/s36/lnJdXELL
sYFVQGjluPN0dTtEQJViuRhkJaoahduEx6QGIn9bDZs/mZljAiRrAoABIoqPthKXkfOvrsJhOwko
xRtwcIut2uobco4cD1mBSS6esvfh5oXpvExVloch0jbFTyalXzi+1QnerpnhUqsYskV/zWtekgbC
O6kHoLoRBoFQfIN5fbV+BBUnN6/xg302qVIllyEyyimnP9bWdDHdcjT47AZPSBJotEGng5kLv8/D
B2UaN1Xh4oKJzRtbJM+iyj0IfPDIbXhfGT8GBw9vFh5a2/Dd2twl0uKtMfialm4qc0RWI3kZolvR
ALxiDNdOZ96l1L0VlnOwA2CAHPLgxroXQx29J2Kj280mKuSO9sE2tXXPcJyXQTd/hE5/ZuI+qFJ6
1cYmuHUH0InqWucBtrgtQHoOprV9nKVXYYW4sZdIuHXfzSjcjjn6ySvT64z4PC6tl6qNL0kob+ho
Xmeu7dudvh2zeO+Iig86Kla6+UVYdGOnvafhck9iue9NsIzY9FKPgg2AxluDRrdlgdom+ObLmiCe
SQwe9KUfBerCsvTr0bDPbWu810uLi8bYgN3fT4r8WblPNRoRzMq6k1TsRnTp68aza5GdXkFFNtI2
qPns4wDM8QqtDDXdFQLYM6lHqCAUHIo7NyCbvzS0cKtbaGszQ2gJtF4It0ypugplAwC0wfWwv7aK
bovnwDMwPhtGKsABw9zeZqM6q6V8XDGcpZOPSi9S2BS5emte77chWp22NeymaFyfgR8rgPhW/jZo
52O2F+XWii/N9LYpdgnbJqjGaPsUNPIhdixe8atLBXvz+FNm93rfyEIjgVF67j2skKdn9l2tcafg
Aj2Wphf7/b78bsf+6RVYevExa8KEu6hDfioMUmDPJRj4cVPUyaaIN33wGI3f+0L3Aus6S1bWeyl2
YTZahJDfnaAds3uy0Wk2gGoCxzQxH8RonUfaH0g5YjZIlzvoCrchmzsbw0hFqaP1ATCmXX41SW9M
VdWpSzXaAL26cvMveVcD8DbXggkBbTaL3oeauE0ZASFYq2952vDKPgu0biOrlbfyEiTGPB5oWtmj
nFedm27IDA3e1UQ3YwUt9/HOvp24e9dL058PBXOZAU+OVDwIaebRTN4Cxl1abu4NcfOYZPYjSS+Y
uClrvytWrP7z+n0cavr50bQakD45sYPgvI7M22KsL7Lx2arinUHUSti8oC36cahZ4JIpTfZpEGde
u9XDTXZTQZAr898in95qGYDcYFoDxBl8pLvTJ2zhYGNg6LMTlFPByzcPZUrXrYewQe09OUzv9Oi+
TjiaoGwByfHqcQDG2T2wu75fKXf+sr2PIdTHcWd3om3JHpFVlXn5zzD2nDMAWJFyQ3XOvQVmHbwu
a2HUdLJODTg7DGPZpm49IRqKoTjUWfCtCTu/Mo0V8pCFs/BxYrOzwPqoN4IRC2oPV0GxJVAylNdi
uNKxifnXrnoh7pOd/sk26ihMTbkJVDydmf1EJKZaNCK+BlpCecQzPIC4pqIYCrqTYmPoqfY/6NZe
OiEoQE692hD/dtzZLopYhCDYBclRpK4q/YuKCdcYYDZPp630s2eG6vfRMLO9k/ao2ZkDgF9ND4X8
ItbEYRfAwB8HmG0aoQGi/R6V2/E6uUBZBSdhChLdjfsFdAKvdEP2gbfW3Dftydwij2c1uwsaiBeO
OcPilflbXm0hUAGJxq0ONC2ivj9YQIijgHoFEBtjfrVVtMi6YhSA8yTQQAUqowYV7OkhPqepsIQA
8eDeZBZadWZ7ZOig2EJ6KANJI54q+gOJH63wPq+V545kE2eJ167V4Bat72jI2a4FeZ+aeZtlnume
uRQI+/LBln6Vv5ye2eI+HQ0z26eoq3QnF+gbs8ATE9jios8Y6EAi8VWnkocB/e0898eVnF07JNEM
kSKu9ZJJgC4YNhUq6W4l9rXRodw+bnEzbk5PcdFrHe/ezH8YkijpDONU385uAC6DXK70p+LHuqrg
kiM+HmoWSrakRGY9cGuvRTtGOtw67WWLdVyZ0OR5Ph2uo02bPWRBKdcipkYZjqFgb0JfD7xGZxQS
yxOALfrtpOGHHZtXaDthJW1DYIhqMBsPqjYBchyE7JhxaZnnTrGqy/s5MP444CwnoMdKZSoe0MoY
gRRNLzl0Q4jHvA7azrkXagDR4iVJTc62znm6XTvri1EDVPemLixgwcw5Ciyu+wD4QFS6jZE9GkN4
ozV4uZPYH5B1L3q8lRIBTlqkR6zKr+S3SNoeSLovHcBWQ2DCVzZ78i2fNttFSh5peRc0NrPNHo2e
Sq0oIRWJ170F4WC8MMeQg+bXg+s+t0Ku8hUDW/Q970POtxxVXqcPCnRmS8eLoz2NnuB6LH0lP7x4
Vo5Gme1zk/VabgOp5Y3adRdSUOmgrrFGqDq5yc+rh0wWogfdtOeAdr00REyzGvD5ZJ+MT0m6xkC3
PIv3AWYnPivc2KojkLO3EH4AFXNjE0+uyTst3+GQDf2facyMAGglpWkR1spy4C/L8ZveVfumtm8K
pxdPylHVJmK63KZmNUw2Sn2HpAmviXgIVVfwbjTvKZ6FvGvjtW6jpcsRlNd4sBhAhpO5tTS5SLQw
NzK41+YgoFPcbw3QCf4+RwjDQ/l9mJm56EMoKMiLJ6RImZyTMXfQEEFfIiElJ/Zwc/rYLR0BYEGR
KARw9zPaXdZVWRtUgk8mAL+YDHnuXldQiG1XIosFVVhUvo8Gml2ILNHyRqg6Q39HBgKiZ+Mx81Ex
4eBVvUoe04N8neQrwT8BpvSNtbNWkpRL9//x8LO7sez7QXYRcodRYkMhZkDWi5ErxxruqZZu877f
n17XpeNiEB0A5alDDIAmnNejZycZsjLSYhwXRzNRbdsIo/fkWmF46dAfDzKLnZAOdWVGMCmdQuEC
QH8ObbQ1zNdC2nXaufepTFM9moqrZMfGQk6OebqeBOoOUIQafdPG5o1ARjKOyk3/BJLem3GtY3ht
ijOzGQHxjg23QAcoQa4x4TRfecSuDTAzjKQhQ1R32CjRpZs82fXowT5tCotHbIJXTiSCU6fEx/VL
OsGyYUTXW+a8CvvGdb2I5VyU/3/DzN1TKTVXxvHUeTmcd+1Ti0s8BYV2ZK0s2EKlF/aATB5ElqG+
Arqmj/PpCQSzAwfzse+JpzbjId3gQf7d3KU3CTfO1flapLJ0lkz0k+poYcBR+tTQlIAtlyUOzi6U
zjc0D3MuK2F4XQZVt9N7tTLUvGJIh7GL4gj0H3lxE7LzzLmX1kqibcngjmYzLwXFpua4xeQI0ct3
XbrR4xjqK7NYiiwn8nH034K3z2WzHWKNLtqmJmiLRaHOqt/a7kuC+7KyfPj1GJHU6UVb8q3Hw00z
PnIQRQ8rQScSWBbr6C5KkMTL6I4GdMfQ41+n9P70cL94N+axDkIcHZ0tUKnC3n8cr210HUFIAjCP
WYhdZwffc5ZUj13rZBs0P4ktHSnbuSNtAJJC2yct61srxSojkLXvBKvQECVJszHCpuSCVIMfacnA
0yACpbQWJ0AfG915FxrDl0Q3em53UXkZDiHbxoCP3PR6QMFtkvyscrBB2EMLGEOGnjeJIiUHw9dF
apV3eioDDuF18KYZRfZVGyzl9SMC6qQCzRO+vIy3utQzzpzgp5UIuq1VKwCqHbqLuumc27KzU/SS
gm2dx6Fof4R9lPghobfgD6sgAgDC5krUAN6nKLCUeUo5SBRlzvXaPQAcmYJ3wK7uCjTJ4PnifEl7
N7koEnXQ0Lr8OLQVWA77DlQwua7/YLroX1mbAqfR6mCVHMruOU6EsRuiML4Nax11ZhciupkWP1bU
xXtsTK41w0DxrT5DFxoUTcL2suwb5uW9jWyj1t+kttNums529uhBetGb5ltO6/bRToJLC6JGnLV2
ucGchzNCMh0rOGaPp+1kye+iUA4OOxTMqW7NzDJqTK2yApzlJAb553CgFRKTPYKoZJWnYLK4zxbp
QhTFxTvqE4w/0sxOA54Ht/2l8RMVAVDX9dvwx694ZrWLetFH2e+Dzcx/0BoViLpC9b+4rrKHFrmM
34cCTvWNqUEVUANomc8uxcARrRsiNvQIuSbpPS2fLHZ3encWmuE+jjF7UJRdOmoJxRi9N0D9mXJU
93YZLw8loGX1Sji2ZAvHE5rdwYqRrAMuGZgCdRN3fpLe1uOVbq9cjYs7Ax1QcFOh4vWJGEBriwjc
6UgGtu6ZjhSP85U2K3Hs0u0xVRLB1+KiCGXNXLtUqiNAdE3w2nRnsup74kR/kv1GoRKA+ImtFxnp
j/41bpu0AvMRxngGxw6AtO33ap9cFRstWVUtWrqqjseaGTNEaFFEiPH+CJI9sGnwy9x2Llh0U8hr
Bv902uiWzMCa+JYMtH7jbpytXjQasu9cdPONw1UW+3pw3tBdYvmnR1nco6NRZo6nlnmQNzpGsVh3
Ztjakyn1FXteunIt5J3xoIJ/QxD2cYuEywZaC4KYPAfLqJZc1LkFkQD2puLoYJLn0xNa3CTEEpDZ
A5hKn1PKsaHUHWXAk4py52Y10P24I0PQld2Poc2dcA0Wv7iAR+PNZpePCdpkxYgojELawR549vuQ
LZydoxFmZmeNUsfmIGQpmYROi3ZRWB0fRP8nlmCi5g16EshvzHvJuyCp7GLEMK2+MTUwCrg/Tu/M
Uk4CJQG0kU/tlKBZ/GgHOUNjoT5FelW7S4eDrgteRz/artmpQtta+h0gTitnaDH+Px5zspajcC8p
OiIMDbtjUXJIKDhrInIVpDGylYHwQpZ5QDpx1r9p1N2pARqweficFGhHtOnX09NfcrjHV/z086NP
0XP0e4YlDNMmj5mzr7sntUa6vTwEav3I4IECTp8N4TYCHG1QRMCknqIGptjj9VFr3p9M5H2UyXEd
TUTIDvi6aSI1fn2u/UhDybXs7vQgiwWC452b3YJhmRMhKaxFgCoH+uKbtuXk0G7Atb2P6cqUFg8x
5DBQkCYMYIyZr9X1Mo5blyFYlMjzxOyb1KF6d3pGS5uDWtVfY0zfcLRsDHquoqPIlaWTFkZigarV
GfZOY61ciYsO8GicmRG0YowDVWAusrgxhkMZ/XCobzoXTrixkxVs7KJrB0IQ1JpAzBBzdqSzFEoE
boK4qK1Nnua8EBdC7dKq4kX4B09R62io2UkuQsQwUYflK8khDh4T8eX09izGeBYwWrhqJ3G7uTo6
K9yxJTWilVbUnI3RTY4XoiGUPwKKHpQg7VNF6Uvp7JEb9B3QlvC+dVecxP/yFchZIDBDUDaPmTI3
C+MGghUw+35ThpxylMgO5o5uOjyu/FXqnOl6mr8GbPiKSROeoblptoNdXxqdnmPWcMHFQfczdLf4
uQlB4WwEH9saLnLpEOB9wyZVeLQIzD0UOukFGp8QriXg/DBz19eGegNj3q5s5nRgP03raJyZj+o0
YtYITP+1jNDaBnVf0v5KAZY3bB9sxNrpXrxpQFtpTYrpZMrefjzeIXTos97ChaJuu+cWK1l7ATqE
8cw2b9m23YV+vXL4ltfyfcTZHHsrbx1ouqCVx0nOcr24xJthUxprwr5LvhHldTIpiaMNxZ6FHzKx
SlOOTeYFmTgnhb7XzW7F/S65keMhZu4XdzEqKdNbxLQOmqLcFfeZea6lr8QRf+CFbUQ42HzwSQCD
9HGbBoU3TyNF5slOQ2treGa6aJkk9sOfGODRODNzyCG8WOkSBZjieWqEKrYJjAEcURfDpvwPxBOW
N+l9WjNbSMxQBHmJMD5DhoV0LocK8ukZLVqbDsuG4q1pf2qBH9FhmmWFDUcRpIdQ2lspoy1Tze70
MIs4LbhfOAhIeQCCM3NIqh8KrQiixutv5QbnaJ9eVnvD1y7HTb7NdmvqW4sLdzTc7FqJR9XG9gA5
pFZ/6wLPWSNPXvv9szBGkqRoaQpH5DTtq4ybrWHUa3fGtLmfnN37HH6Vs44iiyLqYNMUW2PY90ja
NxUQyTvqvIUmmjyfgmKXsX0n/W5skFK4NZuax8EhaFbc0eJXwDwmOUnwNDgzP2Eljl3ZOWY6TDJP
QHZY9lnO3shao8y0Yp9mezTOzFkoaNY00JaZZJFvmL3RGuiu3LDG9sex4KHBIGu9YvqLe3g04vTz
o/WlmmbbVYWAl/b3Mnrs12x+ceXASDVRNzMwvU1w/qPfL6rKZCW49ScsnRW+dXixprHfAO3+J2fL
BLIZsljIKfxq3DkaSKuIZoJgpvbUTkLrGWD2rXFjQTRgIu/pn9ZcxvK8/hpubpcVVWARqLFTpfXU
NPVZgjdrLXtvXAMULF++lgFu6onYC0HnxxVE+pvGpk1x3Stvov8LN825YfiqgPJy/BDt8y0SRGt6
yIu31nvxe37jE2hRETFg22qb3KLos+0NdeUI3asaYPxRoTu9e4tV6aNiO5mW+2j3ylQaDc3gqsht
iIwQd9ExcNfdhBttauHzo5cBorTphUM5QfvMOpfO4g1wNN+ZZ87CzlJRhLd04WgXEGPcmsFwZ2fu
ipWuDTPzyKjYWcLUcNrSMtwYvb4puuQM6fGVQGDROI9mM3PMBpNG3DkwmYCo83SsuDSK/Siyu7hd
q3Yu+g/n/cE8W7iiKPpGrzGjsABF/1W32kS16BKnbD44VhwL7NgfLaN17EwGAsEG4M1yYz+zF3DZ
7syr4OBcgD4DF2c0Tkg0PmlvATJ72jCXNgz8fYjmf/13nqg0otHKcjW5R8FeOh0iWE5w32hvfzAK
JLCAt7GhkTY/bYGRsYomBqyPpYcuCj07i27qbI3gbOlQOwYiROJSwFfnaH/Su1ERGi72yiXfmKGA
iRS8k+2VG+LNoHrt5fS0lmwDL3+AyBz4LaBlP26dNmhDRaaHShJY38G/6J6VWUP3pwdZ3CGAtA34
RzDqz5+2dgVa8dzBpNzavu6cTnKqXpi5Knq7OBlQAUMrAlkUCPh+nEwZ2kEXNLhfkNRzoc2a5XnN
8Qi8HKTZbCpBU56LujgXym3uuhISoaobhm0WjsajCxXqJzESl1ujWrsglg6Ic/Rhsxs8rOoohaAQ
nmQG1Oo1xcdoG4LPzSX7Qo08cc+V9nx6zRcDWZeaoI9H8RfdI7PEsOM2En2UI9AgXnGg2+56Ivlg
9871JL6ONpU1h7a0ycfjzeKvXjYO6RyUjexIotzanrEIFWNgvE/Pa3K/8/DreJjZHg+gIarGcQrz
7BdDv4f65tboLpm6MaByrRe706Mt3uzHw812rnTGUYtY2Xh5q/ZppG+zuGTInOmXALG7WvKqtBxr
qV9oeboP4/IsDhwfrMamg7+78i1LvgGlTCiZ6eh5IHPfkDcojxcFnvh2O1yWVb6rtFd7eFVxsysD
tkkM9pA4OQdDyI3T/tQzNOsRC0xQIIEPq41t5GcOsr4rHzVt66f9OPqome8vM0bawSITVi2YWmro
3vHDknfahkDKtfD0FRDeYoZqQscRBu1glHZndh0Fgx0HCfKLvddvNA7mfsALAU/fFRu1X2sXWjTq
o8FmRp32uln1AWbXq0sDHBtmcDHif06v4bREn5bwaJCZSUvaOqGwkeEIxfeKfk/an/34I1zD0ixa
z9EoM0vuGGtcTAWevt2NnckdI+BW4AfjVZo8nJ7Qkrub/A4lUDZERnsW2yAtUY8kS8B8ou8sd5MZ
j7HlNekBuSve1DelEa/EbNO3f1rB9wHnbdXox6vzTMOAWhBe562xFc1anW3ZnwIs/MvmXLQY4huO
wt8uysBJm1cNJL/N/WhrXh+qH2WUcbuPn23grTNwdqAWt4dU3t5sRywwJl2K76fX9hc27eNcIegE
Zk5QKKDJEaCej9/Rp3EqMwtNjskhmLrINhPqWx7WhRA+7yKAu9RBbwsGQcAzGdTRhIOatBbFNniJ
I28sGRuoU1kx+p2GbW3SC5mFHKSz6H8Z+/uVOU4WP5/j8dCzGDy1YumQAaKYyQGwI/B3gFmy2cQX
g6ftSl/t16iyPx9zTNUEIS/yBnjE6bOpAk6X1FYcYE3rAyt8hQ49cMivHPPPRjoNApQrJFSRWpqT
OIosdhuXQL/OVOwtC6qbuEhXciAL19XHMeaHfKhGSSfIw5S+R2OA70B+eh976AvwGM/vi525ctY/
uxUccBDIADxHsXJzcmEtECZrRuROCRSZa5+E92YjkUl46ezNilVMznZuFcdDTT8/MsjGLcGfXcIq
5Blg0RODOjSueVRDu6L9D1iaF26aj1Ob+WWknU1FM0Rtxs76WfjjvtsH92oberlfXa611CxuHTBR
6F52UP/+RBFPIkuRLETzrbHTDNCbTpwl8YBqCLpbBmxf1/nFbvy6sqafwynM8WjU2ZrakRl2AY1r
Lzv0Z/HV1Ag4nDtn0/tNz7kNeiII1CG+egKeZe3UrU55vsAp60Q0wJX1XluikZpeCC/+FvmTHkkc
++X2jwpOHyc8OyFoGch0Yxpz6pOyz6e0uMEdTi7yrX1YWdwlN3a8uJPbOTJYFsSBDsgpthTSKkgM
uecT31EJ5C8yXvV2PUWyeDkcjziLxlLJ+qoMwslk20N2H08U5pvUhyD0ymFc8piAauBBhxoPwrHZ
LTTizZTHqkO12uzuqEs94bpXo0F/u+qK3QJjOS4DCJl+atWpg6Iz+wacv4Z21alvavhtFNrH3z+7
aAan1Ik2AoyYSM+ozyv3yv0DLeuPY8yWylZ9UTQKbqTxqwOYuz0oPxyg94wuZXbRXK71xCxdM5NY
IgriDCJ2c9a2MUQyKYGmtDcG1yDn9IBf9U7b9eIIUM1AhgLqHJ9oOspobM0yg5rlGJzlueRMvv3+
AOjMBz0uwg4Lmhkfz42gA3IjEMb2Al374rjhuRVp/PQQS/YLtJ6NKx+y2878Mk5UqXSh0CshFAR/
U/hWmRyctcz60uUINJNtmhAnwn9mW09TgUK/A8QeTbQ9SqNb0WXoFTZ/skI9t0X6r7v4/7wO/zd8
K2/+dReKf/43/vxaVqqJw6id/fGf19Vbcd82b2/t5Uv139M//euvfvyH/7yMXxF+lj/b+d/68I/w
+/89vv/Svnz4w6Zo41bdyrdG3b0JmbW/BsCXTn/zP/3hf739+i0Pqnr7x99eS1m002/DS7n4279/
dPjxj79ByORof6ff/+8fXr3k+Hf3/duPt8//4O1FtPi3xt+RsptkIy06NWIYOOT92/QTSv6ONntE
t8DHoxZrE+xfUULv4x9/s9y/E8Rq0NIAcTxaUSaNBgF6QfzINP8OsAx6vyegNBJ1hv23/5n4hy16
37L/KmR+U8ZFKzDm9F59j2ogMYkmTuQTwS2OFz3IDGfGbmVIzuYsNrxRD+KnACL0aLC0zfCLpYIg
4jEo/yueqTF6aFMrI9wNcmA9s7ZE34rppMbKwZh9Dx4V+Bys10QdhcSRNU+nmoVsqBEV4FyiBfvW
5RoY64fUaW5VOKhvoSuAnoQeT9RyURMr8RwaOhc6qVC9rJpY3h7t47+X68Ty4HNMCFhDugLXzPRB
ZFacSjs70WpLJX5v2MMuNMeK8Aa9/c95UKc17wZToUdN0j7jea9rjGdhbylulQr0ibKu65UbaXbF
Th806fcAFYsMLbwrmV0ZrSSOU6KBzM91U4FQKWagOk7Q8/8TDz6lAaxv5g9hGrc5x86hEwd4tQwN
wlUa/P5e4XEGmM4vNzlBkGeL09BKRh2tWl+WQ2hsizIYjI3lJBDGtdqOouGybh332rIgmcmJ1os7
HdyT97qe2PZFU9JyldeFGh+zGdOjFBV6HUIjuo1KLJ1v2MAaQ8mAUSBf45Y+a7FmQIwgTIWJVgiK
OmlaNAGAZ85Aw3NZ9rV502udWV+ZwKMRnurJmO7atojbp9pEAmZbIoa6txPLaq5GNVqPNauR/TEc
aQ1eJzKT+SxjLfJNiLecjWqKquCMBsjDsTKk6YWmVd14iFjljmcoU+hiZ1dqEH6nSZ15TYAeE96G
TZ9yi0HSGDgyLYDYjClkAObTqFW+VYECxU8cN1Cbjln5d1WZlO4iCbm5Lwm4NB7MCAzzvJajiy6X
RJbfxjqzaq4ysza2aaIGC9yaqZN9ZQEEpyDMboAfgqrOYR5L3SF4BW1t7+wTlNcCvyoCku/KzGEl
T5DaCK/TAu07lwHy1G8kSuNi3w7NYG1cWUaQlIKt21uIhgvXY4aVvYBOo6wvnEHYLciWXQWmrImT
kKO1ru9uZdOMyWYktC9u+lyllldP0360XNkrcHx1cc9rIyjg9sueNn6XtCTCCauhLlYKxZ4oHQVo
j0iHUmqRaKaGAnhgJwdB2+CR9HpIQVU02I95VpfZJog6VnvQEbdcT0ZA4YP5MTX7c6vp8943IHFa
bwLYxcjRF9JFNw2DPi0Ui43hZxRloQDejvQlT1lETcJJbVGx77pWT3jXO5mNbGcaxZfaEFKGFng9
VbymqQvcqW4N4T4K3LHyaabSZ0IF2pqsxNIhEWiTEhwJdW/HPLVU99ZBhfQnNIHV1zGQw9S7b1hv
4IegGddMCJV4IxjbXc9yVV3fmlUDyKkx2NGTmVEa+H1Wm44PUWfnSXRh63pmL2S1LbQkvo6U1kPU
sdUq23eVXjBfshYrIuJWXAMZnNzaaRF9k/CdBbQfLeMV2ursZWgaCdr7xAgHRHA2i7ZZC+p63rIc
n+dWoSI+6TS785Erka+6rIrXJK8tcLzbMqy45uZOCowMjb7h5g4l4HuDRryizkOHV2gkyP1Az0R2
lld5aG6g9pA3h5KUFJtcZL3tE3esCz5kRdJ6ABsOsFwwDp/JUSFRWeeCYJZlkgIQi8yRxMo0ebMR
Y94XWNHaAYds01vXjlYmlEOHHLQ8+ljnne+W7cD4kEqz54I28tICXUTIa+A38CrK2GjueonO9sex
NBvlZ6hjRGe2MJqQF06hSpSdK1D7JP1gVLx086zwereAIr1UGQGcL2mg4a7aoPNAJWB0sErKAt9N
LBX7kSjjyzarLO6mKtcvZR84I6dGmeJw1EoFPoIBHMxadNVDomkgnRxpio6OShRote5ApbarQIa1
D6MY15CkVXg79EkGnr3QFucs68sUOGG3t3nBqHQ4KM8hvmWJsngVqq1ytG6ZvY5MYc9ASh6oDgTz
DUtNrpGUoHekjRTK910fIDVro3nJz4MewWKSaq+jYEnPQ5K0t8GY1mA5Kp0kBWmwmxfIrdbQdqtN
glu5jkgIMc/M7V7YyCqgKE0S9r6DBlWdj6w0vhVWUb4YqsDdVA3EeB7KokEpzEyBG8ipjC2fkLgI
vLIYtcDLKlx0fOyHbsAvScTIsWi5znWSEOq1PQGXCYmoBrJgNBt6NHNifaMNpHwJgGlRPDYdRX0q
xqDgyDbo8gFS5PYFo73l7i2zy4ZdXFmAtA5JTQNIirXM8cZGdEg/VCz/icinIV5USfNHVwfoqMBx
KK+gnKXRTaxa9QbvPjq49mkPnFsQd2iQo6J+MdESI/iIa/dnEY7J4AdVkZqem1P1nQxBTn2EG3bv
BQ46jg+xLpUE4LU16q1eG5BliA0oJ+ywEPbIDUlVwOOoH7KDncu+5awZNMkDpPQgporbx/5OhABe
FtdDAo4F4YTkPK1rgklktijARtBbOiQhe/AvljSnSB8jp+ZskmLAqU7jSLgwsJZdDWUMAD2kZhLh
N8xtHowOSwL51KBqvbjJ9HhTBoldXkSpgUKq7aYJQH4jZLc2rlEiedlYY1/xfqRdz6HGPbS8SVP9
ESSCCFjVoB6MYFBPWpBYciehdv5ohy6tt5lowCyfuA1CTMcMYp0zZC9ifKzFkPMuWPOF0VTVYDnp
GsYDJrVsaxa0QG8LSUokqjJGWx8SqTk4sdBpmeJ0ukbNi0Sg1RFFu++lDdTGRqRkgIBOGj6kEYM1
ic41w12cDVHqN12unsu8M1uOg4OdDDojf61qgv8L5AHVLyq9MR9i3WhvWWGJmDfTM5WHepGkfheP
EfpLp24w7vQADPJewzPva2VUCbovgioUB3QCu7hekoqgHbTVEJLZQlktWk3N/8felyxJjitJ/tDD
a+7Llb6vsXpsF0osmQDBDQABAsTXj0Y/6ZnpnsNI31ukDimVlVHpThBmpqqmyvW1kA1KB5mmEtrP
oOFA96dO5YhEQDP+TAqRvs08IdGmjzUwnRG3/x8vxPAaGt8M65qPlqNUElyCPXCYZjUjkgn+ctjM
N5uYxoh6i/G9bRZeQCepmrmctlHD8mIbZI5jC44NNjrMpJ/crk4QmFpxylGDBI7l3zbri2zd2p73
q6FJ0fA2BTfNTs7pW9+M7S0quS/XNq8bkBHRMIVg5Lqs2cXouk6l8vQtTEdSIM2eqOGoGp63a1fj
JIBQ7PBqKFOqfFVTHN4VDUdk77WkTvkq8DU8IAr9e5pLk2XHZUx1XA267MxNG0BE22Uhuq1SzCfA
Rl3hs23IZw6XTDESV3EzFLiq5CgUJuC65RtHOVPbsO8jdoito1uYw2ZISlUBuyxaUQln2B7ARQbC
PNnUQZmNlbQNmPMCa7r4a4SzFlWazhOu/0K2eo1LBs9CN/bFYh34aUpEqs8+trRY5/BCyVfOT7Wp
0n6mAC6Y6K4k1cSsFNMdRWK94n+0nyTb+AzLC2guBtlWuOvt/ZjXU3lwY0LUHVbVJFuPacB/TNrI
t5L5ALGkzeB1NdImild92vBkW9TEdIdhDObx1aYoqxs8Qa3PAzxW9apVcXJrCiHQFdYjziB2ySCL
KUyabgPCggGDi44w0EQJLTcGPr9sBUI0+RkSMr31M5xyV0Uj8Bq2fYn9IYYrGpat+Aa+jIBNZGUT
hupYqCjZyZguZNPUMh7wRbT4TT8PSYiFNEj+1lSlfqo6Hs7XJtL5jD0lVuerIvdFDE9pPsL9FQDN
EYi1qvE5cxSBAKcOTUnok/cJv37GRBD4laBl99GEAu1C4CJoB5NplGrVudHAYtHBy87SEl6LgojG
HhbFG7oFsohn3BMV3ZDR2p0KatEHQuRrms3iiPyZ0rqn67SB7fmazolLTiqS6jsJRfSyFDnHj2gQ
IreZ4CFCV94IfcPeUTavXN3GMAaESahfz5ZkG/AU8sGmXfs8ZzMW0Gs0dbRSQWJxS6YhecqapHkN
SIRGRTbzUmxM4NFklkPds/VUxwoUAx2GumK0VIDECac/SUtLtilFAcVprmT6008W7ukYmS3SY+iI
XwudBs+6aJKXaCnRRytIwnAJ1LFTuOQRLaNA8gVrIVX45YlF6kYSOLpslcAzXZVaI+yshYlEXnU+
xy2WkYwinFloCPvjcPE3D1MT6GmaMLlJstS2SkgZw4OOlch4zOmQqaqZ5+HT+qmNtq135gxzt3Dj
GQP6OHb8syRlXsVJz/ZR2Iw7NvfdsS3iXy9HVsyHOirEm6OYDjYhz+huNFY+Dr7ejwRb9C8wYtTv
U6qbtUYtX09GdRy3KS8figw+yalNEdLOGYpU52nanhk8FdamFRqQsVTwg00KcKVyhIVRzpuorqyC
o+IIqeF71qPFX3V9p95jDNh72Be5+0El/UdGNNTf4YC4gjii9HFKp3DNmyJZW1xfamWwHXMWUqfd
Lkp99DNwyY6haPIDDcbolnRBd9eGXfgdIr30lJcUvXfMncb/jcUYB5MuzK+pYEW8NkTxLe5CuQGv
y1YDdfCKg/WkPCalWcAMhV2A9rVn/tWK2Ns1LKXlKeo7M1/NQDO8uRp84BPtLUz0JgXYFMbMWPYj
C1BzII/wgEbVODQmgykonadtQedyvmlqWxT8Gu1hVfA6dFU0h2g3S0t+u2pxwTZSc8VOuHysM1HI
dZkuarn1bgpfs3lw4jgmsI5coiy9EjMFtyjwbgN2200VsYE91CPkJFWfqchXYNUs8jR43F9c1gbv
odf+bKST6abFaH7MEkr2NhniXU14ATiII9daF/BfngRiQWhPYQ0Udk+ZrqMzXil0SU2+XCiyD/cB
7vudHDq0zrgNIX0yTCCnb+6mWz7NOtkMoanbymZDcc6kU2geyj7bBgBNIjSME6vKWDmzmZZar/yc
mW5Xzm6atjqK53jNFXE/S9C77ozmiKHHTCy/Lmhy3msOf4py4XfcT/0ObTB571vRnjuio7/B3MOq
wQ09OY8+pvLQtwCzJqAmeMj90nxnCdridcdHeXEF5tkKnxJ+N4MY3R2VhL0L/INCjVQ33B2rUBTR
WmdoptYRn8RVcAWLaiSr5/8ODoRY1iqSv+NUh/26jevl1E2JXreaRohaUILvFuHrz74s1ZV4lctN
ycwErUGYR+sly8e0GslYfsBdSB2aqKvrx9xl4q5MCc5c2EwnipK67rTPppVOBZiGUNzzTPXrooz1
Cd7iC8Ze3AF7QDg1xmPXYLMRfDUHmy96vZI4a1WNtmZvjbDrNjH0yHyEP0XLdOO6XO4HvxSfLQA3
u/WGD9maFNkR2dZSXOnvGyeLzICoTNOXFkXT7ns7xvzAGj08l5YbTNlN/VaQyBxiEmIOmmgU/tHM
oMXgMZaKCc17qBm6kZwQEgR6jKBSQvToa/4tOg1bPSpIGG2CwpSYzWJpl3Q7x7on15o1pjviSkqW
i2g7Lf4IphS7Oli+13s7Na2DdEHVMXSirInaaAMGAP8dXnsZS39hNV9qGMlO2EVbqgCDG2hXXsfB
dFc6RIuuRRIx8hRph5jNjQfaZsGn56FhkNLJcOCPoYEByitWCEs4jhJadGtv8QGfkwSDx1UOGIlC
jOXlkOynIJvolaLuBajSsHJ/I0uh+gPKpMy7dd+inTsxVHXzlIWzx+xJCl+Mf6iYJsMqp3CxBRv9
24RiY9i1kb3IRC38IdJiHv7Cz37G/gOUAoKZ7ZDL2T6adOq/85TF6KYSPnWnaZAkfK0579QeZUuq
vVapC04xkt71xo2oFC9ND33kes54Mu9cOVgWVXLxrr1zPXZYkQnki46i/+/mUe7rcJ6xhTnFvvA/
xI1BVy15PrHPIWizdufzWC0BQnN5S4Oqrhsq/DbMKfjwqp1qHRKEaJWBmxD7o7qprzKg0AIvSEkQ
V0BVmW3n1Bs8AhcM6dmSNlR7Y0Wav071rFCwKdYnI6y7wQKm+MpknOVfuFPbXO+awADCwFIlmp6p
CrAh3r8JtA/jT+nJXG9c4eIGWSRNp+98oCLL177z5bKDjX6dn5wC1Lhr4nnuz41p+G8QEk/6TedH
5R8ygQ8BQ8rCMkqrYimSHzLVHkapJCkYqKuAuI96cUJWDpW93Cs9tYC1EN1Y7pK0MfMh1HMNkV6v
4/kYN1YDOCRmrk/ZlLfzfuoxe6/10DV2l0dm4lciCya3o83NeFRoQNFP5+XSnVO8FhvbYFV11SUY
oLZsaOAUl7lo1808/KvDwh6mDmjw2odpZ1Yc6lOEFvdC0A1Qg6zYw2tnufQ28LC6r1vRvZTIUwvW
pYVt2oHA0mVZ298GKxq6r3TBulIK+OyrSfTy3rJc3PCIAnYOEBtw8iYKj31K/5RjZE9T4apCt4ht
ahzioR034VM6UBgFMSbDu0no2gECRPOxkRP2ZDdB78UhH0y7VRk2OSoPfi17h588kEycj2hfjrl8
dVPWrDp4Uam9BTJGdxPhRFXZQss/88JqX+WmRAOS0U3f0OYJ+QzquQvrplktWTsvG+6L/nf7Kk/k
BrtfWQ5tch7+eleXDHefbuNu3bXz+JB7jhAelJgJTaxE37xqp5B+x5GEprcPJEU+wVwDuZGK5K++
TdCAtl3UqnUeMFT9yY3dh0zM/A3YdkRkV1bAAgAcD/qVkhQFfOrriWPnrG21gK9ohxPbpNQAQbFo
encWosfpZEKPAp4iFSiHnD8ZZ8ySU84unWqaEMgbdIRVESgTIenBkmXNy2zKKl80pDlnIkVHK5PC
IsQFozucSouht+g4s1QfCTFGwuepmdQGjynr4fHZhgixwWXVXtKB10ASA4EeJhOOXsJEoT7L0sV/
49jiLMGsawgeCizloz+NgOtXZQZEctuFZW1ZZciSAsKjKQIlfg0OkdUhxU9t+byAEWjtJ4UJU7hS
SV42DzzW2WfC6tAcjUYLu6kdmq0VdQKB0aWDvLBKjRpLBDNiYwWTKE+zE+YpNPPIDMsxbLbgBRhA
8a5xuJ/C6XVqFgYeLZgwN2ZIGHu1TcyhO/ED7w51kbvipWcJAs2oaJunCJZUrMp1E57jPui7am5p
C5SzRdzZ2uief6Mwe+R/G1BhePqYggEb0DxdObwQYRVNdMG5GZM6PSK8V+pndMjh5yKNQTacaHyP
biuT4SkF1WaqMeqBCvA2Iy+gVhoMHFG0YM7kCqlSZoBI4ZIZk8MLVea0M9U/RmJZGE8M0c5wlLgM
Ldizis9D+LLANP38j4Xxti7GaF4vXcdRQ5MOoHaEaiYmCefKf7QFQT4Mydwm86gXaLrI8Bq3GOoq
MBn/P9Fu+Uti/h+S85cU+o0vh0wsCKFexsL3f2b0UcCVd7nu16CAPL3z8ZRDuoiNjnI110uNzEtr
SbDpgBq0F7Nwq1f5PHSfM08BaSABbSSbdolSuSJcewaWqE5YReYcXUTRCSQEsSGubz14g+Yk0sQ4
SDCz5akDt4iW0LYJSExHoj/gpNoSb12hxvXImvxWoy3LKmgg03unAmD8gSrqCHPf3H0XenQO0SxR
9AeoQ3mOcvY72wcw+a6MFzY6gTWaAeLBIKq7qJI4wFm+LHAHtCmHUHGasEhahlOHlyy1A8Qf1sQN
kFLXYO7F+Nc/ABZMAZvlMW4tAbkLZjmS198NjH7GfQzxcb2OJ1hX7mwo1O/O+jyMRwinABKGLmrZ
A0sRsnHMAClAED3D4ePH+LAebpMp5nJdhqNHcz27FqwtB3+xzqP6N/hmwnVSKTSEt3To46OUenke
WGdfiwRpT1Ug6BiubFej3YdpAQHPUGPHs0IhxcsMdLagay5GMwPjTgK9xgyJMdSjtEKSnRNXoIX4
xYuieYg+USISbDlnQGFPs28Bz0UD93GVSBO49X+TMI6w8lCAg0W1gpdeEf0XLWc6KsyAtoM2HDZ7
aK8w0b+EKGWA6woxPi2+M90K+H+WVskyiW9WkvQ7GQWIFuBLXfEvPv1/NBlQMoBu/rf/kD78P5qM
w/ef7nP4+b9VHP/+J/4lyiBh/E9snKbw7oUSFnol0Mj/EmUQ6DV+/T8j7PvDbyMLfo2P/0OVkf0T
Bj4IXkD9geoMgWT/W5WRxf8EuRmgvYa4FlqxOPlvqTKi/6KDSEHxZxCwRzCGLGCyjDiE/3xldUnq
WZ8Kss4LSu/YzNptPeT2HI5zCcBCWLH1YdBesMtVH5bEjQDW6+FbiVwCC0xsdsWKX7ae4rHvrnks
EnKXRnW33FECUBYTmNcdR7gV0BlVcRfAL0e1jSwrBMtoukowF8FPUWn764Zr+9p8ojEoyHcoyVjf
WdqWwyWCU9tyiUkn0JH9Sv/wI3j2masmZOsmjxQ5iEEu/Y5hkvJ7MfOhUJVKVC/2Y11OzQfi7m1w
zXu7tLd8HN2yVi6xz3g9MKQLFsG3GYxQuaVBO4BO9YAQbwx0Z3/SBaw7thBbqFJVWjYwgodzCTXH
SfoeFvR1kl/KehC3oFXWbrQgCUgLM8srJi4mLrp3tj3xQCqKxitl6kB0AdtfGD64Y1giUXUFc/Vp
my9l/QxLJ3HkShV3KhrgDjLK5sxoTvtdiyWcx0DnRbeFhxK8wiMQOnvmHLuwpUiRymuxaJW1bLwR
wCR/MVCwazG3I2RfJJY7n+jmQNOkHMGVI+eZ1CSHtXvfh9+kmacfBqjhq4W51mOA6+Iv2svluR1n
94QBAb6SIdY49wnNpmtWdOywLLp4dbbxJ1JH9D3RZthi+6sGJZLQ4YyxYB53YCvqd0B66jhHjl1z
39mHphxhy6Mx3NxGY9SVszl9aDJDHpEwKV5wsshHHqI7QqWO5ckCpcEnRdIKlSLe1oXrj01L9LEO
bHfvSDLAugUT2+MQF+K+HJT87LyhHzF+9n6GNcnJUhe9p0BuwWFP6g4Ktm6HgXF6il0hH+cktp8S
O+cg01g8vjgTkccQnfqWN5p+In0WC1CqbI9ynIOrFt20H1KXv/3y/GdSt/6zH3p1yuG/eehn+RF7
f6untO03Y5uxlwXA2DHt4mxbs2V+aFscpV/4CYiXISO5SMSjH5jsFfaoSkSRYiL+rPWMrymI3A12
GfEJ4ys76igbtwv6/sd5qJe3ZfDiFEhCAKCTXN5nzvu9KgX6aRXo8Ykk8bzqDavfh0UMMdrokl9r
N8Ua4PkI3cNoZzBI+Fo7uuU6DPmGwlKrRgJZit495ObKyVg8sGSi2yQv5J1hNnuHgw0OItdtl2Ei
BU2zivTgDgb6Q+xMJGy6FENTvsPTh+0cHfVDYgYEF9glAVkkfbldCpJusiVdQHhJyAUhZADAiFly
QMsMELL8qAkhe9ZzIMgDusoFc0ghn/DgtNzQLsvOIy3QlEwB5AFYMGRwMhuYI/f5mJO3yTQB33AQ
YoeERWKHoabZzIj+IgeOpu1FKIAqMMP380WiwXnGG0K+ISxKQCY30ZRXKR/C/rhIDqQmAgqGXJq2
9e26aPri1HTNdHMlrwHyjemZO5l8hWRyx5LT+aQZlpt20J84vVowqbZgVjJ2wwgBCjnoAvaYxmgj
MJtjtRX0ZokNIZKCdELgg9kaSCv3Mhu7cxGIcBtjtr3XGYlesGtYrwtQdNiJFZYfucmnRwl69QaT
b0bAjyXTJ8B8cLGxSQ3QNyxenJrA27OZ2gYTES7XL2XskwBX/IU2KwVm2Pl7TAlg17oZpGKgES4n
qbCnNOeI++lyBEonyNuj0Oj9TCTKV2QZyyeAmOjael2D1sgLD16Ri+XcUzK/SfjK7JeSuyOI67SE
0Yvm69C3y2Nktb7p2cWADMBRb1s2JDsMafTErJweYDSK9D6J3niFudeelqafDzjZOEUzFw9JMw3H
POf60huavUGDINZxD4AspmmegdiMgk3alvlBA3x9AnKg7gOeIvOUUHNlEcZuCGFAT9YmnT1A1iXH
vwBsds8aunyIpAUDOBKh0fYye9/Nyl1UNPqLQ8BaDVYZbyLBNvGuBA61F6jl33wGXBgWOriWntpt
Fszt0ceuxHoGDMMr8Fv2b5qyEEAdQPvfEppXLhn8DRiawMbNzCR7LgGwgnifWMKOwZCTj7ahww/W
h+e/FEsz+7hw3U8wNFiLSBOMLVvHuNuhhAT7zrZqJ7JRPyd4HVbLyOHXBvwRJLgpQnlnSZo8cSn9
34GJ6DioiGDz3i7vMf7if+GRwo4dH/ifpW2XW91HNfYoTVBi1XPoM70NlA7wk8jUXMY0sh/pktpr
AivjY0dI/Glcy8hWjk19RvPMbg6GQk+Zmut7Dd79EDpjaUVE376WNcdgmWhtVlOp5UsJfQysFGpn
PruUNnuEhbyzsrwPzAQbjqBM2G6IZP6jMCfeuygfg1ODmj+sIU5B4gd4lbBfES/9PgxZ9CJ6rI9X
vAjIDvbLE10DcZK31PTJc7MQ+t6QOO5XGuvg0OB0krw2A0WYAe4OlIAZNnRVUbACkRA0b58kmdjz
r7vqt4pSdowikf9B/eoeu14VYCe7DNORAQW7UXUtnjox0td00tNzrzrEZaKOBjPQFPD5VS4xCVV2
gW4SUqEivofOINmbMgVMUGDegpOpH+G3EJqJXTzR+YXLvr9o52u2GaZaPusUlGGFi7gEZ2tUdpgH
HT2mYaO+dD+Xrzlkf+c8E/E6GGoJ92IRwJO59clBjkX6JxEQY1cQvQ5bUTbyaHs0QRBoSvnJcgtK
Oym7sygNImWQdluJEAKiYqnHC/x9+YOG0hGAXgMep4BA4kyyVvykRMXrWGuwNESodeJmtS8y6zYD
b8aHPk/IBkrR5RiOiEireqrhcdI2+MC5sfl14HO9SyGxewoKWPP0bar3oLJ+JhO3O8ZI8KqKvD02
ncdNCrfto+xRrKslACryq8EAyDAjjGYDWVa8g/AjXYPnHd0KB4eEkKqMxXlSQ7yxPDTPg4uDIxsi
+4049+5PhjgdVaVRML7hcaqbbfBlQnGk6zUGs18SuhsY3NChjdw0JTZmkJFa5FeYmmFvNBuNukxN
CTOu0tu9VfUIGsjmh3JgfkNGqc+B5eUlnZL2no19+JJCPTWjqsZm89tzPsRdzv2e92AMhr7GZVfW
4SMQjBEWd7o0nyYC3gEGPYNmLE3nX9LdrAgTflengGUOoBly3JjdMt4StoQPjsR8g24U/FkTxs/a
eFtUiBBm3z3KWwQjj6L3G3C1cEcFiieO1MrsqYdpBPZ6bemCzYgF6d+ZuIwnCAyYPGu7NDA2iaPu
a8D1/VDA3Ps5SoLylER+PpTLGN2DtUsPA7iieyaTFoLAOhg/usSMP3HZhQ9AuilCboG43waTJydD
IO9C+goJg0pA5VqhrvFjk4ewk6Bd+lby1G0IG6fvHisvD4Algl2gwqlZF6pxv/tfTQql5ZzdUbpM
H4zT6CLmFpQ6tOr8CeRf+GAT0myJbqJXRZ37yyGuQrRrHwwviPTo3mmOhC2o24bmL2xqE7FJbS5f
4miESKhpF/OcO67vIWhdDpLYZseHNtsMAWiI1g3yjEmtBzeqE8AFUWFea5ioH1qIAP1qykZPVzW6
ggfNvbzrBK9PYkn0e0LS4NEaQg/I+KLnkRfkWLcFAF1YUyG+j5v0tQvn4DkGQ3Uf9+HwFCfpssMn
xznkGeJzx3I5M1smZyIm+jlLU56Y8v5Qz3Z+IIJmp35sEK3t88mgGnTYdwoKIIx5iwuOQcM6rLLY
p1/JHPQfASnig0Z81ZGA9gfInc1MV9Rx+wj5yrwLW1nexTwZ7rqoGw8OrPWKQKx4L0va3wNN6CCr
sYPdg3fLAUclWaHXHvLch1zw/DoilelDep4ircUH6b5omvyBTCp4BP0I2FLqBjKrJsrMGTJzWAQp
oe6EHcTDkEnIb4UxP/OUJucxcxLdYtc/W2mS54WilG9cmXmyJnEBuj3OJURNUzRvR1KKm2Nje6d4
nH6FpiybVV9OcbGBbRrkQyZEqycHKD+LyY8vsJ0ldw1QqXPgPNlJ5Gpd4npeBNRUIzrHoO66PSlG
cpNyQe5yPKFkBR2+6QpMCe58oOfmkZPa3zER/Jrrm5DwnU81gw4Pzhu7pAMvvIrGrnzxnEL8Mk/0
uxdB02/D0IprWI7J3yHmxbPApIz6BxTtSmYMUNA0DsClQMk+saZ212Fw3RfLnIGspBmbR8hMctwi
TRxWoUz1S6Tj7B4tZX5AXq/uf4XG9hvFmF9CGQb3IxrIcoUSBwakR9Igr3tsiQOFK0/NkkdfCA7o
zTqMcU9VNi1h8xCXs4J6coy+Ou7Sx6Yr0cR0MmhrRNMM7Z3tkUVs0MpeVY435b03unuNAfnjASq7
H6bBnfzCIangY9qfF7SBR9cBXG4YVG3touWfIWwTXM5Ojb8iw+IxqoU5WumQ2gJMcTvZst51o1ke
ptHro+H5pKuw7czb0AkNIQgv7AkMcT+dQoeDWs2LB2LJ8jqmp77wDfIc8+HLN8GwH4WYHkNZh1+Y
j2DYNAGyuLZWwr60Q7Hcm7wPsxU0QCPy/Zb4CK9Ff1c2NL81wzK/xOjyL+0swa6psk9eaJHmUDS2
YbaRqXfsTFsRIBihKYBtgjSdbxQynaeG5FxVU99Gn3oEJLvCDgvFjl0SuQu2XPg9Jt7xSGjtTxmO
ZVuRWukfpEjll3rQWC9vfP3ior4+uxKl3wYUHnJQIN6x3Jd7jU2Ij4jOzVfE7Cgq7A2Of4tYpJhe
uuxugWvvocNi613EuvlhaVMYE2kOkEaO0XimI42PFqTZZw5dLCQvKbtnpUmBqUb5j3Wev0rMc9u8
JlaBWWjVNVGSbMOkDt9zY6aDgNTtZcA2zAF8T/DYlDPapr6bLcL9rPsyCbE7MLjqjk/JiNSB3n7X
oeyOrJyphWJrpn9b6aI7ws187IBg72ApIjFEJ+6RQ73w3Mh0uTLT558zLYYLlErCVqXw4mwBTtwD
qsU1JmO0cIEbpq8m12Q9Qo7WVRQc9RbioPI8xL2/RsSUbwlxGko+sC/AakHUfdKUuQt2ohzypW1g
DgsCYtmuHYb4HvdooqoeTgs30QVqP2Gtaj8iOWTvFQYDl6se2elOvyPlCGHtiZrfFe5tzAF5f9U0
ZF9tkwz3ISwRHgUv3HtGOgUi0KBjhzFKuYXuE5Q39ITi2S1CnBYY9H8z1K6d6hp2GzAbBqCQR3Bn
ITCxp2BQA7SAUzF+SJZF720OMmiw9m2M0OgAhwbTWmEZMcW4lov8mwWRrKCitg/Qk7GfeSBATDBs
uoepVfkGUYwcovbRFR+xXOhV1vF8a+HssA9/I4Ggl6ThBVRn8m1glYRXpE0AczvZ45z6BN4DYY5Y
4gW339iS+XPG83kos3o6Qu3XveWTBz01F/jbVlEWd2dMH1ieQhNbXNopn0r0VUlxh4tArQZ8lRJJ
gYXa+zTD84SbhkTc3SJw35L0k2KWaCFq9vhehZkey1FALuQzq+99mGjkyRUhc4DgkfMD0V5f/4UI
urgfMKkna9TctnxEZAnSf0ugAe+5IiwDKcqyDzATkMrlLFZzpbLaq22RcjlsUBxRebG8cfVKZYif
Z/InRA9+A5oHD8UQEMbJwzd4Z6Mp/F5anv/xjDdnozAHh6PGMaTh/ZAR+2xHi8VKbFk/A06Hkhc6
jBPORblpIQC965rE7iHrgSiRWezxJ0nMQOUkqGY6E+Uzft9fxqSjAC9CufFT4q8cYmUOeWmY3tVI
d75A5hEhrjlh7N65pH3gyQQWXanmpjWmCZT7HFhcntUnSDyC0zgv5hEhHe61HL3EmO3Gv5NX4+sC
6PQFhxXfyNQ58o2hOLyHk+4MfjwcL37O0Y0thb0vE7F869aAXMLM/opRK9+HsZzucyjPNryg2dOS
gXSAwhvFE5GPc7IDppX1kJJwWHkP8GxGNVYGAMlYYgECrWTzVoiJHXI79xD6UMTfTFoHF4VVAEhm
NWT8q//F3JksyW1kWfRfei3IAMe8RQAxZ+TAHLmBMckk5tExf30fhNTVFFVNWe3arExWVRQzEQjA
/fl9957X14p+KkpGlXrhFIW63yHD7jQ9j2Cpree5ie/pmX8ze5TzVAW4iAs2xtnu32P85U+xWyUx
T9UyvSuEEKhzi/jJKWrtSJfTepot6ZzsYpBf3UzXsP1HDCOykZ2eZIcjdlO6PGV+krfUSerS0KrH
An7GkwvCWPTJqwplkOXJCg99qLWPfaWFXws6l2wOKibWNXFy0MbeeQ/Twdb80VCXD/AqfOlET9ov
k6WqCD24T4FxNUuy0RUni7ad3Wk3qiPyNz6T80CCNr4r8WR+kprOkpyapKO8NIPDuHdF56gbDLdw
vpxu6kzfEFn6WId0cnGV2NNxVAt8zE0SYy8SM7UigSGTNjGWF2hgVptFr1Vf69WxttTJ+pQkbXHX
hCndbeAHaTg8qD3HR6a3RavFpCym6jzkmTy7RZyzuUfqVmHhfJrl0HzkbVnhbDKyY6fN40fHsLtP
daFGTwpJrksWVlPwG9tNZeF9qAOFm38sBseqtyJKxVNuYQ72fnPwbVSKrpTBMhThA4VR9xTG+uj9
hg8oSpCr20DHcYIVjjXcK6ekv7XRoRBSJqzjydR+U2Wpvc5LO5yx+upPdjExag44/zqFyWEC3m+K
U2S23VZV4NAQ2HKrcTqEqtxTLcbebzE0esOVTHuYl0V+ZHko/YozXLRp3O4wZH26/y02w6Zv5iwK
+gETgYcvSQkEUfpPTdKaAb/snyabXcm7/9tDvjZkbMz7lkFIVlcR9/7akNHbcFgI2PQBU4WUbYFx
56MqJ/U8Fnp4Z+uZfGUrjg683bDOsObvCg7190QG44MCnew+L6fiyY6x6U5LLs5dHY/HuYvLf2Cw
XAFUP14nDx70vrVPZeAx0n6m0DWGwjBKCjs2Cof5dQBZ8GqyR+g5GT7k7PW8KPJPVWO5J2XMa+Fp
Gq1Kb2Y72YMBYRXFCctytvpuykb/7qAJbN2yW06lZpWfo9lQ3tOhWXfqsp//4fLX7toPrfqVX0pQ
WmXCOTPOdfJOP7Xqmx6vhUGjye8QZj4tpiHehnTUbgaZtA8EwfClz1kt71w1iT9Fiz5vw4y4MvZE
pgZ5ItJTiuah/lRJzhGentj9Q2Yu2u7aS/yP2qr/Z4D9L6H3Xwbi/x9G3e1fdlUD2VVl8uXHrur6
F/5Muju/C9BQcNKhctBaXXuWfzRVhfY7xCjHZsYHpnqaOaSW/+ypmu7vjC5Cv6HnuqasVwzO/yTd
7d9NSAv8Bfv60/ij/2n33v3xxP9BH/j3SXfxNxMIrVBS9o4G3sbl6fqpM7/ES6pkVqT5kaamt5AA
kBmQ6vze1att6L5y4IZOlg4TGKaIiPswMdFGkHCNOuchzdX+Lo7Cc5NgIi5j+8aQuH37JCt9ozGm
OxLp2tkqIuPWkuo/sofWp/5/X2owESqzkEzY0kAcIJxeWUE/oFys0krchckWBGbwf7XJ0gWZkU0X
aZnTXa9Xmmc6xbMo1zENBd5ACtkgN9bddNFvlDYJj/HYyRdF75rPVhJh1cBz92JWlr1TlvLph0b7
n3f+x9C8IdYQ+o+XSwdMXV9llh+TXJSzQgd+uNzR7hoUHxYQvVWny6TGLdvJDJ96Wsq7Co/rY1iT
20uk4t6C0TV9nGbJeaRbc5t0RDuJHS0ISTE+dTBnd9pUG4GRUjLjcsqk39uq9JdKtfywU47FvAei
slA+mISaSrPwDdgBMW2jfL6QQCNqjZtul0o9fFuWGicnI2YJ8ehzaRwxuGK+19L2m2IUnV9bfPNN
zZ5tkSdNJ+b6RVO4b1K3PjmK8q1tz20xaJ5dPdEzvtUomtkr7E80hMRGE9OwwWfbBRHe6rYngzta
03fEBI2mjGJ77UTHz8NtlniqJj07VNXAwEd1cMgX3lB9fsJE9s3OcTkWSwSYs5PhsW7R2OKqGzYu
8MeDW4wtrRgtPJoNPcS0pzJF2xx2qKrljZZG3aEt+ubAEQ8JuZ7V7VBoiCRF0ixb0oQk1DLb3ZPS
CI8gpqaLoc9mEI31agwjAB8rer/pjdo+50ZCDp1uhirbZOMUmiSSY0d7TbT6czcut3QZp83Ih/K6
VWTXLGQPQyjPlcy1fTiIjZ7kGqen2fB1kG2bqZePtPlczyxdba8V1bKNkGr8XETuzh3n5ZJr5VOr
lc80h7stxqf+rsrCkXExZnPTDPKE/Q1ZdCoykgTcZjoey3YlZWy7yEz8frS6wNRj5XGoRkZIrt86
KXu+jrFyd/E08qt0bqYRawNVW80zZETiwQlH7m3d6B6B3fCIP0K70Uy09dyc/JGWANFNddikgs6R
26r4hopG+mrHD0GwBKykmBzVjCWI6ugkCFnzqfBdhaX+uZwg4xXRt6FC5SXWd6Lrqj+iGza7rumY
zNX34Vut5FiRs0Uc57EdfRRzut5WER5b2FjHVT7dWEoj/ApJzbteCpo3VF6Z3OHDKzHY8s3O0JA2
15+J19f25oSD0DTGy3atOJZtkYTKfW0bPjid6a5r3UdejnuZc6QdeAinRTR7HqD2QPHDzUjVJLDq
0sHRpcSJNwqHSWJRYj7hppm8WTL5kqwSxoa0cp6srG+8rKcE86a4LL+6LsbYRI4y2XSl49CvBDFt
Tsm3mqEUrAF5I1/AGRKWMbL2mOmV9AtkS7+mpPPnooTq09XypWjU9hDVXUk9T/rrKNbnxdGkdi4W
qmmyi7ofg/E5j1rn+rRHp9cpCXMK52LqgmpootdldPtn25onwjN8260yN5zDcvMdG7M42D1Ovjmp
aARPCUCsdaw2ldOyqeLpvtS6kexxuKpX+rZMpPTLpsJH54ovIkqy4x8feOFw7NMbsEqsMrxMMdbc
g5EWe9VCNEFzPUYZmpo6s2pzFnB3lhmOl9QtWhretrZbFh5PmyzIhaYNUqrk1EV847mO6XqEdpzs
SC/wyqr4pDW4IIHpyukyWz27jlrm+1zJ3tH1WVB6/kVrUze8Stasq++lyrtR0hLFLoc5/KCG3JVi
UV+WgfZrP3ObVXIll1mrhy+2UbhBbTTV1nXH8cNk5s9GOr3cZ1FzGyWsw5nFllPMjbrtVcxtACGS
oIjHD4Je35o8WyXuzCA2lnytqk74GqLwfjI7hnBRDJzIZ89bvc+Vxwz/I7py4uJUndsNRunwhcXs
Bbaedu6qAZOrNNWt0bCUXp9ptGM+gtVE8WVGPso9euvRhuDf5KkJE0n1klCn6KpvkUGuzhaRvS0k
lWJOd9Qzu7H2w8YOgxb/Io8nAeo5IhqgyDr2tX6w98o8H1sRhqdxcl7aGDpazs66D3Un5DOpwrdw
RPsKziO/xeG6yyTwhetqoSb1eFQLSZN5lQekw9s2V1YLZ9R4cRqRBlo+AMHtIwazmuNyr5fOY6HE
M7FHF7zceuXpKPTjDEXAF2SGbuKuVP02MrAzO/OTNhq5j7+g3XAEVDfdUM63Ru04Xkmq996p3Vs0
dv6XyvIcDTqOBL2cvzEV97YdFP1BrXCQ5zV3noaB6hW9eJ3w+O+ihfUOWz1LXaK1B/Iy6iat1RYf
SPxFa8bymC+6DHSz6INR53zgVhAwTNRNzFlsKmHW8H4VeHOKudP2HWvtaU5rOrImf2CRmd6VNnNi
r2t7bTmnOpHCdwti+Tin8a/yiuD/zjeD1uc1KRxWuTLhDv66Cvl7yWQKJjph74MM6dg/I7aGBriF
hWXrj5W6LJZh06QtO4JV5iRXu0ghkcM03iMLm/ou40H+kxX05yqIom1F0GAvhFS2jjD8qQpyxiwl
vobOGbJhLLABPhAPWN4ai1ooaaaMwsO9dbXpBVMAr1CucLXrUqFaC/1AQ3phSkY4afJ3SfKcnjM7
BakP+fLrW6X9FUd2LS8F2Ttd48wozL9NjYxLjlzZqEXBdStu6Zf4ZE3pOWMh5Cpn/lagLGay66v8
00T0jonYaA8tEJ1zD+4isCJTvtjkwj6w57f/AHzT/v5V8qZBiNcdkwkhwlgv/4dyEnNPZrZxGeJm
dG8WS5+CHhHEWxreCqwASLBjot5ksz3d1CM2GenQSgZNUB+5azojezBo41gHtVg76Y0yOu+0/h+V
KS+2ujGYwa/v5nqO+LH45S5aK8ye0wxD4eCu//Vqx05dTCkyy2+cElMlotuBMhDi0GLfXdd72jnt
4de/k4FU/+a3ihUPZWug9wzD+Om3Jio5Ujo7/kKL95wsCt/bMGrFraYwMk4tRyVIaeG/IzxrF2HP
1iMYo2XbyFHgXtNu8BO2G3vJhHctebR5Ho9GJ9ytIt0C83pCe2gli4yV2p8Up5MXNzHVgHlVLsG+
Yd5MeSc25qAqG8tkewvL+TEsm87vpmJDJcXOP4HHuYjcOFDhUJsCT9o6CgJ16V505HiPQI3E7t7d
EvAgxEuh3yVhse30KPGtyAEZwB7U4Jcjf+/MW4P2wTvb1XR3rcWgS2tnQhbqzhjtz049ajudBBT7
8jSeLJV8vaP1TLYkRgY5kHfxWiHDVqcayajFKktcRBNexklOX2pHtgen6HVegfX5xpJmB5nCYlha
fbeTtaseFnIRuwKKykebzdOlWlcYGVbiwc1ydwebONsouT3sKym7wGkpSzEacg4ZwsecTv+LrnB3
olLp7yJjnLHKTyOa8uwGzqDZh6nBu6kW6YMCueW+QSk/XD/m9Q0tMSF5s1NrJ3q933oWWY8wNDSp
dX2GZdMHdRS3p9AJ8y9G14jLnI3mvqURSOeFkHbbkdGek4Tb3SO1lMMoX1SeDh/NhHqmLs6D6IYD
WIHmnM5Ltplrt9rkI9Qf0NaPMOwIRipL9JkC+q4PafrKzvYJ8NNsbGGxxKo85hXva6taN+EQ2wEO
hg8XK1owsLuX5I12ppvvCg4Or4Vu4x9b1np6SOruORrXhP5aBzLY3HG5xUZCJChamziVCRuBk/e5
SMeDZrjObnGx1xWh0pQ+9pbi1XSVaBvapoEJD6cl3RGxK+ywAY6d8+RM0Cl8l8mgeyNNwyOFuu5d
/6BxhVy3y9Z6TLJF29K8cI8u5KbRU9IYZ2Vi5Tfo6Pe167pHNSb276zrtVY0PIBrcbXMFKhjHztB
1jIO51pihQXrvavga8bb2Zx686ZimLVJYtOzclRUx6TuwskRVN2yxyxn0XI0qrvFzqglpMkK/Ot1
wvpZBGFxYh0F408UghibvspvPyyleonRSCBf+LOtaucFjtjGBEHhR7AeAl2vOpA1TnmBYie82pwa
X1YF5CIAe8/tAtyB0RG445pqRuwIFW4VT/T1hBq2I9IovZyDJH1PXrMo/KLu9xyKDCZWjua2iy1z
uxDC87B85C+tO4vAJLyLdOeEp4LOPw4Y5QAt4+yMTfda6vnrIpeXSenCrUXObes2yYkMYYEPYChX
+NppNppuawvFuAyltbejmQPp6Lb0RQy5rRjCeN/3WCKJY5kbhpjvDLpfWDYp2knj8YCthZsKMgiH
kf15LrLBA2sTHse5BTVOPVw///r+/20n4/YzrZu6hBFUzFdZ//yH269xOoR6FdkEu+vGx6bHE6k4
j7lKjRnBlxAT71849NNDJ+No/+tf/ldplV0eYRiokC44KBBOMX5SZUo6ouNkD+SmV40CGx9lXGwp
+4mcvB+pdXb3D7/v75+WAplZx4ZFkY9i/tOe5MYOgxMxp/x5zp4ARxZGyVFrXaYKRilcwMi4UBWR
Oa7/H7FJarNurcWy1fwd2jxeCF/TBYu79K+rYGT3ehlIrInhLlTN8LkN1Z4jYtUFCV3n7ZRY2Llq
dhh9fbmXhfCCdz3jW3ViFpvrMTp1mz3cIcufsdaq8WRu0/VJxk1BpL+oXVLFjkTMMbgyUDTyhR5n
l2zEZPPcWy2CTGhNd9fVI0MovFx/1XUbsCsEJ7wNaA2Tzrpvj9TZ6we8Vsy16hzgTkh/Yg0NrjJO
ZlOU9j3H0GuNaq0HcDAA0yXL086nZpOczObp7vorrnLGugRff/ivv66/V4GMS+BwjnZL6sTie/vr
w+nEbkTTpwI1aIO5oCcqe79IeS8MfW9G0/fWUhxvsr7E6cgMtVVwCMXUHlh12T1mSlyAGNrOddJ/
Kk//zYNLAo5FyxQaTQ2x1j4/vDXkXhLokdAWqsrugqvKIaTZBTHsSb4UgQ4m7QGAnKPdoe3ukkh5
aZg6ddAjwv4kATalWMLdqI++beotoaF/5Yr+jdy55o5+KvjW2XU0XAD6OqSK1jX3h8sjIl721Dw2
KTREtTxHZ2ppwZ0mCMN7zS7VLU7xl3lF8OmlbZ6aAWX219fwN3EbU4CFH5jmicaYUuPnEQJ2XpVE
hEbe7SjcIPmwl9qG49d6H3paUWKdToqTqwIYqnN68UkGobku3YemzuqzKApOzQYlYVcOH3EIi88e
6yGIdfv7GLrPsiHysdjhHenH4p+Ke3aen+8fZyTKZYaprPo2k/n+ev+iPJp7AC/Yb7OKYnHQbYa5
zpOxtZZw8NNm1G7DTof5iKMZSB8HWYHVRNSfE8ndnPBc3Jrw+1S6pL19icGBpcEsrXgLrEJcEgBC
n1UqBI1OdB29ZYbTPhK2V3CzWrbcKth5v+bshOVu7qrkaEIK+M4Brfs+gcn80DMyxGa7V9T3Lpk/
x1q1Kep2R1bIy7Txtq5sf6jNXViD1dHJILlAwVTaxDjGstL5Kot5W1rwn2wb82Jt29lhDK0He9TE
Tm+b5iafIX/KvLsnOVPcoA58VJjvt1LmnxkFB6qgCG/qCQeiqoO8FawcXLhaKamfmvVXrW6OQ8Qc
Q/TBmsuonJlC1KxZd1TTa3pzE5fVWQsd6hk5YpSgtY2pCmLeyzRMN2V8gf95CIlE4tA4UhMIT3fj
Z1V5zlx3n6nd12yxnyueVytzv8U6yqs6AtBJ6keJ84xaU8GdHq3oDltBD4As0BjuhmFsDiefiJBr
xiF34b+Mo+GbTe6XFcZy/tqpTqszGW4EQQnSwukFuSrtztaGQy3QZqKaDH4CS1VN8hMnuB0GotAz
esMrG/N5NoFWSNYoQXrVmQXIz5ImrAWzkoJjR7j0NlHcMyiwY1yMW2J+Ar6V2KnVzDuYPJkFsB6Z
V2xFuB5jAYtJz/eTkfADakxvbeLn6hLA8Jw8SSwK4+6Sk1fdl4xem/v0iber2QDgORr2vBmn+sHJ
uzMeqdsCG/O2d9LDZFU7OdcXZQQUkU6l30vnvkrUM4maWzd1VhMOuJIk+2YP3WVWwq07vlK8HZ0B
YaySXFPcVzc0KRTsGt1DrVYPBuPlXDt5qo0R1c0g2g8fjNhOhuEegyFzmDDS2eSTJ8L/HdmOnJHI
hNhWxsBKzNCJqdEfO+Lp8GrjBb9qszSBcKdNOBS3piCRM+ZBHvOTXYL/evSUpIdSA9ykLZeqGbdh
+kkmfKuK8phiZbL6+VGIZNPaT2am7EP3ZGbP1HQ+CWCC+uEmnL4u3QO+Pfq1uFXZN7r2cWxPbsoE
jWjb69q9LnWAJe42xugYpo9SfweXHhRqfYhgdFXDQ1m8oR/uVce4X6Lu0UZYJQlxyirqUJb/FkRV
mKo3tiHJKmzbXAGJM3qacB/7jIDA3G+JR3sA/nwn0oDs9kHfFAfVXUHOeNmHzE+Scd/mYouOGcx2
gbqQb5DRNpbhbKPIJjmQYVZ2ws4Lo/MIlH5DLG+vM8M+MbVm3/aJOLmwCoi8uah/HOssSAheZ2ok
22X3KoCwepacQYN2D5oYeUdKDpIOsM5i35rW1163DnmBuNglgdo+ywQLX65hHHqwhnark2YYlCyI
yvyz0KeX0njAOtN5pomuWUnuSPKA3+JSomkSZQw9TPm7NBYfMIDqO7MhPlNkMDymqXlIJ/lhG7Mv
iMLY+bHXhrcUj8JBb3r9KLvwvS7a8W3Quj27yXPsSmsDU3UTa0W2i2Lto4Y8VYmFV9iRD7M2P9ZZ
HF5aa3UVS/0wu1QIjfPJ0KI73Hs62KPJ8DvMe6BPOIsX0cmu+i+L9mJM9ZfK5HE1tddx1tTNrM+K
v9B1c2s33LTWUaQceUMAFGlk721WAWnE90T5wR5Ey7KySCHquDulA4gDprQizIjiYb6bE0y5GjrB
TUrrrN/YcxiBOAMAYYJ5QjV4L1SMe34+x8l8nLjZg9gNmSqseZuEmk63z/xqG3XuQxHqfZjD+E+6
5I3WALhkN8l4Bdt5YwxJAPb7q2uKVzvMqo1mdibrA/8ttOd5C6ixp4MH/3fVNtW+P0ymeQHeALdT
kzeddL/3XWJ87hQGVdVo3KMzbGNb7/YGuIJtM8YPZALFLQzuNxyInFer6aF1sR121XI3p8tRATJ9
W4eYgBO4j/SY0mOtVRakqHBrikwPCCs/LA5drHTS0w2AsjKlAbR8CcOVHll34FJZ7TcwfkjKh4k8
w7SEyjKRu8C6tS9HOkA6WUvh2Y7+YXExYT2AYiS0dG4VmN4yLF1fhwr0gRYOWABP0YZQQA/Ra/6Y
k7LkSFmnSBvDupogwOn46H3acfnRdVfhfGLmCxnRfRML7KGL8gVTe/IwNXX+avTZZUzKio6eZJhI
rMYbi+ORH1LqbTREoW2MTx6+JzGHOcLcPEC6uNfy+q5qVTjHNtARy+MbemB00LfMberIB4jI+UK2
ZEGQzfPxFGK+3FYdnE5M+TknlVZR3ECQlnudADEau6Uo4au52LMwlwBw4gSrQ12CrhO2n2AS9ASp
qvWHArxdlCNvuvs2dGl4p0ZqMuzVaNVPeztRHmeT04ilRi0H4YxxbkVBdlRxosJfSv0hXgxSZels
f0GgZY5RY12MdAYcuJ5AIrPugFO4S+uB7orWQ9ScbLJhCG+YRRd/rQSCkVlH5uRpqxLhWKH7dm2a
GfWCa68dXjI1sX1LROORUY2v0WCHb/Tv9GUbR9TH3rU/JtuBMxT0po+pS+yvQJ212+thJ+XRuwD+
15EEaHIp2EDZsIfsVbHZH3EKsxCq2ae2pHlWZwU8E5ON9Hop12Idz91Ci6HVblKGneCvpyhht55p
KPf8FRlNeejlRPEerqeKKGNdbnpMwdJ5Y19FB9Qt7Tg6Qtlhdwv3cQSFq230DwNrPcb49UBlo3Bi
AQTl6mjvjtM+5Iow/DzRIp+md3+WsYQ9mStINzX0W5eOH24m8RDRkd5OjDf1C4IPHqWQyWeowjcZ
W1xqwcYciB5EaFfYJLjipThWs+o8Ze5gUOXZN3ZdlZ+nhsP0tZ1iuJxycenTu9QWy+8XYPi1231b
hsyBvyyABAtl2BGLV052CYWaIRtZQAAcaGxY23dwp4ajiiziu+TlWeWwsXt4VJVHNeWIA8zK3CmA
2xuP/MpsbtBu0eArq3jMe/JeXq2CR7pqkeAOkSEnbp9eTkhdNjFBL6usw6zYrt/0EFyVBqNiqOXF
7UKQ5qAlQ+25WDbt0emCMlmz+pZxNPVVoJqiAQURCU2qJs94FHVf7NHQSbi2IambVPvKLAmNc7yh
P4ZZgVyEyMdz1D5iU+5uaWaGa/bHpUhhNlcbp5SeCSDomnFhvSmPU5w8uD3X05Vs0epEf+p6G0kr
8y2tPoGejMUOfLbYsAePG47zLYA1Bj+UJoLBtSscCrYUSwG+z72VR4BjTImLte6mcVLoyHapncDz
YgOh7ToneGdiguLbiZD2DlOterw+2pnpLJsCSeagjsu0HWw1If8V2tu+H98qtU4vUVHeodxig50T
hLvWmoUPhFXbriZgz8JR6+cD42mqmLcXqJOBQ95Ub8xJGPsR7jAWNZuHS+mnAkXZtTIz6KM+oVMh
nul/dFt3anTmdxMGVgDGegCk5SOeDP3QiAyZ0uixB/BkyBfRVCTQav0Lnmf6vauw2hrleJs4znSb
rc5sj4C09FO9QqaMarqgC204P0tTx78KLRoLbbIbcOE8jOxpXj3V7cEsa56dKtZZdHk8vKJCu6sz
8wHqvHEYq6be2gUVe9w60TkpaSheZRUWy9TywjEatl1P3Yvd1H6+Numv+rdb2/Wtoi3Ka2dRP/b3
XUHSIgyLNx4/+44Fhv5EXLWH6xt9fViuzcp4XRKL3pjIK1EPVC7y0Uxk+xzCp4RhLlvO/mtDMlvd
MO3qCtHimUtX6LOlej+c3HUVicaZ1SIGxPt2VZJSfSZ7ZxaK5w7K+DprnDtiDl1BWffjzkqx0GMS
G2n+utnuKrigKvFeDOXImpImQS2qL7AgasSQVb4xaD3Nq66TibL5bNOt2DKqAA1XazNem3JJt3WM
a9jqxKlMRf2gwOTOVdp8Iunnj+tjM2Y0HixpDH/I11KPu6PeZvVNxfQHVsVatzygXRxTKudWGRBr
5lDfj7Gd3PPoxxCm8EKiHhena7cAUFu1x9GTs+9nW3f1sUhBgnOgc7sdSX+g2ZQEvXIKAgN3rxdi
AD2EHa1Tjw3Lu5ow+tWqoseO7VWx0E9pa7xeP/D1CzKLmpgUdsCzNiCoF1MC4dKZWIKw1bsAjL1q
yaeDyKjOGsFOrrS8UyWVvB/P8+O1hXjV0VBlISNPqnaTxHPty7SjP1uPBQML0GyrjA+ud+4N+2p3
qcjvbwAi8IyalNSY7Petk+Y31ydRQHj7uDo2RoFN6irfXVeIIY0vHWBA//qHqoXdRQwI7TWAoI2x
OtWi0X0zELaIkaEk2tQzVH4qDQvwDKysXfQElZtTZK7hlhr0di9iJ92KKlZPxIPpaM9q86IV8oyr
fQrimOLAsiJOuOwxV3+A1pVKEKkzgdHFis6uKFjbFjZWrY9wvKVWEszr1gR0nQbL2jy43umrbSmB
87dTksUvHX3eV5H7eYqEDiiYJ26VBK9rF25+Om1iHPnndTNtM3TMYjWDaBOH7ZrxEwjklISD3pyS
1doxLuCZOK2xGs4p2YBMgkkgIok62+bNbqzEK6ncWxIZAy7CMva7td+kjLQ6PKYZsFisRjSkCY7y
hnFjDonhlxM2/HAxR7hN5GS0aAny1egTRjzZVOvwYlYBL1/VYKslJZrTXNik2vwd6Dz9PUW/cSSH
RjzxDkfBfY4hatM0PWncqqZlOOfvjA7H1bgK+FdPlIDD4PV97+5ytCRPr5zFh0LYbSJSNA90iuyz
vj6DmSzg47jRfDMghQJql4vvmNQG4bwkyLK4Dwn5AE1PdGpItRJ7jWWDapG/5hAm8Ea6Pp67FIGq
KCZhE7V8v5pjrBxtuOr1etMmM2aqluBQSEuQPifbOENpboGsYNuJOBV1hTld1Mw+iHYtJq9SPLvi
48TIbPIT1p3QxPehZRpGA6KWHG4X7uK2s24NcNuzMcKO0kS5Exk9znh+XUjk+twAmr2afkcfnFk8
fBWfiaGlf9jGSCrJl7JSVDpcyCgAGuDVicJLDDXbKfTaAqk46YarnIMEUMqhjDTzkuLouyvg651I
GYExXYscNWaCHEclb56aV+J1KGHMJ+k4l56v0ndvxVyjOcneszAGQZvBooWubN2bOguFWhm+6Ppb
lxuPD6ZkQDT+t6CpbQaGUsUHamFoZxVk30bNhkNfwTmqFKE023lxCe1mwAi6fn1fxzZ7tgudYQO2
1nKmi5A4N5i4KCIrjFZGwW2XdHwt323JoVszHZ0oLWl5lx0veL68S2sGnI0GcVaMViHoyscrjJGh
6En21iUDNiMZ7Qcn3ldMnwlgLFHQjArUIdGb+7kCupZa9vKkuiWAP6LTM1wIXuM1HvrHplhbC31e
K3Q42VOMSa2SLzCKEXFICAeKbUy3kw7qUFJDMVpLr3M00BqGmUXO9I76iKOtLgZGjA5WzUCaZjwx
KK5HYgRgYZIkK9vW42g0BrXVqG8O7NMbwSjnTwMni1tRqOppaJ01mReH/TME5uG5mx0ZVPRE6g2r
Zfgp71ouduCoY0MHuSCUGUhzBD7mKAGlSEJXHqwSck7DdhGoXfhFzwf9pg3d9r53YuNBTjRu43is
923EHXAVZzg5bk5TnNeQwcTkwzoCXgiFyQ7wJZmREgsi01Gso2307j4iVc+DB/Aghgu9FWpu32Pv
aCU+f60hAzkozoOWp33o96CZX9Oab4ZpSJgX3NkKkQOH79Y0TzunG6OHNOQBQwPUKKEYuqGbceNz
5r7UnRI/xka1Ql2s4Vz2ebgXS3sLQCHcjA5xkcLoG/AZOlBeMhPj56zhSQdIstzlE3AiU5Xg1MmX
bjvHUm6VuTe+NE0DdRm3CY4609ELkjEVBOlhqMUO7F79nNtm+cW2KvRsWeiHxK5VUmi667Ovzqeh
J50BJp8xlthmrRvVFNMnsLsFz1EEExq5rkoiBo5k1oH4XUw3tOp8MSnjCyx341GDjnI0TAP7s3Wc
yvEorLVLr1kP+KxZsoQz7hi7XbEftKX2yECRho6I6lQBHobapC9gk6xO1ILDBFwLCCPXpsR/FJLY
fVTrjDz585C/v2QkHquC//zyX/k/wxb/HyMUOIL+1UD6G5gOk/XPYLo1ivBHhELXgM+Rh3BMlkUV
sz+9pD8jFOrvOMgYUY6pyOCP1y7TnxEKW/19bf0Q+nFUzTZJOPzXvyIU7u80evmJFlP1HN10/0Ms
3U+dGhUOJR0a/snYIjxOP7kHmjgSkSOEwkO4uDVWzE65b4z/pu68muNG0nT9hwYTSHjcli96iaRo
bhAkRcGbhMlM4Nfvg+rYPbN9zMRenpuJHrVaKlYVgC+/1zyegYth8pABbSnLuwRfVgvGqa0/UtFV
3S01j4pjThdY2Tac5jnd/cv7938S4FZh8l8dV/itiJwEnovdEU3978BOURqJSyVc9snAEssxVNdz
wOnY+vaZQ4dR0wT6s+hJFYGWmIp5Y9KMf7moCpVmGiceLP/mFf1dEuQVoVVG1PbZIa8s+puktUQU
rSv6rPcswYlMJbFL5EJGxOdZKTbPFA0Dq2lcKDvbcvQZp3yKfkMWXFTT/TuB7X9/Lau1zyGOxxeA
P+FvH1rqdV5Dl8uw74tJl9uEdxBcjuoD8v/Yfd57NnAaPF8cvEbwLn5LU7gPnNQoZf837woZ8L99
UquNz+aLjciwfof//knV+UKbtddGO8/0VP8qQ+UxCfqlDl4qHEAxiCEbeEcR0TXI1p1isB2JW/Ne
yzr0dxPZmBFPYsd2qSXC6uHkSWyaHhoASD3JehI9GfXdZGCstjooUvd/mtKy1HnprMY6ZGPvPC0g
E719zwzeYiVyO8KDfrIM+yFNCWu7cUJmIeCOT9OTwI5cUf6cUAI/wOBW2Jr5Mi2cObF5xKy45pyu
Zrb4lLzbbWhNu4wu3HpF66xzqYcb+amWXUxvPzw0Q4+T0xV7D180B5w8G+M9nFX3xerDhaqnzi7B
ok0hfru0CLr3FKF4Pqu0c1+6sUdW0+y39A3Z/v6PM0QMpESseZg46SiKTckrZ9CkQsHeaJcAIq1o
Ld0ieeQzVCJPTOkukkn55kWe+rXMAm+yZClHNtOl/sBvwzzZEgdNwitgQj1mfi9l9dmMdvSeDIK4
ap8KdtUz/sbfORFNfPNdnT7LLsE1JDGCvBmcd+RbtGD04usTOvu8j6UNz6Ils20KQiLjlKBzzAIH
4Xa0ZkX7OuXVzi6lqFOdmNrb+Ec59xpnGmelEg7TRJUHFjAvo1UrmvNNyDbqzefryZljEKrZj56k
Ck3UM3mKsZRAs+zI4B/MsyzYOiQSXhpND8Y2LkfOlW0IvA4rIU2Vm9ySFGZjrBg1E+icvwcB65Vd
lM01f39Z18QKWfOAQMmq1N+mQeFTtFfTfbExw5xraF5JYm0qrSxv0wl3bHcFPLlt1I4ulzTt2a9L
NYys6lLR0GOHli52qiYvsU97J39I4FdxrAmM9+1PIrylD7n+Gm2qpPKdR0vl2vInR7QsrzOS4umq
yc+dEZ58L5J1Q2WX1t6Qas8Oc+Fw3AbhUHO3S/EzsqsidXeLmSt+I1vdy/1YoHfscWy4ZsOhFLSh
HvqQYrCgT0sEppjOmLbwYu9hRe2RA4JGxEkpnPyPuVVJd+4KhF9unkvvLuhjINmQaXUZsesCn52y
vkf+2tllbv9ApXiiMCbEP8JpSR19Ld36OIVePpFILUywBUtslT996vjvYPy5x3Dp0vHodXV474UY
d6mrsm4hMZxmSgHw97XrATM+U7wsNjOPgWWL5aFQh7hu2+EnZdaR+tHrsLtiJXJWRr6h4y0f7IGp
OJbW8MH6G1qqCh3pH5qCJitrIiFX+tg0/DQKDo5sCtxIXvCnm7NyHw19uZFJhpvW9/mmpamYH0wc
rZNZFH2sPVHXUg9WSu2SToa70lls9tKqv9F6vg1DWf4sZIfvdrSekqy7FvVCkCA9t6kVHT1VYYHH
mGi9krUfeL8zcvD0bKCMF+DdbnRe19ZtSUx6oHOhyGnXCTLuja0pDz7x253sWp8rtvG9Q45//wb0
U3LTeqF6J1rifrQJQ62MZbU3ufc8uN3yQIDIzJgQGnPvVXS/rpfKLkZ4SLOh/uUtMy1ChV2mnDU9
76EscvfQmYSLNLKH6cGwqgE6ZLwXjRl9QzfSPXnC8goL9bOVDWqjM6bVnH73vRmtAoGmDcE3oQ87
s3NN2s4ZbwlPRCcQLC+I1N5j0FX9wlBIHxH3rLR59hhuzuAtCW0USMq3lNtE9ZfymIyvV0djBs4m
sue3aZFlexuprgS5w8HwZ9dB06IjKfWCAxw7l+oHiAMuRwp+iuNgB+V3XIUIVjr0xHvPjxKiXwv1
ErO6q4+k7RgFbD2A3sJ3e2gobfuF9yt7ToM44/hEn1DKN4hSttxi+y0QPzh0J7o4+CXJBhiJ4fSd
idx2bzUFVX+MaIm+Dcp9UUvRTjsPEwCfSGUhswRpZ5NVCvLoZzjZot4brkl21ZQC7Gaqu/5YmUHA
c9D7n2EMQeueUk11fjbmJji4NI3jde1Vd5ezFV8IBiz+3pkTVG81UDbtEeZJr3goLOeO9cz0MJP/
S88T/RDw2NNhoLFnCRVbRKunuoJSJzY4fqZ/kpokQOmV1rLTzjQ9t7TwlbshHqnejUbLGU/a5hhK
Q3griUaObgUpqgZe1N61rkheSzgusDGTTJQJrXdsglry4b/ZFGJaiay1l4kL/q735npbp00MAU0P
4VVJ7Yn7aMrE8h5p08jJmDk/ate/pQEHeG2R7YUA4Tg3hMhaKc0qw1pmVyEv2LvJK936xsO4E5xj
B0vpwVXDuwzXU7iozGtBYI9zKR2AKrZubZcl7iZt62uoEd3RTJHVEz8CR023lALUY3M4PzM/qfqE
ulzVZ6Wp5Kssg0cjQRKtH1s3YhWyEbzHA3SBLPlhRywi6iFPrwBlqbPKnEMxz6tmdDQmsbeh96DZ
FISuf3S45reNgi/G2krta40f3RK/ARhgSi2jA1VLh6w0Ww83E+AZ+QUOlBVsnWBglT9pUPrpTvWh
R+bHoItuVvqK1Ny6/qm/w6B4hfT7MOiPHLVKTf1vwUje+exG6HBCD1moX43MKbO9PcPP74nkkQ5T
j/dwfnad6ceQPQodPM6wC8lrDocSxCz39mAzeGIl9mIPobU+68TGbbArYQ559135puCNAW2kmcOx
ffrLohDl0m5ifa/BVL4HKe70HfE7uz5XnZeKs6hKlKsdJRncWWTLjBxtI8t03YeOAAunt4rnukXb
gN+UcbpP6JiJ/9A3ktn3UBRs9SISK832RbUkkvZNLX33EGCbjA79QP/JflosCnpcCm1RecfUtsOD
rsUsX210hIVqeJ25JYkGC4ftXeNJqY8oVyVXDgJT8U3FResRlErm8Wc/Q1bdSHQaUmU5jWkbgW49
IW25OH7KkXGBfNiMz1PEQVzuh2YIP8N0KO+DOe6cPQmNpNhZnjcZrjEzvsR5Tb3fknE/3RhT2fqN
q3LVW4CdF7sSBaDb2ZlfvtIcCP5c+j1uJkg7at+2EQJnzyLO29mNSwVSmh8jyUbPsG4nxqQY8a4X
RMxsp5rQu4KzGPwZTYsy3pH+tW4T6G9nE+PYSUHcnlWlagR4MAfMsQtGJJe62spuzL53IU0S8CTo
tw2LeqZvz3a7fF9ANTkk84SG7lupGnfCW+K7Xk74iwjy3QIhD06557VvFSeRc+MuY3tGyGObjBkR
CgqjGlqlcpebWVcIA3WDPalT3EBipqWnzLiQFOF+XjlyNl+q68yBqH53hwrjHqLQKbeGnkBSbD2g
gjRhGissr/vS0UCJs+e3N51IeeFs8QGOhmRG9Tx656r1zZnuao8ubwbdTGCs4Nfy3UDf0rdvZfwx
STydur7ANTrJkJBnPPLki/x7q+x+YR5ezMYNcryDs8X/Uj6Z4T+xx3nf99Z4InCf7ceSCyOLYRps
RiUNDmTWzRtHzeo9o92HGOCCN0pnwStERkZdh5qfM+UyQbKv6M/uNoJ0jL8bFvoTDm0NxtUOoG9+
9GNrHd0ZfYiHISM1d0czYbyxl2fH0G5D+paHcRTl/ZWpqwXhL5cvXAjj9Zxwst3ANelB4lnjmd/I
tJe4167gwbxlvL5KEfA3ekSS8r7LOsxuREEmO6rod6VAfi6d8I/qRvHLk5H1k+k+IAcYkh29KzpE
gi8M9WTscdW4EJD9KkLLFwX1Ppt8KpFEqvVbcdOxWPfOYoVrnobAW8YTdUUjDdBWQqgSWwTjarHl
JBhjPe3mAOTlUk9DEtPBteom/kLuBLZUW423Hd1kLD7bTtOKa6Tgy7ahutnB6sXlpZJTyFCU3Cd1
jCiynTnBQTf2gdF6V0o7y1rlYMbxBC29vkvjyIFULctsPHs0rKb9LmmKoPgTj+H0bi7Ar+AC/7Jt
OGAE+XHy4MrfJ2lYQwgrVlrYsILDyr4W332cEjcPV7DYdEGMrbCxSqTNU8LdtuDdX2lkLJp/ddFK
KLOsFFhZi8Z/F0r/CjshLDPmLq0P9Yo4I1svT5YV+TjxFuxPKwotrUq9i0eSqdILQHX46/FcX/hp
44WlxqMs2ViwchAsVtia7U/jdb4C2Gq3eRh82rfTNaLMqYujCAGBB4MFHH1mxbhlF6JbPVmSHsMW
YelCfAMtyHozygDBLckQyT312D1Oxcz6oMYQZlxZ+AKTBmUHtmaQRoV06p0aAc3REBsLrnInfGov
JDpBqvnOTGHG+BM6zk5dqHXgQQCcZG9WR0sYyFrQdkMM5U5fiHe4Qrpb/8LBYyeaf5FLhI5XraC8
ZlmZeeMUJZQMrSQ9yuedP9WK17Ps2nrLF5B7Eey9eIXwUfll3kbItXc0x9Paka8FoDd5D7pvcFzl
7iJleOrNF7pfv4L+IreH+SeiLtsAYafqLmH1HBxkRoKMAGl0UyjyXWx6h8Ejv10NzzSItZSdztx7
ODjEy3FZwYPe0GdoQeF8665YQuQWh+Q8qEJ6s62fvCflidIt4IYr0nCqrXALFdE9IiNgeAy0vBov
FER7BSKOvrO8iRWS6MM5B/qtXASi+MJRDFsa69kdAWdyltHsw8VanmWtfZ5yYBj9C5GxTgPxEhG7
np/joIskAmzc/SyaSj4VzcSMt8IdxYp5DC/Ex8BHNN6Yyl0Z7HMdqmdqD4eDNCa6aggtnYegyKi/
XUmShhGZbt6m2BIF2y2Sp56OWNttlpE90ON4QVGKC5aSc6y8VhdYJX3RAAAuCEs3xk17dC9oyzDp
6mM1hvnOn4im4JArDsEFh0n9KQ7vgWF6UyHFzBjK4LaqDM+KzTh6bWvH/nJXvqa1QNpUlh2eUttZ
rqldd36P6NzVcVxZgeBhGWt67hlbLpKrkRvTbsFm+sNeqZ5onWN2oMC1fg9X6iePt+VUriRQmdrM
LM3KB205p1xzOgMaOufFdJwvKFFWD+bEEwHAqCgxH5UX7Ki8IEhhcxC9Z6uFxAic1LLd6Ec/rcTS
zsMa3fv0qg5FM74RCoRtijni1Exa/lxbYI/wa2Gg0q/TvUY+JcDFhZGar7jUaQEV7qwI1WiFqcoV
q9oMiFBDUYs9JNjpRl34q3S2NR+ctriDGLeG0Ipxkw3I6OjxwxZt2W9NMQy0+6W+uqFqTtzZchpp
VbHlyJ0jq9WH6GfWIqU3JQjRlGnmd7EoU7oB5ypDVps6AFcTjSPfaReBLs/KoOK/D3z6/jBdUGjt
GYeO+jgpX7gRGf5G3Vvr9qpgqef3snqOyiB9VCxl38taqvqux/cv11sbHurA8PTeoG4Dv+rwiXEX
jxu63BGxkvuB2oq1gnWBsDHLVp3T2V1WPNbk8+eFHDuCigqgLdUN5QcnYc3RwnW5wxJi5TFfw/yY
r2mMXootlrYFw2witIdgQ+H4NTstUf4MOhFxS2AUASib0HeMdd+fwxNoBDB4nhPzw9pCRxx3gSaN
myxrIx7EGV60jQgzqz75MeedQxfaE+UiMyZmcOcOxk488jdG9rAImIu5Z9FHTuo+LXK6/gNPZYBd
C3uGSKemNzpFo+Y4WhFrJ0DGzFeIfO2y94tUvklJrQ72C0B4Gwqc87cwN7iAsmLgk4458927qQWf
xcP2wNJRlsOPimfRyNARtLAltG63XccVcGB5hJG4Dmb56do4WQ+1mvx+p/u+t/e27zXv2nc5AHS6
RcfiBTuP9ORon3PpkJPQdAU44MF8mpLfsIkEXXabkFAiXtB0iulVckV/NePP+R1bwfgFHLN9p418
ofsY7NoHhdRFxtgyptCzW7jUG9f4w09NfHo+g8cbb/pofmuW6Vz5CMOLey9xzZ+0U6jvkfL5ewER
UexVFZOrWELx22kmJMkmHIRGilvWXvE6Tm4yGHgKKGqkrAOOUvPSLt2S4Tdqx9fMcUcFsQKq40ZN
Y/EzdWXb7uBc+f514hOF59qo57eUfDr4zhbyydZYqf/qogx6lFXPMrzSCXV1W8y3TfwgagpqYT4s
RxPRLbWbCD5/E+ieGC7chCvDGKrh4ejMA02kfqkXNsKza1Ctp/gzT+aZ3EneTXC9+sDQtG5QSjY8
tKdyJ9xh7vdWLEZ+vejGx7AQ+tm2Ovz9XtkxO+ajct9mMVEm5PnEMugktN0cPXtgXV2uS66tpk8Q
RGwcYqSTUek+sULA/OIOlrdWnbY4tZnDEpc/CxPDBiGRPGZa5UW7VTT1pVt/DrqfABXEF8NL0r1r
W7kfjlNR/Z3Q6/8B/4qMjKklGMhVc/0dI7e/1LGKOFvbuf1r6aABMBgnu9JPoQPXgfQ+Q7uziu0Y
+nBxKmg6O+O66sXxbYiJFGjqN5hG8bD1OPQBVY268pUqxuBdL9ytGfPb58RPxVtHEA/U8rqF34Bm
D74XTCxEKGpls1aECu5sJUvK84wL4TvAjP7CcMG7pxUbgWsjKv0FLz37WTlxjAbAWQqJKWZpQFaU
EaNOHNHD7iwoebaxIi6bxBpZmBQLSLBTH9IJS/6hze9JPVZ/uKN4X/TLutyXopyjErVoL4I3oyEZ
MqhbLB4B3EY9TJ/Gt2xythib3H0Q1kO5zeos/GqcjHv42nFMirdoqQGxobS95Zov1TZxZflNBeEI
o3XWHBTwpNou5gs2NuQQEvp4RTXCgJm9xaqgo3Rm2cOHzumdwrTT8E5w4t+YCRsibjOAWJt+tnz+
OSm5k1CUlnD44z3wqF5mEtxUQsLWjjPJmh/ORITADEeUJ0PIm87Fno7DwacKW/Portw98ct8xncf
jqxGwWHxopg9nkM3r1eHfwm0wF0Acx9UG2DM4KvNh7bURfFUWpLvPzGqGnkmzttpTxv9ENE/4g+s
yWmi5BzC3/YHdryDrbZvmId9L9d4Rt3W6nfuWK3hfF+k0aGq5sU+JrVnRduCjYTewo2oXsq2ZNeG
wYo/wFOw7IArj8NbhcWCmvw2S3EX5jTa0uQZlyvzEm7D1ksCluhaS5as3OKogNdL5u8Cy2rBvEPl
dXb9MiZUAiO2SGyBsfyi5Nd+knzbPWCQ/fQbSj2nDU+Y9nUce2x44OfHH3Fekb1Wxl7yay2T4U8y
zgqSdkKx8paOcsOjvE3sP1AFYPW1rjv/DgOa1bfIfOIB4+/4bQnOMZQjgZ84Ohlki23fZPZnwQfm
bjHlwT8l4s6Jf0LhvaJrpvfx72V0CfBmJZ9p4fgIvJMkLDfzQNy0c1dIWh/mLtzEZArxsVs2rvLB
1WqPKhryNQYNfjJWF6yNA6F419GSySMFPiFRTm+BPU2fVvkyekvW7LO+8R4KKrjAFGZW3Gzbypqw
Jha6f/nHErPII7e+mnly97HpOpvHgRzJNVnEB8MNqfz05R9xaouEZXiABaRijQihC79rFWEyNbVt
7ZG1m2dLj96vYaG97kCYM+z3/2jTaZhrqhz2UZ60z1M84wXshmZ+p1jcLzZi7JunoO4bwmNKYZyl
w1Z/Gj5b4m6BL5/zwAm9re9lQA0umun/yEPx/6yQ/G9Giv+fXBJidT38320Sd22vP+Z/LZq8/Af/
ZZMg0mCHJLQdPw45iPynTcL7JzlY5iwAfZ4T+GINwv6nTUL885LQxUThU3JDzej/skmE/6QNl7IW
h6cyf67t/k+aJv8WpA54QV5I40+A5wdd1f97h+nCkbd35zmnNbWnzaQcXTChLFkeSp26A0QJ0b40
xEE+w7itcVq1ARBeaYvlOWv99CmObUJCoV+G9xbxMYoIwBK0/8ai4MAl/G9i/PoyqegM+ZkRAMOQ
hST//l9yy6Tlh5j2ZPYISF6g1Rq2vdwJauclTKlSgNxhWu5SblYxqy0pTUR1bl0k6jTutk7XxuMR
Ro9rs+2vGX9KohVUaJgeXumEE2rvq0DNJ6mqAt4u1YvDwaHbg+JDQ+U0vWgS9IJ2KDZ38fgHoE9g
1I4jPqUtsRhnvmvSBW2GJW+SHnBYR+NhaHO3eeX+Jtv3BYL2gjuYVq+95YGLYqeS1+FvLJzjYyTD
uNj1URvqHw5pr27L/BRWx9Iz+Xiix36qT6HVa03obclI5sLHLVnyVLO/6aXP8BWtZXas5gQObLxr
dLikcxG8Z8lahO0T2LiisDNwN7KPREy4tEo+ck6e2HZJe3MuV3703TU6nk9N5cFzmpM6ZPpsGDb3
zWz6GeuWW/JAaJBi54KowsnU+NtpR2wXfytkM7tbQ4433dn4f9kqRE2XbH2Mn+SrJGb5fRlZKIRq
aip+Z5XMJd39Ov62XZJKG6080Gc029n9SbISqjcgXjwCOg6hJDo4MPUdlhrIdQDMLaCAfWVfl11m
GdyCILHjoUbP4JkuHhn3AtAYXIYcNAwjgaWvi1UIoPo6v1qj+dcxql12U60Mbi6O+S3AU/05e2X2
UZeF2YZ5FMy7RK8Y7+SC9Ga9Wv1q/iJ9i26YbyOriKKT01Bht3cjbYudJWae8OMFGO7HpTnXCoo4
ntr+SNWRfa6pcyK9BcpcbIOVPY6kaFc3crmcxajYBk/eZAUThN1OxR127EIfBxbtYInLplYnwlMm
uWYwQKJvqEbD3xwCOdumo1GKNgGLcorhgkufL+h0azZg1MNsRapzzknjQ2uCyd/FK3WdYpKVwB70
WQmPvaSma/lRw1Wq93nFtvMERs7UN0K6oTmOS51G1zbdGDNuhX4lvqPWFuP9HBlQ8MmyYuHlBRFv
x51Vvzq5TjsckbNE/2ADdeHKc6iOw0/qXIfok9F9pP94/ItFn6ROGL6ko3awqKu+A1jvL8Dra4ds
3wF8bxZdzULk3a7OVQvt3pGUvQxb6E5GWBt/Trh/MsTlKS7LBZE+tWFn9/T/bFsSSOVxCcMh+0hn
3PQbUmTR8htFVUksqVPQyZO9RFgl6dBYVk9N4ELdvRcmXjJnUxCJUEeUF22ohpqE+eXFcz3upx67
1DV3576nO3Sq+1OJ8d95sbyCnpeIy8PbK3+ov2iJUiiWLlir6bBIb1lI5IeUn/7pvX4ufhC4c/Qt
AM6ZhLb2fLBimHiysrtrA/oFCaEmvdV+06frcH17RZOwr+HyHpACAO3YO0yicQNPkeniPKy2y7ZZ
fAqyKTOaWH9r2XknOeJyEqQAvb65U3rJnSdLxxF1fei1PrZ05XvYTgg//sQWPiES8A3y6NSp5ZgQ
d5eek1mPvNlM5JS2OMN9BLU0tTbsLQduoiP+O4xrbBYxebBdXdzWP1euVzn7wm4ixntyqyUj4ZxG
eI/GoBzJNnCI6r49l76B20nPqrrS7lhbd5xNZv8gIi4RydG7w1WFABlFxR/3r+W3cokxnbPLVtxZ
F+TqsivvccO3YNQrYu7zOLks1OGiruv14LJr70ZeVnmsC9aEN81lMd/+taXvLiv7uBj6+LZMgIaj
ZF72+ihmMVt+fVn5o5zygW3TytKoASOM9e5oj6UY15mxC0403yMf0AmBlBDYbYxWQRgJfN1FbqCl
Humh/EuHyC+iBAsnBIruIlas69jHcArELxLI1W8jCBAsQ37MtAP7C70jSD+FFxFQXdAgg7FbKBRC
ISnSaEf29kj+fqgo7VuFFBxH07XFJ/9CVeNytE1Pb+mqvdCOggxT+iZ5imW2KBQmLCwbQixfinXC
caj7XH90F0mnyi2IUhelh1ZNVJ+yERRTpuFsiXO7CkOOVMErJx9qALxUv1N3uaapS2MO+UVc4vSK
ArUqTk3eTKdlVaEwnbEYIUyIONWj9QFKWCWrcOp/4Z8K7ttVzwosFe7kqnEpKilP+DAJ8VYU2Ner
FjbWku7HVR9LksLf8muGjgrhnYdVR8ujhBO1XNW1pC26m5SV2sFFjv9KRcXZY9XjRA3FDHkIlS5c
9TpQHN0d3R3mwHPLfGm8NVf5qvD5vRifYm9p7zrpIgAuqxZIsctyYwHY8bfVRSz0iVQT28pUi+fI
oj3Kqbs3gAfhqVu1Rquyu72z6o/BRYqsqdFIYW5Vw4FHM3WLwUW4DHou2K0qOOnwsbATxwg9frir
3mlSF+mz8Nz6at1jnsX6pLdWjZRVpmvd+jUr4m2HE/aPXvXUBpNExpGCb8EYqArFlaa64SX13erM
0T4MaLVYJVrKlKZ9dxFum8RCxOWEUL4WF2lXtIVd7HDCIPnGyAD6zb5IwaR2kYWHVSFexKDM2k5M
ucfc4hDbU71Q3pdVGH52hmP3noQlNTvFRXxOIk1Lq5kdOT0FF4GaDlzEankRrquLiD1fBG33Im5n
FphOosOr6J38pYCnFzmcpmmNNq7jRsvXCNI8qvmyNEjodZX4/V5epHX/IrNrsoT1WajefuuolRW0
auixP6ERPEBDivf02xS0NGbeAfkzO/UZtWy4RPmogd58NlW801nyG1yHe25UrjdmzT5BW1HHOmNB
VBVB/QOzF5ngNdecJvgSxsC+cwQICddQ0VAjybJqNENxxI2IQubRqmP7pPsAwcbmKqTLzFc+fyvS
DAZNkSk8TdNCSpSHdLpH5sfzgl3uNumi3N1oDg9rXn+h8KHTB3cULk1xQhc/JIPhDYkhTo0J5QMi
D09VWb3apVf/opGguilinv58KyLWj1MaWtYGKzQha9EPSNu+Hs7gyuRrWHPaNZmUv/w5t3ct5qtD
KdMy3+ZCiFvJafS7Zzst2V9Ey1k3nsPv9312Hq7w7ekJSzjs1IiFXH9dC+rlHIOP907MWYTrNMEu
QY1qexr89mFOYrNzfO+jd0vhc9MMmdmJBVIz2Cck1poQ+X7keVmRWd8UyG83fADBcXbr6cjuSHAV
UPHSe+WjmWPnaln6mRSToAiWTdNzbrJ9LrjUq5x4mWJU3PLDri1sIMmNmq4DIvh4YXoIPy5Wlzyh
kpjo6m3vEXOnA3yNIpMA8SrLo7Ulo+q4blndZtglshs2VS8mJEiJFYcnZMq3VdLCe1dpm6cejyJr
24tVKLcz5X3KsWw+c5CJ6hE/ITvIgi84A1BbiuLo+KWcTlGaNdO2SwmA3vlF19ob7FfOB8eJKDt2
PPjLXec7IT90afuGCl3KHTaxmTPY3lalN9rTHL6AJct3dy4wJPvBNPwIq6BzTnFjeuu5TRaebSqa
0uqYRE3yxynAyjFIBKyjVOs77w0/eX6ImMvprpcha+SaSma9p9GXMJhtHDu8kpPC+p3C30AtG6tX
QJnJDUnaRuFTCkfqDAmPn4Aqp1hLe+2FVDSUE4sagpGcKKJm/JYxsRJUGb6lW0Al42/PKwin5UX+
JpIl6PAIrxQvFRrE3yiZzBvdPkV1CO249KmNtOP4jqkej1II1HY6QmdRzHrDqiSz25q+/alMPnq/
K/QhFYofidNJ84sNcPTVUkA+3kRl65ASdUBkvSATzOleLbhF9yF9AuMp5sCFGytkNbk1uNUzfHax
wDOkXOszYPN8LxctfyR0BqQ8hlp5PdboVhvYq4LrKJuXP96klw5bR9MXJy6OXjGoYYbc5QJhdJXn
F31Hk4WYTipAVMPmONIM23euQxKzxhVxsLDffadLQvqdogs+cTsG67vvxywct3QEkHenYRpeXETz
U8OY3E96i1PE5t4hZPwucWime5N4S0/UxnKGq2C2M32L68dY+FGYn4g/9dX3UgufECOmMeueEnsc
sjX1FeEm603T4Fm3mmBvptabdlbUm48EAxHmMBuyDbE2Ub3kcxjc273lVEcrS2kp1woi9zbFI4cS
CzjVRvdsKZVSYEqBfaUz+gsZH9zRlKHZPMZk7xI1zNMCoU/muX2l4mb+qrIC12Q3F55kl5hUL85S
1ldy9sc/snTK28mGk7djXKq++aDie9m5fbGleMiEJwTlgF1qVrdqE7Vef2eDYV6u7GBQODAQGT6H
Kkf7Y7oGCNClTAwb3RXLTZgrF7ohq2t20qOMGI+qSfCTgvxpt7acAfuYmYPPBoN4/gCLRj+SE5bn
nI2+uyXFMTCtFHV8V09Kq+NcRGxWfRS4jJuEQ4QYjrO9cZq+/VXgDPM2koYrfsBJBA/AJVi0slgI
JCFrUb8YPisPwG0i1rDxHCGBYOJk2SiV1+5Srlwk9ICGk/Id0Rzpk9l5DrY9tUH2xu+a+pHeC3fZ
Ap0uaNGmWo3OHVpqcbbPM48WWN2Sggsd9h9zp2melzNFjttqHuUH3a6givIhkN/u2JcPRsKlnSn4
F5RWlhy/fCvxbmaHSl7S4ngxK7PiM20as+KnuE+DiOcCk9Y+9VuE6X7EWq+bWVwRAUeCAPlNkH9W
Gj67UV345lVysqg9rTx7F8RD8jBSlT2yf+27R6xaE6zCoDIsMDp6I1IH5QE5qqk/LYusLp0Duf5R
JQnO88Zq7IeG7qoXKvDlm+1WznetdH9LCWP9QihIPrYZJt1jVLOxI70hVy6X12TEB+G8b6jQ8cj7
e7B7iGS0d0vsknznXjc42wlcMmxGqxfxLQ/38sdoHPemx9KGcIMw+wcLdfcEVNv9HrvI+5KIkvTB
K+o797OdBx8jvaTgJz2PtMAUufLJxvmW79gBeA9V0xTdlnQUR0GGifZnhGnUOykaL+NNQUOMv3Xd
MLjlM8q+9DQGj1bsJTf+4KDdqljN8ZZyMwNHaM7SX7pI+2dfUway8ahCXr86TfibI8BKwODYX5NF
dMqXPnTlJ037/P9CL82v3kqC6ZSHznRLHCpX+0CuQ8l/sHZmu5Ej2Zb9lUI9BwskjTSSQNd98Emu
eVZIeiE0BefJzDh+fS9mVeNmRN7K7Ab6JYHMjJC73I1mx87Ze+02qOkyDbGJXiPdj08gluHVqJiy
fS2L+ru6S+IfpvTdZwXS9wH9FpnAS76mFYcRMwYGY6X7MKk8vM8tyWhJFgQhM4ZJOeny2KZmWZhF
cKRPICnRmNEhyXo8HdRGnkXLqgrL8lRZw5IeRiyzzUVqSeZBcQL3DyNL5+UY6unHn6LvqphrTgi7
6ZNU/WViqQmnKgF9G5Eks9lalZvCfUHLwoxmFP0Fud1RuSWTVorDSGQObAvmotVp73fOV++L5q3j
jAh3o7D7fL+4vfW+ID99VdpOd5PGUwxpOrYYsqF4oZmVrn0P0SyUHFbSNo9mXprvgPf0l8NRnQHD
I4F241gY+jcKW8Hb2FAIc2Xxk0Mk7SnETyKopSsOYbzdDs4em3FKdC4XnxzctLbZcck3GDc1z7pH
9OHMzyuRuTQbOoPDU9JV/Geq4nz1hs/eV6btBE1+aQ+veC+sTxMA+IZ0rQj2ZtSGPZfg0rIFF5oH
z9h8SHErdai+esFZisJpFtdaBv0HoUX6ov1NcCUoIl+dNtZPOseps1+CdkRvheB/pomL65xP4XFq
y4kLmQjcB097A0B9BHNwmloj7oGOMD3kiPMRHcTe2OPwyambDN3TBR0NcXpRNDvUOmBgy1OZIeff
hNkcygsdUwpsHUeW3I/0FH0SLd04r8RVTPVtm6w7dmCjxU+lbwEgGVUjjrO34qMil+H6roV89dXz
2XW7pJjctyqbx/ZMWOv92dc4AzZxSavzOk8XNP6c/SR8M4FV0xpyamYsKdLFKYiVjzEj8MVCqMY5
Acvr32TD2FibljXC7LaKnbeF2hCXLlKZV2qM9knyOSIGMJ79EAtNRKzf0xuAK9zJCbpSqhgCjS6D
pXDwqzMnSaXaWb1y7pMuD19aB6vGJqKje2OsJbN2Oh3FUQtII15m+5dFLeQ7BUN4OxE7+TYySGdx
UoJ8+WnivXbtQhuBwGr1wp2Fn4Q8bLGvlo7TjTlVeq2UqdptUq8LvY5YhjvL6Mp/qBqCUnYkVS/2
mdZJaw7O7OXXIaG516rICm8Dao96SfH41Tu/BQ6A8hQoyx7gqLnSeW4jKjFd/7o0VZxjZPTb4tw0
ocfbmzkaqTdyCuVWdD9KEWUee63uadrKMZs3eA+hQLh1E4+ndP0QgQxTUG8CMycc+cS5jqvktWHR
+o2NKmomua+cdSsPHGtNuU2NpenND27KZaewxNUQp9UaHLkU77LNETOTZWTnezW5rYI3mWrvWAjd
0cGw+mZmb4/ye8uVpJsQ5Bq9BHGdIecSvfVimIkyNjBlv1LUEvQipeuYYYcQb34TnVVRpVcjgUme
nF8cy5uGjR+13JeIBB6fKtRNN8ppu/tVJvNhQTziHuhiE7oojJHlbrCm7AX9avjlqTXNvoYuFdCk
XXFPunfqz6TtGBvypFNVOYu7Qq28pSSyeggdhvQioO5vxEM1YiK8mBfPp94JWvjVeEW65NSH2/Gy
WAqTUclO8Wxq9tLNMgX+Bx0Ikj+q0IZm2oZrBOSgM5AyvkRUhxhpieC2pkI95CJjEjs1Onukz5je
5egfZibO1A50uSWuf9e4+rTJhnTc2U6fP7PyunwL4WEYQIs7DBxqzFTAKhntoBJiEk3+VOJEJHEo
1ucGP0fyPPvDDMMIMwHOI9sC82KI6L7isphBwcHYAkzOYtaxKTqdXAZR6HE5ZsUBIOjA5jGB1eDI
uNhlt1mNT2STtWl2L4sROUDspuBL84VIY2oJgU0zFFmG6CDL5ks9BvE9Zx9tligIpuPAKTRsmSgx
58Llpz9n4jvI0BTVfLbMVs7OxMcCvYMa8wKfATdCsjqxvAkAIugeOeZaaOPnWeXBmcx0FXWbBBeD
OYThmIx7vungjYZ3QSOilvkazFQ7WyZLvAi9uPBaybCFudPV1V1P/xdtP/zO7yvS/W1CdkGeZUfG
QVUHVIx0A9dcqzRRb3KJxjvpFUYd/KFBE5KS9IIlItTwvGaASU9Z1KePBWDkHCbRlHwibuECXaWe
6LjocI1kYpCre5pdCB7GTnLtquKB071rKvuaOK9hHRg2iJXwPHC0UAog0GLs2KEvLMT1YhUobcOg
Nmc5KZQvPdpZn7SveTp3EkV7vhMQXn1rbG4IckaMgr4iYhaEtJXCjs7GlcJae5/GXvDU9xV7Ryoo
TLdZv1TXHlElFTWKdPhakGxSyHZWramzMIduI6y5l+lUcT6z0BF7oecmOW1AWUkcklhqzC4JbKqD
1nWTnqRJzyCRwhk1vOOo/L4pJlqLOVVKtWVrcE48E6xiwWXU16prp3rrcMI36C9cWtJtlt2GOCDt
rdXSAN9NNqH3TVtGn2CBcmj1qStfdCvS9zyglsW5GJirYpLwkKg/CLxqhuBxaeuw2NoU6e0PHnsO
9z71Z+b+M4UDI9hEPOmeug8kBN8vPQUJ9SHUY/Hm8h0jUKwnfl7PV9+fkniLeg94OK7AAfIt12tt
4ayzdDS9YIcCxFyXU8O5OQ+40rwhqa4TW3Y3Gc4zfUMM+0IDoppS0oZSsXCqeQZWjht30UnojTGK
rKbunybQnyeUsRWDlCUO0Rd6cfAQ5x0kxjIgvH3rI1K5CIeQRQNUC+vrEtoBDXXjR/dZWlDSYZz2
L9M0XK3RpnS7vU9sCil25YyHupRDBsDcJD9MpJjKlDadeBo7oH6gK7aQfHsNMWmXN2P4Vft+hSIG
YCLKuhSTshNGfb+LstFbEX5ZfwaDGfliT6qD2bIfWo85RGz2vxzDAzukVyEpH1R+Wflyejf2KO9V
WUA4reyRIQsBsuHaVSbQ/KgHy3qL+b3uUmT1xMuIEUesJN7zNKOAd/ejM7gYY4Yqn3fc/PzLYIzI
muiz2nlxKosVWabZMu4d2bnuJbye6Uede0V+GvbC4Q7pKpKs/bZM7G2pRrZxL7Ny2KHsL945Y8pl
OmmbNkZ0HVaXUa6yD0uSm0jN6wpxZHbI0Br6CS0pw8kDrr5gf0IGg7b/oDkYHrh6YxVDFASPpGo5
Ack+E5xWXHK/kOpz75R+6vk79khsf4T3EUAQkfXlbVPXKp/VMOXvOYLDm8LtS3fbLrn8HsdsD3sg
XhTcYM35doseottG65HaCU+ixrVL8puF6taOrufW5DdGJxGmAYH9ElNFxzIY8rqTm8CuycPDNRwu
iK1098EqHt8VWwS9azJGOEpiS98bTwfWoViG7DoVTcwxj7+ssM66sc8+SzEj6RoT/hB4VVWTMU+2
5qdMvdV/50TmFXd8G+9RglKkZLPNYzQhfH9PmFCjOs0H906Uo7jsqtL7YVp36Xe1U5IMJZSc3/K5
KOQ+Q+F8Pzk0WPceCuJrC0K92jLkBBDti4RH1SbZgvQGTg1zZkimQZmT64XI97an9UZ3yfd45DL/
hVYt+386YzMwvUJxSROxm7eDHER/KBBudxcVFduIR1F5DBhFfrEk0/w16RrVo13oEsB6nHXXcaqD
azEl+PDTpeL9pkU97KJ4qJ46w/V3w7yuuI2TEAqxbG393Uqb8p2Bsfe6ROzrm8Vj8IGlPnu1x6gp
d67u3HNfjZwMq4yLiUoRs9kujGg3jA3wRI6dEGKHbqzvGK6qlYPQ13N6pxI7Xf3ctXXqot/+bK1w
9o5tM7APyqr13wDyNC3WD+aj2RBUP2h1jseGXq/Gd1oBf3OIfe+2Sz/6n2Nnc4leMO4OPliYjXRH
luWAdfQ5TpKMYsAanbsa+tWLR2PqMVUD+Up91lfPHAIhBokGkvXA5zyRgNdRfWUqR/XRwRB8sJKu
/xJZWz5y4WzvpxDgNSa3uTxtGZb9yLDCpLs5GmAOOhn25IjpwRsdK/fDKzELUwDnsH87XYIUirlG
7wyFbLBB7EzonlVn0f2CkQ7pLJI6bKZQvRu2wynxD54zWYINCIIgJLoYBdwmHRHY0pBVwX3oIWPY
EC40zAxpsgbzyjhgDJQlWdVvC66mTwxFNFzwJWnAEX5Dgk4xRVwYpRPyoLi2W1kHmmHZdeIJD0/J
HEZPqFPo6pow44uYmIAOsPlCHhcM9XgjRtesAGv2q+ok6Wf8Yw0K12MaNrxr5GUUcc7gxQYhZdJd
zJp4FYK0HYi6eH6n7/R/vR+TwXO0V7iLp203YFU7OkzF6GHKZmRo0Se4CmWUn4XAhxD0zYN1zvGM
8ISsizAk/yKEBr2K8RJQ8RwyW02CQrah3u/Cs9WP/+JWevoKF5f0aso27gy6XZ7QNy/dBTsPPct+
dNtbzaioA5pgl4eaj+yjd8HQb8NRQbNaum657BcxRhs/TiIK2SDxUfMKhE97XTnBdansZq/qyv+R
WAl9xiVlurLz6JDAvgosvqUGncQzFJh4xAHUcf3rVBC+9Jz19GHGuG+2JGpPPIRGTRHEVdfusfvq
WDONbc1tCy79OSKM+yK2bPQZbTIF6yrp4SmXC+rFzVJrCGGLO8sSRyHMLhSOMUJSlJpZdxSKWJ5W
COuDBPXapSlHdHulg2a/1AXDXDMW3nvl1sVDxcwOIa5qfObkLpr2nUpTA2Cf0dMP7k9pxPId5R13
RSRS3Mu9G3TSYKNav1DUen5pc2lZS3Q8ol1C8eQ5P0jfFp8G/S1XwGC0f2guv/m+q13qrUnkoLUr
0ZWg62jCP9vCAq4WiYgV7asqPtJuQ6gcTBgZrhdsHsg+QMaZk7Yv+Uo4doKbgSlWdSRi07nFAAS3
vMES9abjcOipYwf1bIms+dCOQPWABDN7cwEOPYbV4jcHpQMFBp6ONMTNJboJUwlZbywnvAFpl1Ae
cT8v9nmSsLPBSctqbseCcYRjVeg8p3qhMqhlLN9bxzdcwnTqcxpC2GffozD/bmdZCScjcvJLPIN8
YzBm5/ulbUjJC1UhugOrscfcqmjZ3jFzj47cZjx+HYvYFZVfoX3g8gDhrsxeuO7RVPUGr3idHEve
1bXpa6g4zO1wJ4hS0rQMhuk0GGoWVaKIJt6JKumfsL5n92ZyUHEJfNh6LbLzbFuB+O1Oc5NO460h
f5w5HsNgfi1DoZHkBaB/7MZCQzQQFJM0vJl2inxBSI9FDLBwDwoyJHYANTb1G4cbALciPSWh024O
vqyZpoXd4uRHNwNbyEbbTOllW+aefwiqzNxDJ+5vyaFAEYux27lKA8e/bVjNkI+Fm1D+hpGkch/G
6sPKs7rdavjzjwyz4g9rYmXBctSFgeValndhX8j7oSuHfMuL4UfC2aLukR8kNUFVdvLdrho64Wry
vXehulkdFpY75wdJnuExSYvYP9rG66ejDvHtb+LOJV0pl4077HRMXi4Pq4inwxjWSXLKjkDO58Il
0WxLTF0AgB37rGaHro6rjMdDjpgtIIqXkmME2TF9xC6GOsXE2Y/KnSOmNjsEPe4XHvYm5Arei+Ac
brnGVwgqT24M7+h70qbyMQJMCVK0mhNUEmGR3wbAD/stghQSDHrbLZ4n7dP9qskdKDc+1e17EYXE
iJiINtE2avwu3nB8NQUJr4ObnASVVbOJI8JGje4EisbliP12ByaCMlBazuqNUbO8kO3CEKfVOQBO
zjqwwU7iwbv0xpTkAIcnPDyxmSQ+AyWSUNWNo541orV935CqtJla/OKbgXjmZl3DLHou39V3K7OY
LMmpTO4mB8cC9/hJ0KoucGhtK0e26M8x6L0PM8ONPU/J+I4+ncMyHkOn2tjG1p8pA9SXISqWt7Z3
qbAC20jkCcgRj74/MkWRfJ6PXdfUlOZ+b10uuGCwlHK5xzRPN2vcYnvWYovaLubJtbMETVWX9D96
ZNcQTfveJ9276Be6T5KtcTN4CedcOMhZ7wvp2t+JkSOxIohF3Rx5fDKUl6pMeoby1RrljcaMetb2
FCavMSkvmTD3pOPRU7lOEkApB6RGkLhtXSx33O/z+TWv2+K749Lc1ZsihKR47i5SjHv+GeMwjEMq
q4LJcHHQSvsPJCJwxaHT4PGfFQbW0OnCExIm2H2qYEG7TrArK0s4BawIxK39s8qK4TOCo9RvUuLK
nnIVw1sIHLvWT55s8hA/nz/fMYPha4/pJCtQnf0APr3qne6KNn0YnlazkFdVbjVYxecRAUOZqwRb
I1OIaz2vWKs0BA27ZwqI6TRdHJjLOfCikS8i4xIVd5zDDLUMbTi3nundOCGMFTyq/jDsGM4Pn65q
k/wG5V/wObO13lsWJIoUORZXySAmrjGNrcm7Hr0S2SldHVrsGrn1cpHMMCzInaBrSu+mp30FBGBa
+zH5ck52EPEVgy37J4JNbQe5Yky5LSijP4RPLvPWsXX0ZSk5hHA3q3i9KsHhiWlJVjtV64wxPeAC
eoh5bXHjrZGkXDWFyw9xXbtG1NUFilM9rezLAjcdSGe6JiuNIRzpD7XQ/YllWBoMEIKdud0Dd14q
UjzmjsQAKByUOVzEGOPgvsHq79FkaTwu0yfpMpItURD2arYT2n9SUXjY6fAnwr8bvIy4FF8z/RRI
lHjV2C1o0CIzR4JNdYOGzy5tUiVp7lwGU2S9tEUfDDtlp8ZsG3jAF/GcjfVxpg02HoJ5tLyDFWCI
wWPjcgErlq68DWdGLjROG/ITCKoaL5OYts8J0GO+QqayXcvRY7KnKhWMn01Z5i+cR8PMXbwwP8YI
49SWPXQuYJg2Wp1o5sFoAbyCHJjMNdNnhZv5KQVVnUD1XvrkYEHlG2kQgFY4I1GxGM96j478ISk6
l2EICpr7WkPnoS9dtUwZWpxTeyZ/sr5gyoBCr0hlcoURdDxrYYYi06k6cdfFFDGmC5B4OIpYEA4f
a0m3CHM5pJLOtN/BmleklygD3Mwl3e4ll4NiQYW29R1MWoN+YojziN584nvXde/McOF8QUabclJP
cSA55EQjcypoRNC1LA94GNUrxjEepWTM5V0fLA6aU14NPyaNGOXtG7zk2bkZ1cSkuCqTY+tpBkEY
qBFeLU6b2ns/SUJxHHpiKO7GymB/wQGYUS6KEp8PwtLVxS4Q8BzJPrRw0WdNwkMKywOdweiZH9ym
yD4C9d5xAo+QyYjPJlmpGhaSgpqIQdn+W4j6EWcq2m67IJZmDoaIQJ+gUMTgQDLSh2+mdyNrDSvZ
Gh+T8EkSjCuSjmv2qeT+uDqa4+mM3EhX7Rm/9KBUoIQwfW8Tddd1UfX4jWwAp0nzFpVPXUy0p9zZ
u7TGXl60SEeL7Td2PBqiiOa32viEuOMMJrQzdJGpUxmKYiNNLerD1NMy3X6r2ykZ0KdEWypI96JJ
SzC8pZr6p2FJVHf4Vjkl5Qd3sF0Wur4LG6htZjIZZOJSHfQzg+wiDet97rsEu7Z9WGCHM4JTP6Cp
mB18l5QMklY5yU5zP/bEybcAyyT1MWnbZZJTsLp0HxThr4n73LkTHdVvPeAHVYwm3eUgxsdD5vYw
ehGzxRpgkG5vvxnmbWzEFXoKf2abSuGHfNnwsD1aLehKdg6fJ5MMAf/loIGqTmsCbMItJwnU2TeV
m9kelOjXzCdU7cQwmOum56aUzX70+a3QmY8bvSc003PiHXbqGVQ102uapJ5113jQDjffuLr6dM5W
hYikDbcFNyVfAYXzRarFV/MO2hgxlSw6HNpp7wOkK40ptqM1tuG+jf3ijbYF12cgP0zOx6C2v4jy
QhFWhjSoKmzBKykksK7iIav05lsI04wddSz2EV6t04a7e0Eplw8v/tzxnH2zqYobY6yY4I/efKcS
WdoTbMTN9SIZRXJ+VxN/LBv7dbbm8XMMBG7214wW9tTnqCUUwiOUMeN4HFzXupmExM7sUqo+9Qg4
39QozesQzOIqW5ksGyC7YIl0INB4eUWNqgbX1SuIbavdcZ2nREc/4t16Y61eaFeGYCd7uYqSU7eR
q30u++HTm0OT70Ba2VEBBFuRDx7+sZqYVc0gF1eoO6pnQ2d4Zn2rYbC1Woge1QvK9bbJMyjaXnmH
4E6fowSeqhMy5unGfMuQNbQADOa9TH9j6wyIIjYewot2+21VK9g980wyTMOKuqeM+BBwxPoPSzqT
ilNKUqkA+0MeUCg+r9CY4gTUNrhEVH8tURFYy2bfWt5xLSxvnhmRTsmWIKTNt8gJcGpEErPCKEjH
xe/bbEi8yR8JJ0O1H/cOW5xSogD1MgcaY5+9UKUisI3Ge0M4NqxD1vedrkud44AY2bcJA2fsawYx
XgH6FcU248S9iwYHKQhdOrEOIuMgZhZtRcOZcV1T77tlAargWS7LDI/b8B37rudecu2R9xg5MyYC
kVJ332ptQrIkyN+qbWt+8a28pxRfZL0fJy4wvFWopZtvCR4mNHZZfZjlTAt3smuc513qfcRxmt0M
VqSe3KSw7tQU0MHnC/8IXa+rN98wCmGzN5N9cKIChCXGm4b9zW5rSJCZ+xdep59zSGUEM9dzmU35
fFJ+wHDoZ6NT1ClUy4AJdgUSKXIHdE/bpiHlJdmOpbdkfIqOV+06KVIuqDkX7g1PMnPH3xnY/idO
7c8kVt6HQHEZBNIlZtOHD/vL+0jLOJvLoIJejWtd76M6hBg5U0ozDnXT7mOgk0/CCYo2nMNJ0p6H
jL6YyXYrX/Iv3suaQv7fzNx/vZeIcb4LF9Z3fPmL+QvkHHOgWiS7qWZYiDVbrWoUN4Oh6peBQlYA
foLH2Nfhqycd3VzIDBsNqpFe22eLj7TsTLQpRlCDOu8OyA/i8z7qmJr/+Tv9OR2SN+qFXFglYGMJ
SJcbwc9fXuq6LVY7wJFYMwOaTVVG3HSQFjkmrExVh9Gxm2arCoSGFJ6plR/+/PV/iffkDfjOauiz
8aw6sI/lL5m9OaOBuI585m226RIGg4x5KWLK6aVtULmRkKxcIm6XjOqHbBCC85BqwvQecmtO/uLN
uOvX8tPXFkobqrBnCxlBY5O/ZLRW2bRAiCfFkDZmyOg3iDMAsLnmMJMJo3+E0/6A5GaGnbE1iqEK
MlGaF0M1OMR0WIxuI4fgMJZd1jc7yGYD9zPd+AArcN91y8psCfVcP4RNkostiYGpc5jLJXjSeuA4
LgqnfvJNjvzpzz9n92eKM58z33NA9CwBVNIRoHx//qJNlwW5JI1t52jYVCfNYqfykC9WDDuChu8a
+BxjfOmTIvkK03x+AzXKtMHUXnwvqXHQz+UVZUyaZWy9XBMJncIhAKOznAL9odgmmn1pyxqVTjao
V651NDpj3ffz+Z//Kn/Ybwg79lktXM5tmyXzy5INW/x9UIPnneMqup3OhGRxM5nZemUkwEDQ0i3r
YykXuaJRwuoLswNV6J+/CQen6y9LJQx9j7RnIdz1nfzyeQ6Zg70ZNw1p7Evxvc/sDJAummhnA/i1
e9RmYpK31C4xmvY4he+qtcbv4+IyEl9QgRjSfW2X9iDXuFc/YP6+McmyanwjujZ0MBLr8y/e8R9X
QBjheHJlYEuW+G++2t8ZUqO4o2T3F7NDpTZCKImt6p5MQjSKDTqRV8Cx04eJiu7Zyxj8btwo1fhK
qO221mjr2794N3/YrYGJI1PjcPVsKK+/vhvCfFsHEq7ejbkTghSLa5/oRWf+QLZl8q2aexgNJVzn
Lb4y5F6cnOWDj4Fy+Ysn47dz4eeHft2pHQ/VMPpJbCc/Pxm1okgAO40JwKRsMoG0+zvFgANQYl8g
OgW+FRLsE6QUWDi6FKBDX7nhIYon+TxUrDAgW4gp/+J9/XGZY8TxkYizwn3HDn9ZYHFGPmEERZEw
JLm8M9qEHBTScHkiX1FCzcwm2qNoPQN3S+TG+N4XveP+v6/yCKq9zUpnA5E4mX/5bARiAPgoil5n
4lDz9DF6ZIz4Cf3WkAiPJS1GENe4+a61GOscsf8QvQVDwqV+YNJF1A22L9gNBEh94N9XT7i3vXtc
zVSB+dzTI/htXf3/c/SvP+kDQaCi32L0f/0Wi5B8NWuQwE//sq9NZubb/kvNd18amtB//S/+5r//
5P/t//zb128/5QHKzD///tEwmV1/WpI19e+t9yFP6n+26h/eVPP1t1O9xhroX//avwz7lvwHlvsA
w5oHZXfNKmCx/CvYwAr+IVneUDLx30ss/RHr7N+Wfen+Q6ylG60zlgkljG56k/7z79L5hxCcy5HP
qQxQkjjs//PL/7sO43P714fx73//W91XN0wWjP7n33854cFZ8KS7wnNsGABwAKJ1J/3dvlO4AXBV
kdvb9DQ+aQ8oDw7RCYqSbX/83efyP7zSz1vyH19orXV+90LYSpwGgwi3OcVE9yLMr3JUzFwTp39h
I/7zr7Q+e/+9ZfzxlX4pWrjUY+aQvFL3A/3Drj102+Hoffp7caJPmTJbm2D357/bb/vhf35JXKs/
/3JOIEJLhLwkiKg9ZuxDRwLSLnxQ+3mHQhiF2T45uFd//qo/70G//p5Mn35+0ZD+R+d1BfGxZyTR
n5nz8eAdzElw+ucvE/g/nwbrC0W2G9BLI6vcWYM2fn4h9N5j3RL8tW2ZTYno6Iu7wmlOqgoh91kW
6H3nD8d2bPe4lw6GXkHGDKkf3io72OvAg4hwtITZIBTZajQbCn9RGdHZbt6wUnYEDseULjENAnlH
cX2wOKYDlKzaO1/mj8Hpvk+WtUGdyIz6FebSziHoz7wo2u1MUDJcqJNaEHOfhS1CJKg5CbObbtpH
PkI+o7jxX8N9woaBnMtHb0/8MixXG4ZozHwKt0su3uzqJjbVwXbQ401M1nFz2icjrd4m25NksCXm
68R25r0RO41XMq0OIQkDJIc7NNrxiOGktJYPBuPEP2Nm65d9Np460qxj0NNC0V9klB0Hzxmqa/Gc
6Q+EYH5/VreXFZxFXx5rMKvpQVhnQLCxnTw4yy6aDqnaZ913mgAoYU/b+a72TxWGwoqY7+aIO5No
I+A3yR4WwmWcQy+qQTmWZ428UuYrauncL9sw2yNdFJM5znO7H8wPrbnjYyn4LQsdLM7c7bk+b4bP
xNs7870fH9zuEdm8meprbHnEY9w20daJHrLsxhX2Hm/80S1gBcPJhaKd1nx26T1zhkt7eTXeUfcA
DW5GYgS52NvOqRmeh04do/FjwQ5YgW8DRBdI8AZRdqSP6AVXoj9p0Hy3pMTGG00qVDDeM0cSSG7p
Jht9lOMDtTfmuE0RPJceZgawFXxwyEi1V59kUbEbuvtInoyOdYA5tAF+t/AHdJe/wnu88FVwOhOs
vlEYHefTwKFUZmVArF7iZ8cJLjQuGWpw/B5n4xjjmLig988YgAkd2gHDxKYXIQMzxjXF1ifgklEt
ph7cKLwRKkOznNrMy0AJ3Ux5ce+jbrFvmfk0zkG5T6mZ4DmeBzmNvPZjNMzY5GUZn7vWBafDtqz1
62CfkYByX9b2ZcVT5jzW4anvnfTiYOdXZfia91cSj2SP3WbsPpUitPPasa/FwkABtII585Z3P3N2
CQCwTabpzdd9/+hgEhgY1E/ZfWy8/RQ2N4pmKbB70ADLtM8CzBBtdViAk6pl2UYm5HdhlOZEj7og
tj50Thz7pCXE0ate9PxERHA8XqriUqarkpXmbrQZcE656k7FyWYilBFz3wKtP8/pIrkYsr3+dkKG
mnzS/7jJxkPYv3gg1qupfQ6RrLkt1KYRDZHvTjfDsjwkw3XCnFUI0GLKPuC9Rx25x01+HqKu6zyH
OKfmPCq+MDDu6/bY5FdNxVwAIUB8J+tra3K3VSK2bn9Q9Q5aAqiK66q4AiqxbcZ9QDDiDGNiXMg1
W74iWT/G43f0daTnHWySYQSNZsv5gfntyiS7tjtWyynggxdF06oQaAGZnqX7ZDz0/VnDn1P7ukRc
6GK8oW5a80x9HL5Hl7VZlkcjrtz62UONnw8Q84qTAo5Yk1+X0bNjv4ziSdgH0z0tCR7G8SuxHhqI
ZM0AIJ5YeHYTmg9euUmjNwafOEK2DpEsqxd+FXKIH6V9ns9I1ZieCYZho30x0MEZgc70oMUCcxiI
Dw30vLPZeI366INLR+5c6z11zgIoC3xGOESbCIfxRqOyaht2ttWmjcjKurPny9h+t+WPSjylzYej
PuphOAGc6tJcS+YL4d2VTNeLY5EdvOItjF/SlWQvb7v4ILQ52O20s5YHwkEQRcrP3Khz0dzBtKQf
bZ/WdKWM9+rYNn3Tcx98HpaokP3UnEm2kOiESaOTgMyxPosQwQL+FMT7Jdx5CL7rpyudmwgRZDk/
dBr9Wn9OPA4Lkm2Qor+Q2znb9e5j0+3i7Do0x4wzhaHztrBeJDaGCVdD1B0xVGyG7GwGHGmae4kS
mYs4K2YH/98AOHGlOenr7Loa5E5Agu5KfR5iDXaUhYf11k++PCyC3OrOM5oS6MDb4uD4epM96/k0
M+oe7d9BvRZjKZGvUv5wCmXEX4vrgDHuyhnzCVid97o9RWKy6XyMYvNNAiKzEsyBCsxY03EiJKIr
TsLs1KQP8DowAei9b38N7SOIwg26u430sl3pyi0kWwJpX4x/V7NRZSdjtM3lUUznijNwwcnrrOo4
JBCXC3nE6WmVt7t6tQsVuAyIwfE6IlUUZ8jCX8f6n1UhxxCa7OHRTV5Mq/ZMCTe+vw/JV/QPfVpu
K++g6zOo8BxhGL3m/LlywAAZ5GwBDtmdiNMXHe+jJ8OQZwwfaxzpjr1KabNjyKgmXj7m9sQdfkzL
bd082EeJ8+Jg2x/LcN7G97Y4ZVW5zU6q96zlJx0mebE2zcfpO+hKHop9hcTCGi6T5WvgW2U2jAUM
y9S5GF7akNCEpybmi7sU/XvqfTfOZeDdJPN5X962SBZSgJI01LP4sppuAA/l+VniXZb26cgmm+yq
CpM58bN4/+1T2UC1vQcVYduApeXW7wkt/d+cncdy3Fq2bb8IEfCmm3DpmfSmgyBFCd57fP0bOLfx
qJRCjHs7dSLqVAlCAth77bXmHPPdbKDoWRt4eTMzrgwFcf2r106qcKqzB6xkmbJnfGQTCSo2xqk3
8V+xCvoALZ+KuH5rPzrJKRuvehTKS21VB07d6EndNBCPTU3NsBOnY65yksQENMtwWE4JCyQxyQVL
bmXZVjx7bMM4wO/C7GWM0WSJod0yewSQ5NJ2tRfzaGUiL+xWn/aZ/LQw58/XgezOmA4hK20aJ7Qa
5uWgtcYxJLYGp7BF53E2z4a17BbSP9VW2pkoIPRaZ2LOn1JtEEsw4QEsZLHKZ5tM6ODR+P18J0fG
KUyXb84QkkKl+XudDbqM0zYZkZLCP64OES1+ARmGs2jz9nrxFqDex0qncXirXXGrIoW9+3fxK/15
mPj9ileHiTKjRcsEWrStbXZsCNjek1yynS+gUGi9+JkbnPX//QHm6zU55/1eb896lDLWKGWgjBvd
X48TKBu3IADcAZSAnTqxY37TS/jzdMYlKTXoP5kGrea1Zf7ldFZkA/OakYpu3V1i5lxE3hS/ugEc
9se/f9H1Ef3xCDWFEDRQhwbevd+vRGbDxBwMRbdh7XVh169xz8KxGAhqWCPav3tj1rPJH5dDwcop
RmEua11dLjESQN/MkW3Vrx7WR9d6yn52sOs45jfnsbXdcn0pbmg96Vu8nsbVUToOtChmJIdBnaPf
8pLKz1n9OA+f//791L/cEWd1U6PNKtGF1K4uk0f6uBA6wxvZbTsR6+t7JRPu1360xX3WI75nvtZf
LIONmCVOekGct08FbUcI8+NAD5xCyYn1bDOpo8PqOuY9AtkPM2QTd0sV2sROIaW3+glplIqkhjYr
7DDeRZMN+3bTNt1ZBV+7SG6MKGJMHnKMKd901/721UmKrHBuVgzJEv/7Db68jmQW5DObEn6XrXq7
eKqNhJJqH/PxRrL7YCPy+OTvPnX5z+fHRXWcAQr6FzL0fn8zA3mxyg7wG68Ksayyu2wtlzRgMKQ2
gbFO8s0nd9X0/+9YzYHa0BSs55yv5avFrIPBFU8rP1zch1vjmVdzA6+W2LlD45J/45iesV/f08Tv
Xkn7ugTf/AW4ub/csWbCP1T4e/BTX71KelBmOngOyR5QcY9sEzXvRKyis8g5Scn82EzN0/q+KW8a
odgHgQ1CC7GVNbhJsFuS6Ems78rxoVYfulghB1yFHPGMqPa+qXofqYVL1bY1FapPEkiiAzHLDYSG
+VSbpLl4LS1SKgsO8Qj6nbFiGLn8MA3AuwXsBpSi4oOs3AJ+4NzuroezUr8I9fQLx+GTiRxiY4XW
LbD7R4INXqQk9ZXlhyY2ttTmTmdB77YVyksGy904e7Nqh+p2pENKYzi8BNVWFWwhYHxWplsRkrxk
GqgAHtdM+jBOXK3mCawHG04wQYssY8xdwrn456mV+Ie8t9D/RkBHjIIMnumhNEKXIJ9NxySZOK6P
AUt7LX6qiewbDQU2mUNSehhUy6k7GaY7xwfBC3KqLGiPKYJV8aJE0w7eTWI8GdZ8n4ZHvbmTmAdJ
/ZtQvyxR6ZrLa6PJLkkiHIxP00BR1D1Xyg9jeR6EcRsjkFSqTwCL/150/mw10XznGEzfkR4m6Mzf
Pw1YlDMAHViDyHq3ylbfjZ7kAhPz/32Zq27//3wSa1SnBXZRZxq27sZfvvs+ZjY8iINEH21yGOjZ
wU5zyfemrWU53+0NaxP1esFGffD/r3a16TVdqqG8QgvYl5cO0Vr9EM8UwEuF/s5rBj9O+Vc4KfIX
ukmNTGppbPidjmXgIg2HmeNxJF0M46EbfLWWNpxdbZi+Tq9ehPLFjA+64Q3CY0+LIK13QifQ+kQF
0lSvEoMCkAcTpEzzYabnYvDuQIRIgCswZnzRKY6N8aHkGxLROWDVm/Wf1fKSzDdWw4wy+MjSfaIm
t0P2ThVotUi62mM8S1jygtulD5gXCiHIUlvVuwsb++NUK1s5WlCdqbskJFZO6I6ZmpD9wrHK/JVj
f57z238/zevSSRF1maa3KgOqZZb03/r35WHKbU7HuZ4QyDZ3YSo6fOTf7BPXD/C/K6xda5YSnRPD
1fpVTcmQ4PtQ7Gg+q9YxD96Z7v77Jv54Jf/nGibIXUZQhnFdQPQV8e9lkKi2fNu7ax0G5gGxkXpv
+EhCtlgRvrng+i19LSO4IA1kiVk327zOZ/f7N4ArvRimLFLt0RZuJieypW3iJB/RGQ2OI7ya31zv
j6/g+nrrJvHlMTEmhWwzMOWTQ06oq1geXow8vGm8aYV0zIrB1kZSDVGv5cG54dXsUX7PcFVQs/C1
bttkX+j7RHPzcKfznAfBvEVPulk0VMl0leRDo+a2WkXH2Crc2XRnJEuKaBfykzIgA7406X1eOyrV
daQ54XIxkFXSfc1u0+m5y7Ys/Hgrh0LYQNH0MePYpmUhu0EVjwUuMzmn/Iitu6q8Q/m8RTnnlDFC
/4nR8gqM40+WXKPfpzOqcwAo82VCtB9nyUHq94r0q1YJc9mtlI9vHiTw5atHuTbONdYxhjh0zakq
fv9prTFEjCRUjAa7Y0UXhwBEIbnR60+jP8v6QSNjcbztJ3JoRLKqjoP0bKUPxXImz5aguItFcjKk
dddS7uUQDyJfUX+sCg+XqFGgjEV7xCNIp2PbXAri7TokAxehvVlUN2LHmkcnoKOgSE/t/IDFAOEz
sTd7g2CW0AZFYyUAOMG1dsep9TupQ6Xv5OmhLfwy84lhUkjQAZ+mP+fxKacYVFVPwqk+oaJig8n6
S15doo7wYs8YPMQ7IiHUpacnt4l5isv3sT7iSdtwA04lPi7oKYqXNLlE/YFh5KZsPRF/hhi9hMsL
4qqSDEMYFxYz+9zy5+5mNC27GX5ltDWwNaq0TUIYq0ImeB1ooTKwk0jZa8mxrzxiZDZa+zDPN8Pa
VZjeKC+U5lmms94tlj1Wn4pxMnosuAwU0xvaNAR1pOk+Sm5yE02dF5LvUGFQGcV33Hl17oziC+9O
zV8/zNxsPkiQkaTwYPTBNrROvVU+wD+0NX6eRKcDr9PWGbbgPdxEwh0kb9Qx/JkUySuFtU7TXYue
R3guYXIcZK9uOLbmCMn4sKpiN014rYfXvPWMcq8KxM15QngT4hQdA8HN8TjP6DKHuT61zc+xU6kT
mGfxeVUi1HraQ5V0D8+kLfTtGN+P2b7S3tqJ1nwzboG9uXn/kAA6WLQboSBFA25qxE/aFJkNS87j
I3eIH3Ikgm0Ki85aaIudHxM4FbWnqPk0DFIC7iuscS0QszhaG56qdiPDvUH/amN63cZwuVqTH+Mj
CJ26iQ4YVTMxBuD4pjYvVugBBvIHJTgliiua76hZNrBm3Cl5JznDTue3WN4py13RnfD5YqMAui8u
2zzE3BIfm/QhyMmX9hP5kZlPpz8F7CJhhn2AvdRoIXB2Am5wpafVrokv09Q9TrL0Au3gjvZsQ84N
3W1B0i5FdIIGxwWmZjtHe7G4T6rRHZg3zOWzOJj3HTXwkqKQfqqrbVj5UqHZfX9Q831JRqX+WICp
GIdjyKkp8+UqdWkVSjTJyrB0SgP5diDfdXnhGHWOJgPRINqyjxnCZiB/NuavBdN1Kx8NuoZ0VZcb
vIEdjkKWNHJHONGot8Z86THmmcNbTNIJ70GcBIzzMZUWu3jZUqFI07M854SqzMgZIdlUboDNIPZD
gFFwyInccFs68MQyuPgFiMGYnUgQ7zjT5/0N0WW4SAhHQ/M/vCvyswpfxSjJ+aQtWtc+8mWnn2jT
5cTmePO4bzpiny0MSFviBMV4Hwms6Xm7HYSfY/w8iY6SntLxceR7gZFdd2+xeIjLn5J8Q9O6a16C
0cBlsXYOZeTbW3HeSzQl6zcNn4tC0R8r8KkI3pvv5mRxmuY5lU6NnrgktEjZSUy3SifiAHYrDE2Q
WaiBaB5qvgBsKdpmVrHpidCW+21DAkSKVlC29hmVtQQYm5h3v5WOIXEaYvwG45Psz8pPTEjFDgyP
R0Yi8ZS9mtr4uGTM2NRLQ9NMMkijCJkZfZo8eGU+UpKthkWMKeFRs7iijjaM6ipc/Arjo1ALRwsK
DhHKiR9kbq7sJ04Ifb4v2n1CUEid1VtrfqnJbEHWOIaDk8ifRvTD1NvTwvhI58gD4Ax0db8lkmpX
5udaeYPAapPW+qAWIW96tOkb1e9mT0OwDIf3JwYOiny4chn/RTWGW3lmE1ANz2CyufA7QAyJhM7J
rF1Pc6wEJaGCsBhxXk2UldpJbm7a6hMuhEtghBfmH1QbO50htcrihAvArG8tvcI9ruLMY4ahvuIQ
JHbOBUO7S0ecrXPptRPxvuNB6z+78CSWj/qgeqIRP2CVxFirOm3OjC7ajfn73FMRHHNLQ2Qav6fg
qDJ2uLp7YpEfTBy/ittovPaK6RptfG6xbmjGK4wWF9zoZ0MuXKcczbrezsWHubhdGXlGKyubZQ00
f7FkKI10tjNoUTlNjZZwuNInKTSIBbfs3tSYbqZDCLJNzWBylKyNj9jg3fczrd+ZAJBzwcK77AxB
6coRZ72QZWr0SA3GNIoP5hLhIFvW5TEY3nEs7EICndL6zC9PxpEdgm8umbqtsVU1xzp5nZxKIQwK
uct2CcfNGX0/KKNeO5CTYa1mh8K4m83tULxXyznsLjCUPgmxpPlFAaasGb86K+qutRiqQLGYyJRb
XifSgRkoDHG/m6oTLppEAgEDK4ec5F7d5TTP6nLfGj5CkxUGF3vZUNhA6ryVfGGm+0ZxDX0vNndp
9rwwU52elWofCq7BfwbP2HPupG47iGSG5YvfM+KVpkOqntLyU2JcuxSjG5ZungJR6QEp6Fu1pTKN
uBQrr/BDTp5kSuP4LEKYgFwfAPJW8c9GFkfuLbfRjpkdRqelpCjpdL8i247poVwDikrvSn538NB2
3qXbTocWaNBxgkFWBC6WmmOPgwBF2k6NQkemPSAvL1Ow52QWmpixI1dFNLlptWEvyhNO7jcR8m4k
AwAS8uIoN/q5Kk56PzOC5J1lpwH8NZXLNhOgfjFFbmAvFx6MYtoMAeP9wp6r/hyCrulIYY75/jnF
/NJaxS3r0THozSdFQ1gdgxfTJF0PNxHC0emzYPJUm8x0/QzXWBxc0vK+bka3breavF291T06B4x9
AxulqV9axsMVmD01e6pHHN94DNARozB0gJjLptvn95HwFjYXUbkPo93ADz5Jz2nFeo4oQWd6rLpQ
UdBTrJYUZq6RT4CeOykrEfIGGfoG5RQ/jmOZ02ugP8UB7SVoPSAO2uF50s6amgHK3zWM4i1CdPXA
GZudnt+p8ggfCKulOXmlapcpPE3lYWKUhtqUroaCc7+TbiqcRI020nEkdxg/S7H2BOe9zk4vbyv6
RHrN/DUOGp7nhxismGGEB6h1Wxk7VIC+AfQN7zCfTa8CjstuFGKjxGjbZD5k91ddazbCXB/jgRpI
Mzy+tnk4Ep74QMgcoUa9DfKC4VHsAS525eJTKR8HMJBqo2wKITk06efIWGfamcropMpF5e9Z/EyE
njJWghF3qeZnFoVwETam/gBUATfa2mmC1sK3fBKaG5j5yCe6WyV460AA0xgLAdfqLMPGexG89f0R
KzyBwG1CvU6wmnRLdpUi3BqCrbc/oX76E00ZS4xv02X20yXx9RhO1bIL2CbauWKTZwDXij6zpzLF
CaBkLmcKWyxy0lobrIq8lEDgPUhSIIdc8HUHoRWf2TP4bAKcPHha2FWPWvmQCSdMQHGSHM15yXbE
je9DgyIBRAUb5e087bKAybJF5AV1bkis1fDQRso9pvizEEibABo6FUDFF56sId7xhErA1dkPg9ZJ
B9zboqcTlTYbLmTUnwZfKmfAgOz0vqpfpwQ1CZCPzyC+a+m76bGbpsFraN1U4bOiAHSv4APuVQtw
DbAki/CUg4ExHzAAn+qhBfoAypCC/6ZkZyNGzBEDr6coWTyQbQjGFFvE/K5Je0Q54vTRjk+l5Scd
mYfLUYf+Y8kPxjqR6WHJa5+54FR46UzLk4Z7Ab9GiQ9y0YdtCOdghks+UuEwQY75Wxtx67UcRaOD
Yq0EYYpOdgzOoJMSPIRhQsXK6Xd+HhOGglQ98ijStrsTkq2a3jF4jdh54N+QbB7lhJni21+R/rPV
PShZyIdzmmuUUyHM6+AWHJWM8okzXWm4RsqckWmvepjks2bdxKVbFjtRegCGbo/zj2m8X+991A5N
9AmMHDfnriiGfTnd9UgZDIvBtkFZsCkDYJVeAT6r1p8K9nwdtskidbexXvIhPuUp7DYBFLAm3RCm
zBuIgHiVGkNfG2aXaMYNXkuiT25S4QAC06k4fqsKP3t+Z+BLA0gyAmDVYsDO/MHhp2k8CsT2NCkJ
GKypYvMjLM6NCpXDkWVQONZusO6a8RRk0NJEZjx+lxLqatxq6S6o75GRjLibIGvZYg1UmHs0tkEC
ZyGEARWzBKS7ZPEl61M33hWS2EPFSVmKx1uV8lDSKiwIgaO1x74HJ9a5YvIhm34w7Kb8IGgsEujl
EQwT1T0LDwT52XFzSx+sbCJPyn4tk8MUYJOEKMHeW8IfY9RlZWS5XQJ7fa2fxq0+QqTfEYa1ydOH
SX8dFOx0aJHm/sAE1MXDxaz1qFjHoMm8qf5VV+JJmNO3mlo47QEeBd1RCxD9LdYzqmiWs5lKtd7L
Ykof/IGszE29Qn7gS+niMaafNLNoMdexSRm0a9JVAm5iapjAMOyfmtYllZx3jPjnFlLCCJhLPw3Q
RAXHEiGc3wdB7KUNa8mpph2A0q2s77vyUMmeJj9RXWGM5k2T5PNofKTGqseJVdcCkSc5uvzYi086
+xIxBT8bprqaelCKhX2J9gkcwKV+nwXCENMzxARvGuh/37GMAF55q9glDPMSjj/TAgVA/iRInqzw
N17eWt1P50s7UNARD8acOjZ5q/XRhSRMssY0PRgV5Oz1lYIXLbgy9AmLG+zC3SQ/MHUFUc02mZ3m
dNtyPoduhFm8ppzapZV8FNC/qEjR1fhtbU6pu4hdDDGeKGV0OF5jCjBtRHpGGnroWnHg5YM/0FXA
8Fn67UxnAOGCapDjLG5l5W40fwTi3VzmWw6skAv9DrBG+B4Ot6a1wy2CWWC+i2aKbBhAxk4kCzTg
esnLMByF6SXQjS30o0uI/z0rnJruPpZFZ1ZioP/ZU8K7Mt3gL8Mo/CBCf0secL/6DTQcY+YX6O56
2cZumTZ+uKhbuJ4bUYbITQUOrT+hNUIZzkkqNNtDPn8GigDHYq8Ms2fxP+GF1ngjInR1wpn/nzsg
lWxYBljZnrAvg/t3Wk2A55S6kFrtvnlZiOvuqMyedI49U3RJTMRT+S09qSr5VXOwVbLtpJ7Tdhco
71N30tOdDg6pVEZ/bugshZozwNilIpR0GuGlk417Eb6izLAl5tC0ZOci25NTtq871kU8EwZmQBiS
VJCNu6SemLkVRwOAY8PrmOxb+X1Gmim0+7ncW/IdVDapfCdh9xJVAmIO3BvZ3WTUL4O0hdYHFAH/
JUZlr6K4NeClgSGJsxf9ZxMfygzIVmn68D1wjurI4mFgUZNXPAuORDjna/nV0p4Fi+klvYScSGKL
ow4Qt4jYBAAbHcuDLN5o5Wls1CMJri7wV1X9oVs7HP0cBs5TUjiBgsaNnkAwFV6ovEGq6+Edmf1+
YWgjbmPlWY0jtxf3WfAhYDQp609d3sbpe8ZYwVB/5M25EkA7efTgHcmqvZK4BQ01XeCz22b6fa5z
WB1/aYL1k0QMmrI5DR2UP4VDpCWi1eqlqHcBORB1ikAIl4bmllWIHO4lpHRYaHdSGQbz56iK51R+
mmSos/XpTNKVGJ8aks3zyO/NnxZHHMvcDdJpLnbh9GxmEOuqJ0W/KONdKHZ2G9IOAQF6kJJPzL0m
PekFvcuZeTuC2WYj85YT+TOk+lmjTcjiHY3PJGqx0fKhG4ehnW2+arMghIC8c+VTJG2zMC452yx7
Aie7cXrKRifkXVbDY629ETfe0+jD4bPR8tnJAW60ge4nnNTTB0VCm7WqUnW/HCB50UrCcRyEbhV2
myyF8iO4OvwK6ghUhrrgA0fzxXa0J307Bxt9vmsXJnSsyMXSnAEHrR+zHsIFpDHVWQeEOEQHjGAf
VT6c0DoT3YxTGXlq/rF0fqkA0J1uw/aOoLpGclBUQdpgt5mcOnyNip9EHCnKfuS1mruthCqHkHWj
eft3c/l68vFfZxlRGQM5RgWqejWrXrpcVYaEkBegrt38I5lc+mX/vsQ6PPk6h7i6xH+q8C9zgQjo
+mzlNK8FtgCoDY+ALkm+fSjz078v9FdVD95UDReEaimSeTUIn6VIL4GOkL29133N4+zuoFG813zV
I+7MEf8POo2vl7v67TqB3uKycLmaaavqZ6XLWsx2+++7+psa5MtVrCsRz4g9Me1VrpJTiJtuSeFv
rpBK9ZsBFX6PvzwnBCeEGeLkUK4HVDXRXRyMoTk25UkmYSRCSw0UMEMAEg/bbDkEPhha6K9qOzpQ
oeRhG8n7yTxC5LaBWrkEZMl0s6UYZuV3uqK/vqdf/nLrhOTLSyTCWEjjkMq0Yp5NeBCpvo319O9f
+o8R3X9v6peLXI1ZIva4OWkK2W5dloZt6g7b5Qws3c89y5Fe/321vz7XLxdb//2XO0olggqNFKWU
zrYlbY3uMgaP6F//fRXpLyofUftymavRZpjhmDBULgO2xyscie6XzVZvSy6X/U4J8pfx/m8Xu/oA
ga3EVdywP5jLVmbSQr8UXAQA4y1wyg3x1iODvG9u8Ls34+orlIiKIriL13a0EYfbzU5xODNC8UT7
Emxoz+2Tt/YbNdjf7pPZuQj8Gl8jc+Pfn12gke0cCgjrVrNTuR+2+PfOyHu/uczfbu2rSvHq2ZlW
1BECgmYwEC5JfqLzVQsP3/x864dztTrjvJRIMsX8Z3BLv99KOWMq0SSUEq3LccMtfcQDxSE+vpqb
En3gr+i7deaPrwwzKDe1OsExZGIbu5pLW+hOijqAcwK/mzOam7uBUz3XL/UOcUay+W7luL7B68td
jaWVVhTDzuByBjCCRaLX952H8693hHcTYSDiRzQEV7+hssDcDlpULTDVPMOr/fi07EHp2bkjfCv3
kq7fivWGvl7tauGo5FZOcaJLbAguTcFz74euupN7TjzI2mSv9Prn+fCtNe16e/jvsjwxQ8WZTRzr
lXSHLKmZsFgZ44DgreLVyBHslLkmDagjEpcb6fLNm6n99Ua/XHF9sl9WyJLgX21uuFGx+CWqzsIA
l3TL6GTMhj8mxbGnB0kMsJtlkZczwU3g/yP5YjwxvKaMwkahfMTlq4jPpbiGxJysHDS8md13Qu21
DdIzZkQivYuW+rM1Nql8UqsnjSDU8gAjxQoWrzQ0uljiIcsxjYmZjw19I2k343K7BDcB099l/NQT
2qpyce4hvLbtTpPjm1TOPLCkHiBKJw/xl2Vg+OL4ZwxQCcdDRKCEjazFMzra5OHzHK1kz90w2Iw4
OQP4fXJIzD2yNa3bz/VhhJZaZ09hmNmFciSfFcp753bKY8zwKKMZ2hJGFMSP0Pv8VhWYuTHJ6UNz
FwiMLPLDTNu4XUDrZaY3djdq6hnsBRhuJo3G8qlV7rL4UAv7bHRz9bhoB5408Ye0KqrQA3KlUHyq
yNcU0gEJqpNeRvW0MPzuI3j0jCaBulc3Q3GECI9l4iNMj0b3JuZeHbwyKQIA6kgDjYeTOd9hIdmL
MWpnNAOqvDFkdADWk5wzGQdEVLo4Lgz+MDUGJwkF1XCz6BQjNjVGxwwOCYaVsUPnO3kTrQ9TddtY
+G7H/FM3w/f15bW7+pqrirA44LWIGT3FA2Lkw8+6t24Vd94mdnT8Tr7551uuiirGXB0LNjLO6wWY
q+W9TmSVHTFvUUu7Sn8BAPrmWzL/ehWdP13B6yuq2tWiS15ER7Azq6AOGQbN4x56wosaNAdTRm4f
ocE8Z2svGS/iHDIJY5AaojpjJG0GF9QwGiKDPNppEGYKhRSkNN4b2aNBUw3g6oqMxgJ+o06kfWp3
RvZA0DAdrTMKw1m6V8pk1+YUiylen/nUYQUzzfSgtO2bIkh+ZpWMdy0/zEuaWmxzRsZAsXtIeVOW
G04OLgk8/lzQ3cEHqXF4MA0acEH+BjNuA7bSNQJ1E0Q0JybwxdiVmsfIlNDO7SZlukV1J8XvUfbe
kSGVZI8AGtT+teWULgtrjMg2qv0er1zqE4WYBqMb0dodWm0bzrfDmDpzuGv7D/SdBZRcEip8Vd4L
urAJeS0gg5B6qMTRs8g+ucR3JF370vxjUd4ooEm13pDmtQTJTumVR76JmK0BomQWPuS1zxQAJPze
ZEQ6EzdQ5lhCCVouS8WRo9nuWc6r8dWonZ6BplT5hL0j4XiSAy8Sbwsiz8L/fi7yWHXxQ41016wc
6JKd6LfBTaF4Q35gQWDy+6ozWFwhebTvMSNp9cUsZkxN06dcYudI7sPsCKb0YkmDJ9K9D61tFe4k
4U3tuvOa1Jn07DMzSxuThn5gSj3mzqKQ+dccy/6gWU9WZ9wnorglz5onIq9WzZ1UEUvcI01J3cD4
kIm3aSG6ZtoFh2OZ3Q7RSRa/3Yn//HZVyjJSUoGfYEJQrjYpcdS0gBBntgx/VZi2fuAoZ3WDh9Nl
L959uyleV9cKTisN27uuodeXjeuPVyiyRU3hXtiTJ3nM/ojJdBHB2KXHuCZ2v/mK/7w75GywhrhB
6C7Kf2r3Lxsi6KCILGUUffkTgwXqDGQ/2qncBRuIqyfI3NJ3h88/iydwEBS4HKd10zSvf0+4tDpc
O+L8Wus+bPfQyP99S2ut8rX6XDWD+MFVQMcGJeh1IS3IQZiEZCPbZZ+7aFZC3XSjt1iy/30ZwFB/
XIgHhVFbhnVgICK9ejEC0t+NKjfppbDR5xxi+TCl/rTCLFazW0ZWXhD/bLRfXdC4jfoDotUxow1H
2I2diemrxJgDrycI1sEyoV/R4+kFwFzAb7LytpChjEsQFovmAQdbnjR20rlVBxB4uawpJSk7o5z9
yDmmWKkJu1X41DO06LryyA+Mobt29NoGJofwQjiFCvzP6YeWfTCONTHvNJqyGZpdkibbkhbKNAuo
g9wJUmKYWjZoxbUVBxSwhSye3AZGqthNFNPzR8UyOWJJ87FboFQdc6zZtMQ3WuLGyO+64bPIajct
kJYV4i3ZRDbDVC2qjkW9zg8YaJALSOkDS5nYHTeKTfQLyXQj4hfXkSjrxLQauR81q8RpcaEu74i/
wD/dPgzNFlVKOv3odeJV2wWBGkKPFh+EheHU2owMrxLQjmBGWDJ4t6hjl9PYhe6IwoYJRh+iE0Mw
ZYAD2IzzjbkyDTs63cRVBLY4MeV1hZocrDnYDTojSa17Klj/irVvkbG+/ZqF1IvaXRxtdRqFqkJY
GCkpzYUt6xSko23040EIqjMZakaFWI2ARhVj3CHMlPsBHntB7aNFTl6EOLbxzoMWvpXgnPRm/0ay
MZEtGc7PYFtLK/zbAP1PbGF7QbuxjuuXcb9knslnAyEMe6EpHlZ3rcxQmdZ3QoN+U6PAC0xPZKTN
pijT3pgixakitwIey4RUI2hQ2y7dgyo2J8Kl1gw3YgVMX2+Uo5RTugkOWPgp1rxEe6lQFYAhuK1a
evbiRJfGMJLbEWeAbG4C0ptx2Lxp4NUHeqEMGhSD4WcmSHZnzmfEKIgyIbubt4Febao+QW+3j9OK
bDS+BOncCTyGQeSPQkajicEl7vMd4V/kwyGmCcIbk22KXbxEj3Wa5CO69VY7yGW1k4t7XgrPrLwp
ghDa8SOsiVXKr7I/dXXjMjEG/exZQMGZwwIYcGrrlKTjwVKIhBzwUVqHpr2D6E35S0NW2jal/Dbx
q8k1wIrwM8+7mwnzbKvO92YxPbTBSCS6VJxKLCMzobtFpB/oeyHumM1302hQsF6UkrrCyyTfgPff
zhNU+LzYIsRzorp/FWaTOVqiPCxE7LYWcovwGILsVbLe6eufcltsYunXwlg14mjB6H76lQE4VtOn
GAUfq4Nl4VKB3IprI1kaH360n8qD11VTRdhl9zziS8lbRhxGThRRqDLuSJ7wHNce8CikHSpKhlms
/UV6TlLVrYN7Jr2Lggm3cnVsKS3+0PpGRC9WZLdCRavdeOgtd5nvSC4A5QzMe2VkIrXB59wFNbWG
eY4W5aQv5S+rZXZVtshjo3kzWS8EYJHaggHWiSd5J5U6/u3FzXoDvuUL/Ca75kPKtwmjEqvx+tiT
EV8ybEzyyI6in8K8taSbUNkytBhi3W+FG7k91NQjUZ55Ap6dcfmFQLSN3RptCyJDi6pC0lCWzMZr
HQqnNPFYndi9PxrNzOAKTmdA4YbM7lavI6XeWqEGjja7VQxvoPkx1HiXhZln0Z8My/DCaR02ZLzm
zEEGP9MvaqExQuiZqhJr0K4gJ84OM0cVjNFxx2yLw122xY7EtOiOYFy7wjubo1duH4OqvFdylNSW
b1gxfnr5DiFso23r9mYyDjHCz4SzYL6tk7si5+8Z3SIyH0lcjkaGBfFd14duUPu45Kh/m6Mokl5C
sLvVsWq2WzU6y1SxmeGoU3hQDDz7e1FiLHUZLWRQdmOyMEYnCOQdz25UIj9P91XypAjnAkWmyGww
AiVCqYPE66zrR2geqrAjjaexYNLM5z5hHvekS08zGsNMtdkOkd7fN8NoazVAmZYTFOvC3TJeYLKc
5p51niyrHz19xI0ZCpgRhLMqk4JI5KBQDW9FObwpNSfpxC7KEKYo4mFascWRnyLKWRr6X5RJh5DZ
pGFbpsJVU3iuAqFUYqU+RFD5O7J3EZow1ht/8rNo6oWcwidqXou3VuiHDeBSgpgZ77eaQS55QKcb
5ZSBPahVd0pgOUrHMCX3C7T6VlPusni84MDjqICyQKdGRoa7E+T/R9p5LLmNbVH2ixABb6YESdDb
JJnJCSKNBO89vr4X3kiVUkjR3TWoipBUQoIE7r3nnL3XFtfoP36YXfHQ0ToF2j9mDH86EP1yYFG+
deMNuK5DnHFgifUPJXugDfv7SUWdWqR/OREp3wq1NpVrT/a4QF0ibm+UWaAuzRGHPInVzaIIH0kG
vQwug+q9EYvNZ3zPKySRpZ3olW3+kDtEstqS0JhZk4Ol0fc5H26GY44/Al0TbSLqlTp7DRC8KagN
lO40BAg/leRciUxc81WksW2NKBOCuwjTpc2Wss/AFyMJSy6KmKI61M2OGHUbwN3fb59j/2/3r4pQ
fU1MW1i3cPzw+7+ccbEOh1JiFLKteMI5JRSjbRhwD8mKhCk4PVb66hsGw3vxmKULFWN5685c62Sg
y1HQbMYJZPyoTEb6H9AnWuOia/FON2Q8iBzczEA816i2tRj3XOZe0oyyqVW3Wgi1pT3h0j7HDO4T
+VEQ4sCwAzmmVGcrN2fQnaOD6OtN494lbE6Ca867Hl2VPC6y6EMV2YYHO/XlVVm4a89iGwrOODro
3JzIjtpGIEhiHxNJ/US0CmWiWfQG038IGTBFxKpCWvxEvzezmq2PgyGUi52pXkUFVrG10HSFneZ1
6M+itXGHc91j4thkwkH2N1HmEI5LJCfeVrSOwXNKzdTPDf5PZEFoEhee/JozEA53vbIWxHomuU4V
X93wntZnXwJcpC3E9L2UiYUftlpKn771V427G8xdLTwT6ZmSgNNus3YnEkKC1spJ+x9deqvjl5j+
QZg5Poo7LWHZbJ1cayBHqnM9RItQEhDTv3a1ZvviLWc0b9J0U/LrmK2iqLcxWDZJtCQJCx3Z5zAw
DkaLwkppslVXF63WFqlGnpf/yJGJGxO9aSZNgTLEv1biqayfPSetykMwH89Sdv0GOYoWXBXhpNec
M8NqGekdWt1FZn1geGYAeQ6UD8vgB+jJvjoO+sUXtLkOucTq39PxNW6bteLH25FwPrBv89T6Gefb
VAQiYovTxznibPJXJv0hj/FiesxoxxXtj5RiX8p+qgjBptCulslYnM9j5UXDDVFQSRQUHZb1s2hP
6fAeuyToiTvMwzPeVCDawh1lF4d/dw7HmHSCbpW07nGghlR8m/CRh6d37K33rlwJrIUF9CI/+wh9
LyKlud5YNZNrbKz5rvXbTU0+lh1axkkc+x0JLMlNJFvP1lS9cnqruuhhAeXIWGkoAbV6phZrXX23
EJ0DHjI0EL/qsEMAufeLpYs6sNL3rgqr/mZxyqe7WL7JwTKJm2tqPNxc2JVT+rQkKOc0Ct+pXe2+
0/ax1exhuhJUHlkMv81NJAv/mL9iePnTYgENGLgc0wTwdv9dLBrX6gYKF4YXGTRWhYUNOwpzwocA
XV0R0aEEJGlCj2plpzKyrcR/1SR4zUfDSbwfQyFjgEj8U5NtBfOSo/JPM5gX5qpRRZKBgt1I17N3
V2nQzOGKqVh3BWkxKPI8pU/l7szedDyvWY7mJUAmKKgyXaNwTSwmHU0l4tQIN1Ejr3xc/O8AKAwH
uU2JfPgZc3ClQqNAGyrcIz0CsGXR+yvXaM96c0zNqzBcCLQYgk+I/q25jPMDXGy95UQdTH8lfCnT
vBfktloSsh1U48q8zPfN0w8gc+mvJQSZKYKwXZi6tU8Zjc/CT1+Cxxh3GHnSvYmkJaMLC1xtB9R8
66fIHHXHBGoE8R9yCyYFR6ZqpKvVnZSaDrNKwmB8VZG3SbhOdGUb+HsmFRS5ZMyayySatO7bTHoR
AOcSEIyoqtso9YsvXSogTsDPwpugtD9IlsEFFjlFTDZ9d81lQDM/EBef4tZdEQYCt6ydd5EBEUs9
pDWmlrD6aOhrkny00tF9et67WjHJXCuAtC2kFy66JUmlCxgdk35LBIVZbGqjvSZod1wXj9Rw5MUj
GmUmu89I3KnKsxP9mYT4MGyTBXSvkwzfvJnko+kmyMUFIbyzXH7L/RXG1JmsO0J4JYuVHGx+WX3n
y7ONrNj4wJRq6SXp1l3vXsPSyXCOQeD2W8uOugWGlJlQU17iALM6EmgKpIlBctH18mG48VbTh7mW
EI7rQqIx3gfjYpl0zNmphFZ0yrLcBqDnrXrYW/KDoXre1e8NC7gwIH5CyKZi5JVWBQ6bjPe/iptz
JT2a5NypdyM4xOE1xaVTE6mnJuGC0LSVGvqLjMLdHHDYE0HmDfC/wtvfd/E/jKjYxDnnqYoEelL6
7lcUCk81rRx+KYXREtIVhf8sWCQ2kbBHxU5BrAhfytc/Ljodvf57cvrvRb/NxWSY/0aXcVHZ8VaN
kzjEWzO7r51/TX//MO/775W+LTsjCS7KWND1qwBDgp7b4O12DIcaZZY7/5pf/o+++v2+mLjp07xU
46DybdgcAViVxpKrgU/bDYxLk2fHyI/61NsBApqH5+Y4fNBF+fvn+aeJgWkgA4FMDjJc/XYQDdso
KpXpO+yyLanbvFah94/5tmL+6Tv79SLTAv/LaY8ACLXoI9pyZJIdIDQy9Alnvai/DyMKY/hv1tEw
vlpvJJvYGk5mgIKg5CWWrZWKM6RI431kbCNN30k5kjZ2qexCzCngajJPzgGOmXZMl2N8UbNLKb0l
pO8S7UcnjKBr4mAmPVj80bmYIOWbZDzrYN2DgyhpcpD13mkAeZEX1nbQvUW0Jkbaf5FR2FYZbl3t
QHyNXdJpUabzYj4Ft2DZ6dAyt2n2UUvtJhUeCbOrZiq44GaTs0MeHZw/v9hoY9hC+MIWQkqbuUP6
NgsFfZWPxBKOjlVwbHxLxeHhFtLGZUUEZHIL6uwk0BZQpbNmnA33HEM3cLfGcKUPXMqnLrrmnumg
BH3ta/VOZOyPrLYwrpCbkfezGlW1inG6yeuN+1M15HVMxdBKN12YzNQx/jE1wh2rP+pJ5B69j9iv
x4VECe8V7cEvMMmFODN1/4ujqdA4kwK/MEhyKtCWTxFPJx2kUPMhldsCtp2nbmuzW1qo+hC+I49c
xeHNaJD6IfcXV5l7l60FgWKzMnwa9UKPP1NANHwAjGHlaC+oDGTWgjSXMzt091KBC6uyUdRJsJDl
iA7AvtP4BTRJdAaK5hik9KnIqvdv6gA1gSVUUWbgAAXaZqC0oCRKTXxXxE9dn8f+1KmXY8fgJG8k
e8G/1KyKQXBXtYPHEMyl65qTHtaaw02NPsto56P8y6mgLeWZJ/tedKj60UeH2g1tJcM9PjgGsca6
ztgNKwhZIfDve1I+yXNcVNMDE+JNxPPT2pF2citzJ6LjClT88njzmCYRXYhxbVEXTsyDMiobEiNs
xTqU0jD5r09j+BK6niPVJ70peLyZs7krrfjUa33ZcgIXww0y96zBss50KZadpN7GabL2wVeiaQWl
Z8jCDMo2yTQNDclsXcn1NqVp0nt7UgnkUNhJ6HHDdSfYkr7TCsgmHVp12rCGg+UeHc9aggpodqHT
K58tfhcvtmYBFBUlWhCCscBdImn9aszOBo7hjhOGGb00Zf/T0IV58KbKOU/rxsKalxXWtmV8lssB
JhZt0zd8lMUdg4E/eDY0+TAGgYq9Mu9WcXUZo9PgL3AV+O7BLI4xozl16dbXYrJkVPtAGZfY4/CD
TD7FZVS8mBYOtqDdjaWItXJO1tdohbdesnaWcorDdUuHODdLTH5qc+cPXmLiiskcdvIAPpAxzwDC
BLDp4mNfH3VBJkxbPbvmRoIeEKrxOkpeFSW81Z50rPiyh/WonyxYA/JCBzaDjX04WLRUqUaMaNFE
r31DJg7P+pgIyHvJAotPklm+NU3+mTYBYI/BpEMc0adTo7M2UpZOUVAz0Z0XKn6lEd173UlvIpZr
EOcV2aJObJCZLO8InvvHyv+/OdK3HQcilCHL4K7Yx9WpCfLLqkzK3RBh5JgARt6qsuOjMKvszBZs
bQ/qb1nyQjr/15sNKiodWTJ6Ku23IThvg6t4LbxNWbvSma6jLd7Vv19i2pR/u6lfLvHteFASmx1a
OZcAKFyab1WBftnY5JDm8uAfdyPLv8+1mOWL0/lHUaHRfN882zwjysxCSchUd+eN+UYw+2tYGx9m
gWOgORTS2jCeYvhp+HM1DJA2E0nc2KJxKsRjAogkpVPu49vFPk0WykaixSxDSSTAi4ynUymS6pZL
/Sx38zVJo04TBwfya7dDKodQGWgeGjyomYWpW99ZdL+ToFiIlvRiqFsh30SsPLn7IvZLVXvU5SWj
QUj6JraKJYEQdhm0HOR3EWuo0QX7Dn02gYCgCfZZ6c111Tex/9Z2owdrDSiYRndDVrPFQODlWNMO
HxnJM+UNsnir5qhZGADIfbAOEHV32Ec6/x6l2TYigAk2b+L91EzYH8TaJ+2LN/mZBlqk4UxElZzq
ayYzGkG3yfBqlNdeYZ259xEkD9rEFkO5pNdZT4V56WvIVfC/pPuBVpY0UN4W24IFe6yXnpcsCUSc
SYAI6G5UyX46c/D4PITB8aoXtcakBiOkpcdFg1pk4dJphuNLsKOEkiBfRu6CqItJJc3rnrZrmRRZ
AS06I8RqZUJs5osR6jc9vMhYUZToR9u8YxbQ9U0zHFzxgRBebk559iUEexTWsrcb6UsL8n4EFiU7
1CA1ZWlXY0EEqOBlM17PrZZsWusOUdXyG7vv90CeqMh2w/9WSXFZBJjg5rRBQabK4ktPznWaHAsM
uR1DGoLDqaAM9zpk2AvHz5yRiYvbNd7L4XJUxFXSnUKwT8nebO9xSkRV/lqHwmCX6sUfjxypBhxx
GDR0A42GMD5dxbGobPD3JOVwjkAe59gzg2STxNJOMInk7WXWOBGGSjnZPg+ktC5zWbZ1kJbi0KCG
wloSZsGHOCEQxri6838BSsCB0ZSsj39/3//UqRVBPBqT1BBl77dDehNpqtSok2eoBgNe4wBW/3U0
//2IzDz+l0tMvdxf1kmmMUKU0Pggkf1JASeWa56U/7+7+Hb41xSmJ1XIXQjqp1Q5VaP942P6fVn8
9R6s74xIBW2kaYxcIJmsQ+NHZax6DB/WARPF32/lD9vKfy/1raKQ3ECq1Em+0H4Kn9Ao5+4beOG3
xpoNSwbWdnojlfsf15R/W/W5psw/5IGhNdC/fX5QX4Y2HvmKKrSSvCyLaC+v64W6nCTd8uXvV/t9
1ediv+gzvokMGjfxxrLiBhVjbUm3oLggErYlauy/X+c3owNX+c/2Mt31Lw9e2GSD0Dfoj4GIuI4y
d9c42FDSLTAtzkm/c/5f9mfec44DSJ4Rn3x7mUa0IQTlJTJNS0cPjdlE3MDH9a/bMn9/aVVYjbJF
2I5hkGP2bZPmtiuTiHb4cDIcFq9dK1XKhnUMIxA2yUqjO5cRco4pT+/flephpW+BdgU26JWMS1sk
h+HwQJIlIzM0m4QBBXPakcS1dVN9RnAiuu0Qoq/Y1O45Iys0ldJF7wNTwYAaF1+B2NhZvqQtJRkX
vF/rRh8c9AVvPU5UkUolw0BWUPWkXwU9/BQAQzftVMFHiMZC6dRslaqdY8QaEOyNV928rtxqxXXM
9QWztDn8DKVFgiB+AhqPMgg1dTlzS/rsGrzt0p6oV4wu/PJqyrTUk7lWbgDmesZbAPKj2Fv5A3RB
Jb6NmParL005JsN5zF9E0g7cgChXKPrVgtTuQJgNyrIHEkKVq5rCarJQycEB1oFSH+r8WFf9Rkao
GX/2dLK0Fvkn6ARSZUkSKMtnndII3On9l4uuvYpWHmnIFdxD7Y1xp/bWJuIcHuWRXLG1J0oPBWNe
Gz1kl/HQKdd07LdWvYj8TRmlz9J9I2kIhAR7qbekra7GA5wRYpsUZY7RjC082cGoEKEBGNmbnyP9
6KEjk4XXnBPgFK1yVFzHzxHNTfvJrE3OEUPAgiNx+JKGO5If2HckhjuWzSPg85kakbWRxqvfHtif
Wh9MxsNM/XVcrUQoAW0HEFB+acKvVpMWeu3ahvkW1utAHBYik+kAOW0rvI3sszEaVyhBpDstipJp
vRyf2gDuabozICBZyboauU+UV+WRrrCCAGdkluGaB9lSIGZcXBy+pBLNNEasJd3FLvrM6AkCMZAK
upPwZwxcyKAZZYTIyIGA9DMSCNBp4KB2gcND0o3OQmvxUBl73PFzX3dtLdM+hl69Ka32wy8qE8xZ
BW4AWEz9EjCFKFQOMFC9ynvsalsJ0pD0nmCxlcMtsZkUcd5Nc5EVVfFNrk2IeogtqlC7mKmeowbJ
Tyxj18SDYx8MdBkmWoHfLI3SEUvEitj1BwArshKFZOt6J6OtLlGoZZSOUjjn20CyoXdHnUmCS+0l
ROXWxwZr6uIyER4Z6hKC5GvjvaaNzmzS95iKp/e0WjXyUa2gej1RNmSofTHm+ycxu8NX6wPin1cF
gQyqtNHzDb1dDRJ7u4/iaJ4jn6DITTK0VuJ5KBB3MRjSGrDUHy0N164Bk44FNseLW35a4s4E0m9N
9JscQaR4hGvUSywa8QGUDKu2mYS0TwEs8W7L+UWN242q6VTobvFgGoUuYh9V0Yvq0fsWPOlqwDXK
SEbD0m5tCA9ZgTeB75BbuzyCaUuHaxdNJmjS4Z6uxDri9Vj5gJYGw73i1yuJfI9wYFRzCCEHQBof
yIUVNiNE+3Ro99jnLRgoSF0f1UiSW4PDOl/Seopzdz4KDx1Ael8fjPETWxhuya2C5seiUaXKsJ6G
F4SjI978jBdM0ApMliFjs5IyNznr6aaQHS65kowRAtIAxF7zrhWDk8w84200ce8yPI3rtWnGz95C
fuYKxbHTxqtMFm6iX8oh2nmy0xXw30WkbTlaKz1BYhbPs3jh50xHVxEEK6UHgFJlK9+NV0RtJPha
mNHOhzI6+D127wIQTpuUxwEhKdEQeIQxF8S20rlH0+fwPmjVI0xwrbYjUaEQS7uv0kiWAQqOIHwN
g9vUOvTezPhtIObL05YqXWdBQuUOXi2oWGw1KF9+Ns4FL+kcqeKrYbngFHfidenVcm5ZqzYnbetF
8V/S/mfU7pPu2CBNYnF0QD8nLD5iWTGCG8Nj1r/0EARaP3dGLQUfgDxOs95DsmpaWbm7NAG08TMw
M36oXehimhCjc6tzHuVv8Wgq5r5xlpV9XbMSq8GxLPcelA1pyin3sM4zvkFGYX1Y0mKKmQnpCKiP
3lx7sFCwjjZYGmB20MIa03U73GUezKxdi6yvcu/ZOHGXLkKnXH8GeNlyoJ45VgPGi2lvD/1edVF3
jIz9WTuZt2JG44wMZ3Y44qVutQ3UsNx6nfg5Pda/bsNAlkWomeWCdm6wT5BAvyH8GUgeAw6aEhl1
G9TjRcEWog2fckEwTizPo/Iw1Zakjc+ZpTZe/dDq9NkJDFcUmnFCyT5IIAxkgxQyMeu7QdCMqsYM
3uBV1cFHPqENyVgIjbmFBCs1EfLkq8ISVqlXbzM82C5kouiUmx9Rd/ZIHAcVuiY0kred54LjiiAZ
0CjRtpPjC0sk4Efu5oORv3p1/e4FhxxBNvkBJQE9yMDVdECDiAxS39Ig6JlslQ0cKafohbewlY6j
lsPgOPv5PU2SpwS51V2kvWEHsbYeIuUqEA5AxdgJM7hciNJJAVo2A3m31jVDv+jjR9MXga/s8Syn
NcyIkUwg9dAbty5DSZ5tGPWOIg3qEC3+trKEeRVDGNkybO9RXsibsukXI2GdBRbzIX4LWUakgHgF
0IkhL7wPYY+TuyTPS0HH3uzf0/AB+D+3OvbcChBMQ/maHAfZPTUUpLAURKZa9SSpmMU0XRqWWCVX
IJEte/boGDN4V+8taRt471BSIXmtzR6hSRhgeO3WDBB7zHZ6/Y6urRTPFl6/0pccbQLfAYErR/FA
p0EluLth6KqBXgvlZTPCVWlv7ijeAynY1BIvdUSTupur4gOl4iYs+Z7GdOF7R1GPV0PC8l9eC03b
esRSxD5IhHCA/wnmKCQFaTWJ6KbaiGyGCgqfeg9y6MnJQaCT7dIlHyHvHoEP2wDq8bjjoxEeZAzb
ffuRZenO82TAZdaWjbriB+mlM4WuKH0RmHQZk3unpGuVZgo91UiTnNSE593/gJOCnwHRlgAKHqOP
Gz2b/q7REUjOqeDamfZUS2OemKuoLTbjsMkIfcq0my4eXHSD4fCiVeZMjG4QphZuwmquXEMkd7nS
zuQsXlr9OYvQpIUPIpRpX47rlMZ0Z6GiZFPkQffcZVtlF8OoJsr12YtfPAzvboEAEeiiVmoHQWo7
MPwFVJtdLJtrA+zmlCTBqcdDdSGnpJaQDpCP24wNu8XOJQ/t0iiQsmr0PpKy2EbCbUB0q+gHJcib
GR/5wfuk7AXnxi334coyXHtQ5kQPzawA31LE8t++GaBrkuxMWMsAnNFv8X2XwDePCITHjMT3n6EJ
lq2bF+lLh13EWAUmSpuG5mp7E4pLHX9o9EfCYMOQ0dbVzwbZbDRuLdrEiKQ7GUygNQ9Kx6wH28SN
VO8GfV3rLadhdLr+wlKbWZHsEYkBx5NmgaLNCb2dJQi1DfHok95jtK+NSNxuVttxdmqjLdFMY4ko
pt9aOem8BaQPFQnEJy0wOy+eCgQTWf7UXWGmGuKzB/dMdPhlnF6d6kwn3fC0xdhklzBIXwWOuPkw
vAghD7zHuxslW3GQnSyldRY5KQFPCGvT5EXRTsRiDflK160DaFEMKW9tf5TqEll3ZMNLWljgPohS
5JlgIQUI5b/HA4CW0Um6YZ0aN1Cb9ehvEw8pNNqAQpS3liyvjfDagD7i3xIQEAUsFpMoz4kIgYWF
BhLtUGWbmNOmkO56vZ337XtQHxq/3LgAwsyheLRpzmLJGJmo3ByHT8gu6E2YlGlzQwpM3wONmlXM
IH2G2oljrZ6Ui0Q8SWFNw4c30t2DSslw4mrYZI3PAKRIiiryaYSHhqAyQ2IuJL2nwslomBlNJ6Ja
PxC6hyQzfAjyiGmIio9DhcTpUA2Mu9WF56KIZqkO6JGJl97agv/e9OskCGyxdGd5AQ7H/Mypu3O2
WIKn2l3NT+vWG5LT7GDcMnFXao8FHm5DhZY+WwghuqIS7BRID1XgNEJ5WYVQ6CKQQBy3xHZlegxN
njmNNALRDd5Nj1YnCeXmvpf2GXUBqjU6aIRMJclOKB+FtjKpAAsEB5wekT0uxe5U4W7t9HXU7LPw
ljBa04neHSMG1f64jepXVfmhqHzZ6BxGhDP1Z6PGKxc5kNcpmLZQcxi+/KKhssxKC9WT+E6DreE4
tfR85UI27ySvjDTvRni6gERAQGSvjFerqmx1gL+l6eUsUXp4imTQuWT5yAhPyDraGPmLmTOrcTeZ
daoQUpuchiY627qLQGBkHzAajQGoL7KDpGWvv6eU1ewOnYg8MyFhzoK2oduld9WkF3n8GnL8fvEF
ma3SKyudXg+KYgEFAtvjgDKCdbYpJgqdd2Dmyx2AGXUU4UdUHRhS9mO7jIg6tCzILIOtCbgHsIbJ
AqBGUvb8qp67LmYCk+S3ZK4yy8Vm5EenQDkKhXaR25NrbfWCoXKwQI7DfaGSNB3Kba141pKjgi6H
oqtZvHrKonoTtEMPXNKAEAMqvyaoIQtqJkD6smIS1hBYoVesm1NGXF30p4LciBKiqo6Y2E/qpToC
EwQIhv9Clddtvawj6WiiGqr8etsnBz8saRgoc0Rgc9+KZhMcYeQzUWkwh+apG4zdBMFOV5kGExyw
O8YwEem0gE/h6aZ76uKZhLQtYZAOhLZ7kbuGgTCfTKT7U5BGztCVrcAXF2NqrnK3Xuo9FXZXz1X9
qSW7GIZUM6C+VuZeT/iT+kzAtCgY/Vj7RnKVGpJfmTyoToN8RiIsSnqJuk+ziyDt/WDMTtaVJ5Ha
N7eSQ6Duyo7VHAJONC6xajLCn6V+D6ER7txPtzm7yq6iBs76A29bAFApw9hBtzxjprDQu12VJHsd
tpvfchKNzp7F5EBqHK3dV/Lc8O8N6cBjtVAZ9iXALbvD1A6forhFaw18bBC2CdY2XCUzMh9Kycnr
bu5rV7fbEY/k0vwpaGtQiGaSZleETUp9YocFAvuwZur5c2CNKoObkG3lNLtGFBxpfhGNZdaeytbd
5AUtoHE+FvTW6rmQLkzzUQzydorW6pRn2R9L3d/2lvWsAGmHbLu4W0t166unNFm2wbah/xc15osB
MBJUnP7msp4BBUVppY2NPanhNY35iiCvx3JVNNUOwZQaLQTxXnjpIgjN2Qh6XHclR4dORu70XOlt
hfS5oZbWvFlUBOTjJe7NYCdMknX/lLE5SqH62uoU4jHfct1D8nv36oOWOQEdiJKBcpamtuFWPyAd
zRu0Td0V++QwExLj0RbNwgQEpUlfFh/U37t6vzdFaenpChABU5UVTfvWFK2E1vBETGbY1d2D6PYL
pkAjr3sH2u/vV/pdOv3fK30bW3pYX63ex8/iAiQT1C/qFEqdV4mIQJoAAx6qv19P+r3/zwXx+0uE
EDGPUaff/6UNOygo9oqJz1DPwxdvpa2kLQMjW3GCk2Kb29wW5v/MdFLEPyik+ShhNUgQbmTabP+9
agYSX9VKbjMWi7MOp7Er7hjGSLWfacWbjvE9qW7GeG3GZ8fwDaeKRyZeZLanEK3ADUxxjUK3QZbq
5afCO5aYcZQQ/ScvOktgXD+C9oNGMDULXEU4a+MJXHVcbILiUJW30t1IFuaIwrtnYzLDGipplzYR
mMV/CelRlYk6AQtn9KqNbhO3GEQxbZNXm6gXsXvApDrioMdiLyKFkWNEf426d7N+XuK1ZRfSERHU
BPyRTz7XON1wtGGotDbU4ZyEwPaS1DqPcgs2+5M3bG72ygGz0qvvbbsxhkEOsqwuNgO40s777GJC
W4Dd91RIdQAdRCQSIEGgQQunbLlDOqyPZojRNecgM4lT8xt9maTvqvCzrtZ+tR35dExhPfjiMymk
W9PERxCyN0MjJTGekgvq2H9QrR+Jc6SIdTR8P4NTVR81o/tw46sTljtk4zfqR8Ebaxe1qqy6CZ3o
CSmGmNTgQMlS2phW7BQW4j4QuVKbYBmptmFBoPLgKMMhUKRTUXwI1k8PkQDA34Flk7VkaJg/YvOx
COXohJ9Glb/FUyGYfFUieebQzsyj4aJ4GcyfE62IbWdoOTKL3Ibl9KgTcjhd4qC8xwoAg7xIqfUl
x5KY8udwPDikvfl0X+PG0V3cPoJxqBNr60nCSmF5CurqM5giLwfUrBoNPK/iJ29F5NETkNkKqX09
3OIIJ/mstO4LPNsxCWN7JAEzbRaQt8BdQQLzhUVeV0dDwJG3tCK2EAooEgmBfVr520g0oCvK02wy
iKV5qgOFTbxtHK0NMiGNkOLAF1YYSHq/vFWkJOhtrH4KveYYFedfRU8PnmWJJ5PoOREc1SJJoTeO
jDkL12kGd+dS8hTJ2Sgiu8ciY2CsHX72KnXJgFtZXLdmd41DrC6dcuva7AXxxy6JurU7YhAUDNR3
1mhdRZyUM2OUToluPXXs1MOU/CJVVCpztXD0hNyi5gbDEsYyfRoX7nqPwQKNGGMXrJpkvmg8IaQc
klOYXgJxzVmCbu+6xMdFD15rfeRmC+bTFKHjrT2ZYvIl1LDqVO1n3I3bcZhg/WhNAbthX1pWkljM
M+qxMNcdWcXFLhZg5WNjGu0KZwmSogXczKi6VZ15PwWKm7H+aTILGFOcX66/aIErk0QZxpxCWumi
dXclkGi8x4uMpMlY/GFKNMGMdYcWTt1bI4cIF86+95pjviaO0+Cc4jNhyZpVJmxb9GfBcC2rDcna
hwZ3j05bHsuKpFwhOZdUmAkRlkqxK4ZxE+k1qaKLWi6+RA9E9NgVJI0OwrMeLTruzd7LModVGDAg
Arg4JYPSWvmV/xCM5oJte+9jD7OT0QNFKZQ60wUcsAZiAyOkOs2ZaARRW9l95r+GXXt1VfkcCRYe
THcBgj6FKV+iMOh6eWVyBCq7V6MpEAeCT8dz6MFLFTeVqTguRtSIPokpPKqOxAiXYA3I9N7OpSQb
iUMuyao2QBAg0ja2MjmWwp7yehYLt7hAq0j7hCA0qTBVyLnk9iREUeiIH2se76RcReZc4pkPE75X
mSOUFx/CtHlrrfYQSQwEQA9QrqhUoh+ZAALGPzE4ymHi9s8gKbdltsok056A7PRxtU5wAq4/0rDg
jK3RqvFZq1IUfPW+7LGP+YlTslJWDSzP7EkrdSvlyoEOsxUiX045R1dgrwcmPshg9xxsZgTP05yf
xGDVIpbOnX4UULWVOkcw0dvWSThj9nXQh5RgZrT4GeakTWNUy7oNliyvGJMWuAXWtTwsx7ak9TBP
Gtghm6jGdmudq2TW5yhoQmGbk+jrOqLswtwONlnI00DPYhxZX0b6pzXscx4d+DgcDZcC5WCU4qTG
JZUq0ittqy+Vgx5u12MUGZPYhcRfDuMFkhcd3YzpFkR1TMddFshMWQ/MO/PM2kxTPm5oFF8CY96S
S1nxh9z2EhHqqr3pfD8az5+rVxxyp0DSZR8Ty4meS0KjSzrbUnARwWFeAkpKDaG0m9J9cd2fMu1o
eOeYcRPUaD4nXKP6maMgq/BMHkFS5ypJ6Zy6qWEimnmxcYvkBNsQSiDbGupnCTNXZpEUGhwh0ktG
1ddSL0PefZLNtCJsu1X0rUHIsKoKLz32O3k6D1dYGelLFSUTsz0NZwfqSNje6VfMNB45bAtJ6bCX
aszn/w9p59XcOJZm278yUe+YgTcT0/MgAnSiSEkU5V4QSqUE7z1+/V3IqntLQirE290P3VFVmdIh
YY75vr3XnmLJsoeUli/9SUpilJLGH4P2w7OoMLiOSm+75QYXCVjZSiAeQd03BWxdktAVeogvaf6g
wcwXkYrWZF23xQ0KrLCitOranvIzUfeoMwQM31mw7qyrPHuSE3M7Vms9vKQLyJrKY7c0g+KY4SmG
p7NW4vo+cd/cnBQeRIYt0aaxfimjJay577myGbEode6bwMeSqQq0uHEqEG6Tj6ZCx2zeR6pxqYi3
YbXvyjuDqPlRuIsoMXlrE+Nt89MYbjNrE3FVSp8uWI8sixdY10lFO4o4InCjES8O+1F50UYPgaS6
ykV6dJTurGOsNKDjbXbZtBBp61CbzJZFjsMVzCz9JxT+U7+XiPb0Oh1XrQu8XH43xR5poztVJR7S
lO4YGSLM07QnEdkAaxF+sj6Gw9Y39l14a6GcEo1+WU/gXfE6cGnIbj0cPiBGWUFIIonlTUYjU37L
evok5toztwi0QtwOuAB7nEZV3tDUdS9zwbrSuPYRcmTYO3oOCFiKL6M0fE4pa+SlgY2QvDlzGWH5
mHjpWQ+jhCkH1RdZZISEDI9iRf8JCWpJWd9oW7CeG3XcZpQcWpGzOM1wnr3a5z2uQK/3KxeJp1Hd
ZGTLR4qCkRxRGrG2QkKvVH4fG23hDRFuEabIGnRMWZ4U4aiy+MiN02V8bizAGjsT5kqAqw2plTop
80K4kCFBwwVZQ1UVkluKH3Y14ec63Ra9PQZTpzYfcnimlXmbUfUeDoA5XZD6nMRJokTDa0krjkga
zjMBw5N2UzSDyn8UILtKC7UzNoYgPBQjGM/gvnCpy+Fp8DZY8HOJvCO66BrqAWrHLupSAQqlwNqH
91VaCbi3om2EuCsx7lhfrDcTGLWJjbpMOYR5hLKqjW0Bg/dDu/b7p3Laa9yJul3p176x1hN2Paq4
oqYaa+7JJ4m7dJsrzUBCm/6Igh8YkLXgvegvAd+OypJAxuum6i5lbZNkbQkFap/zDoaRfFJx6Q/q
TjVwESgBDJkm26heQeWi3bN9Xg2odGkNNPUbuKyK7Y7YbioDLM9NB/XB016MiY9Kc4jtiqQ/ZsRh
ZCXdCrpvSBw66QRe6SISyZ3nIcc1NFAQBlWQYgcUJESAVEO8qf62L/JJ6CuRMyoRC49aAwscwddU
sdn7ySfOI7iXaNePQYic+RhhZjOMxzi/EbQHKbEH4MuhJV3o2Hz8lUJRglpSQM6SoFO38MFYsGbX
OP9IiMyLW+osLgpmwiZwttesftWvvaMPfbXL9iqVqaAQf5haf91xPSLxyvXH2zbVlgPNzdDrb33k
EGTAnlwAlx0crLyhnx37thhwiz0LCNdzor6QoEDpijq7CQNH4V303eQKqPtKJUbaZYs/9jAZfMhD
Fgd1jWQ9bNwCNkgWUo3LpY34D7wXS3qAuZ2wohVls+x07EoxJcUHmWJCh7RavPcNtiLNLkhov7Q1
6kyWFlgqlybJV11b7weNzEi92I2Y6EOpvxNMR6ASovDy+yNVSYmyIofwbTuKF3GhITw0jmnoPpNC
+ao3ykkLqp/0yXe6rmrUQLN0pVXVbjQUZNb9AsfIQlZvlR59fVZuxqRk8WOL1oFp9qZYMXcf8Y1G
QbB7Inc6OVlZ5jVGlkWGR7XhhFHJ4m5KufGbYxtykC1P7NltkRhfscGaSV6PZ+zFmtyx4imT7xLq
PVT/GOCWc/GCQhmzqnbBPM5GXwrERSjcVia26BAZTHRQopvSvfFJCPIbtK0G7acIeG985Zs1tjS7
N21Z343oJM2TIl2aqE3wIBB7mxEUl+nhyQ1fMZ9kxQvZwlp0kPR+aZXHSIWYPjih6tsYReHvALq2
SiQi2rGnxu71T9MhVBrjkyaTKPekjdYl2OM62o36FW1oi5q+TOu9N3ni3nWSQBLNCVLvMaHer/jr
bnBSTlUeDPXcbtVbmf1KxDXOxGvANqieKA83tHWTDrCcf/Llk0jJV3g3wUsQluSZuKGFRLJsMrrN
PLozo3uxCshl044W67wUbKwoXYSAl8hC3Axd88j0lVUHUdWf+AtBs0qZEglN5yHlRLWKx6MRIuXA
Vp928h5cGyV2wrdEFdi+PsDKGJDOim6ULidhU1BQqNYH7yVSQSSkBCrI+YIyYgLrJcfYULt05Hat
91KTmEI4Ax8OC4QQOG6l36gN2phA5vAAb9tapR0o6ZVMGZeCbNXs/WA/EWdcTvJWThP4RsKzECNN
1ujqUVqIcHZH2JolAZBeCT/Ecwb9yuzHpRm+DOazy0o83PT9yvTtgTJyRznUlx4FikQCCSxxvW2H
jaJuak5kAdQfETBMAB4jZ7urZsWC7ngk1RcJfYti3NOHFuH6oVGmRfLWEyosq4ekclyNVJDUc3ph
F/YLz4KR2Pws4EJlDzlnuDBfoGhbWuZzDs2BxlSfYTBtQJGovqNb2Vr2PbKwzHXiJhcFQq7ceDCb
a4XUEktdtgQX+RDlT8yGXkZheCWGS53eaZA4RNw0HMHlZgN3Czif1carnjMbpXG9u9cA+QY4ZfDV
RKDmYH7VxEZZYYcYq7OpbjlWWS+LLn9l4gGy44hYnTPeZUNw7wlyPPY1EWDtJo84QbIKxN7WFe8A
FVDf0TcJbT5sztc45Tc8sFJTHH3mihZhVZwpZ0xjX0kEIVDCobSQ9Yr6THTruxw51CmjIi8fdQmm
R3j3fVnPmApoc6cAemGTMzeyUUuciR1bHQ1fQ4TOogcdXjsCR3UCSyDbUFbq2T3Tbr+LgZDHyjpX
aK+SLBtfj02Lub3eZZR1e8R6SmR7La7R5Apm10rpgUMlnJvoI2DfTnqkfBXxeo8WO5aUJrWq2ZLh
URNi2gPv0roc0ltpK2T3VSEsRoPEmJ7gLU6Y7EX7gS0ZCZtjd5O3O/AdS/AQpF1YnDTMhZFf5tGj
qbwHwVNNlSI4jNnKZX/r3gUtxx4isgL0UlMd+T1TnFBYEhrci1cjgBbNoXvix2shis6Ytb+qlVqQ
xLiclkbZcnbbrFoNE6FkScbiRIZMClVdov33/a37yitJqjBh8HDZyKG2ZhXZCC9jXI88HJhwd8l9
vSlWbCsuTVwzF4j47HLBS4sA9OGfH1cWJUz/CgTYKVT9c022KuS6bhUDUm/nYUUQOQWSclgsIxlt
HneMJgvliUGslgPKjPJkKuUiq4+p9eg2b99/lknRPHt65V+fQdJ0nf/NFM9RITVKVCG7B8W1kdbR
qltO+PNzbGLJ+MK7KYsg4SAH4xzBhf/5OxtWDVU+Y1fndsRcKDuxNpAehSsKtKBKrrP0Gpgb0gYx
BiDOQi+iaxjU6yZ1BP+g07dpWBvDdpIRbWLJITQ00ttlMiE1QorUaRdce1Ovk7DR8RFbSU3KZjnC
9Vr1zWQ0T1aZ53NC6TjmWRfxa8kRopoCf9TuqR2thYCUSGRNLbVqAzL9ZzlurOaNDxJQmJuSwaeI
9iA9Va168Mlaiai+UaXyUyIp6xcaSCEnn7hrUd3c88G84lmiUOXT8kwbVDYmIBHCLxZt+2LFG8Qk
F5MHIjPvOhaLPHUMmWn+XuWlNwjqJMGHs8xETViF/V3Q80jUARFP74IOjbvoFhHLjNCeSCjBT7Ga
5HmDfldbL35jrmrpPtM2MfS9PNx3JKFEp6lfXt+aMge3ixYYUNizkMpIFOlcNvk6CMdlgVzLSH0M
KGRq9If258jDSIosIRb0fSnmKYDMSFmTL7r+Vi03uVhRpDxUVEYN1+Sc/Qq7SqbXROpNHKzz8DoM
2Ol1PeYk62oK4pRefJQ4kzrFBzUz6r5jQknzNWHTGMeYc00WSC+Nodoe4FE0eTQwlz47cAIJcfwn
ZEECMbIjXhV3gBD+pKbbEoxvfjnCrvr+rfiqVyODAwLRqAAdpHHy+WmVgygVPIuKDvEnJMA5noMo
wN9zI0kFJ3nOFu7Kcz6wr3T6sgTORkVwQXzvvFXjxZKi47hX/mKTA7ujZrfKHTZWTpvvqB2svv+a
X8yysiSpCv8H51A0Zy9/1XpqI9f4zhAs1P2hBkYSniEgfXklJQawFP5f+Y12XVFfITgGaMOfwHXO
Eet0mayMRWMTqoGPAzXgj3/ha6F94CsBoJat2VST+yiiIw2/A3C+QLp3K9qt9r8wxK91A0quyh37
/HzoXkRadsqVC6JNXLb2n5GE998P8kWHUqbox+L0a5B5FEaeV5pX4tFbQNMtBMPuGgQmRKENgPS2
TbP8frRf9Mz5UgCclO2brBnQ3WcNUTNuB6+RuWxFhE5DfGwBA+UNuYac8qmjRtCTOhoWpWYjPNSp
7WhEHmiXMYivab+jcJRIkJm9k6SiVE9jeD9ybpZ8TLBLwFfI9ARCuiz+3vef+4uOsSxDfwLoYajs
wmaLaRBQbR19Okitd1uMWwBqMevYeOaGf/lyyjpmU1VkOHk+I5g+qWalPlCO3MV3ssMQWGjGLSJF
nmEgZ2fG++rV/DjcrG1bGJnWi4HEa4NLsRkJEvK3gn/5/aWTpmnst1v+4UvNbnmD8Ey38hBT+Srf
JE6/Vq4Aoi9QPtkAMs98pemXfTfY7EYNGIWawOIKlj5dEnwMWnLmUZhe7O9GmB6VDx32TI0EpoSa
CZSDXitNWuWNZj3kz42knJvXvvo2rA3Y3TSZhu2vY8GHsYbY7AT8XawQV8G+3ckY1PoH6scORDFv
kS84N5/Zrn61VQNcNG1VibBSzZkhrmLzXzcFW7WJVaysCdJa+muaTc6Zh+KrR4/TkiGpMlsyZtHP
V1GiW5e405Oe2wRxAlPdxzZBaZt+i2DmorquV96h+OePabLGvEMhCCCDPr+arSUWjZaOZKmMa9G6
7cNzT/oXMggG0Hl3JUuScIZ9/lJGp4So/KYBnMGBMbNsIPQuOltxBpKMzzzp0leb3Y+jTe/dh4cj
cNvKG3reK+2itVFArMv15CKUL8857b4eSVdhMoLBwwo3v1n0kbva4jFMd9IyX8K02kzJGEzJZ96t
LydAnjsdtx1bInbwn7+TEPWKHNeeslBbO99xIReBI2BoWVb2n5E32cP3D+JXEzsPoChOjlxJ/u15
l3Or1iDcUp4F80AUneYupk4smN3vB/r6q30YaXa72lxWMo0qK4XIi8oxV6oT2gLryYV66GxsCcuz
79j0G+czlcFxSwL1wSs933n1JW1/ijjUGjfBurhxr9GWKKveIcV6re8D6cw7/dUr/WG4eSpUmUqe
5WM8g0m89tSj2e/z8fH7i/jFECDGWX8taoGaqc0eDzcfR09KEq5hB7oAAWe8TvR/Mn5seu4knemP
ygDjzJ8IfZCCiIM1Y+BNqPOjTwdRPPfu/v5FcNhZ1KkpPEzs9NkXiegji14oT7tw7Hk2G1bH3HDc
shY0KowVZ7ptCabqzOt1btRZwaNGlZ93raVglDVX8ZOI+yE6c4ek3+dAnjdJJBDGkBWD7fjnN1g0
I0wl1jC5m5WlvgiX6Y9g1zpwHGES/Avf5+NYs1dqSr9BepYrHKAWoU+TIrqOmvvvHzkcxb+9RkxE
Gt5fhdAq3Zrv/XJprNSBrAeSUJrNIDiQEEl01yjPthcRMgVB32TECzTNZQUWZ5DlLafrCyUBVK6X
1yLpL2lm0tYbNlwu4KkKkVe0sYSKsIVxLwVLXGQ3ci9uKg/1iv4aRyYI1Gqpt+XSdRlMYCB9CA6i
35FWUMESK/ZeFDy5bX/n6/VNhXGqGXCl1hFq65QxovgYRkcFYxQWwUjZR+baNJM1ajmKPE15o7XQ
+MQf4ri1WpDEPqpxb1F0ZrYwjZ8oldPySYyOoh7uqHwfIs/bK9JyoPnQe9pGIjEzRn0MvMb01yH9
Qpl13MdiZPbe1vLBxjdY59CieM+yRP9U2zSZ7XXXUYXq/lCS+cg2jWiMgGbJ6NFNk5tup5m0MMv6
NTTvJSQ1geEiwHqBsLULOamX/KyrX6FK30g5GloCpWWkeb3dtteyxoW/qrStWzh1Tkb9Ophq7wi6
M9G2YF9F9DoBYKApa43WcaWNZR7igGL2cKCWWsXyYUz7ZZzxNgSJnXWgavM7S/kR0YerLMsRtTv2
RZdlK96XenvLNyTpLu5Sh/yPWlgpICXotmEDkUGgjNs6vCRHslM2dPnxG0fVThnhglnRJfJkfg5s
LD0ebWV1K60/kqotw8QDQi8A1OBHZJmmK4BB/9XPoCIeffl2oKgUdDA5G3qLAiBeX8gwL7gLhPKj
qT+mvXlviqoPCbS7kr3C8cyd0SqEyd73kpsjHpavlZyoY+xd2xTwZZ4T5ltC0JdlQNPw+QMjvfLS
9EeLYbITHhPDP5ZphPwQ9VKCWi/cNS1Jk+RHBiYBlNi0YzSNwbUbhvd9F/pYQKpTXLHNQYOY5EuR
7FhPQLMtsqlTsFMhHKLNbAEVIg86Hk8kbvdEABTtOhlQMSNzyRo8g3tNKmxek1WDr7zytypwpQaB
Vt95NyYlGqmkY2uIN0oDKlHE10B0TN7x1GmEovCa0DGII59CX7tQtK2gZqeEHXpYGrwctOhpAybp
SXdhtuLlV46UmLEte+K+E/AqLUb+CvHIirzuYL8M1nIsgZ12u3EYlrBP9AylyKqu3nXr4BJZLmKO
jRFXqS16n+CIDq1LAOrql6Ga35fDT0M8GWz7DPmmmvq8kzNQfNPT4rqDA54X7yUGYIT/1BcuPPk2
h47To0/wew/hQLb32uspEQYVRh9eA08k8l2lHMRGzAY98AxeZKGo+U2b0pgTyV5ue5z11rpBOOH/
HDgF448lnJFAyG0uvwRSuI5pI5VGdSUkb60MGpSUlzZXN61crrrgEo+w2aMSfSHpqS7tsv85ooER
H3zzzowdnuigIfT6wmuv8nHt6/d+fFPjq9G3Cv6UhEY+XWb8nYVdVfdS/9xVEwjttaNCCChABwaR
4yYOt5axRmEG9rFC20CVsOE8P6oQxF8VzG4REayP1FbsPKK9ZVDb06UbSMegaOhylu9x2joJPhNY
pc3U/sWTmDY/dCqoJPbIA/k3lbGVO9ad4qdJcoLH8Bhyhl50BAF2qnKXupyo49pOU5DAAhSipL0w
koDQ8sChBqFrhT2ajyZmKYXaZM3zT9cqpftpgLm0ljU6EX+ggbJHS7pU4oewc3QD0NHPFsMSydVo
/DDlBg+jDHB+k6VrSMlZSbaNChAdCn4NgJN6PM/MQACokPN6vJUYHC39wjLpMsrmXQ4wIQyOTYQD
gV6cPC59REN5vdbKgy/la2+SDxVHtXxggSFiLcdpCfR0m8ECy95lYNx1fFnidvOn4PV6oUQi4qBH
nrEi34689PqNkWH4CGirbITWiTtiasWl2j+7yJU0OP0TX7B+7yoI5uMdwgwFBYDcS/QVdz7YYUw5
kMFo8WDh8p66+DIMo2Xck5rg282wLAPwjIJ2GdF7MsiVHgjEypIlVi0lP+CpXuN63jWoR4i5D2To
dWx5xPfiyaivXPy/PrZlBZ0pTVg0Jgs3Q6OibXXi6SEz4AdfZtM/AmY2q+g9qMCzYp8ojPwHTpia
/D4oTFEhP2M4v1JN/KxWlm2KOHrNh+3Qvcom4ookpxwPu7JGMMf7V0OKMJfolG2rz/ddjTfbHDds
KgYC1kngRfF+UqbWvjv4xzCOb5sKu4TQWdN0Z3chpp5Cl66M+lQA9DFq0uHd5EfdbeimE4/Q6z1G
XAwjJrQQdICZEPHP4ylUhoMORokOggYBj/y66sSC6ajGbdK5jpFkMJ3A+rGqXTcaep5jAdw+7AUn
FZJl1wKloP8uCOml6ek3Ikz+erxURfUhKpCpya+NeFLNH353cBtknm6Eb/OudrsbSb5SrLcyzw6s
CBeC+Gty64lzVYTwulSOZR0G9hheFzzDRcGL50psfGRwJsrwEvDJ8Jco/dbgQtNIuUbpQHBCA8xg
6OkXBKRhsEJjIUoABOTpyuicMOW0rSPg3Api/5rhT4cUMFnd4AqkMXMiROO3ahD3ulmtPcO/q8TB
LsxgrQ4uMPSAlgrcCw1THil2UVNVF8LY3gyhe6Pzz0a+rBFTKf7ViAzIK2xt0K70cKkEnp1B2s3J
IieXDV9xjTK6LV/MgrYpVp8qvZHFZhUX46NZLnW2UVaPsx64MSlhme/I6VVMiCy9+DurGa56ujLf
by6/OBTqH8OGlNkOtkyojrcCvgQcogukYYvQNkI+xYX6CiHT6da8PmeGnH7l51Ph5yFnRT9V611m
Nob0XEdfGcvAQcy7z5mhlnS8zmJ6vuDOMR41LFUXLVOlOff5QNAatZk2rsusmN1r7bJCla2PV4Vm
dzlBEO+pt44txKArHQgHcgMeqWPnUZHsnLQGOAACoed10ZO9YWL5ckohpzVjo7dJYOt/f22+OB99
+qhTOe5DRcUIpiCvhP2VWpk0xOFBZHbfnamwnRtk+vMPg4BFUcdwuv6pUl3wGqgG+7nwTGsbLOJX
t/nDZZ8KHx+GUVAyxqNJ0oaMs4prnkL069Z9jeE4uZV4nQzL35DSENKoxHxguVuR3ane2IUmHsgQ
s2Gk1s3aBCMWrkLU14O7yKuW/xY9FFiIx5D8JcSedbILZfg++BxSeV0wYTfpS8hBiGwBDWcdCDvr
zkxeVGRTGcvYwFKCzLlGQsBJnlgdHgdCV0jnK0qP4xsvqXWTyGBeuTSusUG2luKQEQNiBNqThVbc
zJ9riBAqCzmfP4FaGrekLPTH1rzKFZj7nLgSosu7CsZbu26qJXETdkQaU0pgXE2WOYr1Rrqpde2y
zvd+aSzS4pXoF7v1rZtUunL7azffNvV2mNxEASFJsfYMx9nJEDc37L8ycWmkp8Dd6GxJDf1OCbMn
dJVgSgMC8OraxK7tJChQgag3gzBd8WCMf2rMh0Fd2EL8ptS3mFMLmQwgEgB58scRrAguTwIXE6gH
BZu87D1tRxS7tofxqW6UfTJctq1wIeMbKsgVjnfSIK5FE/rec8OiHRcCie3LGkyqVl0kbMzEQ1vE
NifkjVleGkCnLMR/+Da6cCtmlybIBpzSjapf1Lj+PSCuMtiTiLkSBPxk4cTaYebroUMPBibKkKON
jOSUvbXeInMH9CIHju53qxi6Rxo/aI21a7zkUVCehJgsleyy7dd6HrCzIFs+OUWc1OvyfqRJM8CY
Ch8HbqHE1lhvOE1Ul1nNprUqLoXiQjIPZWWPhKvqHS1zYpjMBn3R3hNKlhb3NhYOXvIGeCXt0F6J
l22RrvPOeAG2OV6k3lsb7eD3ETKkOiOaMRWhr2gYC7WkFYjY1hTZuegoO8ftxAGA2EfrSMeCNNwm
wqMW4YmMBu5ee1JHk2hCd92Pey25zapuF9TQHf3835x6ZgWhoBmaPvqVsSLvVI5+HCuaM92EcxPP
rPrj64VuxiKz25jfxMYN8Fq4k99PoF+vZx9mnVnLMkWsD0GCMcpX7EoHd8Wm5mgtcsOeyo5ExJ0p
pE2z2G+LmUbLGqi7RNtstn7W2oCNVmW8QcUikGK0zZZuSjJLe26l/mLZlEyDHjaiRpazeTFV8aOu
K+VWWXgvfwYdmjaclH4B250UR1xUZ67kV3U0qsUkwEgKFtV5n56ZJx2kSRDRLVoqhNWCnsXGWClO
ujrXF5Gmh2t2FZEo/T3WbN1jqtXwXzJW/aqvRAdXAv9LtuaTarcOeQjbYtNfCfa5aPYv2vbctw/j
zpfCttRH1aWVVhD0TQG+3uR07VFgrKLraiM59SpYVuvvL+y57zpbFzs3D/Rg5Lsa5mFEdKaF0BvY
6gl2Srvw+7Gm6za7rjLs4En3QLVXnfeDrFDAwzBVxC35XvRe3fL4L/x+CU0g9Wokz/PKZAUGoi/g
/YJyR3WUEkJ7jlj6eztQlxWJdEpDUZBUzcMwS8vHWRjpXK3AOnU6Xi1Ye6MElSRyUoL2mmY/Gvff
f6uvHgvAy+Rv0kHTVARsn7cuYxWIMkk8CnIxbVmtBGbei/wyOKkHhNyLyO7Ih/EuknN6nGn+m9+t
ichJ2ZieKnbmz8OqRqrKEu3WRSPewPvSqWEAU8ugdEzov9tfX/K/Xvv/9t6y6z9/b/W//8O/v2b5
UAaeX8/+9X+vgtcyq7L3+n+mH/t/f+3zD/3vIX9Lj3X59lZfveTzv/npB/n9f41vv9Qvn/6FvXJQ
DzfNWzncvlVNXP8ahE86/c3/3z/8j7dfv+VuyN/+8cdr1qT19Nu8IEv/+OuPNj//8YfFzPlfH3/9
X3+2f0n4sRUfIa3ehvlPvL1U9T/+EOT/pF9Fe8dSRM2gl2pxk7q3v/5Ip3lPo46/gTxCM/mjlF2s
/48/VOs/ecUMQ5xgoDRVRF7qKmv++iPw3SIdeYvVwUJl9cf//WyfbtLfN+0/0ia5zoK0rv7xx2+8
WMamI2SA+6S7QSTY7BkR5FCT/RiPs341Lkc7ccY1+v4Lfw/uE4mGYJ9bB+bT1WzAeVOtM6vY60YG
dPNXOYRnNZwKghF6J6Jz+OFG/PVlP325+ZIzH2vWusFzHGLvh3GXhk+tOdWCY/e2rVZFiQkRyIl6
DDOn0LbfD/vrAPjxvfs1LJo0IK6WMd33z+9d08ldlk6+ceVoHSEXOajAbfHWvQJUvTIO0tJf4B+6
nKJago3yXt52y4H8FhBS49paUJH8iTrmWTjbjJ7vLeafa5ovPp6g2ggaHbgtdsY7M76mYl0VT6V0
TjRwbpj5I1XQk6s1hsEj40TrK1oprL/AyTSHxdeJb5IjgUH/7PZi9uX06fj44ctlSHK1yuVe67QR
inGF0QUQ6D7otugGwbGhrQTXdIn/9fu7/Zsa6M+BVcqgOrspNC2fB26atIrzmK4WglcbxDOqx3pN
vAjyQyiQT2dGm5aK35+tv0eb3UPEDDKRD1xc8WZ8LDf4v9PFa7/A/uUIWyzkq39pPETeFnIJy7Bm
S9eQldWg+L++nbKMm/XU2M0vp11iyrnEor5ybgc839X/eT3/HnG2dxsGw48rl28oAbFw7zxs6HWz
+f5rffmIkhqgSJqFXmy+CxCCwR9VU+8umv4QkCJGdUBMAA6ek3/M90u/vsvf48yTLPU2bVTXxz9Y
Gj/a7jmM/qXb82GA2Qyn0weI0pIvUjniO0fDtbt016TdLCjqO8HhnALjy3vzYThWxo8vWeq5qdUH
fB83upCoo4IdK/qf398befolvz3iSAmweyJrkuYHhT7QuTsTwkdeDQvqZ/UuuSVq7zq1gRytEghd
p3FR7qnGLMqVhm17GdjK9fcf4ssv+uEzzB5CQa0zKRV57Mtq4lkumnintm/fjyH/lsP56/H4MMr0
KT7MWZLuakk/zZRTea6gJxpFxwZvpteRsXmSwUmmNZ2by3pYhsrJMFelsfU5xxdsVENhbTSXkCzl
dNMoyzB6TuFqROR3dtWpJupbpOZ+MtHmpON1kYHGJgUNf3ZK8iwpQ6n/EoYrMpdFvNkJCT6Nv5Sw
pInvg3qnqLbY7qxkl5U7hZ0pru0ouqJ7mXkq4ej3+MtUaT/kK9daufoN7f4L0IslzS6fUlZPApNJ
xSr3cCuScbiLNJC7eByXvnip0T9XsrscZi54MMFciURo+/J7Pf7Mwq3JELSOEv/Ko9vTtD8KWhdj
C3L5XexOSXfsaduVsKerZEUVDwyiAAZ8QO7uezvRehv52xWNUPVeJVvIw7HZ1g9S7wjjzovWiTo4
+vAojUCa6C9SwxkToi4R2ytptAjVOxcPGSEwsnsgtL0CzFw+0m0aAtku6vuIdrUC5qAEuJPjSAU2
oI+nWlPgqq1hsRkDfOHDyOxPZxHh1S+MogFNkN0UjIpOPlninUE0Sa9dAhjIcipGLuzDUzcuAYj1
8rZoIJwQBE5fosgOrkjkE/EjVnydyuBoo5vYu2qatzbeGJiguYDkdIv1Ri2OOD5BYmo9NaHJ9U9z
PtAp/XsbsVxr/arQf3Qh4gFIaflDT4WUMLwwWGvBs2bywTxsHxUJlPSSaxWMAEAl80kOCR4F916t
c14xgSOZSq9VujEj5BvKrqUtKpHbqKebeqBLCgNNRXBfsDAAiY7La83YyYRC6vKJCCdP8Dcg28cU
9Fi19CA7VMar7D9F7TpsnxQRUtIUI7hOFcQQ+6K90dSLBM1EQQ6ILi/7aCvmm9FQr9s0RtxxY5XP
tHqFkFDklzC/GrBHWvk1MODYSInvS52abn5ibHwLNlO6F7NDREem9onkkx2rvtPN6eZ7CMPDo67D
flnqcsZT8y6ccyf8Ugd9N5lNK9GHV1yN8jAbUyYS/XksbW/Ngm27O/8+OA0EZ703NhPZRWCT77gB
GJktfQfbyvfzzJeL0IdZZrZBKdIajt2k8bEKKOP6YTxnU5LPjTDblPRgetNcYYT6lTLqQl1Mu4T+
cdoOpbb5BLVmwLgwkpxAy+4HNMxVQuns3Mnit1jnaTolXEOibmZRYJortUJVS9t6WtWxpuqwIRL9
IW+vTPFKH7Z9exzHpRQD/ld2fbd0VZp/WCsb/Uom3zIf7FpcttZdzw1w0XlBuvSVVZHnbCLvPADO
bPPhxJVIgu40qu1m7fSJBQA8XYgiCNTX1lwE2jbrT42xtbIbl7iN+AfwCJxDj7r/TIXdxc5d9s73
N3e6efPn6+N3nq3IukEjUWn5zkaFgIsqbhSeYm2vx8zm57bY08b9u7Fme8GIEgfp1NzmbpFuxHdQ
iMvhPubkEi28Dcy5pXwQEVenzvl96FfrMfUmY2KxaSpnqs+vUTWOQ62rXo9gaC9H+wrFS92IZ16U
35yNvx6gD6PMXtYxSRKxMxnFOHSO7BQrFCmSQwbSlXugarjwt90ltO5zD+7XXw4frInt5ncZd9kW
qlROw0rWJqB1NEEmrffvn5NfxZ7fbt5ktv1rkNmOxlXCfugVBnFjcIbgPF3LAXnQEu4Bf1XQtp77
CDzxIhEPMiSRKN13QbrMmmXi3WE5Lpv7UisXonntknffAN+sbg3zRsbhHISY/DHrE3YO4r9DjA7H
Xb2QtWgna/6mdnn0wQ9Z7ptojNs4Ve2CyLsxBaUw8joGD30MG4elo4XhJECjj6acgOEBysX31+C3
Otyf9/fvazB7ilIvz/S+4Rqoq9YWnchJ3mKTxfwi/FE6g53ZUrcWbBIN/81xZ89VHlSUHQfGRZSX
4E+7mGbGChYL8ljtWSMCGDGpZ0tnNrFnv+9s5peyivzAjHFLyBnvUzKeHTneltTEdiG/4qRUl9mS
4sTP77/vV8uB9eFRmy0HWcAhORHBlbYWgso9GqLvf/90uX57lCm067IuYzaeV4njrqsbw+f3d9ax
77eJiJIKpgtRvd+P8+V7ySlERTaNz3luOJaaSjS6iHHSAkbYqaPHp0sv/94Ys0cjVHIzMgfGUIVr
rXoBCpUazr83xOwpMLxxlMim7kFW3kbFTtXXen3mPC1Nt/S3W4JNkcI6RU36SZ/n57AmJLtVGGMy
ikwRUO5PxHU2bK74gljvC3nnb//0R3n5ma/3xaqkSCL2ClYGyZLncgzB8iIPtg9HYMDckKPG/uin
a6U4mP+HvfNajhvJ1vW7nHtMIOFxWwblWPRG0g2CIiV47/Ppzwf1nBmyujZrz963JzqiQyHDhfSZ
y3y/QLeFpEpz83V/nvP4fLJ4spUWWS0CM50tQmFf2J48sKIpm6SC6b/jMb1o72TbmnBjKPFsD6Rb
ThkO2aHrwcOrNccOLrsJ/xbzZJukfZTYk8lj2pQNfB7MwYp7FZmtcTEX+Nc7hGQI/C8QPNij6kiR
W/bydYeeWWef7J3cYRrTTmLb9pGvhiiUt6+Kgz68f2FTOjNDPxk5maFp5zTKNNKJKYUpZJAkHDay
XFvGewvNhgSur9t0flb+uw9P5gj8zzIaW8wZm9lLl206r9llnn1h4Z17X3xq1uncyNi2/Lnv5jvZ
uGoW0yYEkztbhEO/8bdIUVzHi3A9u4QuV1JdGrqT7Us2SZ8FOs0UAaz0vTC/lcX91z155jShhcSx
XKIopvvHifLhBVUnQ2WUAhNj/SinG/kfC739Nd3/beBk+pmCbPRAw0CNv3p+sczJ9ksuLJt0i2De
Zvz+dYP+VlFyavBkKpql0fiywGD02muLZCu20QaA2ZwygjPrf+LC1Yk5ck4S9JxL3j4v5xKWUeSU
LOd0dxxXYtVt7pW1ftfs0v2wvSTXeOZs/mTs5Owf2qyzDG2+ckwIruydgtowf2Nyq73QiWfX84dW
zQvww7TQ3aAj6j0bWunfgmdnQ2R1SbJSQgCF9NgrfUPuxO08fpcqcs/Oecg4hPRUbgbWyfboqw7y
AC2Wq/yQmz9cgjb6hWy3eUhOjlOC1P82cTIlM9etkLaZG2c9ReFdRmp3DIU1Ahx2yUV9qTUnkzGp
3Nhw5ztiam1HZ6uQ0qW2F5pzdlI4KNxTHUby/2m5pVZqgTul8+0AVwAQydyIAPIgybC9MCnmj/1b
v30wdDL7AjUblarEEFTg9fiY7Euxtn/0a8CnUJKWKW+V5QWT81B8ZfJkHjpD0blJjEm0FvxN6c1w
8ipn+9C8uaD0P6U0/Nk7/tVCAsSfp72bhQ6FOpgLra2avvjDPi5/f90kTZt/yH/dJkLNn40IR3LV
m8drVnSbxXpwMNvVLrI33dAtkEVLBYCusN2Gg0fa+0ai3EIqHHKR0nlG0lprgR7YzbJ0KAbAlZiT
n7ZLFRMWY7Pw9aOJlzKPoGbTVYN1LCTQIA3s2PijgudfsTt1v934J5IAK636ZTsFaYDFqs6+5/Ct
RfykNhtEDXzlKnWfW5JsDVycaD1a37UE6a/0OxGkxQC7NPLjtQHm2C8XoyE90p0pO5r8b7b7ezCr
dZf9ym1UyagRkM1jagFeDA6R+rsYyOxD5fKHBvxfjxwPPGQlHgLqBWaMdBayTVvgpLNdZQA6Ucy1
WSqeDK99G+3n19ZAD8ALiidDeSjtHyFZicq4hWy1jGNtgcaVQuGWY+/i8BfOY8V5aDUuWnKjozxU
o5dG0ctc7K83L7pypSQu8M1mEYR8Al6omVQbrEpzFRVeogIMvdPjR9NZxSZUeNCbuPvHLfhDioi+
m9GR2rmlxbs9psbJp0KrNh5qKNWdb99ZoCMV8VbBKoxNgIdEUyo0+qqfVXiw7QfSYddw7BaZoSyd
8C3yNwr+12ldj8dgAjcPG9ggtyptlhNpqWO3L9CrRPw68h/Die3KtxGzQZlwUuQy676ZDTpCrr/g
s7sIbQdBnVQ2rEbDXoPGAHy9DoqdNbzkiMORzu+DkBKlFyg7m1RKtaJE4zhXM5R3CI3UVCOaPQ/3
6GaA0R4vlfgI5IJc040f3KTljWLeBuqtVcKnpE4YeJGe3Y98x+guCzzz0OhyfNuKdqUNN7pslybo
KBnhFO7AJs689GT19ZI6c4cxBE8T4lkO57B+chtMpk7qhRvNOGf286chvpTMN6/IkxX7ycDJNdAq
y8qRs4H0Ctb6ZtxGV+4GbR6ACpdO+HPPg0+2Tu58hdNpEQVBPL//lPqmK5Stlu0CnPQOLujqPy1o
Z8f7ZO7k+mJBA+v7HHOmRWTBiJdFTGnON9W80IdnxkiHLvbPQ8pWT85co7YV6cyv/VD8ygcADvLh
60nwt7rb07375Kg1RRqT3YaFZt1ezdSBimxEf2FsL6UEzmfOyWz41JST6WaSRMpuhqGZedHwDKih
If038GRfH7dgnz6fE2ETqH1s/mmQLBb9Y7oid5m9awny4gCbb2W+f92FZy8rH8boZOqVTToVdoDB
vHi05CZHcsW+lPJ7tvPcGahBdqzlnB5+hWv2iT1P79Yrd+Z23DZed9VuLr3czk63D2ZOppufh77q
DphJApLTW54c/ymn6s90+2DhZLoZMVVTZocFg1gIZaaF9i7c5dcDcvai+sHGyUzr/FZS0YeNCbC2
ph6S6ZCR9+pXd6FfXbB1buPR8fD8a2ROppuWg+OH5ouf/MbYzBM7eqKKcG1vUBpfBd6lLOKzk+2D
uZPJNkpI36nAXOFDqQGymvfUDOSbr3vwXPCMc8HScGU6jqmfQhtzXSZK5CQEHZArqbpwodd3CYg/
KjEyeM95vyc/H6UGEi6IIqLgUb20/gNCitVUoe61DXKIc/17ngtwfs96B4SoMvaBfoEicdYL9fE7
Ty66FYd5pBQp08mKZ749dDDFRd9tvJps9Ld/Nmgf96U3ug+Oufu6j84FZj72kXNy6zVKv6wCnz4K
d/2qv6ruOeIO/WFOVy9fp6vxGK3i4yUZoHl8T3dRTdNVQqc6gJ3TrF20dVWlEyittFAKsupaiajs
QQChXX3dunPzzBT8Rz41d4TTFKuiSos2M7CDKuKALA0A6OFCB57b00hChZlCbJSE/5NlOhhZX6Ya
Ul7xrsUbReEta+aygr24ZOdkheqT2hbRhJ1hKbx61RzmdVrtEangVYSqq++hyb0EkXvw19mFvMNz
G+rHNp4sV9PwG1MbsO3n72gLD9qF7efsQrU0U6imaaMLdQr9JKcgRx4SAwS/NkheeaXn7/wN/lgK
Dv1du4Dddm8R3NYWVAjBmFK+B97/6L354Svsk6VQarIqbJuviMo3BOxTghK16w0ZuHTgY7DPM/PY
1OsYZeqUq/PXU/VcRIm18K8+OHXGibju3SwDKN3s0bpZGuscKBT6Ea+UIC38hf8ybLUL0Z5zy+Oj
yZODsiGlya4MGjyVqPgekOWohwtXv7MeuY82To7KVhl7p56bNf2zNqX/ac7+v7Vye+ludu5xTQmA
y16PntmMlvl8aTKLoFfDiDsMCpIMmicCMMsovmRbJyEfgZRZ/XFKO3jq9aqIzJ3S3RfDQ9I+qv4x
d8yFUnuasXXBhXw9tmfW7sd79mlOJFCSyXDs+Sjf/9kjDtFuBqVd2svP3Bg+mjlNiYR2VAWJMZtp
fkbdj6R8ROAZWoYU375uz5l588nQST+3gXCT0sGQARzKoOa8u7co5//ayLlkxU9WTmZnnaVSCecL
kDqHlDdzzbO2Lx/l1Qz6IpN+pdz7HoGp8Xe3y5D3WRQ3lxy8lxp6MnnBm9VxPocQ9VSHhG4SR/+p
OLdfN/SsEXTyCIRq5GVa859/cLcGAbiCqY85QdxjUnmluENr8msTZ2eGwflnE9bFVT3/+QcTYdTG
pttgQu1fUdB2mjdLhUofHszgQob+mZPdELOFGYBEcOGkMZTEGGopuU4YcluCbwG23hVQVYV64XJ3
1pBJEQdgQG22+LlJbdDhuEJ/D0rM2uFo12/scdcUFybhuavZXFiEOCIlU9Skn7QHHZw4J/OPnttT
XKqv5JaCIhxthHzQ+9teyrU/u1PAFJs91LoFSOpzq2wCMmlSzHMBDNtM6Zs8yys3l5KN/1bF9+fl
TxqwM1ea6ZR9fbZjNlaSqCPNGpb6G4ms5sL+hk9oTXgQ/kM5rblMrMs90mor9Ku+noxnR+6D7fm2
8WEyuk3QNXqPbStFQz4Eco1jDk6LHl2Y9WcX1gdDJ2PXKXpphBaGTGguzXHq7uro4eu2XDJxcjMi
QFeNhoOJMqRee/xmpVeFeeGUnvvj5LJsgA3+11idzIlpiihqF9iY02Tt+qFTf/3vGnHi2rd5VrZm
i4HGuR7FT0X36ouBuXlCfdWIeeJ/GPTUlW0Vd9jQNsKrrrujQubwQt+0r4hPb1P4LJdmmXmu33hV
Qc2G14gCyMnwG6jpNcCOxoUT73WtWKW6J823lgLBvvwxZXs7ePKLe8TSUbaaoVSPfXw/pvdwtqr6
2gCXlVtbhUx8boNm/OaImrTfXzWZzdHKIpRTKdNyaH9KOMi9S5H5ErT+klitox8M3VlEKrrxFJxL
dB3dtyoUCwc5BXdvqqusfpi6J63fEGgorVupP9tJtoUbdBidB6VD8NT9GVV7ByUzV9kV9oE8C8dE
ptBB7uJooThWpXcVWeLBwm/0RT2iUfxdKjcVsHh0vaxkZdkk396q5oyjOQzJ91Ty4kXZJRtvVASR
HZVfFm+UQTfjjYyt1YAgs3M/oSqXg6emQD+BlFLfjf3taN1R8TOVt2H/EFsom+304jrtSDLFZR7w
EjATntDhXZdk60jsEtRMAvKK3anbSoQjW2VVRq9Z+B76NsrR8Iw2xmAeqPPXwWwBpFuIeheO11Py
u0lefEDyBd5nW7kZ/X3qeNIFP7ZVpuPQMkXyQ992XgdOr/C5rBn4+pX0sTEofdIPvZDIYLOPoXQl
ncfcvGpDzxRQDbSFAEGUovCHe9NKt8n0DY6A0r6GGmqOszR6hQrOe1NfF9PPIUJT1d7VKKj46kYB
LKG2AbnWCIfV1jbNsru6VHdxZB8FxANrsjZpo+JbuG402DeRvej96zYWizhvj4kgy1tW2wq9ixyM
FzDYJ012v0xbPRKGXAr1utS121SGN0HRHDPgyoqtr8nNWkCBhDDmRYV4KsSNpmwKcS2UYDVVt0if
PU2KSTHyu2te5+CYBJlBgtM2WJSwFobqMEv6+HSJi1of6mKC9LQOan4eO8Au7C00DnLp66j1VJGt
TaelYo9svaOhHkJkJsX0EKCb506/gGst/fKqDL47UbJ2uGsp7ho2kADcpvYA52uW0oNpfyOJdFWF
zp3o5DZWr5XEQmTgClmbJaKjm8pYhdV7W7NDTuGqoaRA2sUCevWV1aS7Hp2qOn0yovhBtsreNqE6
Vd3GRwOOk2Ef5wBv0g4sIapvaAsNnbmueZNVyLMmoUOlRrtI0DAPW+TJu8Fz/dBzXX/ZAwQLc2uJ
MAwrYh8Dl0SqOkHazgg8dXTXuWx3YczfL1BUDxdC9+AirnpkFAbZHpx+WPv5erCf284C1EipQ7jo
zRZA1cq1AUXZYBtRYZoqZ2nK7waFLDllBxbiVnLm3fmkBQbKoiVwYozELMsHhImM4kX4z5GFJhhS
DHXfeaa8SopmNVGQMKnf7GjXZhaFFfcVyDuEriUPTyX8bQsWpo4Eg0jWrrDuhd3vs8zZ+gTl7eQh
q0wepNYmqn+U9q0+b+QKWuFxSc5WD9JxFvlNlhOEqBbxbl1dqCUq7ybi7j/zFn0R2yUpGzBwrSwQ
cUG7Kj8MKTJEpdiGs26pi+RPq1RbhZdi6P+Uhr2w/d0ABC63XoIUclofriqfNTU2S7dsV7IcrqfR
8IK89RLRIQO8rUYe82WwUasBla0h3urj8zSUfCkPM+fdKrWdiJ4TAnBGMRzGdu5d8trRn01b05OT
8lyhM26H461WfPNRv/Oj9KGG1oiI4qrRnlOV9Clfgb3xfURCujR/5Pm7iQ6HnB4atH4tL8VJYvkb
O7uO4yOExFWB+FFmZQvTQZ0m+e5rKajOO02C9biL/AMKnoL6odZH7XgjyNsd9V+W8xgGG8ulVMUn
FmjgIKCEo0NkQw3v8+5mir4DfYzMjaIck+wtBJWfwTnsN7FzE5vbRhRsFeDgOQzq43zhCUNgk2W8
0lSQWEq8tkFQ6e5eJZ1IBYoR/xTqdog8YXhVvQkpaxc7n/15SAvqLe67UPGU8L1xtxNCr0ZKfY0F
m02/MzMTRNW6sdCkdygFWmTYshHdSss3aV2hL0iS3cIZnhoHCep8M+vLK6wV9zfB3rG7KzQ02H4X
ZbxwAg/yq2Kg/UOdSPyTY5ZDLoJSEKASeGcBPhPRk06U2X0Nwl99+JyXSwLa03BnJ0h0q2tNUCTe
rntnN2/Yqf4e1bfI46XhRiOkGut3XXQTu6tK3+kBYCCd6yeMwPy90Peh/qCg8kn4X2m2NUzMdD8h
DJsNXjZ5Wvsy1IfR31gp6XvWncvY6vfqoAJoe3KCXcYy1LKDNiuMsEByFEVmLy/8L8TGwAwKMHLR
u0twvRzZjdrbRv6gzCeUL3aL1o4KLfjFCI69+1yTDuh7E+hQqH3RbRYhG2W8Z76+HtlU1b2Vb01U
AMsMuinvg7yaKaItDCRCKTkVUu5riYYcYLeWICjqhcn4W2WsRv2hJ+Fd818spE5C61tnHMO0XWi1
pyMekFK4XPz0KZOI+62vXyEjSOHXTRbtovRG11a+gxrYNwkns6t2mvGqxnfFcKukL19fDs+FBmAZ
oEpEUTyqr6dJoLospqLpuEbFV/1qWrtetA9+wWby2MGSRXCx1uSiwZP3QRbbodY2GOw9Y4/UND7O
uW5eLuVz4V2m2J97jlAZQHkvNAeeeCfXxNE1c7fPcVAZxasqr5fLMv75dReeu4iaVPnSgRCcsfX5
7tso/TS6Kpsn92vHee7T9dc/f/73p3drUAaU6EAzgGBw4o4xXOGHftxxtwYb2gwxJxH56BGopWMT
XfDnaecu8h+NnXhlnMpRClG3c1KTtVZ87hFVvBzTxynZ+yE+GPMNOekpvwEUqijgMzuO7+RWmiow
KbJdFINihjdhF/txvK5mcfpeLNThn4VZ/x+Z8X9mysUXyAzYH288//6ib/xBbPD3/wJmaO4/LMp8
XJL7bcvBn8E8+ouXIdx/4BlSdVLIoNuzyhn0/4fLEP+AZ22o5FagloUDhMn9T1yGbvyDUnIuq7Oz
Bx0I0/pPcBmflyEuHIdvwj01y+SoMzXj8yIx9F5kRoBK5tinxFJTmQq5CJowuwfjwb0c9OGFqXzO
Ih1B5hyH1tyIzxbzVG1qMZW8jHS9XBu5O1BCIuoHvdD0lYj6S5IPn7eBv1rIBuqSxEgbkWz5bE9X
q8DNTSTqm6qySEsqivglDCkz/TDgt3+t+49ojnNm0Feg9B4ZIMDqJx3JVjA0gR8FS4c8IUpvewTU
ssBYfm1F/5wWY2uktrk4FF2Bkwr9zNOyhN7XiRpqVbBshN5dc8APvfSpTI3LhntbUSMGaNmNlW0y
/KYh90dhp6izR+IXSbPci2qyaR3KYUXFAWq23D5Uc34kSnST/bUy5TG1zn3Yi3szafAUuUiCW0ta
Z3yvjZiDNO1ast9G/JDXeWY1xtaphjTca6laUsfu5GqKQFeOenU5tlawc6OoDy50wukMmvvAIYxN
6JyjA2f15xEtclvLojLmyjyK6TEtXPe6i+qm36ecAy0lxmTrrb7u97+bBGuDHIkFumautjqJUakw
2cKhSYJlX9X5KulQVF+QAJVtciMJroQP5e9rgyepNfNAE6BVgQWoiCg4ZAx9bmTaFGkkxkpZ+JZ0
uCwNQ6gsTT/j/4GpKAimNUqueU6JoMNy6pwAX0iIflviDlX1+PXH/Jm8/z7q/nwMSQrI9RmGprn6
afOVqRgdGYbg8tEjBsiVZVN34+SuG19bAmWqlQWzS1nGmW5Mi7CIfP33NPigfuG/2mIzSd+JD2Pi
5o2nKo2Csm/jSusNNfYoXVuJS5JjLG20W3FaG9+KUdHaK4VtEylghLFQhNN9IMihNSKrDiV/cu6G
XuWC/nUzT7zOczPx+M3sIHIy8O39Kcf96C2zhmaqlMyf8bhhCLBOlo1nahC495akWOq2EarzVnUy
QlA6zQvcJDaJpZtJVAF6IYMdunvNlLpfLb7+snnz+Nz/kD3mPdrVjZlTdjLjk77LuOAIFw94PP6R
rIfsaOejfCRW0lzaZNw/V6NP9ggXzJqbOPAoQP7beOsjVDHfZryNWNdIfaQosl/GQ6FsLWtyo+s4
L51bEfT6EYJppizTMiTfJyRuBBI3LiHHEluBEz2mEQDDEra6+egnwqHOJ4w61MByOzQXaj1rHyb+
aLbfXKXPhsOgMGFmMPGEu19kyPRoitHzOnDGTsDErPRk5coxaVAm1/33wS8SdGYNgNadUuP+SfSe
Yt6uV8KHUmNVLpvB/yOvq5II2uYxD8HRmmB18m6lSNJoIrQdaj8joTVIFdt5wGaLIrRm8Tu5H/L3
TUhdCU6DPr/qrGBI+0XVDg4pl/n8rJTs8fEO/UpEDRMNg2WsVubW0Ctwnq4tc39Vcd65GzPBMQqj
QM3jZRLUxpNaaXgyjVbw2Rnz7taeCUvLoEa2MiRBmAJSdDAAUkQZULcsymlBrxlpvqWYtQ/WoSZp
B25F+10bHAmmJ4l4GQ7CGSn+pk4Sh5olc8REdTNT0Jyu9SdVdPxc1aDkmSe4kfkrQySDXLdNYfY4
DmtH2/nsNgO0Br+fPHOcm9S2ZqmuxmIYwau6Nl8tYwlegTRU+jCnDClZaUpiPFV112XbztVyc4uc
GK/4sUr4K8loqa9OiA7SYejBVz3IpDeI8pdaNKCE6Zp8juLAsQj+sC+zODMR7YzGsV3KVtJtshn4
7tQM3frR+PNNBp4EeP2N2lHoWlS0IZsyrfTKMuT7NEVM9T4mUZfqoWgou++xL3ihdppZmFtFS1Tw
Hk3cuJsgTBmQtjNmMeeWaAD5Djbr28vhz6FszeJ4oo9ltYpKmz5Cw5PxKroCeeyunvjCJu0RYZhS
k3+Ukm5rbgdL8rV6qmLFzLT553OgkxksSmZMq8UoTuRaxc8ZCupmlmE7owwsaTGNsxCMz7JuSOFZ
x1rA75upSP2V9EvGpmo0+S2OMvmN58bcI6FALDlD7oE8UmnTmaq0fDiyTH6SI52cjsUtFnDPT5SZ
ZzwUVO16fRHW/sJh4VokP2sBT7ya1KvV6E/6U8vNAL2RKkrIDaf2IVzDCLfN5zQrGMpWd/huTQ+M
+Mbo216uK8G+B0fEDqx+G0kdw3WjZ+lbFxadug4am04KR4PZEOn6PJhG0qobVytEfFOlNcOVltHc
hXC2AR0QO9BthBEsxk6VHbOlnCJ6cpKOjO4h6fPrYnIYC1IcapD8lqXoT3/1ZGoPGJicgC/NBtNu
QHmo1qzbofHTNL2VZAgNCr1SgmPK3/TSZe4WakOfd21qPInKhqbicqdaB0FUslaqUI08M9Dt98kR
JRxcYTPxQrvJzG09DQVABkF90G2MYmCxaDrSlq/1OB7qvZlndn0o647Vn2Q1gvVazSVx1Vo520dW
dgwXa57+gvfNz4yYfDS50VNt7081k4GDx3lXzT56aO0BUH8mbEasBEdOQLQWkCR7nW1zm/QJDRgI
qUReEllMtd6IhHkVFxHdQV0xP10Jenq6TIsChZdmjLV9qhbOe1JHXeX1ij/Rt2rMr41BsvIbcODB
ocxHF0EZY5K1Z4dJzqCWZdnvpS0m3J0T3ZpziFeZg++Fe0z92NYtgyvZGuvbMDPpQU3Pfe26z6UK
XjDOtD1qvOZw89eMS1IVZo8+WUyqVE/4Qs4HtqXOl3xzU5auch1YEj31JM7zZm23KT+y07UZJ1tz
rd9yH+MKUeuCJcB8xmzp1Dmpu43F/x0u5T7Eg3mTyykKKlCdmAqWQFg07Gx9E/MHQTd3KEqYHFWt
4gvLcwaf2RHpauNeCRQNdmMpsWix55qsm4h+VsrJcW9SkMTDDdtPp6+UrhrlenDYRI69OVX1reIr
43i0Se8NXqFm8feDNuREiMeGxTyFBu3tBoPJWjsRh0zfzQvZMaX8lpioiS+aunXep6LUQOEkjY8u
xdhlpEB1jt1XXt01rP5q0JgUfj4T1IRaRQ+EHejBycro0zqq2CCNFF7nVasm/H7uTFPoMTOrcjcJ
FzEdnAldgEI9KqOUknIcFQsRpqF+0KXGPzP4DU5HxWFAfJEyodTM0RVUlynS3Bm5Uye4FiIlOEDk
sdyjqgaJ9ZQpAz8nSHNX29VmyyxicPO5FIS4DqHuyGiGaW1HGrfpyS7a5E6n+537cRwU5c7381r8
BPHSjNsJve/ixkiNxl6ws+YdYYPGpRoF4WAgObVtJT+U0A6/K7YgzKDYFt4Y0fMUeouiifKUPrcU
WEE11QoI9gZOHh6gpU2UdpQ+V4vBDePtZBrzYlTJijSNW5+JxwkYiavUdrNNWCrRk1uN+ZtZGfmx
1ohKKYNytCpiTxovQRoVsgAMxMmNJEGPOFmnk1wFRnlfjMjVqJW6tnMYQdyatmY/vdac/1lV3jb9
WyDGq8BRrv3eFjCc3OdqLJFmyvFaWvhNS1mCImkDd6vE/V3OPrBSY8u4KkZ5bPzxu2I2T0TkJmKf
xm0rbfs4OkTe5uOR7LIGSfihh9YUt/Yq6/xs1YXhD+HEPhOmVp+jKAfZOGr1iwzrtxbhsTnC4qTQ
FMK2WE5l+COxGuqxS3S6y1DswqSNd1meOCutS/2N2zjlurGL3yX6MtIJ7+LYHxALac0X0k8JcVTO
e8bt5FbRymhLeKlZV75Npmao/g4cZ1lryouoUZUVYeilrnY3yXhXqS74JoWX7Ugks9ODfS3AOLtu
Z9yC0XsIGkJhdZwmi2oatLXfFe+hkNkat1ewaGWU3YiasBBBCnvjC/W1svv64Dc2gVDZZvjPhueo
rcXWttN2m1SJvY/aaFijSjmAswjteENNV35Vl819HQj/BRU66cWu8yvS4uHopN2bHFQiexP503oS
Ew4LmNdVEmRMGlke8qrTy1VPVuP3imL0ldtUyUFG+TM3J7nH93Eg55hS2bIPs5VmJ/eqXXy3k/Am
7k1yIN2geI/Z7ZexaQWLIQ5I0R6GDg0lDfWaVImvpFTImXZM7UVBXPI1GOCDNbpDwC4sUnU1ySII
biXu8us44KbsuN0IaJ5OuU27hnBArxiU9Rtm2K+LzGCn7IJwmQwUUwWx41iA1JpAW2VSZNSeVoaP
e11r4ydf+uarahbVsZvyewRdpqNe+QFyao09vdR2YSztBN+CMQYE/kkA/p25s6S9GGV4a4bdfVn3
0XVLBxMamQJrGaYpMcK4ML51AJC+D6M+tcuaN8Syq2L/Mc4JczsRWZ+iVcJNaDoH6RfGS8M2/sid
q1/afcvbQ7KawLx1ZdYsK98ywYSJRnx3/SphaHo5h8Yqf2kMtrsNZVEeqSomoT/mRbsMsjRg2Vmj
m6NzknbJne2M40vYQ8Zc1INllldRrQWPWivLlxzJ8jW+Du6/Qxgtk6p4FbUFj6GImyZaSn3gpA9U
O4EXYza6Nw1Z4ll1LcUiCg3ZbP0+suN1M3baS+fwL5eVXVUPRigqBO8rsSI5CT9tQOEg4S/SA+yk
9q/8wBwNFOOsjiIwm2LFJmtU3MBK96vq/A7NB0ejso7AvQI1m2s6vqFRn6WZRPGzt+I3gbDTrzqz
SqrFnLL+XVu9/eD2oVCXmZg0ZWHrTrbCD+l4kWX1x1rp3RGUWNYhJ0V0EQwzivBNav12mRmrIkCD
AhdM+KtrjWST5IKSQiMyxmUW12awEdM4eYOlGuuJapQfldpJki6LIlqmbG+oxGhlc8ULqjsQQKJC
XM2xMZXxfV2J/PfoOt3SKNyu5pLdDau0V4NN4VMOlyc6cq1abfw2I905alkpm4PW85C7N8NUCfZD
3BfrtkztdZM7EOUqW1lz0+wXcZj6xrKPghKROidWn1o3am/8xlKPJtp645rrebuTJfEuUQ3tVoQw
Bpcj6KQfUmj9W1haCXVAtZ2rG9HpBgJ/Q00MrQpzp9mrZkA8EgQP/Z6Wg6pzw5xaRCEKVf1VF2qg
LsahGrdhWUy/I5OXLGgi5riak0FHepHgGZy0pFOWjsVpMNTvfZbZaEABiCtyvfthdbq9toeyMDwB
7hkiYlOETxYv1YNtBsEqGZTGa/HZoXIHxWM96Q1yT1rEduGVlqhTtmnbAYEnkBliHqVb0aUlJQ2F
HtyCLjbilRnX4tlpYtIbEmSHIWOYVoagK5xIjdqL0qRmVsgI6dVAS59KMWTA7DoX8aoaRIhhdLf4
ettbYyqqe5ywHKhDWJlPWh25GgqLoQ16wCJ2arbS9RwOsNehytQrO450VB3Y4oEm2WYaLUVBBgwh
WHeVZ92sq4VA2IDKUMx7BcnZ8iq3mgpnWDYO0O+1wdrpqfKLUx6Py5Qr0Us+WMgLNA7B6JU1zo+B
OJtWegYcjZC0M7UEmqVoF1asTa+ilDGiYXEwcPyqTbDQc97ny7DrkmId1kq3rdzM/RHIVP8Fttpe
T+HQVcsGZxvoEL3RYSo0ak5+fk89a1yF1t6qmnvpuEyYRWP60UbNFM6irOjJZDKV0l0luMbvskaS
GoFkXbHLAhTARigHMIwrbUIHo7UnZTnUMpIIpvjJs2k0lCerSX9slAz5MacbGpvK4knN9pFeu2KT
8+rJ16FiS/2159QAAMdfp8dia+DG1Qx4C2URmkAKRYmzLs9923iRMRRwz86c0LwBiWkq60CZem2t
wvgINq40wyGgOlc1vqV2T2Q6VtMC1CF5OL99n9lIIBXnPiW2U4nOY99NyWOdln25/7+cndeO3MiW
rt9l7rlBb4CZuUimLaeSSv6GKLXU9AyaYDDIpz8ftXsOVJlC5WiwDdRdkugiVizzm6wFW3tv0i29
aSql2xvq+dLbIWa89i7zZc73dd0W7jGhWyxoLmWWfbNEXi8/+2k34osW0QCMi7bEBjWnDqdpI8eh
pYho6YTaiUHHc7A4Cm/HwFbOMxpuvTwVibO8BV7OsebPAQtzFqtbsIhEDdZtqDzzIc18M39vlo5w
9nh8FmHcpYau9mkrmn5j0bOZN1HmA7OSdAjHDfV66G0HLysRmRKVwk3FVcsRsYRC7Zpk1o/ZaJKb
zVFdfdS9pR+7eRg+yWgSPU2SoXU2Ro2g3hudNTWWlOCBWbyi96pdFZqyRtnHBA3mtiapppf0Gtj4
pB/bQJqfJRvCZii9GKAcKlekOB7NOL+UEVzzkxgDXaI4gFT+FvZEZX3NAw9TG4Wxp3yUno8OuYCG
M+0nMU8T3jULz1zKcjZumswO/Zu2WCwdwD3HbBcHt3TqnL3Zp7wrKTh86E2kfrVbfK0fgzor1Key
pr+0H90lm7BwK9SUbGUe0pY1Sy8tT50RsBoAwtPdtXn/Q8lLT9Y1pJM88eLcDV19m1mehpU+05Oo
9z2YVAEQys6+AUQx+61l9FAEBk65GeQNhS+Vgj24DpJtc7eUd6B0+XmxlG15dLKhrx4jZfDKN04a
hf1JFZ2ZnTKLPXZg4EyHUdjKDe9wGKzDdxFycc2Os76Tt4sTjIDnjGzRUC7rJrlps6D2tqZs5Xs1
LKY+MNNLCnh/tZTdRwk/2MDSNJTZ28EXgbzS7X+JPw7sVcMEVSLarSg+Mfg7m4n5U6NIPoBMRcrq
1O1gC9fZTLPZDw8gk2R172rsjm/rJDGNH4PPet+n0vOmw+tt5vMZFkUCIh2WCz2ZqYp1PtEm6DBL
9pw2HslC70S1RI+ep8WVSdl5M5uroCHP+M9kmhJievpysjF2lHRJoPu4SmbZ3PtDhnK9oR1Z7jxQ
HH+G7V7fbRD8HHGapu3gHXE2upmKegoqD1BMNHntQxlYi3vj2k6JoVOCpdO2dAxgHv7YlN1xiNqi
ePTpY14TJTkb4K+3ETquZzlMIR2wAueD1tJK7clyyHgL+uZlbISNBinkyj6k7l94D+04LLQ0rVID
AVdaLA/OsP6eWtWEIrcmBWM8KqxHPeZJfeuqVDYPFRZbpPwTYXPb5f6Y7GgUePpktbzlHUMLNoFV
zLxUIw2UT8jVY3llHHexeHHihv+D8QOiRmD215//MjVpwbmPnRJNbLlt+ezpwQXQ1jAxA5zm1CB4
cyvce2YPfKsw2uTRs4y63L2+cn9zD+ugPPDWcbqPxcTLezBbFBZrGs+xrbxkOUm6zCBi00g9ODY1
6RsUIdX3LrBo4g9FMry389EIt6/fwxmChk8MywJFBL4y4k7cw9kuLtu8sJKkpEFljm5wV7qhUcZu
qJgZuI3v4Y7mtR5OXvScg53fZ9632qz6PParoLPfcZKPH60JWPjOXRaAMa/f3fkEk03trKTPyFxd
Yhgfv3xDpfAb053SNvZoiNSbRFbTTPlpzk9lmHguWaVhXZn0vwTIrO+DrR6hb0r6gpPAubeO41SF
W87oaUpECG4WY0SiYsTj92/mCeA4rRZfVautrwEMLqIYlw1txmEmFt8A0M/WY1JXgU4YaWChXuov
6SDEXY/y+JVY+Zv36ZqeHRIm+Z91Pu9vG+n2s017x6gL+83shRONn3D8OHslorFWTnf29Q94ETax
K2AGCyIMTwYIr2dxTBWi7+216SBlwIpKNSbSPULhSJTOfx6jfRYzQlAeJhBhyOz75WqhiVvjd7bg
PpcW4l2Wi+VJB6oGc9elH15/rjOq4s9lAjgDOx8/YMQcnpNvwtGrYBTlwERHkEn7ebWKuA0zN69j
zktEW/w59FFwCXWeIVMsdEA7so6MtyRf/BsQLvz09Xu6fNdMfwOHiMIKXknsLx/fK518mnCSicM5
oYhwGX+XOMtiIb2Xcp0xvH65i2G/60ObDO1wFX0MA2LIy+sZTcu8aSGt/WdGlNbrWKSKaOFapmA0
UxUGozXx70lI52dPjaOC76RzV+/lN48OMR1UEPJqDurEZ7vHX1oiiBPkNJZpmwAd6au7KdU8uU0f
8/n1B//dxVjLPH0A/olk9eVzJ32n/bVfFIt86JdsM2epIZ+GXjOAYaAWfn/9cpeRwceljei8AqcQ
3zt7zV1P61gHXR6LyaLrnv0c6eV5zsT2Ty8EmIBBFauZ63EWvHyuOnPbPofEhidXP1f3P+dHAw5h
12i+l0GIxcK5S26BcBv+Yi+vY+SGnXvDjNR/gR9MkkwpKi9G/X1weqiZXnZVSuQypAeuha8TUcHF
5ek8CNWlW6IuK4HHG0kjD8M4Yr46KMT/bnyGWeTIcpL5USZhJq5Irv3u0kQIviBgrvWIffms+CKW
VQc7NUbDae5/VFqG7TaUaohoVNiT9yHpI+dHy+SkvxLqrct1wxnG4Y4hDgcocfHlpedcBNnkDTSF
fDvLT3iJ0fGN8r7z4ybzhvdTYvQ0aC2vqqgb2s4+BSxr9RZQR5CdIkPShLFCgR384LcjkKk+DbBF
f33N/WYt+AHiwSTuTmRzWLy8ServAIqDWcdFs6R2rLM0/MatlHJXwBj5XphZf02odt2ev8JEONUD
8r2Qxp1jBxeR282Xuu1GWCH+kjMySdsyQRLXrfr2DvyidrDgqOt823Y4eR9NWmfp9vVn/t0NAO81
2c82J/4589y2vLmGed2gCGZB28rGWVkHZVVD9LeZOCPVvzRsDyi40/mfsqJcxrev38BvIveq4E7w
5lQifp9TfD01dPMcNg21eNm7W2+qvAL1LeEqmEIAZN6P8Fv9Y9RZwoJPkaoceZNszI8dEMH8Stj5
zRZB9BNPvtWaD07z2RKAeGc40s+quDVC0R8ms+br13VfdeDE8EjZdgwe8fhGcK++8iUuIznhG30h
NAcCKvnzE1Mlvt+0pVPEPcq+Jn7fef8e15vpGV8SWDCvv/XL5wQXGyE5QIwNVomZl0tdGwKXdQYa
jCJByW8nqUKQ/E0/Ac4ZkgbgejhkH4fCoeX1+pUvIGJkAxZynw4P6fkcWmcR13eppYIOhTblQvp4
AhRQIN3mjktw1JnqGMM3Wf+5yeYOSq8puvKgRbZ85z612tIXi0iBRy/KHq/c1/rIL7ci5SX8b5fv
Tgm/Ou/9WoRpz+9b7SacOCpP/hLY1JZxMOC2dySgVXIn8yrxn+gvsy5abLGcZWNLJ3tbGdgfxpae
xW0x1UQPCiVXXVkcl6GJQLci8EOEtD1Qqy9vLjSapLMd1iX4LbM50Psy4YW24djcZnT88kdPL/SA
X38l62I/fyMcv/wnXFFs5/GwlBxRtcnZaBr1lNyaWcvb6dsona483W9iALsflBxHBHjUFZD94t1T
/lRh0qxzn1GpEZLRskQAkgI3W7CmTpeegXRU++VbZt/RJ+iPetn0i08TGd55e407fwHWpOKx/ABc
LMrlNBrO37YOrMnXJQNtnAf68qHzFmxrAi3chXG5QUPAW0ZQ1vmUdOHWw65ZVJgdJY66sbqsh6WX
RulzWgTRqTCBqbyh24nldaJEcq9Su3d6fL1bWW3DBCmpPYoGoxMnYIear16F5saOFrOjTyINaW20
9PKHHdqyxjVNz8s1hdWpTb+BBW/iebZ+/l+6DmbZ28VAuzO2Cqk73JKiCqfxcaRqGGkA5oeUaebH
15fUZZADKrm+Xo+6wObse3nNIgEO0xrtEJPUoZM5213PUD53RsjFkY8h9OuXOxMfWiuj1Z9uhecH
VEgXVRhAAs9qUyirZjZja5wthSiPy+TSwlFB3ro7rTM57Q1huM4nGz8sa5fMhmQsAVQbQ1iZOckH
7Vj0jxK6TvSblPKik5rcwN978FfGQ79MY3HLRJTek0rmLLwmsrWmui+2YUDLgUMB+UFOpjA8f2d5
J6rO1i05t+tCmCybtDvUim6buQnzMKr3EZ2v6ShAbUEFJkn2YqdvHO8+8ZumuHJCXvSJuJvVQJap
ATGB8u7lF8zqJChG5B5iMB5AOxLVDWo3lXWrT2nqJfKgTNCSO1P5+cecTHfAkH4ezbvXP+zlXRAD
6UnSkLRtKvr1fPtl7VqezQlWFgyAWzzYOgO1BKDdWfq3xvK2iPNeIY4WlFVv7XCIEePKCWX3/vFN
gKCnz0veRq1/3nOuU3wJ+4zxg9cbi/kua/NFvU2jVnu7xNFopFZyXlWUVR5SAhqjgDwhFNZLVw7z
i021lko0UlDopz1KJvnyZWRDmFeAFUQMD2EM4JiXKf6IxZh/AVnXlfvXn/p3V/Mi2gy8dzzJz4Mj
vYJGjLUG9mINzUcvrYYRkEM2aJBzWIxdece/uxpyItSaHmSX8Dw/LYJldpLWqONZMpo4Dm3VfOwM
k4FGAW7lT5sWvEiOWBpSJH8+omgvX6SQVboMvVPH0vfQKFCmNcJJs8qCoZHFmfB/+G7sJhgBJm3X
i4xv0bUbhYACybqT9kOapJXDqCyviFZRWV+TSrxI+Xg4aFCmtQLz147by4fLarfsQaVXMdi8Vm0W
JWpAkDIo+o/F1LZAEhb07jZKD050RQjkNx/RocONhTd1lUs4fnlpzsBZWGHWxOnAkqkjad5Uwprv
EsYXu9dX52UvDM9idgERgObBZYeiMgySc6umnACfj9NHM3asT+mVAmSWs07HfIch9B3jtwoEBrA/
ztjcZ5jRmXYhd3nRpH/mtsIpBIQNMcfQgcLGmXeeSEHJGkebmRvrigHh3pgNpzk2Zdm/EVRUV47Y
M9+Vn1eD7MolOdzpPPpnEboZiradgUHEBUdZwFQbyMGT0oZb31SRVYTUkYH9HGLbIm7qwE9AejHk
c24GkoH+pLOMeQh607V3you0/zsLe08D7mftbAP67uKm9IDdbKdiqpo/3oCcKlB2XJyv6Tyf85L8
dr3L2iIlmTKalFnp++kBe3HZbxMxLO2V9OAiA2KKZtGUgJVEJwaexst1qcnUvcIee5QEgBoAhg/k
O0sDAuTV5cEtxBlrvrLnL+ptLskegMOIbQVNhrMqo7N85RpAmpB3iHxgC4t96KqiP1USSKzlz9bJ
Ywh1RBVYX3nYyyNzZSiu7R8GPOtNvHzYdm6rOhA9EoBFOuLitURVehgasG0bQAuquzOF5d771Wzd
FvMIXmcegNGc/nh7Ur+s5knrZIN4fhZiTQDDmU4IcVFYtMmbnLn+W3yWEIwPZzd9LHJSibukqPL+
VC+FKg9zOAKScmWC4AAjxvRaWLyMTWtLiqIDNSnopfbZDdGPSkqzX7qYZjZ9Tagw5ftEhQK8pCfw
JLjy/L+5HCF/reLoAOJMtC7JXxIXNOLBKQN7RZneKlDkyNDj2PZVnoY7SD4Sr7Ewkki8UvMy/49a
q5n3ppQg4PQIvAFHdIAQ9+S9tjxNtgyjIyIX/d/AnAb78Pq9/u5WWTBMfLlhtuPZrZoEbUNyMlGU
+RPQ4dlS32cDa4NYKwRnXr/Y5eiPuAgVnKQSOxeYU2fHU1URWxSMHhBLECFi38odH9itYfzNFAUy
k0AWBNvPqkKwnUFIZt95kejE3eRWKEUshhbBnlPb805JYEq9f/321pj5MgdnZBKxSmgNkoufawkE
XVNX4Wgam4r5I56di5G6YCO7pLjSDrt86T4MNTpyRCbcpn++pl/WRzYHS+uaxOTQDepPS+mCzTCb
Tq0Wvglwvtcf6/JqIWHIC2yT8TPJ3PrzX67GpBwuyYTAEJa5A2ZzGdyVOAlbGzNggFz6Sh4QXMYg
0AosKRMOHjOS86NJpg3AYBwH42nByjbmIOLBUHRTGA7YmQjsY5OrBGh60wi8+FLLhVFA8WqjuD05
KBKpWS0d8igS0ZwIitYERm0wSLEr0LxHSu6gPXX0VPPDaJloAZmGATlnDIt0XhVPPKRZ26COTmJK
zOw+0lGyaiyj9BQJE/PDdjaG4g6wDm+9bEN+i9Zu1d6ZjTLsfRKkhsIbnM1yo3sNzHyTsDfrW5SU
IgdQYz/y4oy2Dt1NPnhiRM+qTye8zkRtSVwuho7bBpjvJofaxDd7n6SLWzyq0OQRXFcsOq4sm/+v
Zw4r3IKzbgYEG/JpROvLaWvUzlSaG09GZnej57ojdi8aIYLGl+I5AXO4HHRu29mubJbG3KmmGZcT
+NFOf8tnr8k+1EvYoVoF6i5r2DU1dx8YJpdcGNTiKBwUVXFIm/VW8p4EgwaLw6eAJobIkj10vOU6
r8Z0q8O0K07D1Ah9Dy+Ni7V9kLhXtsPlvoOgDIsS9QnC0EXmZMOADkGuVXEthQYuuUQhLqzanP56
fSNcdiWRqSNhYoiI2jI1zFn4AZrpJLAoqriI4HSDtE16tbFbb7RunVEA0DVpzXytlANq3smX7uMy
LHUHm7datYWMqCJnCAOdXjkvLzdotJL86c77PwUPzw5tYS0ylH4Lwi1VSE+RPfrLgxuVJtRCevrz
lfzrMgqHBHvanzRmfY7Fc/6u1SCmH5WAd5seE6C4gq4fvmlyOU0xfWTzYzUGzXKkIWa+t8ea+puO
cY1yVLqE5iEbo0Zuws4zxz1Zzpz+aRAmdthr0whMAqX/RQYDaBQWDZ49fZ354AxBc8J6nmZg6K+v
hvVkexHtKVR4HObJvMO1Uf4yLALrnSEGRLiO1EXY0qtS9rch6WkUyaQbsFOpDKSPXr/mZeHCRWk+
+8itsASj8+mcu6gaKBPHrRnVpt7ntuIzJNCasPxOW7xlxmqGiQLxDHE+bqvAVzAdVL+1p0GhLMvw
5M/cAqgkqB5IjJjYIaDBJjzbFIDg0UiRA0dCratv1BUCCmKW1R+WvnSjK5X+RX3KxehgrEIfzGL9
88ywmPFp6ucB2Ods+OOXeqq7/E3fG3a36SwC+xEgJ6qFSWl0u9df/cUmg7C+YhU43zma+OgvP3fU
U3kXBpoTiSjGntx7puDXMxxXfl1fc2u67C5jVsHIxeWFMn25GNnD9qcAr9x2xWA46g3Usb5/UDoz
wdAVRd3sEjct823/Mw2wikWWx5Qu39PoJWSJiV+Mn6bI45fZUjrPaWs3Da1yO1q2IDpz+26w51zi
fGO3Uq8gKb9Dpq206v3QD+D0cgc62L2kQOzxTC71E4WwUz29/kovdxAYm3WkCByTtsP5DpKBMvza
G1C7a8tKvBOVk2H0Ptr1cBJJWlP680Tjle942e2lqxGtiCkXO52AKffLDzl1KHEwz2ziMSN73RdB
mOdI4Dm8hyE1HHQOmS95cYFBCb72IxIxH3SZwaZJ/SxZtpVOjQipxCWyb4dmsJ9T6RbLt8EDj44W
JiUxJPmRxkxR1uGyDVVOef36e7tYinQRKX6pSDn0ALSuP/8lIXOUN7ZT1I9xnqXTh2J0m88CLceD
nQ3LlUbuxdHKycpW42K8Lpbk2eZmiaWDZYzwX6wA+WHDaMFGs9x5ZX/6TLQKGYixvUicOcZfPlOm
ZaIssYzMVI3qITfM5MBymO+NEeG6n5f6I/Wk96Lmv/+5/pm/BECCPM3kf//ni3+6z/+iaSD+lq/+
rsMP8fBc/xjOf9OLv3n4758/Tn+I7bN8fvEPu0bmcn47/ujndz8GRA5+3sU/v/N/+8N/BJFQmvvx
X//xlxjhp/C3pbloftVKop/3yzdZ7+SfP7c+wH/9R9yLZ5k/X/yJf8srIaLEpBUbTfq5qEVz8P1/
eSXnX2gq0SdzQc0BM16BgP8jr+T/ywPBAv6CT4rUxWpf9Y+8kmv/i0keR4YJ3A6dZobL//Pkj/8+
ZXlpfA/exD///Ksq0MVskOMXRSAoVGCqaZOeR2cF9nxR4BE3k9LVZsbMJNt4JGufxn5U31zVOAcv
Qg1yRDmoFF3wIKjfrqRh52cTocwzOZLxlaI0xcf65RLmvO7NXmMz1pVSn+x8Prm9Gr4MAraQBxoB
pm/pXimW1r/z1yRkvSbApHWExfT1AgsboBbhJuCTNmFmfO2bXrJHqxAILJRy2AboXkK5lR/Cdlqu
5Fm/eVpkevi4a3/Gp0B8+bSKwgU/gtEgr6XYH+HbgARokp1S7vDZ8CnGpWM4V6LEmlOdPS4FNlk+
cYILn/fiEFpo4B/1aTw6HWIfrdMdReluLaWxjdadujFq32fMmrdbNLjrwy/74TerzFuD0NnlgWXR
lgG4z0T0XOMqsT1zMRs/jds2N+Mgapz72RczgqjGEp44c79DdhlvaHlWx2o2LIXmgMJ7GXD/LZMd
/RBO3fCJqW4Hq1YOxdHo7OJdAAx9i3gH/YwoQNA2KPPxaDcmUrGLbiMVD4WtH6vC5l+Mwlzuke0B
twy/Rh6doH3vlPCcEGyuFhj1bX4q2qw/Omkm4q5Artsc4KJvV4DcV7+iFqSnVD/Xpq2egSD2MT2i
6K1p6fTGyJLyNq8VfM4p1HuVqGIzz/T/Z2rMMvY7mXyZipWwk4vs6gznN+uJAMPAEIlW0DH22e7p
9VhktW+iVywM644iObnJEKn47MmwjGEhRge+r3ONL3BRy7CBaDOSxTKaW72Cz84dIHhBnbJ5UKXO
nXhJHPwOTaPrZlop7iqhneA4aRBYFGR2iXrEbLyflOpP/ioU0C6q/zQjgXPFZ4AtfLnUPPTn0K6n
37XCjF5ur0ZkY1garbGB65u8hc6V7ylo5/4WvpdfbJVCvGXLTBzyUilK397ULJCtaQT1lzR3iiyO
coRRR1HCGoWTcAhHC3oW3P2nYBTRsYV7vE/a0b+r3Nn8Nru1VwNPyaODKqPiJHIf9l+PBkLodfa7
sbGsO4R3TJjfmalxcTKK8EvlGW/S1C7eSis5WI1CmQYSwF1n9Qlth04/iqUw3sNM8z+1k22iPpx2
EokUP/wLcoqLbi/k9Hcy6rtd1k3JF0dL/QjF1o2hUckvdKQ+qohcdQN192MwZNCELKZtd8zy9Xv6
TvLrbEKbyvM2uRG2m+/bAdHnem6yN9qK1C3id+KRTrdxT8vBelebZYLPYzKkbyvb1TcG8I5vg+lh
H5pXA+Qv+NNgj4OPqRr7G1ULGMtZiSIPIjF75AzkF6uNkhMU4/og8jBZy658WxrmF3/U9wBdO5wn
yuowV4G7cb0aJZNpekpV031Qs78qb5V8ONGUbB1lrLu7LxzrnaKGPmR9abzHZ5xtDhf4yzw2fNfe
nJNrJjLnKfd6XmAqYTIsRTo+9M9aBQmKts1sS2MTiay4kV2qfwhAlUc0fNy49Zv56kK+XMccySCc
AZMi7X2+rREr6fPJqZE0m6f5OATmVmrvA8tUf56yXt37wmgBXEu84hcp+hNmSYY4vh63L6pmnnp1
nQBPxsjoEqOEfo0l0EbgqWkhbfOhRPK4KN/Vic4+jVPoIUmEIkhjIRzf5JOxCzlDN3aZXQMknNmR
IZLIjZDvMEJY8S20VF/u6p7GipS5QqsdT61HiA9k0xYZymbuxbzlJTowzpNwPcPnIwHJukNtRsHX
Ne29U6JVI5vsYeSQezKRfduN2aivwH9/k1BQVa83CEMOtMBZGK59ASDcRTbeAEz6rQ+U5XJzlXij
IjO9jdxVfNVO569j7WLJ+/p3+s3i5ACgiQVYglLjvNjwvawf8Lnk2sgR3KMH1sQBsjp4+3pf5iRX
P16/3M9s4ew4J5MwgTWR10LWOUthdNUYc0CbMtZThO8Y3dcPeYN4ty3au67VVn1wZDY0p2hZ9INh
p+Cglfs5tJblaZ7TB3xr5UEMg9wleTF8qsccNui/gxj088dFaPPbsHAq51AZbuVYdH/P6DXHg3YY
Gc3erDhkaIc9ligVfQtlb+5HGoXXunXrmjp7SlQcVyFHknMgf2fVYtJXVYqUThoXssSZag33DaJU
QG76ynuELZKB3w1z+yYNUb4LJIh92xFBtK1tB0hd0g6zd6V19hM5+vKemD3BwmB8bFHFnjdS/daA
LjiSPMpI3oKMQn87d8t9jdzczhaGsV3C9raFF/wZKhsGzsXkPZaLp78lRekfpDPYIOA9M+58ne9H
HmdVlxqfUWbq/iqHssMVCg4wNOVQ3TqRqh+kHQ7LDiWl5r05demO0UGAiL81ccACiOEsskHXY5Hs
+jdDa3xsMlMcxmwxER4zv4yIXz7ZhsSiVDfqTSeb72k7cmUkGLetgwJSXZO/IEKPuKfo+sI4dunU
q63t19ann8F9UU5PkzDrInM3RrY0+dmYH7I6KD/bM8rXr6/tiy7HOqp2gxUIBuUVaNvZV4dv7qN2
lyH/SlT/qqB/BbspGOvy5OoR0lRRLXZ37B03s+MOuTILYrdB7bKkk/5EuWd5T6HLPi+6CW+H1gqH
8UgZJb6i4lcwAc3RkmD11im5eBVG76/c/uWipaFtsmJprK76nGuo+KXFkQ1JQW+FQR+JgY8yOgIU
qBMi3w/MDrSxSW76JSuD+ZQi0DVuJA3PdLOYFWTyAV2gUavx7eu3dGbYtcZuQMmERBqv/BLm28tb
6muE0Op8YQxmzQiQOKE8GHb0ZdadPe0WzBv+cha1pNsejU48TMrMPU3tVKEsVxi3ovKxEjczFRuT
8g9t1GOsgKTbIeztAW0VhIBJmUSxZbCo/Fhbk7lDZyR59/pDXNbJnsdqgLZAfxxV8HP8eJ6VHdAP
Cih0JZCrdyUaQEV4Xw9Wt01swTxnLMs9ZErUYRgp3AglxytV1OUJwy1QutHnWTH955lthurt5CiZ
xkEnvjKrQRM5SR41Q/0fWltO7FDN7PIgmXZXnv13F2ZWStdhVVn5d8r9y5pSieGlKOClWJ/0w36I
kNdIJ6E2oD4nVPE7617Xab1ttH3viFBvh7RqbowmtTeOLnk1KUs/bmXB8guR9WL47N8BjGmeFqdz
rkAXzyys1tXmoYG7Zv+st3WU8XK1gQEKZhUStXtgaMwSItToGVljLw03EDiIl4fbOtXGgxiYfjpN
MB4mYT8ssvsaFAnCd1oHe0NlooxHAtJ7L+jQ8CFDu+rsCBLi/IRBIftnI4Dp97pl6fL8ulmDLpVz
WZhY6iKVg75G4vfoefq1QmzOcG8NVCvjIQrU1wL0adzIUpmbVJpavWsrS+6R+ulAy0vdpDfozuHg
UgXth2aVe9shitY/m8gUirukDOrbIT02K0a3McJyh8vuhHeOaLZKIpoBZgXZzA1TtgZIV+YHH1TR
t/OW4FZEhwnUW8swpPuOKC535kfyFKWZmrdjhLLT4hv6R2FN3h3OJGh0+A0aYP0oh10mHbeHGejk
30MGa/FUtMg5JT2WKiayxB9YqXO7qx3docLXIC3COAj6wc/fa1ZZI9BvMOURKTa4S4ygPxoyZBhG
e3/Vv2Um01TBstG+Md4uRTXfj0nhia1ggnGPyNB03+WjfZp8xBAK3ecm1HWF548xPNcW2r6VgAid
Zbr6bpeIRPDoT0B2nmS6Cn/qDFEWPKIO0l2ik0MGgyVabnsHFTbWO+AJ1pc0RT1J+kaDDu9SpWQg
5fIJHT6cZ7jBcY5K8AUG85ZkdDHnMKenShruLlotQnME4W7AYIGsGFsergymGQS8AXAbYv2XehAL
QFMGkxs/KFCnHA1moWNUvJkM0dzTvTR1jGKhexPOzjEDT3NSbqEP+WDjn+niNbNCvutdWYUT/Bom
M038U0AU3zz6FsiO7HURzY8p/adamfOD55W9h8JP236wyjn4bPY1+it93hyxb0mf+sYMH8phdjZp
YQ6fKkPf0ccgfSNRy2+iSOR2jCYpwhroFYSP5L/td80wYe+0IZo8ox8dRQO0A5hnw5MMSY2fj6/C
XTV0yVEl3gchpbrt8JT4pDyv2ZuRYRwWjlJqP128aY0hQLubLPHTxCg0ps4M3jYlGnT4MRlvQB5V
O9Dbd8UIPXMrWKCQzJCfPKSoX23TWpR9XLuNcbCQzokXs7TvF79/NzGJeGv3st2jN/nDtaqs2ojU
Hfd94bHvEGeNgXVNt0YkK8yX8WB5sJa0u8mgOt6UzMpPnYqsKi4T1xs2UTFXx1R7C4ZUkXyjsvyH
MqyKz+OdPLN+LprCODR51iE5Kp2t2WZ0iRYgjQ9ebjIvQSDyLfqj3rt6nqq9hQoAELEFoRAG56fF
dm4MtE62IC3Hu94znoZlPlqLkwFdQLEpK9BQmbT4RrOqwducCC2yFokvDl60r1H7QWfohpoyfSRn
KrZU0e4e4J9Gy3jKHiKlpoMZ1ia4NVPyFQHjKg+djZ72CW47Iyrs2YhKK6BEeSiiSm5Fj+0Ydba4
Te0yv0FeiWgP9YCUs20PUSrHTT2jitSaBtp8S5azdkrzRqM9g/CBCL7qQs4xak53iOtHn4cqwN3Q
N5IfgViWO7Lf9mgFibwPx8g/CSNiz2cM2XpTjaSBiK6ZCxt1hk2wl4t+b1WOGWOwBd7FWHWg+szG
haWtkHBMxg+C2vKUtqH9KDxfnnw/X4A5oJgiRFk9hfMg71TUttsyb7+Ew/BZdZ7caM8hEkxDv82i
OXgEJxLeZLL4itNFjxBIaBwT7Amd0kEIDRTz1s3HOl663t8rPYVvRxVkt34efkkWd3hYLMN7zoPB
PTho3X8G5sWalUOQ3Ym+nCzEizz3RrWZ/oYIgrjz2lUsNxo5R8lu0JDtzeBdNc/+u84EQB0kSHZt
WuSqBlxtoujoRIVzg6ajwqkuY4qNduDeRqJrG3hL+xcMgfm2K72SKs3WT14btSeqOusHqujutl65
3NY89fc5HAxU2svxs8Uj7zPFd0nSv/u0Gbd+Cdg/IxDcwjJJt0tVYbglqqy/Nfwu4NSwg13UyfdN
nXYPvmE1u8qhIKW9XYC3yZZbU3bN3VxwYBnDAD4YI3MJr2Rf4493bOmevsWNCpgevcpTPar5UEgh
t60Glsopt8ptc0I0nn3I6epvBjSK0McOUDIsnT4/zHR84kVNCwVR7/Ymcq9zxGtbyttJ5P0xdTNv
mziiPKHAV3wmy61a8mKR3eW8h7n3xC5ylL83BqDDkYE4pu19kgB8t5zMRf3/mDuT5riRLUv/lbba
Iw2zA4veIAIxB4MzRW1gIiVinuFwAL++v9Dr6n6SXiWrzGpRm7S0lCkZDDjcr997zndY+AbFfJWK
LfazpQvgS7/jXTXWc4HyO6hBwn8F7v/hjnSG9bZI0jAdc++yTC6veRJjuqyc1t9MDfwxOPRzBq5x
3oCWBurojZ27Hswc3p+r2R9THxVn2rrp4SqZP7b26HyoKk82HayuFz6cdVCYaXdXDdS+66utHZO6
xJBjWbHzlLsY9Dj/RoR6a+E/SlXdX9CVsMdkpfd1wmEysSkyVw66OLnGwVTNJiMI7oj7C355lAhr
S10wQYxNr11Q6gFDOixrv5akIveYCI2lVXJVyULuZD5iynOkFqZa2X1RnKbMgycb7K8zgWoDwdmE
TPuN8mzDLdzjcyNRytSbUEfmsevnWINIZtfkXrXDTsRDc67wIhdrZkBaB5JUzmGh4QsLGFTN76im
3A1I5WZdMCziBjY3B9Zdc+mUm2GiE87Rm3URcFAWz44lo29LK0G9Am59G1T7vsAWv5t6I7rjagpb
fZmXG6cUco1HWj3Oo5Gt26xdvtq6QlM26Kz6Fqrsq0wEYU1+sdRbjbdtZSR6Cwclqo42lICVwbhs
FSvf+pIBJqctmQ1BUTY7Z6m8d+GoNzuN80BG8X06TvnWM+PieSiKSzPibkR5A2gQaIYR+lwS9xCv
WVgiH4JeDvKhnPET2IQ4ryJpgi9VS3mX1GzRZlLYrxkL+HlgYPjWDEn5amolVhEr0VnP2VbL2Nr0
ju0GovQCu67yu+LdLhLzmNaxFVhX8LA3Zne5iVTBAfkZ6DOfgHODnMBO5js9J4ynVw75f1mNvMDl
RJ9FVOVBZy5vovW8bZHPkEinoLOxWQcj9bbR9XHYuI66QXiqwnKYkpsGltDe7DF8ohioMA30Dcl1
ljOcEemOL6gKnWOXx0eL15mSR30dCqdeAtnkAL4WOaOUx9OgDzap7yOCPnj487ubTnytlZGI+xYT
NbATMo+e406Zd3HHxdETy3Knoe3b2Zg5tw4vlAudW4qQ+DgnkP2YPKgCSIr0iHUUlFIETWZfkQHP
VInefMmiSOwXkfQhhB4JyKu0BAV1txxpCun6Kmf282qMHpQBqRn5AUKIrh3BQAKtnv2Hq8R3leda
tqIbpEJyJ745dfVlaXWWRk9q4hI3zcoWkLUs0UU308C4kWT00BtgHQL4mg7znIkTN5dr4SK8Y6Kl
ccBMxl+1KYmJOUFgq86X2inhpnNLhIUETAm7cKmldUVBA9cti5rKi+tip6fko3Cmb2hT6YcEHCZA
5cH4iGGtrU2/6w9OE9XIFJW17hI/XSeFWZxzLHEhozTi6igtDZMQda/Tm8BW87LNup4gNSYpK1ty
SgV5ztzNmnOSJuGWrXhR81XTxekpbbM0THp3BFlGHow+UXaVtb7Wbf8H/09zb5D5d5IybnZgQJnS
afq8GwCK7K1uALfJ/Z64FzP3+1tJauAGp2d2Rxdy3Pj4QcmVJndijuu7Xvqw/9hmCfP0yGlF25gt
51zpaHwV5KdxEYjbzKXfIrEMW68g02Co7ns36YK8aLgm1v6Z2r9FuQMEFDZ5GXKN1Sg4fIJX/RGi
cNqdGzs3t66k6ZX0j3Sep23ikVyrkXpCa9NEsGj1w3efkfJamzjr7LKpcfszXI4liSME7zlHIN70
iNHHBtRk98pu5IkHWwR5qYuN5w5dHVhjy1jNZ7cspf+9pVkTcneKNn2S6ltgm8lGb2EnNyX7WVE+
OtDydlff7c6AWf+QWR0BoFb0lpbE2yMaRt2aeeWAu4u+1eTOKXqcdGQwlEVYgfNBhIsdV5s+TqcT
0fTx2eoFuaGlBskQ0RP6eneVIx0/5Z21rOq4bXdV0lQkao4XqiH10CJu/ujhxV1QXtahzezpfW4H
n0zOBATkQmYelboIvKu8mItN6cOSvnJslIjOWaaLY40OvwvB++iv3LiWORjFbIZLbcs3VQpxbbuM
yz3mkX5tTLr9zC8KanNyor1lDM4aCGe78xcyeisOz4NdqO+96JfvKaDolQONc0VIrHHrjVy4r/L8
QHFfXkWcwJsy4mX1tLi+Z3ubyKr13odcoUq88qRlUbTnxvKJvpZoweBj8MqaZf0AWIpEj0pg6jdI
2ZWecycZQBF6mXZoGTsJs1sUdpjOUbvl2E02LUpE8nKyb67dDxstrfMg6dt+vciJG2G3EPAbTBpF
TmKb0SlRzY9SDR9DQuwGWX++lpRgUetsh2XHP0523tzPkBw2c2M5dKYWswtnAOkcKNFkAO8a+/Fx
mnJnR/Oc91hPlzUQ0g3sheKQc41ZVoOyPOTgTYE0usPEsabW5YXTgJBTv7cNxOxM3s+EI6RBDusU
Xqkfb2O8qWRAEDIDqKfjFy/iu36IdezNhbUVxnSZKOjuajcl8qnJOe+bQpJamPBM9Xly1mLAeDj8
JKq67rBFd9u9SLAFgi0rFet0LKxVzgD6Uk9ZxCbDdJERf+JcYRVlFnCqRk+jvsCMz8layqako/1n
WfsqG4dtYzXmq5GSLR207hCdZetTjVYyWbXKj0Na4rho7WlKGZJ6YDhVndNf1lL/1kGBvc4Sf9nA
YBoCadXNJu2W6YthVeqc6r2GvUQbkl3Vl1yQmys3rZvE2o2hHTOHF2HsXK3MyLl/zIY0dmU1eE9o
0A2kpp3drogUy7ljCnmTa9FTnvXfgWy+ChcASpDFwxg6dpEeXIObbkfc7TmltjhKI44BwDrx/MXm
XXzMJBiJtPHJZBWW+lrPOYCEioDIZI6NxyJpSMdo3CTmhciJthYOXn/4XxZIv3i4meFHActNdH7i
6J7TCW7rOPByMpRR5yjOxj0C/QE6NqE0N9JPanz0U+Js0Idmz5HGJQuJBb90RCf0kABJe+jTJfqm
a/bG6nsIt2ib8xVNuoaNsCub56722YVrrVobsRwfxzGGUEo0qgZJOl+ZXUM605wZW0g91h3UTo7k
fuC46vMBHVtTT+MNANMsjBfzPY5QhAfStLPnlgCYU57O1j0CBBxXMYCTS5rSJd441ph8bxx2l6BP
Zi6dTMlulOICQq9ahl3RF6AEiBtMk8bfGClba64RRuYnxvijQgECq7qqL6noJgKMB+7XtZWG3pTd
trBtV7ob+VuqxIJAUIOmgz7uNUJJVklWirXUyaKBGua8TsQHrQAuG+torIwt4bKPflbfGW4V3WQW
XUnp0BxNBendduvl3/LR4WiNJtvbTdIz3gs9Ioe1FwCZp7hwCE6s1C5flDCDK9AicExe0qVJnVuz
aZ8tZuWPZIzJa6e/RZ+qAXSdZ1MexmioObGT4dAQoXXr1WZyNzMLPWhOee1K6dVGaEzrVOMZZIoa
yQ8Cn8QBe8sL6LjpdrAm7bETJB037Oy7yBU3vHuEEsAu3bnK3VZwll9MoxdfkkXEBy5C10It4wwf
KJx1rdyUje7tqEVLaLwtjbEUHfZEbb2bdXmdJHvL1i2lfTMi0rwtCR9dT7GC/Df7Wn8AHsyHaBvL
20rAuR4Mc9OsbgubYRyNLgwVtJ6Z/S+Fgm3bQuudA5g7dG6CmIjzLJSMZOuN03SL2Jezbe3V6Cjr
EvsO2bqitJAV6EszaMdS866fdYleq6nvnnXlOru4v9pcrV576QHYhorj54fj9WzXmpYMR3OYIpLW
DfmIXqPIz1UmaBvYdUctVCTtYm3pKEKrHReXmnFAY6Cti2qhSEA5Xbzj9xc/OJ2rzTiQTIMjzI4e
iwzZU+sPDi1XZ6o2bnO1g3c177XZ2G+iEeLrnOh3FqO4J84qYtGt1m23tiy0xxnaBP0YE+GR6Q3Q
Y9sS1O5M88QIh0bqbzBos+5uVN3ASMpxyDS2Gv9Hz81TBniktcervPmGkBLm7IW70EVUAH05kToq
JBnH+Yth0UZdcRvsT1qtsvef89HJYyMKaqFyl1vt7I2YycaoC8coyrz1dE2NCTK/fqux2tc8Qpn9
cElda1YmsNziTcA5uKELmzfreCqiV7dxzWZfAjFaq0ZOt5lVLpuxmCZnJRta0zqZK+t6ioz7Kklp
PZkRg2S16DWFk6T770vKvtAtTGKNytSl2Lz+VrXD8H+gsQMFq6MHV8xXBxD3qBXV79QA/ydEgNqR
kHrO++Y8TlP7bk8InMlPO+ae1lz6XD0j3R/C1i2SDdMqI8zhIByqiZncCuOXTrdeY7eorypcYaRN
uBj0h2tTSw8p4++Q/vo00m6My5PbxFPo9Ga+Ya8Zqf4MunouYO7rA2SmbPSkoub0t6q079c0xYCW
G41eWkHv+gyd+9Rvv3aq77cAcXEyzMItX4lV6miU4SxaaXhh+a+WTaFRtURdRamUd+STOOSPdUK9
adE4/ujNbPzBsJ+laY0TeQGR0qPANJuZmLTOJJokd8bnEpnmI9kO2mFQFQ3PWTSzC/Jb89+nsjbv
M66uJ/LZkepUCVNzn4nznYUEYjXMGAkTmyidjQG52Qx4Ib0gapMmgciS5x/JwtyV+sJFJ7fIQR9W
05ITrYck/JK6gGadrPG3VlSVN4mjbCJy4lM2OdkmwXEbGPGir9lhG87DrHuphoR4l1qUtwOapTWH
3rxLC2ZnVkVUhSIciRDGJbCWag4TT34leNm+gOHHW2Yp5a/oLmGIzYvopM2DgyRW67GBEU1DhTVC
wyjrMuS+DuG7zpwjDAxmCXA4BNGkBr1i5YznkUSdb0XaEnkYa6ZOJEv6MM72AK5xBKdLAzihdClN
7bEwY5RMcVV2AeGDkkdOxby1W2DbQWzMb3M+cGr5jTudzZ5BDUFsX92Z1IOmd8D5D6l2pFGw6p2W
GqBsgb2I7Aiv8TQuZP3GsapOZR0RPN0yQEK+MCRpQxKJm15SR5onURQmSRaZ80AfwiYohrRVx6WP
EAxGXm8Ud5gShlWjv9Ck7m7m/LppxHbLm+6V5AXdOwq30sYfkmkKWnMEDB83vc71E7iZcfm5utIi
4zxwudHCzvA0QjwNEzeAI2qChpwMFC9m9G9i8dhkiI0ff8x1Vy6BIpLiXi+K+hND2k9g5S86CjCB
+hWHxKwQN9DvTE/CR/Hq15LAcpdbfTnEbM6UgIdS+cuLMy9kLDpxA3yEnlg8HMplgVdfaMXoBV4j
7W+Omv3QcAsGbQx+3jHPPNnN9F3EDjgiX5zghzNMEJ351hlje9dB68e7VVMyB5Uu5EvT+uqmtbPo
S2Sb41pVFaW+nddpaNgq38jJfBom8zNE4Z8yKn5t3A+cnahFr8LvXweOTeGY2dC5mPwAx1+mcXRD
2M4mqGuULue2igiz8V7IZqLTgbjjYNNeC2ODfkmfLQwVWp3RKtM3LbkvB4e7JQlS8hONyx96Vj6j
h0kZQDETHlwiv35Gt59t0mz4jO7UFGspm5pYqS4OZpf0voAByHyipxjvPhly/yloBYVp6sj0ydi8
Qm9+U06YvsZRTxQde2Luh1ywUQW3KSBbJzaC2Uuj776jOH8gZRXnbI7kg15d7fV08MKB4TZJBsIa
14MHQnhDyp1uhGgfZyBCcT2emcEOw7pP6SKuMifJBLIpjFdBIeouXbd+1xlUjaTneeghg1bOxhrv
p8eOkOrqruSTvxJsYqyHWu+OpUrpwVqOcVaGoBntsc0HOF63GbfRGZYS9frS9d4p57v+4nZDtR96
VLqOqBiwmpa5gD6sfLx+3myWF5OJedjlUlXrtqLHfKizQSfm0mhrC9lFbYxoiwhO23ambSQbPAHR
Novsoz6bmQxoQCRnmcux33W0NkQwmbbOGCPXyE4wsIVu6RDPeUjdOOL5oXdKjd7emqCcMCCPe59c
hHM7TrPa8f2R49kTrCg3fGlNaC5Ke2zLMv5auOaIY1/QhwZi0O1t8Fky4M9jekzxeASLp59LcLxk
jRstr+8/NihDn9hPXYOCcJ1ljWWvl1ESMyywSZ2TYUKLk7AWuTwL59qWMzTEMMio26lmk/spLI10
m5ln3Axrz1u6g8S6tvb1+sh4wjlIEGavZMVWH0z/q5Wlgf2kn2deTwYUzoK20nbJ5vyVgGcj/kSY
cX1bf93EWLHQsoG7Xf21v9vm1eDNbo6gZxVXZk9cWGy+kAH1KfHkX3gHAJ2gOoEggLjwd81ZSbSL
Zfbod+I6b2+myZz2pFKxUeND6/a131sBjEkqiFLMG8oFH0mwzjWhTla6dO9qzckpd6ZkVfWOfBQu
Hbey78j2NN0+HK1Bfvv7V/nnLvbL9wLCHsa6B3iEje4Pe5wviPvKaoW34yoMFompAk6l8bYWnrWL
I5Jp6DpGFDqDQVEZ6ypeewvtC/pzMnkQc4xMxEatTd8PE+GKDF3xDjXh0Tfm/Jh3yXMxeGqtOsIS
vbRW750u/U0CgOqbLfr8y9//Nn9sh/wyV3M2Vh9kLcbv26GXJGBl00njdjJiW1QxRVhX+Vu0FHEg
lXCePE375Gf+qSflZ5o/DwmU7Shvf92CGdzqdLD5AgFspXfMe+uv7H32F60onQ3UyM88bH8AbNGF
oWkSoLx5TXEF/7b3Sm1h4MT0flVDIX5I52QiX7WMzxgEs5CedrtrYh05feuMT1gTqyee8bgh0/Td
ppZWds3xTXiYGfz9d//nmeD8NFlhccA7zMHwm3TN1yPcJxIwRY3W6ZbbqEDwiNrzGow5XtCl9y/G
mEWHUZND6NAxQ77mzjX2Aa+6EF7OrIUJxydP5w83Pd/W1bXFJZOMCmFc3Wn/LBsy7cnIx5lPhZ8l
v6cj5xxFVas8tO1m/CZKkyzkynNXZev1Gxeox50sNTrF9En2aa9xpv2XvyY0V65zPbfxxfPS/fqB
5hjeMBQ9lGkks5xMBfxAFxox1b5qH6piuMN2h5Bd4lnvfGYdcT19VV48rZfY+l4TzP7Jxvgvnhta
PQG/jgMd1eHvdU4P+ZhsBQTKCwNCalLwebRp97PeYxGwh9AuE//bYuYWItbICzKaNAGKUHPdUpB8
cWRtf+LY/XMPFUgHr26ZqwwSt9uv3xBdwYX6nfuHoelsOYrcIx/85jrv5g69z4QDBXUQAWfWuLGS
zvrsCV0X6q9bIj8fAi7nBCUAbvNffz4tTQczMUn3XAay+9zIv1mLMk5qto2TNQnjJHUL75RiUFik
8k30Wr4FimpRjhqfOBv+3NCw3tp4/3H7YW383YluIFAqK8+mnHY5SkkMdz0oj7a5KWbbRvVEcqi1
pNMnVeUfvnB2Toi4Jgpc3QAW9rvWzp31zFE1p5iMkrZY4Qc4IXs6tm05P+sExj5SEvT7Ai3T/cg4
+k5mPKM28m+cRnYwhGxCKRq8YuHcp+MWaThFYhFV3HWkxJzjM3QLqdK2fVk0m7H07X3eFdGhMDv9
bTCWovvkkf6LFUXtxNsGGAIS2e/+EFpmUZqUWDOgUFb7Bg7jhpgx58ZujCH0o0HQnKwPsQOmBRSS
9vjJK//nESE4kGBVsv+wdH7nSmNkdj2loyu2taTYCCauXOiBPZGMXBobk4Z/D1UjKijE4sQsmT3W
/vefxgziyuYzIj7zSzpLDt2K6N2R3kZZjQFkScf+5Iv6WQb9uvb5hgjC5uJjWn+eZlk6GTN6xmQl
I6uZ9wgFlmg1x1X0Spaju4eO014KhSjMRTL1Uudx+lq1Cdlek7YY2+sEXrMAvjyPRtIAZptSfdeM
dQdH17LaKkBHkN/EMhvWehWna0ilKMjidiFYSqLL0Pq6p2NMR6jUTFpcuh5CPYUEHUMWeEyaLjNW
EZwYBno1EQ71p56Bf7EZetg+AV/gR9cpFq97wz/Jd2ubVlljUihjTwZ2rrxTrZi9a+lVH+TBYV8p
Ov2osLJbz59qrjG29mpby3L0vRZkH1Px/d+vnj/X7rWeNA02RM4LjMy/fqIMvGDewltYzWhw3wpV
FWdJBNZ6SrmEgwuojH0+ZuJcWPG0VeMwfrIb/7kFUcW6lsmJhSvW/z09hCk0jUPpaUEjHf2NUcoQ
jPaknQZvmW8UDyEY/fYza+If1ToOqqt3A6u1419lv7/+0i7hYEBPyniFPZEGdU8v+lOc5x9fLEtc
v25z14oRf+Zvj5ppNpN4KRIAX63rnAHs0ENOi1kyBpI1HOWRDvMq8ZQ1INlSNQmxclnWZl9Yj2AT
dThJaTSiaOW2RYLZ4jxZVhWfVOo+Dt4YhwlZT9ygqq/81+lURgRFtfhvAn6x5WjHCQ19Sx7JQ7XX
hZsPB/SBe5l752Y2X0eIK8EkJn0L2olkuizS7wi+bldmarSv82CWPxihRY+lc+0OZvLa64RV/tG2
Gnl3UnrrBXl9IAldXiuzvIcb5N+kiwhlKmktlYSbphrRtQyom/KEjcN/ioXBfXXhVGRC40D8cjps
9TskdLQe4T713ieeoZ+F6i97zXWPsaCLUTZjj/qdkTGNU6Ukgdqs7IWPMggmyYEgHdpaJyiBP9jM
iy95g7DJ7WoCTf24NZEAOBuCIrSVnbk0rR2am2mC2ABm1bjDViI4FpuCGOlhsG+NdGDddGSOhrKk
2wyiy3OcoOub9mNaavMd/js+E1DpxYOy/fKOFxDlvaJfH84kbd/6yAQPmaNJwp+z4S13mudSJcbG
m+LnBCILoMb5jXxMcRgac/luerF1YE9UQRmTuNrip6Mrv+JRaA+FGk8p4aYr0jB3nr8U9x59L2Qi
vdcC71pwRDRKE/dlhlAhaePqk33EuIr5f/u66SgApMMWgTPh91waHYGLEKVBndc51iknEOggxokc
1nh0tn1eXbosZ/ZlQzgIetL08GronUceIialohnarx56naNXaI6iNV6q3c997r8bmPEfoTD+c1SN
/4HADBAQ/3Qg/AHMeAaX8f6t+l8rAB7/TM34+df+LzXD/AtMAa1ZH1cE/RKX+kP96If//W8GfwKf
iueN0eNKHv//0AzjLzq53NOoL12DxcC96N+hGdc/utrmKADxzV2rpd8gGX8HzfiZIvPLsgOYbAog
qhwizOV/N1kNDZ5GhaEq8PUk6ORdat9Fw7eIkFdBj69ioLkV04PuMuvaXZgl3vvpxbTiMErMtWPl
hG42Gyt2Aw0rkdc9Vgxum2dnfkrUk77cJO2tHNp1tvWpLpD1u1Qr3p1bv3vihl1X0HA3/nEg/ncv
1P+Q7PI/cA3S+Pm7NbgDZvqt+2X5/fwb/1h+pvkXiGquaWwu9NgAZ/y/5ef+hSGaPsWVMXWltvzT
+vP+cjh7Kco5fqm3rh/g39ef85egJ2VgOeJ8voaC/FfWnwEW89eNj5sT3H3KbxY1QCPrd2RKnPVZ
ZlfI4Ev0Skjt20LsiiWWe6RjyQ3Tqymsr/rLBDlIiKKIwRLqP2YPEypm/d6ixb4dW/ONES1TQSUY
NjqN6vdeHTHOSzq0wb6R470ZraNxVYQOiLiRU6rpIVfFXVaZS+hGmRXYQ2sey6uqtP4pMF1+ik05
d4fTxB3S6H3/FA15D9dwKZ46z3nNK/erCYMziNJGbpmFFQ9T5BAK0MrSe+hn6ZIMJaqdKG3wys3k
PRIW6SUrMoxbwnid4U6AwiegkkjVdV9nzWpq0e6YTqE2JdyDU+YxuzNgVa2EzBCEW6iVj8M8twcL
1UVwZYCfAGjNm1Eb8DnUHudXZ30s0sQ4lEgHh/H4Bc0EoSRLP4VWb+v72UIa74wu6tGpL+89vP+h
41G3ku0MMU2qVH/Ce/3FTMop1P1q+jBNzLna3I4vc0bNH2m1dYgK58ssy+QGuD6Ghmjwtg7X0Yak
hka7zGZkvyqab0c0RTYkS104gU9XP62TPQCIot3HBcGfFkEyL3OcRgQUdErbi3Yw8J8UbYXvSDX4
O4dKvY+zllz6CKGMPZhDE6TuvKyY5rYXEg8hLi6E/XyjeTvtBixlyypNM/8RrCVK4dlBCd2rbmMW
lBrklLSHFDHzG0lfpA1jdwl1tIJnvaAZiXTRRso8lcv3qSELO2/Eq9QwncY27I/Cd2esmRVZwXuv
1XhK2K1PLkPCy5yQVB4U4EQfzDaGFjH0JKn7M+Ny8oN9X24mWsWBqDr7vS/ntAqc3kQHOg9FEgcd
Udi7PO+NdRr5E24OfJsh8rkfdJOIJmgbD+VQq71EhHAD102WXcy15gdvtNxjWkf+lrUkIJnz16kp
iX63ycHySs1IkBWp+k4zZ/uW0ROKrap0d5SccAnxGnVbThdqNK3g0WhFvUGLEm/8yGY527E/fwEl
i57Uj401tErEQMlIyyv26jCf4/7OmwhmZj6RZxcKKpaAUok6zlbFnIcmMMqJ3uDJpMwQuAnx521a
VU+FleoXSDb1vi4legdjaK7+C7ze0zI8zyk58CRXQqEowKwbqacObq9DqBuiYm15RKuC5LT3aFmG
u8JHCLtO6prwlRGAaoZ14EYBIgzzVt22fbfViRieVs2kjB2a/+nYl0N+YlZOJLSMJUwRZdXxJSby
iiDEtr6UXGrWFe78297Gi+Nc0ScD2Y9r0Xk1SwShc5oYwGjctyTm1VlpPbKA1MYE0OmxDL1UxYJH
ngJKyETybhCy+FrlOhpebNXqqS8twqEyvXhyRvWG8D/d6c2owsoU7401LR80PeKZd2KRe+XPaehr
IGEbYZThULNHB4mudC4bwvhK4mwdkgiXBHnGulw5fvcS9UR7OC3qWFqk8sjAWoZZswwfFVHTHyk1
wLsTmfnFacrkqAqdSFJyQg8lWfTIg65B6GNjhWiCOhx6SZJuomTZxCXSkVH196jLkpXNGbFqGXev
3bnNX5JI9AN9fC//blnJvNOV6TFiSKvXrBLNTZEi+bD9OD6niA7Pk0ET00/9JxvWzuNSXJX8sRzM
j9aLkClM3uRS2JrIGJkvGXQ44nyHNYYse9EtBBBYmvndIDZ8DpJZ0+7sidePzJrlIKL8AsGgCREx
4IJoxL3jdC2zdtcOE2Qx+z7qi28+3IZTL2Ec1VnPI9ORn+8S/FMP5jLqF6lX+mYutW1sxPum8R7Z
5B/1dtziIWbV5ZcUIm+HRArITr4h65cOxzDsqsbdZITT13bxSsp5aDDu0yVfY+EDdvJ2ixhIdtc3
SCI2Dbqh1tBuTTGEsMp3o8Omn2i7fCzObeKd+6otAm1o710hY3qqbsy0L90TLLwZm7xF4+vd+/7c
rqAwBcQU7C3V3g6YJ9x28U9lWwHylwiQMCQ52xmR1W5S04r7wJepfWHBXsrcWrcLGq+mbUJck3fS
mo5zbh4Z334bWuekKXWoffNMovBea4qDGsQB7d0eDiWz1nT82krrQgbF96G3b+wsvUmuIHiibALM
Z1hfvDWt9TU/8Sxt67G38Xdlic0abhyAXGJUq5IQzbLsbrwIhcjcMP+N0j1mu2bdAvdZ96KAByHa
komah30lDXPEE8jPwGS0uuCFqSJ+B1/e6tK+OF7BD8CSaWqeQbs13zro0BE0t7eYuGmPtoPzXnF3
CvgHi9p1vjOWUrtCVt2mtBaEuNUXVDpv3ZSkK04W2ucOw++pEOmVzoKEp39e4rJdVw5rV8nsBEqW
yG7bOy5ddfSz9OSriYshw/LKnjhMYm8vrOwkTSChZS/6rW23oTtlH8ls7ulnfviM0NmYq+++sXQb
Moynw3QV6FqCxF6MvFshkydaSpQ6g/TX+ZCAM2r8cNTSu6hsHxWGUKtMdlqvVqnZX52x9SHt270x
iefCKeaV0Gh1gwXNrOab3RVrZV/xSaxHY7Jf0mrh4Sg7xPDwVApsQ7nRObuk6i0mnECvFySsdSU2
5G94p2GBMdoNFyhvxcm05UevButWw+u81ur0G/iLmpoiW1ZFfW65IY/dyXS9qwv5uXKNh7GgVdwz
cd1Ba1V0aea97JqbpXAPfr6MWyTs6kfqJGUY6/VLxEZ6pDzMuEt01drOxIdI+drr0sy2vNA6APvk
hgRggFSeg08PdesNRkG2gtHUaRjgI4yztn2HFBEfE4HrxOJo2loG8jJnNJobP7EhitCiOfsiTQKM
33FAI11/5EAdVwLe+K2bTE6FuCDONjOS/I2mGfWdatzxI0GAGbZRLF8qtvyj7UplrHoTvB3/w+WY
mHUfzAQkLoHex8sFrWIJR4BYKICDltBOtlUsWGfMfovQ2PwSm5IZX12O0aoDRHJ0IxfZ0xC3STjr
xmMbjyRYFpq1i7paBOiimlWiZ+Ak+gEBW2HU3sHDIrgqfMq3LG25SCEN7EV0MbKJ6VUJJLZb/GyC
Bmz0Z0EzZzVMIwAKbTL3w9gc2imWF6tD3VlmHGlukqf3o4inHSEfTegorXq0p+QBI8lQBqkuU2L/
xn7LC20ehrmpVouBSaYlg5kMApNf3tL0Sy2bmbqmR+cMxYmkAkzEzYRd0jen5cA/rJ6tKymZTmFv
unC9GDfNmNtXs76XbuKh9XeuE7dUtZ7zUI1C/14VulqXfdFv2myyjwukhtvYsRY0JhZdHHhxmxSg
Bu6ApXmYBNyNODPnB7P4P+ydyXLk1tad38VzyOibgSeJLjOZ7NviBFFVJNH3PZ7+/w6lGypSsmgN
7LAjPLi6EfeqCplI4Jx99l7rW60B/bDp9vmY4rnGgDyfdUpfXqLGMsJ8maxTWVFR9SaxnT29MH8o
pvUyN8vhyMk7O5Rl/UTGzlJ5DT/MTTSPG1EP6nKJY+EWGkQa6EzPU/yJTksYWDNcMxUzNbanqKfX
VBb4RsvbhSzw0OEw8mIWCziBZrrDTUHJ0CeKi1yY+IxUbS/ttpdDG6NW79YD2Y6bnawnSS/uq8wY
LzvkEVfRvOJWNfvlSDMa0Bgy5d0QGd9Lc46uTbCiN0xO+aniIcKtq6qgyMrUN1W8Sw456AGKdZ76
LJksL1vM/trp7eUS90sTpgXqXmOwDPBsuRmhXKTSoJKZW1Q5LVguY9JQoetdNe8G0oMvVGR951ba
OhUCP3t9xM+Mt5UHwutp1yJcrc06JAuVluUyT/0dg5RkP2OgTXcGBVK8j0gsT9ykrK176GsVWDqc
aPXOzDT9x1r32klUX3elZAxvderY35pl6a+SNdGfy1Rajip83tCkdRnGzLtQea59v2sHrcIzX9rV
I/YBHsGikLOjioPtFjgZuObZsO9GQo+ZGerXzqzpMyYFW0khkYNulDtduhoSC+rKiAYo2UUWGasI
/Zz62xxrmCGcpTPZnLP4RpYTbNxWFc0l6RJRFFjKVqWBAWwH2JC1KNxD9H7XMy1UVM6AwODUqb2M
CkErb7I2WRSf4Y12PiCJqOmwpuY5fCO9wZxj5NNOarFDK8WA1Vzrk5ulXLylTNDE6KLmi6Kkl31j
GIZTX6ttJpIPp27Hi2+emdgkYeQ1MxGY+eyAwiv6kpZp2Z5VHJbekinlUEZc+/ehkBPsrr1evCSF
aXoAqCqNCkIpD9nsjCf6n6R4SDyFqTTsSxJPD6ZEOmFdzguKIFwvoHrHOxOMJOt/xFLPMzuHc+Tc
j4xnqPu1RYidt/myyHrTizvYWpOSF2eGVWT3GQod5LejdWbQoq9fGWI8ZxmRZ40cZ1cNekKsQ8w0
rluzrBbXWZbam7BOtR6yMaz2FkAOm6DFez7F21B16XUXjT9WtbXcosXQr6xEUCZlea60qeRF0aR6
w9C8jMQ7+RHYidue3eGC0AZjP2mleZDmRVZ3rD231Qx6IW47MhzxJZ8NSfuGOyU5TCCSbkkHvOgJ
xnE5Ey3HrodyoEH98pFbP+KhNXdKYpw0eSrDIiv61UOj8AOO0OSmtvHS9tms7FLsubcjzAyvHWbd
W2UIrb2ESV5JFXvf59LmmvTdPTsz13NTlthP8dTSHTk1Zi7tUfOdOWalvRVI/LypHGe/dRLkhMKW
O8tmzERSe1tBDB5HSdPXHXG4eVA5bfYwbau9Q1Gk+l1bf0PVBOtn20q8s2v0oJZJMGa4/I2RQJW4
ZrGBTnZJ7hXWDLI/LgC85IeZ44inWsWDM+lX6Wg4e0uJqBJqvdtPDFao4bfGjj2qxCfOR9Q0hlSd
rDGvDrAiLsvRjHkl41ByqpiEwuzSQk7As8HzOtj9fDmnRgGDx0ovNaNcvQr/2kUaa+mZHNcwcOh4
uIhvOEwVGoSAdW3crYpwes/aWzMPsD0Axoe6mVvnyaSbvqJJqI3bHG+fBhh/m0B3YAQIC4k9vEMo
iblzwT0mRXXnsQyiQ8JDBzpi1d0l78RxOj6S+YSCUJp9YGhViKZYO1BeA/0n5eIU1YjA5tYGHFrm
8s8ch4cfyYUdRhrJgm1iaPEOmB7DDSoX3xzROvMbmZBYepTS/cCEu1PRhTLecznHorfd5OdeazVt
J0WtidWJTlPYNypuBXzC0wMekgj/vPMaLWl0VAc1O+8UvfOtLq2DDnmivZtNuYRWk2VvC7fipMzI
PrMJclo0FiSqWBy66d8EwF4eYhQegS3VLaW7ZAfxVidB3UjTaVDjg1MZlmePc3Fs6BAFU2s+VUn0
ynHYfDIXIz9YrGm4efLWryvNDGMqhJ0qK7dd37b02CjWw65potMk2nBN3zju2nArSMU0DvigaNgs
vYzprkmwNsdrwNBnfQA1I+8LmNmPa2kSc06/aJ/MswlTdzF9nehtd5IsizzVwvE2VfScaql2I5M+
tgf4dnrCFsdGWHQdfekBi2olzKo1uw0RLpDDMJjU3pbNL+DFMK6wmnLsE5ZXq8xXmCfjXZrYx1rY
YonzPreFUXYTlllrwNsF26j0O6WYzlRhrTXw2GbCbNuZmN44Q980wohr4ci1hTWXuGKMnzN23QwH
B5oCYeHVotqtDeHr7d49vgtuX03Yfg1Mm0wWsQJLSgdVVdiDFWEUZhorPMPv/uF+xUq8CVPxLOzF
w4jRGC9ffJKF+XjDhdwJO/KYd00QTcYpFlblRJiWB71JT4YwMjvC0qwKc3P2bnN+dzx3cZ7jsUBJ
qglDtNXh3zJyCCMSA1PbHqewJ/3Hj4WVGllB6uEN0jwHd7uHeQBnU4qsN1eEDVsYsoEcyEdeIk43
xrtxm/l8/G7htiONHw1bd8xNORVkdWOCx/Stqbp0yiLeLRPpPJM5CBOxsImvwjDe2Si0aWSYJ1vY
yXPRVJxxmM/Cam4NanTBNo+XVSNATxeW9Iqshr2OSz3Bre4I23pOjh4m6ZUmCZ52qVzbAJgHPvdB
WN6RhON+z4QRnvAt/E2OsMdvpCmcknfP/PpunxdG+uLdUi/M9bNUPGOIoLwWxnssPTVWIsz4ubDl
V+8GfYsqdacJ2z5V/rxHy7ldSy2m/hjY83UkjP7Nu+efMsm6SVMQbXhUgAKkAg+wCVBAMbMTmwIe
MAiMQP9OFBiiZ5YkGAMttAFpWo0zbGXzY45Q75wmR+z9b5kB/r80WlGFIvG//2eA9pfx3m1RY5D8
CMR//yN/jPbM35DCUajYGsHXoKP/nK1ov2m4ChUiyt5hgYK4+ScQH9EaScp4bgkVNC0+wZ+zFfwM
6H11g1wvR/93QPzfs4h+Ge7JyN9lFb0tHw5dNR/ko07DWQwl6yu2zLTMEvboFeFQlyQu8r3onJWX
BmfBzOhbmWEzZqyuHYjZAzAlTMhbbeDp0Z3oPsnLKtvZwq48C+Ny8+5hLoSdORPG5lRYnKd3t7PB
C/OoSckYGmuF8ULOKgoxSkVpVVfYGxquaUsYqPEKFrtZmKqldbssp14LMVfK7iSs10gPOzcXdux5
yXsUjli0C2HWhvmT0h4UFu5WxsydzQiuMEXO3S4quNGePKXl4oppF66HAQ87gnfaWFIXkJq4YdOu
Yx9xrbHHhzfdSUmjphithcM8F2Zz02hMHAtaCYlhnpsbzOTOGTDGbB8Jq3oqTOtsL1Ezv8Gae02F
qd1BAQQYnLb1Tn53vdOMEego2CFrtw1BizsezVTnzoudENZTdGElTPS1sNPHq3DWT8JkP+G2r4Tt
fhIGfEtY8XVhyk8s7PmgozavpQ3p0VNpz0dh408MdQ4inP0RQV2BrfWY/TuxsLWrGSwCBbBMEsa6
cY12el6oV3QgJJGUCZpNYAR0e30pBVjAFoiBGOruPuNkDFEwlQ5GW3I80xPjQeZv9hrJ3G6mkjYJ
Jo5q+kE0lOrP+LPYTKsZvEE3rFgjB8c6cwT+QBMghALrV9Dn6TAR52pbOyZ5qod5pPIX/h9fE0AF
lMq13wnIglmX0ZsjwAsxeuRSoBhqhc/UyQb9JQFqKASyYbKAN0BdA64gtWdwiuLzQSAeZAF74IZD
dG11CBAcVqfTLLAQWm0oB20cBkzwghqxbs3o1oIkoXUKHXjgEgzuzX0B2W6fQ57gg1xvAkWBewZS
EWq2cBOgikYgKwrYFZuAWKgCZ2G9ky36xLIYjVCDTwJ8YdbFzSJQGHCLdJpZq+Yt7wVJLmoT6b1M
aReGfbKoXcz3KmYh0dwQlc0iapxUVDs50ND9JiogXPfpIxMbeS+L+ii2qJRUUTONonpqRB2VOZSU
i6itSMtB0x3RXK+wsZ8cUYP17+UYUh9Q5MyKGlGryUrUUKFQv1mikutFTVdT3KFMelLqrA5wnBbH
SFSARpYearueT3U0JoGpQrqwcw5iWa3OpMhJ57KoJhdRV0qiwswpNRHpkUTZD+i5S3r8i6hImU8S
oTPZVhVUOs+LuvbZOXCJ6Mhm/QoFNAoix1H3SwRJylqX+AXKC/QdrXG+TelQP3W1BIDBtngg1co5
64xe8cuiHzkdNnGQxhVzTnLEiSzDk21HS4iXloNxzlOl0JYrjIcURfJbtdrJ/WpAOm4UtcKknUbi
La+ZCFVr7Zt2CVEDscQcBSOP0d1aTLWfVbSy5DqKzurWcM6rlAHNaBOUUBHZ57XE3p5W50Uq8oj4
PtxHACfjHck1kmdrXRfyxbrLEujoWRvTQqW3OyP0AjhTpOXbaCjpGS5aQiQyOMRzu6YBZDqQDFZM
H8Axvq/xMNxPNtk4YKxp9CWO0u6UEdSgvErflto5i5V5eF1BrP1Y4Ml4DLMgbCpZEz9iR1RC7F56
uEiZua/JKNx3hVOHtlErhypu5vPamto7amz5QQGgc+tgT6VhT6eIbnZEu0hOKIvhj7d6TydfkiGh
dbqWHDOVhsBG584T1tK9mtvfK1PPPINIp0O3mHif6JqHSinXPmBLTuQj48UmTo6xJOBhCQZZo41z
X0n5xQ3t0ey67ttA3CJe4bk/tQzXPbVpNPKGlP7UQOaXaW8siVXDz7E1byxFH3zLdHccoaFmJdgn
TYZyoZvqPeJUTGsNN/GOGg5Ul9ROrj0s+b4Z4wBF2XyG7u0nzF9ecKM4G23nNdHLjrET5/61c5KT
lCjVmblpbCA9LxMoxCttVPMRkPb6ZDrrmaLj/9dqSQMg0tfLccu0pPAM3JVkTZZVsh8qO3mUukL+
OcdjkZJrwAup6mX+3A6b8XOUIotJURF39AW2ha1EMzKyH9FDe3x75QpXEeXfYNXsnLE9vPQcqi9q
AJzXABrn75H8oiwzGJyeqj2qOAeRhrYc9NIWm5BWXOaC6OwM3GjLSh0MBK+zNAkzu3at1objd7Fc
HdsydeBQZZEdlEmd3pARtgIAKdUQJOJ4VdLzTTxTNUq8djk5wJ0yR1d9WkCeQ2HwzaEInen0Z/GF
zjrM1y0tanaNDYomFT3DmdeKpph8Cwy5D8rRgAOZR9r5nPTq9TL3WjDh0gH/D8n0AiMQluyo+L7N
qhMi1Bie7MVKnmhSvNk06L7nKBeBGs6D1blpFOvX1tJzcud4Nd2ZfKqb9wNPocv9IdUwLMaRLgnO
r54IrPlmhaAUsNpo9NiMvsm9sUMlA1tFEr64aD4gMJUf9KYk78SqeTbmdLqWSTmFi6hNT/mIcxIj
4eIxaQlNo9Avty1TQrQ0849ZMrSDlnZ49xgfDDvaqzJ5AosRgtfs+dAUOGSQNgkZEbE6y5xuFIB9
pYMMCwDF7NypvLL3m0zrjsi1cq8Whnnh1Kt+SdA0hpSSxmflyLAAizR/abXqmr53/4oBpPVKnIdw
OSVIitXyLC0oHjgx9f5Y6DVbZS2IvHTr+zn9LsvSnWwph7EiXk7iZrvV3P+sJYbdCkIwCKjbjmMP
s3UtHbwFusqe2WkwGfZ6ZPmTWCk1mOw8BFnzLOXyqRlOVm1DPODt163tqpXwOALtUfyGhqnbrMW8
I7kH5WUEEaHhCJ0ODA10eXowiUkKVTIxdmUmsXbMpVsp2RDMYI/YQ83bqDdWX14KQG/2yUwKmLA/
dKc7xdp8A/lTAWyzvI0sR0xkKtotmaNfLht5nDTMd85k5ZfOO1GFXUa7gbC9MZ8r8gfJEewVKtOf
s8Cx1ALM0r0zWsAhwGuxBLqlZJByrVktOJdqBOwCiCPnyDxfwlHHSyoAMIVAwUhokc5VgYdBAAgp
hhceaowqADIbbpheT6TvsYDLkA07HheGmd6odYLDJzA0xu9Emr6uA1lgamCajNCHIJMe5F6bzzdr
Vj1Tj2uh8TlP1A3azVqW9K+jYriIh1T3q76gV9SKd3SL1ZQOnNorEKYG5S4VMJ15tqqzidbZM4yY
6iwV0B1N4HdUAeIZ3pk8a5OOZ7RWlHNDAdkDXgPEg8D4mO9EH8h937Ksf8lg/bQC+qMJ/E8NPtAl
VpkNKSLX5b6dVWVv13b7CvQq8lO7tHxLAIUyR7VoKZJMRT5jtc8EeCh5ZxDJGjiiRICJ1GpqAkPA
ipANb4EuAEbQJ5wrtF2YUt75RpsuWEerwB79nz3ffhC5/s+UsP836gvNf9S4nn8vBnyrr+8pdYcX
dKvi3//jBKz/ZlimcO8RNCCOmlgB/hC36r/h6sPPi0zVQfVn/6ku1MzfiHfSOC/jZcEj6WCy++ME
rBm/Ye1SDU5Nhoq7X/tX6kIu9VFcqGKaw7rCIZ0U7PdD8McTMH5Y+uYgrnYG7d/UtnyVjjt+I7cy
x+sKh3a6fh807Upht0mu7PF+rEM6qjtzTa5lKhdNaPIIeh5yv+9vZ0xBNd5w+QEuwV4cJtJS8WOg
311WeNG2t5XrTR1cEwN2c26mmaBr7ebmTl1CABTudCY1P+vEcyRfWffxvblcywVtNo4cLN6Wmyy4
22Nkfg3yAzKj68ir6/3WFqHZoJ2lYZ50x5r/ySroJ6fIvEpIMQhMxAyoey3AIXdGTqV71TALGBCJ
1VdmmezStrudeN/z5m2bjV3kPK0AuZkJ/VCi9XIQag8NcR0ewjmm+NHOc7lkqNrtlvKJWBLLUF0K
cbDV9FNHhiSp6SmRW89UDyu6gfwnJdqpNgikUcNk+r5o9YNhxz51PCMxdlltrvdlxMigChQK9bJO
zsSg29LiQFmUg1RP3EQWfGUKQHn6vPCcE5v9TB6OsrwtcxlS1jXW9Zo+6+1hSvB21N9GhvytmCfi
J4aKvXYXZdoi1UGbHA3uHP0sCcRaF5Rx+0J+Vbaf9nYnOd8Vc3SHDolEObrJ+sPYVERe6ZUTJXcj
THZgtEYXgxDIQ7lf3QWCeLodVqkF0zNDJEdVQnMtIke3YEuoEz8RYS6K51SFG295ODFUX2DPp9DR
1F7wS5EyJVoIJ4q2C6yuBkD70lxo9IJ71WNo7yM+9JOk382S6iq2CML6XpFQIMFdFXAE+WyekmOa
9GEGxrsfCf5aOS0wddvqWw1IcPZS6TY5b2D14dWDJl1Av3Tds7xQO+PcqGh5FyIEuDL5fbVw4dRB
2eJXWN5Mjcwj/iotZrrXhxJt48UBwztbJ9j9ZxZg1SpCj1el4WZfNoMB3NNHVbGr1OIYmw/T9K3Z
0H8W50Uf8UX5DLwJ4oqx8ayAKK8rBD/Vt3xFLLHwpGoHTv3WMvtNt3qTxgyMt81uNNrqmzexrW30
PtdIpYkjBX2rBXq6MbwZhAGXT09fSlm8dFi8SvtZ5um+Kmca5tUKhCp2B3Dw7aLsOGJThDCWtK44
ULiSfJqUW9qml2X0e0uUlfzvQydFs+6DbeN9gTEw5amoGrEwC1vHL440EW/hJEMKv6F4S2ca4uV9
DgoNwVRgzkwnrmIGOY6keFtnn3SC0Fer9JUJUNC2BFI0h3URBYuJz1JTggkhfaxflRGnbAdJvmS5
jfKjWm42TmO2N7wmtFWQtICFcBVm7/paeDJYm4yDY86RaTqrk5utDWqLpoGKcwdZFAyWnaU9I2tS
tWVHMrcj1TAw+OlpsE+oNReE+9vJ1F/ox+yySjozOaOWtVf0hyz5roHMRd815aE03xV8iAqFAtLx
nWleMpkuIZ8bS/hLj/Xq9wblhyTPT5Lw31ftX27qZw+9tZZ5DYQcoNW9PORXOqEoScNJE1JDWT2v
DXWe/MRccrNDhUbCimDsnz+C9ncbh66hVjIsHYX6Z19dNUlINvscVJpi+ZpJCiKEWmDT/VVBqLb5
A+wI8UlbYvkGiE+CXNQb3TxU0lNrHQA85fUlS4WsPsjpibdeWg8LbCUAw0i6IFjJcMLhnEjjF5E/
n62sPI0cM+j7YjOxCVj5ZKeHjIv+hVwGJO8/xgHkjGy6m3Va8+2L+yP+ol86y+IX4kI0r5nIQEpx
Pv9CHGVHeS45VKquWngcaoQbkNwGex+3X13L+svXUoTF2qSOkE0dIZP+8SWbbXmR1CgZd610sivz
xooU3P8zePB6P5lCe7d5lZPQ7tCe5qZg/9VCxTjktW+UcHzn88JCQ4UifJev2b2NDgMZQhBn5AsU
5aMsxv3s84lQN8glo8f6NiMEZtYeEl7eOR1epK7yWf9dlOmHdGLkKVZzetlNfMGxSdHTcDDWK4Zf
vT2fL2Z3XC51lAuwGTW128Ur1CQFdprhOebbamhux7A35sWULMBTWbeb1gYohuM6UfMMr/pQy8tp
KQQpnqVkXpjtFns1fihMmzW2PUAh9iSUo6Cesu2tlK7ivD929Gh6y+Wp4FRAvMJ0oTCMRZUWY3SE
rE2toqJ06dwhupOLQ2oz24NSXl3X2sqq3gRzSq/JEoNMVoxvU9wFc/MoGQ9iG7Y6xJXofHTmWO0K
EHnbO0wKJv22sVYE9wsTuvN5GXfL+qLIp9xmnrzN5MLerTj42oIgxPJIjoeZGcd1hAznvNnKC3A9
ujU+sEl3rr6Peeom1qWl3GTl5TTsR/mQDzcTOwdHXH76xzifPHHWYAco60chj2xtw5WV1BuRx/Xq
aUYKxHxPWuFg1dKusEf08mu4aauHIdo1eVt1irbBxgVItk+9sHqCtzVnxoUnOCl8dZheG+ivTTsM
W3lnkxGRxDb7Z2p4+jR7yE72i556PeyzrIYZx61Dqu6wtSGG4ZH6qba894Vytil+TZKRg8i4C5mY
ulmkhNb6M0tE43TyNd6TWmW9Z+9jqGLEgLYcr9YTn87DjstViYk0QD9k4Lqc7iG3tiNdYfSD5Bj3
CaNF3C6R+aBEsT9BFbHMq2HUWcqtvdhStTkj/yfzGgoZqer2slS5RUEPTIR0vERjdL3kPm1b3pkh
5NEDqRGU6hPBdjuVVFEaZHtt0YGQ2kAVzybEuPmaHI3MOYCY3822CW6CYQiU9I6OZdXfbKpxW2j3
kzGda2gcGJsdlSaM4nsbhAbyiF0fa26f+JldeLkKeSu6QW8U2tJVEilA56/b8ScDfKqv2Z3kjM7A
cVopCegXzlYAxvfYOxE1TOapNEyhdG62CZRQvanQPhTNfFDKCFPIWy3vzeGmgT6Yad7MuxVhbpt1
BZw3htT4CTcCz2rmIZwk60A9JM4V5d9sv25miV2Iuo72+cYWqTy09iWdWc/Y9hoVV6mxidP6njTp
zkgfx+UOO+rhvbs2C5kkwE6gFArTmk69jGTJt9Aejv1P3DJhrz/No+4mTuKtaKwTkmhESTlnNGec
yi/7CXbvFCQNcuVH5mPgK9gz8ksdceMwfpPT5F5fcm+jW28iDRZov34vRee948f2w2SxU3aJm8Zv
akOpCQxRhpUgKa7NYZuimzhURJnyrjY4W5QmoyiLR/WqIPRBW3hW1hsijXf2+Gip5zHLbD89RoqJ
gZrnUtFdkoN8+qluZS/eqj7VMv16vzF456cRB8ahQvUR4ZjQ1Ctlnyejp+u+mjy0Em1ezCZrnT84
8+SLLpOdGr44SoxKgfInxm6wBhgeQsBYO4P2vQaicRpJ8qCJKhVCii3wr/1lq5CVY4o5B7oOxDMd
dQsUC5Mcmb57jjvyJ8r2wK9FW/BhzO6V6k2MoASdDw+2h1X6EK3UTtlDb8kguIkpuS2WFyjau7Ye
90vZcOkbSSJYcN2OhBDvjIgBTdJdS/1Nm2+HCPJSZcHf6nTXTPfpNnuKqQoDw06t1t2mLb5d3bI1
9BhviqG4k+ezpOMpLQ6TfdZK35UZ2w8fRUSBYALAeuYhoHTjePXxKLgSqFfboCFm/Jxnw7UVXlsZ
PDVPK0SDdWHgxOVaQwp4kIKEqjZWKndkH8o52dqQY2PkBqoF8e+WgCC0n4W75fUxs18U6JAseWOk
nHEgD2NEoAldota1ftjbcXL2qHHc3DgHpnsWDfe5vGfyw1AyzKf9xGxvZNscTm1KhIxVHQz9UjLC
RXXz+bqTQFvvYzkkfVcfoK/cQkEhB4nZMN/gZHWNp6JXB8W572E59tJrvzxFnL2ofRyjwIDFQFA9
a3Jjl5nh3D5v1UMjrlMWF2WXPSOA2k1G+2zaBJkzLs0e2rr37JxGl6UG/XLXWfGJTGZv4qF1MATK
mbqrBLcbYauxejPJHlYDm6GxLtB3QAdvgw16dDfVzzamKzSB0oKhbs58Ijp1zrA5UvTlTsGfZF5M
+bfJelbU4l7pTFdX3kqNMnBjDlh7WL52xcJzugWwLwGtcTDBEbs9LxOj6y2IKjfiQJRgbhhB6Ueo
Z4DNdl6kgwyWDcCmLOA5KxE9Wud64wfLNjCBiuUtOrs2jyqN293G0bXBejt5i8Imo/KOdkyUEQ9Z
Ew0+5dixmBpNWA7aflLuN0cXPX2fQTMvSx7m3RQsNlMuR3psWeoJugtWjlcJOun+NI54fB2QvFFz
Uorbnl15kOadTTCCYz1xuL/QCDgmuThaXpGBXvRaeQB446oqpP8+fxOyRdJKOLAdKofuac0P800i
nXtwUN6g2TGAsA9yde6AsIsWFuJ89IyI4/wdzAYaq8R0laOP1C2oeazR2O86aLji+9sr5yOscUD1
dib0VDLQQvqVdykw2xU7lb3lxw1rg8NsAQW9n9EKNMGSVmieHdVd4NRzf+Cp+51QPJesI9xdjW9o
RBObe3UODNY3k8THP+AVEwY40HNZA+fSQbQv75OSYGRZ3+VEx+UE4KzQMbX6bKrYfGtkizrFyeyu
qQGcYLmQeJfhpCLGfmuX0kNUhqEiYp57tTjHhiA8G6N0ig3F1Ajv2sJYlzyLlk9OClsp4Cu1sdvK
7aRx4pei7HUiRGsCz5mXTYg8e4+GISjJLUtElaL1l2Bg7rVG9lJ9r6xlsPaT1zBZMuXmnBaxV0c6
h/bay8eHJcJ90Gf4W3lSsbvgVjCz5aLIKTvz8rwZhCcIv1jnL+LUulTfsXpejF18UDsGmWUyeNBL
duX40rNkQos9jpNyiM04sPWZ4yqY+vZqYxLal1mQmdvBoRBNHA70sW+Z5Ytm4V1i2W8rhabLMzjE
QF160srbXV2QYgRGYy0VtB5Un9wjmwDyScLv4g/ymSZvHmaFHfqvQDe/YagdB92dYra/6omnWY+Q
lsihDuAzGxIvl0wvRzVbRM89MMpEKvf6ylG5JiOgfiDhJag0fu/6fqvuORSoTR+Qn4OEf2MNC7rm
e1xYYTWdl5v0FHfEn+jKWZs9xfZTKURx8xTO67m21Iz1++JSmjvMhv1hG9owZQpOEw7U/XGidCqr
9Ob/96Xfm8l3a/P6P/7bz3qsoKbdvMbE/X3oM6v/2Jc+vnb960fbu/gDvzemJTAJSGahn/IPS5YZ
kv+nMy2pv6kCO+cgUlE5VIJI/VOc5fzGH4ExRFS5+DOiL/AfcZb9G3ZC/kZgpPSoIRj+G+P7+1H8
zxM02k7d4u9isQT+wAZofDqq1xFzkUrHUFEcVDdxt71xsXiJy0rCtrUjFNFXvw07unV+7Mo751us
uEvQHbZLPSiDOJCCf254fOIW/vXzcE8+NLIInZd6Rxg8PCUw+Ryqn3nRweTt2TU7EjyO1pcot49N
lr9c8zM/jdU162xxTWM3eVbA2Mj7aYSa34TG4Z+/3sd+xV+vJD7JL226ytxsZJ013046H/QwV86d
7LZa9s4cWpv7z9f6RDT4/WLwNFQHEiRkDUf0DH+5WGF1SqwUfK3mp3q0AuMHi6HPwjF7gKvOUM1+
0SARP83HRwl6g23xvOqU4cw5Pl4vN61JSrQMwVgY7/swD+dAD7ow+6ot97HXKb7Xx+t8uonlMqD3
nbmOvF4WOnMTMUPgQHIoCs90ztfm0QJvpLwW6hcsItHf+acv+OmGykgRi3nhwmt2W2YPZEB88YuJ
Lu0/XUA0JH/5xcD+GqM1cQEG4Oub7vbuMuwcl8MHAUrdTvWakD2FXe/fPyofb+mnzlaBN09BC4YW
6NkMCTR3i8t13lGJEeQQqt66R8n0xXf96mZ+6liPOdNXVfyKvb94QAf86Kr7YXqc2nhm5keav/sv
rsik7x/v7qdmYdqakZFFDA3Go329nIhEZ8FLfcldr8Yn+BY+kkg/DbIvvunfvhYOHUo4BsCoPuNm
c2210Uxw2eygBWMo+X0ghfq+/+rr/d0NVXAqmpomkuytT7+hNkPKJUeXteXn6qpu9CaOMx4GoLPR
K+09pe4tyv4v7ulXF/30KxrSbIO/TMTSiWt8mHY0+wov9o0L6XmT/O5C3Ue+9VUi9ccVwBb55xbs
SU1hpsvU93N0OGg0wisGohDnoxKgYQ3tEwlq7A65J3lf/X7Kx+3hr1f79Nxg7mnGOkKwiA/jkPt3
w34OvtE8/XJl+9hf/uuFxAP8y+sP6KLqB4eWUSJf1aJ/J1+hGevSi3/+0T7+Zr9fhufQgXMNp4L/
/niZLMcjncxcRqcfsyn3+fLFBf72jv16hU+PYhrrNCNyngYSXc+1QNs7F86zGuDFC/7dpvPXL/Pp
AZxGOZ5aBIi7KaBVuP9f3nT+7iH49St9eggQX+UAgriOHs4+2WN+92N+2nx1P++sl3/+fT5t3H/9
Tp+eA4kcXXQtkPmAYF3bbxzKPSaPA2zs3XjgLO721hfv8VePxKcq0Gk5NcS5DgvQfCKqiLnhVyBF
YWj4ZfX940u9ZxA4NhJKUez++nBjT0vUZOAGKj+jcMH2zsL707jGh38/n331VPzd1YBCGQyI+I9G
7NzHqxGxOXfM8Fkh3ITjNjXdtEcGN+1kD7Hel6XPx63l/ct9uNyn+ydr6tolMmtflaBGw4IX2MbJ
Ll01/vbFs/FxN/nPlWzTIGXDFOKVj19slGAC0kYmBZZtM33A7LavAmxMHWlwh8Hf/P6yCstHPRAL
b/z4xdX/5i2wZaGJASHHKIyzx4cfMZ7ZQ3uIyiz3W6C6phsfizPOq750SMIvrvU3z6Tg8KoW+EfQ
dMqnN7tYVT2KOpap7RYPAWZir3UTD6Kt4fYest7z2FO+uruiRP2zAPvj7v5yzU9veWmujWMuYgU+
2GETLHvD7091AMXii6Lgbx5QA1KrqVEp67awiH+8k9BU/4u981iuG+nW7Lv0HBXwJqKjBwfA8Ybe
aIIgKRHeezz9XVBV3yKPeHXqr572SKFQiEkkEpk7997f+up8jpi553SOt+XmtdOOZLa2vh1srUsH
5q9z+Xm0s/WJNGfAi7xjfeaL/iGwSfY86w5+ce/5BmtYl4xie2FL+fUwm4dE7kNPwgzpPnt9gYF3
rhrhyBRRc0oplwVry/8u6O7vl8nXT/b3MGdvrMcfIgh1tpW0jnGlezOkp98P8HOdfV4TPAjsw5/B
Bteas+My7oCwZiZvKijvqtIFBm0rw3czohQq/Bh1N4V+LkS7hGS1GjzE4D+k5rmn0eH3v8eXDyqj
7po5tBZMxs8LBpc62dfauWap3FnNCzW43//8s5v3vPZ5TgW52BwWyNa5KcU4VbhoqSPpTyirra0s
a75ug5or5rOL8Lu8CB00gxe+g3nh/TK5tAnMqRFI0uenQpELLR0oZEPrCF/2XV+9ytEuR83VCT+6
dP2vHvG/R1PObqh+ge18w3fAqYBBW7XJlgi/cYh2ASXb/nffTpcXb6u/bpnztP495tmW2WSiF4k1
Y2JUv0zdYQfY5indzNkFvb6wRuZv6jezqcxn8IcA0se/uFUTZjMoD0jpO+nayF8uzOG83H8Zgy5G
tINsXqpy9jlYxhBIk07CfjpliOBW7Sq3Y9u4H+zoiE/WxQn8ch/5MN78XXx4JpASZZAnzF8TQB/K
qBVwMYWqZFp3/49PdrZjdR7Wco3HBxCQatq0K7ptaD/Xb+HlLKJFdE0X1/2FIS893NnulbdYC0zZ
zwXZu7llZ068FWxcyisn22kryRUpay36x0uf3ZcLheQjmRQ6YCX9bDNJMqELfegli1DaNsGqK94i
zfn9s301BExZ3VS5rJH+PDvg+Pmq3qhsmwodcuNdTGraMy7sWZfGODvWMJ+VoTJzxhTovQeVsHWd
j/2FLUqaJ+N8xX98krPJCoQuq4Rc4CTbDHttl5MgUfYQoZRHzwltCsduoCz7NZHlFsLHpdHnefpl
dEyqLRlzgFmP+3n9t3WBPhBh1M8LzhDbWuBQKpgW2TJdIeNBQe/0e/qC5IW807RLo3+1e/GtS3MQ
BhP6Z2Pzh68PvWRDdzQzrK7gg6+6NfamK1oLbP9inuTLkOjjWGe7VypGaQ+ukkWJWmpTLGlQdqeb
yi03ml2sTPf36/PL8w7bDFj5sqkr1DQ/T2xmNnVQVrxWA+IVjY1ObZMusZHoZcliYD5Tx78Y9311
in8c9GzFYjgGtUwi6xXqKnIohX7p1YXnmqfplwXz4bnOlusUQ3NrBp6rdukQc+dMfnhoyTlRm18K
lyLLrw7wDw8knx2pulYFeDxPbJr7bjlHss1+on4wp9XaZxqgW0exaW2GM3tIL6Rjv0gz0Jyvw6cG
OkHW+TzE9HWJovHILqbySQa29vN7NEjcN/eXEvfS18/591hnO/VYaA2W3z2sUboslri835obbRUs
DZsmIWUVXskLXL0dMmyXcxxfJATmGxc+egoWCzIR9eel6huin3Yddfr5skAfFvnZ225NC8JCTu3Y
oSayubCIvlqnH0c823XGEn59mv8sicjbuSCEK+p8g0aktJ/TbP06fPz9kF/tsjTszjYWHBeQyD8/
Iz61ZZl1jChu5ytttw43wkpeX3yyr/ZTEhCaaMypUnqlP4/jqQPYZtTi7KfKktTK0nSQM+3g6+Lb
67YbcY0LmPb9H+zkX84pTFxFooXFMs4DbC02cUnFbHqRPlit3V2Vdm7rBJ6SrS7B2lkPl1eO/NX+
Debhv8c8WzllV9AYWcxPO+ABtEftaPeNvihwqVQf4dXYubhpI7plzPcAw5m+36WFncdLQdlqCuw1
qXCQJNAhdmO0z79/4V+eqx9/t7M1JvUT7M6Z5VbTCbUYnjpnrnjEO9xeHeVGWnUuMuvoiGvMve9c
up5++UF/HH1+Wx9OtiQ3ge2WjI5w94WGxmFBOd1VeR+4Otrh1Z8bV+jA/7p4pn8V9n0ce45rPoyd
KhyqxlyZg9G0ypz6AC97bRzVxWRThTh4trjybv5VyuHjqGdfGP6RklWCgvu5i8xTTd/bpnAtDobk
8C/SN+xZH1be2fHa9Bh8m/Fc6nTq1NGWyZylaqpF9jqf6D69GMxrETm/X1RfbNNcJSlqgzzhXLDO
Rh1zsCYoo8k81/ScBahfIVlIG7Pe6f6rqH37/WhffNGfRjs7zcUkDEk+M1pibKLmNq3vfv/zv9gT
Kady5ccZytRV/WydxNGUGyNiXw64ajMnt5XVvCf+h6Wjn1f/T+OcrQx6AjODztGfkdd02zkM5tBt
ekTQ4e/TzT+51l16tLMXVU9Iu4s5Qauumo20DikWzwW4S4/2xQ3h05OdvSEBmm8Fbpo3VMPVvOtr
V4uvfv+SvopbP40xP+qHr7nqA71FJ/NnKq/ZFLd0Adm4tS+aY3W4lE/4csn9vSSMs+MrTA1YzRnz
Zk7PYbDxy2Jx4XEuTJlxlrBI5HSm9TBCtB/t+KZYsk1cKcd2OdmofTeVjR3RpSn88rP98FRnx5Sv
SBUSTV5T46CmcVRX3c4lYdT08l1ny0/Bulq16/hR3F2az69iK0NBzyFyCybr+vPfP7y9Dq5nN3g/
F6L6Lj+Eru+GRK0ldtWEVv/g4Jmf5Sw+/zTg/IY/DBiPpt7J8/wGG3WruhNRFa34R/gg/6R4OR+i
vxvtbAuhlQbdZsfMBptio+xDN7VhDdnm0xyvXr7fXJzOs63El/2gBqSAi8FWeWruEoIry8bZgf5p
J3YuV16+usZ9ms6zjUSuwNtEc+mqckbXQLOPBpV8Xu0MLt+G8F7Z4uUg8st3SLqSkj4JfALlz+8w
6UGgSLU27175cb6Je2twQBSgCxvL6EuX8C/f4d+jnTfWTH5nxUrCI1q3+Qt52VVOwBAh+HSEVQf4
3P4X5TONhgVFIxrXSfT9kvOuAWz9pFdEm2mfXwfLmMG0bbuZI39lc2HH+SJINbD4MqEsAQf7pUPC
aEsMR+fZ7G2RvDO3x+tmizTFDW//3ZN9GOvsQDDzRNbCmibfeayfDSDXNHvaxgrrsGVw+BdPhuky
XALqICbXms/rJJZjpFu6yfGzD28gvO4A+S7Mp2ZFE/mFVfLTp+mXT/3jYGef3pQXgyz8XCZ6egWu
3LYAO4rgbWoZ3xUYxQYEZ4uGPik/5BYGdhk6D1nkkzG0dwMRHUD81hpuYiCCQfvYI+zqZ1Cat+ob
EYMa9V6ulY1QBWsMJw+pWbxMXrARNP3VN49RjQhPo8PaFG0PCUAqftPFO93LDkI32Srde30rLNLm
ph0Bii3bH/LK62nYtb63arZqRTzMMUobB3xuLfQEmT2jXFQh2I3pS1E3dlxKS0Fv96N/VzRHyXod
UQskkWhrDfidJnT70oBRamxLWqgzmcx+IC5aw+3AYcXVYKsNYhUZ1Dnu7YQ1nT8sgmSTGP691ehL
A30zvfNQNvAgWSvhUqn3XTMsIgnkYUsjYr0RsxyjS2Rp5gH4O/inveS1KxjzcC4w+cjjo2bQ8rIV
9Vs0Lel4j9TEgBySq3jC3E/qU909B8ZOiVz6/FdhemjyB9N6bo3XEFVQpmAYIPkHub9KiocobFdF
8NiqD7qRcR2DtR8lSzOkgj0tWzNChHGVIDrEctuJyxcZ3VuK5mRq1kPyZOBkraWrIP0movqAKoDF
3BO+s0H6nlTBBnLmQirI0eg3wIhWoVSsTcTmyqZsM1fExMNPr7phj8lbnGRO0HlOE66tbNt0p3z0
VnG/jNUWTimwXfk2o4NappUfoV+XHQ2MiTJYBmm/Adh1U2ibitH7yFjIkbnu/Z3eFAh2Tmb3aFib
0sOWQz9J03BVaQRLRr3L/PTabK+bZO03/ipEoajVB4k1p5+aonHTCuWih6DO2+CiTTV/NQ13IAXX
bSPvgyBzm+YdbcsmDtxaP/QaBN0MZS4dV823bnodRaQh+KaWq1gjyR4dMg8Q0GCL1Ld0BLQmQnBI
1Oij2vtUlmi2dksFn6LckYD/Gvd1qKzEhCWrOVL+Ppm3Y/hS9kBSMAfQNgHGqw1/K+7Lgn78+keE
+0W3EjFWEA/deK358sIIbwuKP7TiW7Kby1f9TFmN38fxOvZvMnOdJ0ecG/ruWLIQm+LFAsifvIj6
W5FvxfBdMDdKtpZSf5n0NyICnyrBwkPt6dC/Us13pDuVIrkasjuZ2L3d+sbe0J8GFC+8FQkFRHBq
BtMFHSGZ1xWSIaPY9sY99sqA9XcJPj7Am+p4Zw5Hs0Z4uM/ibRw+VTRYehbSgei9CiL0eItkeoWm
18bJQqEao9A6L4V7bK50De7eUapfQ6tYdPSQNPVVg5zbp4ceYySwYoOdDzAMaidBd59kbtK9d8k6
8Z9Ty8M71FuifFibwRZujpv6j5Z5axhbw3K1ZF3WDXqWO2l4KZFHJihIM0hltXUnFrjRV6vccEEj
BN291+6mEsgQ6MOA0LGZNUqNPbZP+kQ7o0wLsztJvhMCNW6nQ9jK7qAay7h8hC3p9PD2unzdAwXS
arQNgZONz011V1vohPKZBTuepDY+QGTaSwgXgliIkZJZEf7c4U1rLqsWAo2veRuv664srVrilBTX
EILQBRVZcG0gITSq8a4B4og9Rp9ULoAhu+hFqJekhCZ5BasCXW2MRusmSsJ91OXQ9IH37730WKBO
jdR3NJWAgUZATreauQvTjY7000RD6EUL/APsSLub5QvdSohwFAtLPD1Qn/iApOWATy1wh2SjypuY
nSOrjonwpntbkMuTtQXbl8YWKOmHDBshdnUJnIdSEXmDltRMxMIDBXA5X8r598R0sbK02mPa7rPk
NMHkjlTyvfE2yFGxbTPcpYIS6XOnY6p5YwZrENh41uBjnK5wql0WaXkrh/FGR7JXuyEGmSIArbyB
3Ji7fnPQlG6bQ3fUxe9pdzWk2wrx60TqXFZxe52eKgr/ksqeyJvFQA2bMwnUe26jN76NEqyTq6sy
6Fl361K6H0K70G6a7L7zfzTmVYfW0OJckuLBHmO2spcxO4rKcxpuS7DNXpxcq+mq0ta5d8RCbV3k
z+O47bN6r6LQKUSgUOx+vact43jbT09s2uzAiOq1IyhQlPjRMjNvg5g/siVckQVeSiDjuhVuKIcw
ax9rwasXody9A1iDFByzosGRK3hCDA70I1BKPRvyjZBqrtoqWxGkVBYbizaoD0nQuPp44tB1+rZ5
ngWZpp8+591DwjxV4QMmDbZRfs/8rUdTSXMjRq+hD8HjwWr2XiQswv40oJ8WnpPgzYfVgtex65Pd
9uRXCYXbZDzit+A20s7PEQWaz5LJEYrcaQyyTStZK58DpTWUVS9jtlPsBxA2QvaUCu8wGwGSC2w5
+rKtogW+YaiJifuL0S588ToABQU8ML8J2gg9gWo5F0Kury7I5MkpPALCUH/JABFwWVk2si56u3eR
fymPgjtfx+eud1KbV+hyby4M+Wv8qoPLJUPDkAqMzrMoL+Hyip0LFZfG6d32RloXu5FsRvHtcpT3
RbLh81hnQV6i8PqphszVHdrobqe17N10dvWg2PEykpdCu/79w/2ap9Fp3yE8l4GK0BZydtMZgrxF
w0fSMOEmEG6r9SyMiLZ/5Wn+I7vM/xHY/AlodSp+ZLdN9eNHc3gp/vcnjNX/+fxXDEj/Gn8GKn/6
C1sqTqnX7Y9Z71PjSfIRvfxP//EvFNVF9RDL4X9GO29xbT28jD/OFEf8n78ERMYfoKt0GnVNk3qF
Kv8NdxasP0QgaCiB5uwFzeVzhv0vurMh/SHpIo1ziqaprEt+3l/6IUP8w5wbUkyaxOePRPtP5EO/
lOA0XVR1RpYo88+34bNkUahqflvV/uhUDqwbO3bjHwg/7cltVoQwHybm6s+kxUcey/mXPY9lMJhO
pkaF1zVfkz8kTqC4BV3UlMCY8jsxv85vf//j56/0Y6aE2pOo6NC5aPOVqCuer/RBjYjMUrJPqOQn
MEjpwogulCwvjHGevSuNti9Fa0DNqe8E3NWmYYO49d88BzkJVaRvDUuZz9NUlV2YeCIYo2DEf2wh
C9fh2+9H+OKtkxjQ5gZQi3X5yx6rBbTldyq0E/26dy3aJLN1cCMvCLT+44L5nxXBv4c6u68njTF3
LjJU7JVwOQnr6uXvn2beMc/eu6RLcxcMn4qonOc6EgXPbS+qmC/jPhNfg7ZemFwu8Nr8/ThfvHsW
rkS7BO5Ms2ny5/cCqIA2sKienKhx8+ak164/XTiJvnyUD0OcTZaWEzp4ujQ5ovYEgKQi6GhzNFGX
zlj5iykDE8OD8Jkgbzz7EocCajNyQj4V3j+etlvLVq5T2jQCFz346vfzJn01cR9Hm/eFD9/9NE09
ojkMTeVD4yhPf/YBG0cAd/6GPg3USQYFngtv65e84rzwoOabigR56ddqLZ9Q7TdZNznKqXfn8hUN
DY0zl+jGPdAyO7GJdH7/pOdn7TwkJXCaIQlfVPW82Sapu0pOI48VstEQTcxahjnxfSnl/Wcr5/mS
/zjQ/H4/zujcW2605gSXDWqDoOvXRlJFm15rN5hecA8y6Wj1nbTSD/xOK1gpS1HsDqX4UkqJ3fVX
HFd43cgALUyCSNfwcngHWIvArBF7Km65PdVb7HlNrbqy6pkv0MKYMFRw2roP/FcC2EtyB3sf+ZsJ
hRB1dGJiiGSOdMHtQ1wt0+6ubyLXpG24Ai0QiGSE+uZbbE63MjltQPtQ5wOhXohmFzpalYMt0xBW
A3vR/XpZWHPxDw+x0jvm2Y+hBa+Amn6RpA0MDXM5TfFGwHa3p/ln7FTsU0FJx+KueJ7w45wk/QqO
UCQ6ojwFdAE234KcmEs34vvEs7aYNd/qw7jWUuE61bh51UBY/UF3ouqUNeUxBGsRUauboOgo4XfR
u8V7lmsY9sL8xgbmOfmPMfEWOb4EI9afVrMGBQPedoVjzbJLudRwh9No9eqazJ2U74miu5oE9hDD
NSxnmnHgRriQfQltvDvBvoBX0uoHiAMCczBdhZZTjydY/IsquNH877TSYvEFYeUYwTT1uCHpCfgc
76axVqqwMvSNHM8nkT6updpWjWIRJdd5Xt3CPRUMnA6z76CEi/AEdLkXbnUYDONI5qshMTdVRw0a
t5attVB0Q62l43tp8qtZAJzCYl1x61TDjd++YskEK85NcTsQ1HUVnfJknYurpHV0LImoukSbLrmB
VIz3nS1a7mj9yKqNGV6r1VKQuW55q+R7Nu794VRrSz9/6LhTq7XqqPdFu1SxHguXWX6VSO5IACLs
p9pNY8cK3FS87m7j8FjhwlfhHPtQ+QVGPbak2CT4lEBw+a3jPkByBQDbb623pH5i6ys24OtmQybj
2CXy0tKoH0KqWddJcqjm7gnMBk04DCBtyiAhJsf4+eRhvgx1ipZEvU80QMhNuO3lUcStVJzcILdI
4WRQfYYaULDBt0HKZMgE4E0gOWhF646y9CLB0achdV+w1WCXbCYrfLb9hAm6SxtgPD32a6Mb+6TB
+LEkSmlZBbQTSDQFkTqxfNwVdKw2ROysSMOE7pCfyqJyJNNfx73iu2OEZS4Il76bDXW1cJ2KDv7V
dvdDhvKXASDCgXgnCVs1eEysF9OH2Q2JgROllAzsfpd9YZeiXQgbfRQdYZqWGi4PbAcgIFZR7DbB
vZmv9XGTfBfUVVaD3CXzDYTE6IpF1bgi3ITcKK4s3HV/5OT/CFWSaG/4K0247vWDRKthv/O4R2fD
Srd2UrxTaGEpMTN8yJVvaX5M4Dkl28gajkHvdXupyxTQgwBxFAhNsxcdvoaaIDse8DU3nDDCHQCD
BV516rr0fjDBgtTEX02Zf2vgnwV9GWymiNOfsjT09miC3HQbIQHJ9zQPLgAlgeUg58SBChNpkUrJ
btSNfingKRXW/jatw+U4NjdWCQylIneCpTfWwol2O3a83TAnj3UqPD+4wqsyJD9ARkaY+Xx4Rsbv
mZIsjcZwZGG6jRoLQshAAqy4D6Tven+ncNaSQMPjSlliGoqjAT71ZreLA8GOLTA7CcJ16ThYAlRk
7bUOiqXSaRW+gom1UDTjJjvNH53cb0rN33gVv7W1iWOym2Wx7y1QJiXmAcG7PuDKmoMZq9ljHlJI
nXIbYrB37U/fMhD0QXDlMQkDjTmystOEk1ZiNuu9daW8TPiOseF8lLzhaITafuBzrePZRoqGNRV/
h9mFLdqzTJETjNF29J+6kIkp0G6Md7Ddrwpa6UbpNBXPereW5KtYwjdY6h6UiF4Vr3eCQDrIo+YC
cojZoPBF0k7yFDqBdU9wqOES6wuPFQ2c1AEeOmuT9TucqwfhJQLCpzwbpWnr7bM6HayJAsUELNMM
V92UA6uDIgLfo8DluSDdpAryWyRKm3EAuXozeGDO+rq2hdfRfOe4y3Blr7MXTx5wdbpLYZzUtfUQ
pM2bhldDlxcvI8hV2VD3nVZcaYK6SMGsQa/uN3JLww3orE5W4cdXqdt5Sux2lgp2CesA6GTaqgdD
g3uGk5bybafeecnJ8/x9RJOE92JF9Q6jUsNtlQD4JXzYA06+JLAqjBWrCTiD4R3rICUQF4gxxWrA
FRW/Mx+FSoeBzSKNOzvzse3GlpyTHBvH1PeF1y7K4mWl6vfKmB8kQcIhbCgcQsCV2ORwCmVl5YX3
yiQ6Y73pwvFehyAkBPWuGfVNWAJvoUiRBNlST0dSoTVwSR8GOxUYC7xn9dYbuJXXzUISr9MhfRi6
FOggvCSdbU+FJNvvJapS+PpQMJE6kt+IUDxv3vKwdC/AfHnTURV8fJpfRA0LYgFrM8u/68XxfRoE
VMcv5JPTdNlK4EbbwNXpOK1r047hWpF0jsRDCxRgwoK4SB8jaSXVSyM6tmXktGyTwQvsP3Kp+M1A
8s2lVaBna1PdV8ZVAdcU5mYVPDWpuobKAq6Q3T9qoEw2PkqqtlgWkMVwVYCzqT14hu72bOVe9xSU
94UurC1ejwHxVSVG1VUmXdFOkVps81C0pYDeSt9zp1F8UiJOaEMR2Q6ETrH1wrTlEH9szNUDnIso
xBRjcOyGeyDHQf0OvDfGfbb0yu8+78ieKp1Su4B5JIa8fPkmqXcxvA1qBSAcgCl9p0LPpRNib5EM
M4NNNO9irdJSuI4o1wdOgP4YL1RKI80YbjggsFlQO2+V+gQXUXRTBZphmxB/7FzB+LMTUnciStK+
WTDap+4gNegk2hexumvxc86Wk+4dQ/wnROFU99/QVmCNwG++xP9livFueK4rbFvYG0U5dOqyc6sB
b7vupIwJIr8HLOQdb8huso5PH/DhrrcgnEVCWGB22Kmv87zJOPYqRbHBwoYKn0jyVVQJRSNVXRRK
+S3GUX0gCpA7YPmC61ffzDkNqbebxmvuYr1Lb/WOowPr6I6zoTG1l7q/VV4A35ZJtdXGZhHoT4rS
41Q72ZP5jL3ioN5O3vfoZozZTPGUDKuab4IS0PTYQTmOdPKdYXU94kAexzlrwzgirVrH+T5XHmTp
e9LegJvqg3vPV+BB2Zi/0Wa51iglaCI3XFuhl4CqYzkumvyqknVwvQhyM873fGMJ+jHjpRMhyj3u
rrmg21rxNmDJQ7pCr3GrXOXeKZJ3g0RLJcA15TE1QVWfKlnYFcXEcXrT+cmVZtmN4E7Zvq03I1uN
v5tgjlUbo4SIuJMNImXrIWKyBBCBwSqHg9diykB+3+ekqYsX3Yu3bM8pQWlfn2SECUCXiTEdUigA
kdh81foqw7YCP6PWmTowlPFJSX80Yr/ITWxCIxCelm3Gxe0420v68cnvVnr8ZIqvo/JuePsp2sBm
CuRrqboZh11W3FhpthSIEzwCS31yJFGDWXdKRO4MQHmN4abR66vck+ZS1WAPuvri99HaaEi/Wy+C
zJYTP1XWKtO3VV5ucXPJxhuqG4saW4f83ijeQuLi7rGqbgMa7gi8cyq4bto8W5SS+u56Mh+T8JRB
J5vgWzWQG1V9xzFrS9Q2pBhcKtiRfKFkCL0ESm2aWxKTIZpdIm1Y+CG1mYCVGWcxLGp10Y7dvVX0
q2qsjwV7NMYo2NuLNKwYfrMokvhOK/TZRghvkFGmDzVW0vlS5EAKjFleA3g6PZ5u4rpYKekKz6xK
LxzjIcSyqln7eE0mhboAWLfMWiorOaDJkdILp8xgpShAw/bZ7NJt2HHMa4Hx+PvL7C+Z6vPb7FmS
gJwl7p7zJdM8aE/aMtxCPT31TksH2T9orj7PwZ+PdpYksMocduzAaJgHs2XRxVU8aoVNWOIKzqWM
/1cZCTIDUHVU05BAJ32+P1eZlKDJCYGU998l3fGyNXWsn9P3/xPi/wu7wQ8r6Revw/1L0312Ovz5
H/7MhsvmH5CqQAtJoFRIPJPg+tPmQRb/IGWBXBytEiJWWWS1/ZUK10xsHkBlIaGi7R/eBUvjr1y4
pv0xuyZqqI5mZJGJA8T/LQT8lY+mhvA/Qtgl+qM+JcbmghOeEUiEZy4JYbV0Vp0R46gZSQLS1R+o
ybgc6u4k9sXe6AsXVOZU+sMxq00BLoCB381UcH3GzGkRBNF9MhqQYal7cz/CGpUtDsCw+k0YdfGp
hONE5dnQXtnMINdUoICVfgKJN3bNS4hbsrLwwpD0Spu+ZckEXm9SZ0PCftnmqrzVZt8Wr2mMZRa0
OBdXwjcDiy7blHXVljhDBBND4by9r6tsO9E55KkFe0gxroO48BdFLsJo1AcELvq9UBqDG8Ytjll+
9Rpp5HO6EiefEB+6SkgVexRktJMz7jXlqBxGqM9RzwEvJmuj0teC4GG3gvO8XmhIV0Ja/KskwzjP
GEgAdeWDp2aw/Rsfn9XMNWRCKSHt9kmZiJSju8Zbhg1TVJArQ3otH2Z2fFP1d2abQz1N4pxrm+7R
XYLLYKeIxHlTgw9O1TuxWg1bj16RhVCVz1ObnHLJfx+UcLqOzS4gyZSB9GzybDeqWErUjzg0UwyI
HJOqbq1wJgZ0E1GWz0orxK4XOTY367wAZmlM/kEIzEU1Cku9724DId4ZwnM6iMcx/x6LLWVzbZex
t2fJG9Ru2O2jd9VRXcc/ZlOlpo2FDWHzUtP77aB1b6XvL7UBk7ZhwAApfofTusYeHhtcaSFzVgy8
BM/T6DZSr7IwWgaUXOOe+xOeV3ZOdD1ZRJzdq9wQS8fqyZj7/knRraehAH1KEb2B4Khx70Xiuy+b
uNk02nQ7+DPc2FTDQ9lIyyGOl0O3w9v4FHJnaTttWIcR/pW+tk+wi4VqjcWjnkIJNepHbNe5Tub4
VEW216hOVCqh4+fiYzZCihWifdaylvo+XtYhHtMVMo/0GaWMY4HWhmi4aMkcNuo6a7axF7sFbTVy
eRXrxV3DlUIH7x5E0V0NVngtqPHb4BNBlDHC3EhcT8EulIy7is2/gS3SWfJ15lfXxlQuLOO+KxF2
xL7jdy+TMtnKpK2m0gDFLCulowVAUuXRsGMjKvAOLx1/1B1t0P11iUuUYxBpmvgqS2IWr1PVBNCp
J+FBT+jaGqsktk3VvxP9+DbP9ZNRiDtPgkxL/omfVJMJyuPHHkR5Xmt05sjYdqD6kOZ4XH9LSGoJ
NKkSSdOjZi5rnE+F7JDqPb55D3r0RKrFpldxjREdn2azEPniWyl/jVmsWtYsa0tcikBSzWVjNQDf
fbzXPE0Ed5ovx2TwbvX5ytcFJF4jAogV1lK0U2CwOY5cBAUSu3PLXbFOan2Z5/GONJQ9tTgJaDng
Ul0rSElF9D/lUPVjWX8WKi4mVkfcXqj6DKeffcnTkyo3wZWMSBb7EUEkIK/TgxaZ9gjomYSPAE4z
S2hDi3z6JCitdb1Z7+mWHPZhlz+O/ZStM6kjoi6L6zhM3tOkVQFSd60rkxxbZSRYaAsKjvUAlBey
+OPUFN973XxpDIhaLQRj2pV02T9OSXjnB2DnyJHGij7gdk/3UgP9d9j09LfRmzEeK2u4mgKfPjxv
wBtFWIym5kyZsA8Df9lbYMLrht0Y1JpPh5oisa1gZUdSwMw0x0y159QQboukwj+5eNCUKaA5jyDW
ElaBsulbmKmYXqbqt2z0TqLp7Qa5WJWR6ZT5rWfRjSPp6WoYqysT8vbMfTdID9NGscrKZ7G9qq3Y
3BkVd26RC3gvkAGJUcmoCQ2bSXOlNq9xghN2DvM7GJvGSYt3Ws7EuAVhQI7JFurisctaWN+eGq1l
zIPsSI5/ZBO9UkBiSZGNCvcGfTDW0eQX2KGGfvjWFeqzPurHwCqqw5i8YDj7PfTSZyGm6wk4SNeR
X21C2yLmDchSSeNkx+3snEImLzOXZouFXDZBcm8cTc3tjAsKlda1VAA2KSNys8lmgCedjpwkvmw9
KEboFJN26mj9h1UN/vxRllLKSHK1zfQ3IbzOfd3JfLVYeNNOhkNXW3SyxhOKvb5hkw38RZ4J72ng
Pzb+sZ+al1jJ3VrktBkHcnDYg8izKwhufU7cTCSdu3UiNWuJW3gaabs6BBAvl29z9hSkARhXVIAx
n0BOx1Ou3YtitLVIWdZYk6vTa4R7sE3h+AoDSOoKwoasuKtpe1ha3G/xDfQDN5v5uY13b2XVleD5
SyPxnUYtnUyv4OeO+6JNXBFvAF/GcKyPnLHCtASe7UB0MPc70tJ2avPkIA0S7UXpyo+YPJpoNfEt
wGYuBflbxKDdwXOMxlLHPjb16r3AbWIyraURcmfPepyLdJcu/H1rVUCyKQLQscStAgx3/q0WuOVX
litIybMf0J2izQ94lQjcJmqVmxXKBEdvSW9UbFkK/sP+FG0lvCNKeYDXbj60MJ2rZDoEhnYqAgV1
HDYMmFpF2DnkAmVTGAp2IhSrwePQ7AV+rjLcKYVW71hui7jV74aye7QUuo/yHPPW0WD7nTTurcEE
TqWh3dIO8YThwBS8m6Qp3rzAOpa4JWlZcoA3nTqKp6wLXd5nZoFkc3zKRxIUfs6Haw3PdCNQ6sAU
MVVuJi0lmrkqUpwN/4u889qRXMnW8xNxwKCPG12kzyzvuqrrhqg2RW8iGEH39PpyzpEORoAEzaUg
YDAY7Nm1e1cmGbHWb8v44Mvl1zBzB6U+lbZN/6XK8UAXHtup3XJm3cjZf6d1i9qSvO92FIUe+yi6
qGhBOh3uZeGjMqZJfZsu1cmmLg/uleZIqCv8Vckh5gZNpm1z7eNShXVIfZ9/u11if7R29X+7i9p3
uIjzjZJK/12HDmDVr27LakAePjctwtT4uOSeuFSKTdT5Yer2bibOQHbeAa0+jysjG/ja0bHupWSP
csG5O4mkUru7DJFmX5NTbl8KFbyowD1oDfBuykcSo7aaMst2FndNzp+fiJ/A75ztqXvoanWL8OI1
Jfu4ztBq1jL5XLi3bLmip5w4scXWtSEYf7m+OX18JrDpnjbhfZP/8br5tzOUR+bux7D1937lP9dl
BACLQGsjBnlXEdVHery9nzXj0VKFt8YJqY8aJsKuaXE9yPIl1ASJhH5eHeQ6veUeAVqMfL9X72+G
hC/07jvXPUtZnsoaE0KU7ww8l2BYVkh2Zek8TOFy00/i5wr9mGSDpIiLho6y+tGwAwbObdecOB9v
4gU4YyDhXJ2dGbJgdBFUJ6l8Tpv6bq7vXEOzix7uJ/GQzMElyeB8zXLbTHdjP5/cULNZ+lGzK+SK
FQry4hysiKkBAG7dZbxdR/Lt+jLncE1+Lal6GAdmDOUgfosq4jVi/I+WftZJhhwV9r5nEI64YWRE
sfSIST8sL9GU/Aw9n7am6qmPj2Ge35jouLQ/wuCtbP64VgXEm/c/0hVEwnRjuVcCTfWcRCh0898o
s/chxMWQ2xCAbZX73Kk/EkfwNXc3sx6gCFoOraiZ72K1qk8ZtzGDWvBj9uA8OiPPS+/dcco/hN2M
N8lG6miKHA6UrsPOwOOCGpWUihGHPdNjIY0AYaAl+z0sbQxr23fYVGxGaxTCSEcguS/jLfndYm8i
+W6ZxTdCqemQDYzCCCb1Mu/L0rud1/xWBh5vvc1vaxjHxmVYQBYZI0R1GlBDx8kOknK6OR6/e12X
jwEqIaroSve2TOUTb+zveizkKQOfnGX8qGY8jA64mQdURMnpeLZ5GR5cKe6mbH2a67X7KCjSuGsC
tyZMf36L0P/e9jSKt3JkAPtVNfObzR8bxstqPkzqrHN5advyUfByh6F78ab61lN230c/kspui+DJ
n7ynKqAMggj1GE1wGAxEs1+P+qD+u/j+8C2zTn+vpisulJyL9pgNVv9eo3g4LMW17bQOEv2qxj77
SZEIH2CJP+fTbbV3X+Rufqjbsi3381jG96IbYxSUUquHpVjCm8B2/efco21iY+Cz2ViCxbm5a/Gw
qHBk45ih+/yYQ2WYJgJzJeHxm5J2XTT8TcyTGFvTE2ieuQmNRXms6LdoxStXctdSBJhMx3yGGwyD
5JnXG7A5mC/kil2Q1dAPm0+X1M2DV392pnd3oF5CjmXxsZgqOgdJV9D0lcGCwAg3IJ601c8voedE
dPyBeWrAIuiYiSbjuvPlrmSQpsiYCqIk6vgX1rr96l2n+zGNvXcM4o4cf4y+zd4kJss4OVXi7bLV
Bl82iZwHrFn2IE3PmjiZ+gg4sDxWvSTB2orps+T8N5s2sOo202lEVZ1JWQr0g+Z/nMYwGm+LoLMH
5qz8dTTNfRBSlhO2wNAjOs9DlXbBNfM/e2aJno+dGr/DGa6iSvr1UPUFo/OYy+bDq0tLc+LoJM/R
RPchwuxKXxeJOn5KG67qNC8n4EFh2SGsPM1OE126Np4fPQJjN4Es8IlkYbP3E6W2zpxhAJP139SB
+HPmERYtn/qTW8wjBWp58DykUj8F9ejfuVH8VfRkrS02xdzNqndeTMNCLNDSwBqZ4IaLobzHX9wA
lsoyfclgnOiYdL1hX03V+IM6Cftj0gn7uXUU6m/hJg+80tXLsCzrnYqU+xPt30SJhsuvNsg1Jm42
Xq6rMiLhXThC6Guh+u9RpYg/bM9DpYIZRmVe6EpMfaht4+sUcgnptxHhXmSLx9nVL/MjapTgvHT+
+ryytN4XBtgC7DRjUdLoTs4BqVAHJ+PC2qyD4u8vZX3o2mLSTIWCOYToof4nEkip9ww39FpMmkTZ
3VKk9XftVL6FW4nBGLwBHx9MLUzQG3uSzXcN2nEsTLbihygDLnmFWlafpkjRjweTne1parNqfmII
W+lvoWX3foxXb9lCn2s8AdZvLv2cea+qVJLeJFNKyMmsTZ8x/ad6M62ZuJuT0bwGpWd5IUa5nltV
LfFNYUpCb6YivIRuKTP2tWH4PUzNLA5LQNHSYdIO00jrG5lfRJxMlkFyMs2+TaOOw5aG9QsYVfps
R6q8N0uUz4TiJemlkgH6GL/HsTQ7uPLvKTvi+oFqE9Exlx2jmQ/tnZ2EtHH7YSleB63tM69hnXUT
SkLmkKyAksr6m2kw0XRM84S+pCWh9rpYpAkORTrUP4qyp7HY0PTBUpZVjWYRuhof6rrOqaiSVy5x
nnvhbteR45VqKCdu7zNZzfqAyiK6bZzSTXZNU/qwETE9IVEe8J3j/LnxR2+xJzZQfziY0eurvVWj
E266xqETaORFZZfxXAKAYbZIb5ic/DHL89nZBtp2d5FfNqfF+oLFK5hQ1/iNl26D2ivLfca0yMG0
yB8ka7rnRYvxNu1HufedTP4JHMxXypR4GQyOHBgz5jB36ZY3eJKdkyXPOg0i3uF1IS7MH6k86bUN
f5kp0bCXYJO/ZBaYT12Hr3UBU9+NNtqIlT6SRQXOvSxz9PGpp2/yUO50u65fuszreq/GCRao5vnb
dcOIEqQt6pvJ6OrWdHiIWG+8P1zuidqOhe3ovGoh8pKk7j79bkT7JFZP/MrCvuY8HZDNSFaDBK/i
pk+ajt2zCKlQyUbhbPukCqDkqtS9xEkM1dDXC3KOEfXLS4igw63W/GVFJ/kQ8oEBLAG4xV01MuIn
3vicLTNXd0SC+I9K1/6dHapwNyXJikE2zdvHeK3tR9XH6uBPM7iHH8zHdZzEPU1yyfXRW9ZjtJjg
rnVt88Hrqp1jOEEDp4GH2s52dGv0MOJRU7vHqBHFh1MV3s94Ql8itTfceOm6xEiQAhpKMP5RtjL3
8UsQsxCroCkrKjnW4d0zNVWkac59x7zDfWPXqxnMX8dDP7QU1HpFNE9bxKL1o1odPezLqcv+YE5N
7vsoW0OwqXmJtj5g4J3i1wcV1P7P2rnibXOTvFb+yDzYKqo26yA4+FlEOVEU5efGib4jPhmFx4kE
1U0oLElCSb6eVUV/9j7x6cyi5kntqlZ3Z7EyNc3kbu1tOv6trAeqsijUW/6Y6882ybiwcGxE9Ovw
zeMcb9bhFJSGw1QNUUYRZNVvi7lmvm1tt5yJ403K+0lzDsdd/CSm4lX5Q7B3itQzh4je1kPhrsXZ
tQPletbrP3rsdKdiyQLkLWH9PGR585GmYvyl58I7GTqhLk7g6Wej5uAxiXrnxZHSXgbR0C/UFesx
5de5VbLi6Iv0taUI5PQ77gfo1IimTiLDs5PBickslyOEnmlA3Akj9Eftp3/n2g/vqzVwP6csr9mO
lD2NTQl1izrjR0s9HnGiunuqOuM+FDL7zOspQ6UWROLkKgRfbkb/2TIJFjtt0FbNudc9DFWdkkO6
oqQyoIQPsWLlcLOOx26pEb5Vdf8mvZp3goCR7VhaMnLqCrUAYHVWSHHrrqSrN8aRAYhSm/4MHYVs
DM3XplsVdxZCRMoL6dxLgva0evJP6evijvTX+nUhxu0wJE3bAGmDgagqxaKSzJ73EOjotzIq3FSZ
LH/2BZMUujJG771cpmB6SGRj+6Ocq/Kb9aGAs+eRThmy/fy0OJDYmzkd7FfWN/Z14R45eJkb0x2o
XS6wyX1iMR6SvSi0Wv9DmftvcVR0QvOffzVe/JMz+d31iy6y3Py3/ztfx/9DReXetYb1f2/peO6a
r/ZfKax//sR/UljyH7HrC3JW6awL/pnn9z8pLC8i44vKF1wb2BAgj/6Twgqgva7qdPxFkXv1c8A7
/Y86GP8fCIY93CHUnPOD/6afIxTXAJH/0gbH0GtBQDjWNW0m4P/9X/Mw8mGeCIZ0qa9a1JB+gtjE
O25ARclcpT0sn4Aj6hk0mdO8DLrgh42QAdk2d9HmryU1ZwEipenO9J7aI9dNXxx3Tm9zHRNa2MXK
ebRrKcp97gX2tsy6uLuQ8O+h3e3kuOR/kon1/mlE53EGaG8Rd4orqTMQwdsdKbxG5+PbwlHMtm1K
oea41OZ3q67+x94JjN7LLoa6qJ1s2ea6tPI8OGuDT7xMy6dMo71IKZF6dRanOQy6i6qfvj9LxDKL
xx8TVr07eNusNuXJAAJTmBZh+I4cDvsIHnHeDGqI5Yn60/Gtscn8kcUVTXMel+umD0NBHWdVfwlj
9NX0tzQ1/vmpvS0jN6cFtPCnezN501MlwlFd4YD1c1ir4S2jMHdj53aEU/Y7g9zA91W7g1XzaK/j
RipTPNE2l5+LCS0YXFtpUMWxoAgMGXHsoSydUvlXjA6QzbR21a7XSXnDkk+RYO32aXtO3S7oT8aP
syczdDRxF6XfP4L0pTfkhEYvI4/Xy6Qlm1iiWlSGfhvgwu5zdfL9uDl6Pv3WJkv6XdAib6o9g+uy
aSuEFVERDydWuhjRa+rF29ij5q6N+e2j1VcYX0OLL5x6uArHJz0ROaWYqprSYyoK5Me+fO/G4TcP
A+NwVwxg6KbJzg7CMtzeOlyuekyMP1FRV/swzfRjzDFpt1MW430zibcZu2RCslSBAEUiaZbtsmTN
QRhbH3Q7X4OmNGNab+o94mYRndxp+ZSp7TYxdbzfUxikfFuVy3M26JMTqeTd0/qr7kqLIR4v7sEz
Sb33A5ufamaEP8lC3+9iBLkFPVlGREEXRC6kmmrxzMkuM7cuDZJT0L/5WZwPO1UOM7tAr1u0xi3Y
8VwFrK9tktpoWyoVnByRqcto5/g7UNqg+OjIElxmp79Pe0Mvd+0Ee+1CB2aUnG3DRsMlAeOjZsap
kpiQpj+2a0jaYCegKvsruRiNvK5C3jcVOQ7oN5/lmi6bMCRHIE6+hrRFdNKwt4kEyZWD1GamMhbg
Iv7jj82T4y7FthAsmk3E/pvCR/gi/V124gG4ZC8C0Bn+dijIG7Euklr05AbmRaMaYwKbAzXf1HXZ
3WaWkVFMyVn2Ij0MNYB64GY7rfXv9troPg8tKRMORYHUAfocIxWLCrNY/qOEPimBILRBeO0VaXJ0
Ja6BVa1PZR1ViILL+wEWYRYLSqIQIt0ZaXhb2/vWn345oTgDIwHbeE9dEfT8cPzqVT6IlYZP6FKf
YUAdJOba3RBGO9EO/LOvLt3Cuj5e80XsHNk8t7Z8iDJUrDrsir2paud6bvE0FRwa7U1dYKT1k+4m
TqQ9GCypkHmM4Bli91ESIp8kzkEzjG2iJXjAeVFQixrdEsq37Nx2IXcwLi5hz+w2jsuL0PJmEbl/
N5P8EDqNpXqRHsGwujE2GzbXzr9Z6Gt9HUyn+dM56bE3JcpKNcLlpDlVufh4t8qsH6323Q1VuYc6
ZORskCPvWHAf6iJ/x4bg7KFFYaUYcY+wF1fn9qze+6g9DjGC8zV9Qzs8bH1XAH3Z9XpYkD3WJnqf
CdrEw6y/4C/4dN3s2Ic8I1QxcKCJ/u8yuD2NjEkCX1Uf8f/+0Gvyt1lnmOgB3RSV0iQXhO0jO9I5
mbtH1ZL4kif3EVgNxNb6lE/87lGyMs3m022wshhr5xl34Eto2GNUT305kGzLLJalhzwu5o1tnOfF
RF8yZhgTbIW9yc5FSMEJIy16C3SinfZHXAFhj5jRHBnL2VjS5k319kmOYGCgVWbrTVm18zxvj1dZ
PntypMW7Ar2Y0jtG3W0yVG847uyLDRq7XTKW2qkrkk0v7JOoi7fYr8gFaVC/1ugxyOolbz+Z6Aos
iuolHfM3NVL1OlfiQ4qiQGo3esfOcVEzX0ECBTCx5aDaIHT7YRp91xraHKhyLLr8Nsk0nKBdzvQH
xtvU9S5QUvvCFtlTLHHArOBgQ4oKV0wIv3SJWw4SarOm0dEFi920iQq2Vk7lpiX0OVhxb1CUOeWQ
VrEzeiTlBU+RTypObHrgOQ4aT0WfjfzJL3g0IxpPT/+Bkiq3Nh3uQ/cvV9AuKKphG4G094FCX1qd
lmb+YpX4a2Z93+uC+IFo3wqgIuzkW1103wXd4JZCJLqazbxvrfNTlTgQDC59LzFvvqoon2zM5xBO
L5BiBJ5er2VYhMuAN2qrGlJYJPu3Y+pzkpNK6mcJ94D56JrH3Lojxc0VUNGgdn5OcbTtaelebKH2
jl3H3ZqAdKxtG4Hwe7dOFdCWKZ7NzKJkw+Z3042nZDE/VRwf0p7HWLjjvBmLydkWblxianJBCp3+
e3ICu82XDi4biYcC7i7m7k+Yz97GLygCmMjpIG4x2Qe5fnWTZq8TmFNiVz4JT78PJPRW1/gAOdHz
HDSoRsPeedJF+tkl3JEhmJ+75F+dCRGuWOJxxo5XJqMu03QAxZWkbjeS15h+1K6NU/unSfYJjzNa
+rgPXstaz/sl1F9hFOl9lWZ8aVzZm7JFUYkKyR4nNd922ruYofJ3QPPHnnCglKQpolzc4X4ohq9S
2veBxBVBqBAa7IELQlB3imrZtDY4Rjm3p2IIbElUYDQlG2L8TsLlq5jTd6HgBURN9yWbUJtlf32I
4FZwUUMYFIewSd9smIEQ5++Vnz001rsZ8u52QABMMhrIpgpuK5entigaUENCIVwjBA6w4AjxajaZ
5jUyMZ+KDBFRxZxai0i6h7FG0J7RsV5M03AjluSlTEN0GmqlIy4rxpulHvfdxG1naaduJdLxjkjW
D1LYP8Qk8kNmx9c8RK6rFvI0ouK4atwf2UM2uH+noh8ewUqvxbjNR+mXT/1YNrtaBftely5b5FWl
uxR2W0p+0wX1bOgFP4k5PBZx/IH654/HJe6UXbMZdN1vdTJ8wSF8pY1wb7wSilab+DyM0bNey12W
i9tqEo/adN05C8RzmDjfLTiSX8QfCwbisIz3ucISs2DUJREDQjigr1mErJrjBHebhxRxzd4prwFQ
GibWG66P4I/s2/tlQA0xNeMzErC9mPFB5Em+Y7LcRwm43OSMz1S136diQB6/5E+DUxLyglDHEaY5
Ep97xfFqhMFtFVxiExGZ7XX5AvPgZjeL1+a8PwWynpQXkfgybE1dxHY8cNQpz1LAXjpHv9OMcK7z
5Hfxa+fWpKhV4j1YgotOF9BxIfmikUb1s6v2JdDhtm6qt3Ji8pEFZrvG1X8zURJEo5M/YQDvUU+N
OCS87mcZzpA6fdpfBhD+qBiQw7FkoOKtPyp7lbRIwLrCN0CHOZP56qHkEQPiWjgm/dCMwhxy3qLN
WmenOqB+Jldtv89BzoOxUVCS7V0yi+llVQIRF1/cSdWtRb/HOwskRifPZJ5kVydkA80a9V8eQMY5
JFEk2S+bVchJomLf99nHOofLoez66L2KafeukCse3KgCCXQlOn6PSKaJ65wXM4y2vQEHtORy7dJi
bvdjyzxYCX83BuZp9Eieqbr0e6yhJaK+/UqARTe16x/Xtul20mMYkzMnGhB6c6dd8KOpgxnCiwoz
ujKiUy0ERVZO8mCycYU9Scb9RMAlugYSQ7JwfvVqAqvUfChiQVZuiOdgHkV/V1FMvmWd+TKaNBHd
M/OrRHebyhHlEZNcf2gn7b+4BBYVAzmcjSZzLZt3Xd+csGnGu1XW6KV0d+vl7t5VjkWo1PnfIDjV
fqrcZ+CLuyCMJGoNqtMxElnYNfyquvP5LHjFKhUiiSOIAw8lquYMTYAyqTivfXyNoyquV46pvGdi
WuLDKsrmQAAMhK807WPpsMuudXtJenVXgexdVmxUiAYKgLei5UFjAlEHbFsBUqR5Fiinwkcq6H43
s2VurdrkFhVm+RAW4cEbm5/JUtXbhfv8lOdr/V7ETs/JF+8XaqbZI2cKsaeg3hfT3F3Ssn8o3OaN
f8f2HGl+T8+a6RwbUVExzNg6xl35ZVLrvupeaFbJiAwgVfbrc1FW8ufQxGO7EU6tN4FqlmGjFo1D
IGcVzZbsnZsX6bnq7uwqcWpmM/WmrVPiV4jH4+y7pAmV6TlLeEjmWNNWbT0XZT90aZPk92HZ6tcx
SOvdbMwxlALL7CIo0W6Q3BHN3iKP93dtIOwFPzOxONrJn+mu9w7rItrfbsVRO3Bwfoih/nJ04u1X
abl51ZA9Iq9D/Nnm2FeB1FhJxgHPk3SP6G8cSrgTe7+2VbWv8+i+r50vV+AlWpXbj7uqnJc9GMHf
PmvVE/9V8FjIS6AJthY9U4NoCayZF1LYphjgL4tOhWPwO8ehPgZuWeyDpuP+53Lpii8Oytd5qikB
WIqxOCgvFj/HxbS7sVse0zb4O6d9c8QLQ/55Vp6bvkCguk7tyeWmYfaI8fDUj5FBSyYz2u2HOXpY
i4hJJZFINvEGZj0WB2fEk5ZybTSr5upY4l2bUHfpZu4mg5F2A/3VNUV3gH/aZGX2NKvkNbzeJKo1
77RlDrs04+bP6vbGs9VNFSyP4YA+FqdQsMsDA05XL+dILjWsecTVKJxXtym/Ge9O41SXr+U03ol8
fQ+rHEcFsoP22tGXuq3YMTieCozV6BSdAoUNfoU8EFRlttljIIcGJ2H/d+raK/Ffdg/Nos3fNWxd
rtXUKBiassgu+RImCkQGlnRr6fa8JI6XcqKKRJKM5ZYLp1NVRo+RRU+4jPiv+pzqdAQw+o87N+PN
kBUAQ5nqONNnrbYixoy32OZHdT0Ao6bBl9zyAZpGsufnEYXaUeUfIj0NKVlCVfMcoEPYClI8qHKA
PUPzU7QBbJqez6GcfH6XiIdoKePsedATltN0dY8S4u7dG7GQZ6gJf4RWDpcyb6cPNx+OmhEWMQxr
uiN5Xj1sbXjPXGe+i5LhAcSjot29M+fZyJjWb1l/5JUZ8BVjYI/TFKTBm3HRS5wwbqb+wOAh1pgt
4hrE1n+HZpYEOg8yOIRJnGDRaeYMTxCcInkkO99Y567t+9/jGH40YrZ8qWvw0gedfyiazvlr82J5
HGLLbV7MWfhtsxDEIzdEoRrb7+ZZlz+BDuhxbtBnJ11S3yVNdaLOkEhYxCrm0q4S5XNWIZuhDQNA
JFtxuWbLMzT3buQEa3wN9m/xXk2el+Prk4l/qBifwavtrjDyLZ4CcWev2WAxK8lYRxMghUvuVSmi
A2sRFra2SQlNXK3GiFVCsEvV/00mEs385k96DZHLeoIj44jgQryt5RF174q4ecYmQwPJcAgWVGyR
VJZ+hQl9ZWWSu6UIEQmkXrX1dXDfhFn+qK+mfJfAtrQsziA96lQTXmWRtL4g8IruClntwoQPL1wW
kizb7I6SMu/cJWQ95tevt2VA2Gh3AQVBhnspJjPFm3Ro+WVgALbeaEnrQ3w7YwuPx9TbkNcDg5Vb
VHnh0Kan0vOpkc0WsB23jfmg4wlRqYqheLpL6NTeduq994VxA4imim/GdOyPDY/NnRbL25KnEPK9
6EHs427sju2sm7tMFDtTc8RWtsxwwDXP4BaY9zKSmm874uwyt4Evwjnw4RYje0ABqjL5C/eRYdhy
VflCOtjaIKELH4VxPlHu1WcXpQRoY+PQeZLY7KZOpv7Q5Pp3QaTgbh2QekXLkvOcafIH5INs55YF
akCE4mB+lO7kHm2H1awr+3o7VzpE4cFWlqcReZ2gmBhdZxI++xK1jfTfppIVJTWL2aX+opDlZ+dI
BMtFOaq9pAWSOsJZ9gBlTH6W4nsn8h8BNLqbqsj+6LkUm5H1G6bIMVC8PVJhpYvbOrTFS+KP6bp3
0w7NUBVw1JqgLM+Jswb7KNSg1ZPUP6K8h3RL2mY9yGR1nvLQR9XbqgkSVWOZGPB18sSjtsejwLIx
6Iaxry7gaouZkWibYx34duuOxy/MkvxVqSndR1m+3nWV79wuIjzOvc2fRtWQEyqXqj9FFpr5fslm
Z9c5nEzTaPJt0oXyItNq9LGJrA2KqJVxJ+vj6t6ooXpIRA5DCFLA1tmv5nvAULHXcZ59pG41nUCl
3zuUXg3GCKIOlEzECKJWXMVCTSMegga7P5mk9uwIlVEdzYcPrtkTjhj1AVmesfk1mLZ+M7XPEZV7
/qFPMoWs2XtEy7Hm59CgKSqdJDlK9n6YgPj63g51aA5L5/W/+m4ZXxk4xEfahLmHXWVgmIm00kQw
eB0cHEgq4utKHUs1PUYDoi5QxQR11dCAcDfII59MsfpAcw3pxZDyD8KL+g2znPmzuBZyO8O2vKNp
vH3Ppb8+KB01b5FKC4JDCgII3fB6nDntmp4wIRQP8TzDfZdLNjyFKi397aRVzQMP+cc8yHbauy2Z
CEu6dsvWNg3oCHW7jxbH95Mb4hpmSnEWjUAZtH47yYT5IgG74uf6lYjB8G+yMPugNMOyWVeD2PlN
VpxwSQC7zKaWFTSqDn5HftJu5RpNWzHW2dGmiM/yrm1eKtdt+cYa1yPFEef9pZHRUu6mENNsylK9
cXv5PZZluctrf/kDj2flRQ1+92vsF/WcVz3Tes4xShWs559MGKnoNpyaogUTmSyfF2mEJzIo44H3
ZELIwitD+8IQ+TD7OaQ4pD7RWvaQKI8kQSGwaWRBEPR7xB57EaF/7sGzv+sydL4dycICq4nhmMAt
jB5lO/f71LjecugrPW1EDFy8iboYKaYbDotBDB2y1VRdpD5dM+PB9K1ENEqs6zY3g18dywWNTN95
q76L557ROWvCXa+y9gzWs5d1CHydGF6IjVkHFi8Vtl+elBnaCFnb4YTZgZ3dUIXzmAwWg2Sk3bfF
1ThgNZ2d21S2/SmYvHHHTlyG2xTcKdsUBhsDmQlTzJfbYBkZzYAvVqRxxSS1LMdA1eLRTm797c+M
/gcK4MZvE6RjSgCjZWuIuvoisY7NuzqK60scjcUD5QXXbanU5XZcbc7knae+y6oUjdGFRIErxRzH
HPY6bjwCRFrXXd5C5NfR0zyIFYHsOtgBin7un8hDaPWeyx3cSPER/y50SEVLOwf2rZsCm6KeiRV2
KFKRickFuaVoiVzefWRNN98Vrls/ukAP6G50p9fXafIUypzZCuwKeUeDC0nfzgeaQJfs2la+WWVm
79I1jIcKPfVXw607QZG7EedNl178WLb7yaubN62RB+GSNk9rFaHfyvXi3qxRAf1MVPLkXMogb8XZ
5JklAcBn5T+oFYx44JyH6cQbdE29DVMLCtD61dSfZ9w2MAdpeJub2mv3Ksebs7qSL4Zntgv4CEan
DGmNm8bEfRzIY9GQWr7TPhIB4CLgaZkeCaB1rrE0WCfM/JWrsFAPU+W1w7bL8DN8TjyiTCMI6mra
0mbhrkeNQrPYi2G25zZOrshzQPbF279v2vz/kRCnkfT/RIi/1N34Vf0rI/7PH/lPRtz7RxiFUUJY
FGligRsRR/UflLiI/pHAGJFueM2Hl5QO/xclLv8RuajeZXwtp0sIP/ovSjz+B3/lv1N3Zjtua9mW
/Zd6Z4LkZltAvVBs1IYUffNCRIRt9n3Pr79DJy+Qdpx7bSQKVahKnEz4pB2mKFF7r73WnGMqiDR0
9ZocbFr/jquThtevE3FZ1QywCOw1uEctheY/v/8TLateI3MdWwinQl+X4iiHVMyObqbRnTW3xt1U
GrGJUoyBj4f5iq1uBgBBE0PhDMftWbtS6dSEOYAA1ZwqmXZbZNN9MenWgyrMditStb1H2ZTus1Jw
CK0Lq3xuGlFJeBBWeqCousOESSmDA1EehkQ0UIWked/bo/ZmVFp31634uJM2cmfUOoxMNSN/mKtO
HG1a5EeIqMFqAOWK0rb80DVKLHwnsL2YAPpdX8+X2bTkIyfx8JiqBRQDES/ruW0i4zRoKftyd22q
o3z51l+VSblkdg8yepPIAWHS7eVe1YJRlaotvtEbtRy7wFSW/FMwVvZxtLagzYva5TfXZxGyujiq
IvenGlLdTVnrU0A3lAzWqcPJUvYS9ssofjRGK0KOV2AbmFYmlk3ToEvTehMmQG5DOG4FoYCdNZ+J
AO5vJUQ7bimVSexYcV76ulqUm06NEm/hBMYBvQ8Pa8vmwly1vwsZQdx2of5uYjHi7dKeqBptpA25
FtjTErkNA95L2g40xbX8cZza5bioTO6SVYZfazadHETllbhDZehKlEJoDZAJNfX4oOfz5NadFn5b
SpnYRFHcozHNPdvq+28J9mA8WLHS35p62nooka1k008QM+ouv6/XeDkXKf4ChebtXZw31NzD2rxY
Is12FiLHfSzpyxmlsBCoK3DIMZjgXKebxw5BeTA2ojj31B9AvE1zuB7D223Ierep6mS9vzZInQSI
yb3RUzUCvJRpg9FBoxjGOl/Y04XRrgZmpe38dNQxIiIy/3btTt7zATRHrV1s8BQ4TqsxA76BsHvy
6bxFyVnLGCJa6izgJ6rzulciuTxie1wD9AzX8hBqMhbQxZmFJJ8Vm04VDmBG9zVCv46QMgQDV5o0
er4AD1cC4adG0ynm+F6bpPKhUcca5nA0b9FYJndqZBkfKwdcF67VcK6jdq80hrqbtYVZNyEkYKyl
7tSsdkqvoJDFsc4UEBVmeMbBDaUh6+5mg1igiBOFExkp6mjVBmHZJIIGs9Qyrk86eso68JAONsp2
5Jy6Sa31se2jJqaPKfWkWJXVAbcbrlll4E+j+1M5LNtdoNUNdlZhSseij+HKK1ZfYDXqovU8a8m1
BGnzzomVZj20qiRcYQyTAiQpbg5AooZnm5m8N+XNBHFIqW6T1tT8vOIgatBMgvM2WOIiGea4sWNF
fqgs9C94zinaEqU5zde/RqMxC0usAABTgpmIMGKCetGig5bpzWc81CcSbwm+nI9oTYxnaSrkc4He
hcNHq1JP1RkjgmzwxwZcuzljNtK6pn9Q5cEKLImOGKjWdMOB6FPpwyu1gmZwbyQDJ18C3Kzo1dQH
4Cd5Gxjrei/TXjHTt74x7u0S7LNVIRMpzX3Yc07qV017RhuDNcD2lU5TNojLXpM6exyk9qBaGZu9
YS3usoj7alpTYCPWzlzbp7jhVFXkxlMXyW9ldTsIK3RVbVYuqUJXAYMWcs0YsF1HxyjRovwpRQJx
ocWUBIjsOHsNUfmBRIfR8CgPd6BzfHWAGtJq487u+l28itupP5L/+A0f1r2VqIcy4zUu3RXiiiO+
XXfQ7pfZbWHlydWnaKDsUEzLYYNiBrF2CZVoXT8mPfwOgezEYsEnrvTe2o/Cj0T1PWtWgduNxVfL
6bwTiX3odNHuRuUyRrp4lfpi8VTT5pXF9kGDMGeo682cp+l926BbQLoPQCjXP61qFsCyFO3M7TWG
i1qrfgRNbz3LVPIfTEb1V1lY5kmGQkaPJ+r9tk/6QK5LdLKNJZ71gcUPrBqym3Aa0gOm9/x2gB2/
KRiacDrW0UGplbYmTktfC4G/PjNAwRfMWhIhMFCpTz1VFQZWi3g7Tehq5iwUN5yB6rOtGTjSwrr1
akWEjzk/6KAh4Ly+zlL0FFuTvZOwi97kfYuBppUk5o45wG45a5Byh5JvjfW6L2KeGZhdbEwlW/J9
eV3j7NzOX61pEpsIhYVvhdpIxEUkue2oR5suLBZ86HgCZ4CfLBQIVEJbHiEdJA0ySo3zGxptHyd+
CAo/xKdTM9YcI4kYwho9b1t3SgqBcEi3nCcSTx2s4ZJQaO/ttG32YF2Yj6vrS6ar0WOFrWuHkNS6
mauq9+kipk5xnXdiDYq8npYRbIcrIGGdMuxHM2/5oitMbKlD2FGZaKW9tOc+rkEPYJSHrqN1MLBW
gq5MyVnJrXaf2qI4qmbZbscxJU5vLtdNk8+czfopyV+bOsYBEM8RTIkRsjw+qvRJbdSK9lBUFQc0
7pz8ErbwcZAqdwLzo5do97Cs7/okfNSMumHU0Zt7aTAQ4SU0x/J6QPYbttsErb7TVh0QB45QqKnt
5MZIxdPERIAjtK7vl2qElp80dHw6fDfrKkXHSb0xh5ty0JW9mRNbrJu4J+2kEIzsBDoZaNWPHOXU
5yK7dqQ1Wz62VxdpyQq96ZqyA95AijSCJBNMTyr7U4lYtxXZO+Ks0GVu1mx0ztdRC0wgwwFMV1p9
KTituB1melNgSW/MML+RcyIxlri+x72UBnaHHR81yZtVpc0mjxLdEYBrPK3hK9TGkDobbdklhoiD
ODePKxbnedUWRuhT9KIPkN4sKqVdLNdPGk44lymKcBpZmfwiZLmWFDP2a1rnuMjE45BMmVeN+euK
3yJQENV8ov7v3Iny5VyaQveHRk5p+0/XHmtSbNYeyUdKr+QwkP/axjpaiRWwGYQJbOFSjbawz9bV
U4lVdVo1kVhYq/dmGujBhQPsu7zj/L7kmonQhGWP+E9Qb5CtOzriI0K0GnWw3+nJd3qtiVeqTX6E
izAEtkYvL8ypSPHqyMpJTtbMLSL7HDJuesobxbqTTQVbd12DHAvlxevltvUWZF+uBcbOrfR04gMU
ykmqtOK5LDnlovLGJZTFlmcZheoncz1LgEstlTm4qjg5xTH/gyW8tDLjDjIvnguF7rWWN28Rqgav
imBBVDXjI56pAfxoQ70K8SvMYmcJFx2XuaThBsZLt4kzxa3pUe8iHAAfdZgvm3aQ20AYZfFNU+OZ
6TnWSFGbTw35PQUYwqF0lxF9xKaJVrTyZdhvx4VuyWJnR8WM9rkls8bJuNttpOtzvcp7y6R1Kegv
uL2uSjBCw/mhztCqTukweLKKkezqZAlSdv69sNb3aYzWrWIOkEaVltZ2leoq7bn2WM06eQmk1shm
mz00TMT9Qk7iU1XKT0xaJW+gmwCY2u7xCE25W4exFvDuf1vCWjrGlR7BuWr7jYLSdTeM4oMZ/+rE
ABCcRBp7T9AkY8Q10VjLwZPi6css9a2WR5i0gwrvzZlTrdnrE7nKjpmV6UlJKzzofWz0DBhbM3qG
gmroDl+iEjBHCYpl1hEGM5KxTrKZG7eAJz6qlZ6aPmXFTiW98iwtIj8jAR72gzqGMrKO2jK8dbY/
oVI5GZrn+15YdUYjxdL289XxMkdMhYa1ljZTUawPRaWFO83IKGcRKA31JmNLcenA4ixlBoC4U2Iw
tdGXrsO4nsnvEdXb0zJn1f0oOhvf59pfWsZFZNkWGhrPhi4NhV0bgq3N5apBw9ElMNewtTDyohPV
IWSQVRtXctu3+0XI9UEwLHmiWapgEJwbzZGt1HwdTS1+iDHgXL9QCoCOEpXQXtVyMnLClZrCmusY
h7itFG9yNHBRQeIKKh61XKQbY4m7txRKXjCi5mGouWrNCD/VJMq6yU2whDSLUwuqWMMzuQ3X9bVp
B91HU0SHG4obhGL6zpUaq8c1QTaGSGN1x9lG7FRRFzBjb3ZKWSifshwjCYW2qHiprFPWwWOAM7AQ
XJKEQ2xs6NmoN1Pfd7t1SIYfliLKZ2ucIHch6GAgITXoeYus4YsbWzo2eFo4D6ZqcPRY4z2nzfbc
4FAiNUWlDUYhgGYtUsFOGuV8Hw9aA2xjUY+cGfszNiD9+1AW5bcWp8n9yrTl/mosLdE6NOxJhV7+
GJWiOaSdRIO6EqnbrLm0a7T2W2GpCFjHng53bEVjyyakNpCV+74/klPcMQ+S8/EmVWYk1EYtP4cm
eA+GrJ0W3yE+SBiOl4ufVXUqbVV2oQeOjMiMmskQJ8lKF8WbK1HcGWkLOAehmPk2ltMAKqY2k9u2
qlSK4CWOxgNn1zLxNTsM/f+7PaRfEjH+H4nAuHKy/nu/BAvY+2dF4MVfoRy7b//rfyjXH/hnc8j8
hyZsAsFNS2cahB0BbP4/m0P8jmxD9aK/w9auqT+lX2jiH6bOVNk2FVvFPGBBi/uXXwKPA4py2kMk
gOPE+HeaQ9gkf20OqfI1TAPqlyoIKNUQuf7aHDJjmtLhuIzImm6B8sJNONzqLmZQYgxTd9yeGPMP
JA1F99ZG3k9e6RZBEpjndfFXsLbT4hyeIupQDHmBCHqPZ3p5wd28H/yrJtefXphoEobY7zFM6cZe
BmjLN/3mqfPQdG2LLZNFH5Ha0uItEx6saLV4kpctkXE1674DGBSd7GnU7+rEQbK+WTazP7oWDzoS
JSd6091hczvwKm4BW3i2mwfxzvDiIHHRKB5iLO0bYzkOBxorg/MEQPko36i3jA+5Hbyxvrqvj0ag
BrWrvx4kF2wrwD35Gb73PvfUj8QPvWH7NG2ke+FAKeMKfIXMM0FG4hj6IDWwOst346t6olvh3Iab
zlPOaHN152l/+/RkO6fD9V/Yu4/5rvPetA0zaqc9sl86Cxl1vKoDW7fz4j88RM7H7NbH3h284g5l
pJM9NUSaoSbuTOcgByrbn+mCz7FtZ3iKmekSN4v+1XlLnAfeKyfd9e41ghZ+yKftSI6xMS3no30V
bnbXu9QZRziON4udbpJHRS3vElrmQdqjHo0m10RtLG6bzzWQdxxpD8zvKWcYNkOP1vm5o36bXAgh
IuQYxgxdmpExObF8nnpGMzh0e/4xrPNkXtqX1c9dy02O0Y7n4ImjgaO7xlu+JzWbUlmByuOa5qac
Lo2b5xekxBLJ6bf1h0bmHc7/7/WZBVv7rvvN7RAMQe72n2x/QCMOJWJzR+i7N/TTOj0PECx81ojC
1u/jCSgHIdNO2gVEQj2XHAFGR34U3A1v3GnchKrXvpG6kLtZvJudKt5dynj3iroi/gEanrMJ2Vwp
icH9QSZDWhzb1+WNYehMhcNcvXLsZhuDBcYi30d4AoJGdulcAZMdn9doo+c39i0MM5fO3nN9io/q
Sdy3xykYHg3zIn3YFBcw+emYjUA+NoJfyPvsJnalc8W/p9JpIjILkP+xAsuj+8zSIZLzaySDqBqN
OpiO5q6c3VWnwebRhVhK4jBP+OOvU17DGX6gJAJ3o+Bm0P36YXiPkZkdeyREvPrdtOyHwa3iLeCb
fXxJd+lRH/ih8Ja/0v1ADexcLsc9rx+D8H3jktLqVjN2Fyd+uRLaH0oGG2KTNJvuh/FmnIpDHCAJ
svwcQbMn9plPt8hpMSDgEvns+GnLVQI39igJik1Y+dEtkmM0OxDCJMSGLzx1GAeTZ+WCDlt/dUmE
C+/lz9R3qEWckcxk7QSyC4mftdE/uTHbKf3YH/zLslVtZxNlB3LMeHcotEc3uhHn8FHyr0HE8rMs
HjGDZi5qpO6D10WdVW7qF511w9yML+FteokO8zfD8prv0geEO5oeyOg74TdA09FAPDcQ3BZ63K6y
XU6lr238xUO2BbJ+t7rn2tcPH5LTnfjaJIf0W3Zj7K/O/ffSZb/9DhZI8uRpY73mHwVysK36eolO
9rsAKwDh96LeCWIOHgVIfPV1XXbUvbfipL5ax5pCLLrmjTqfMlbak3X21g0Bry+hI52KI8Nyp/5Q
LztxF5gb5Sb+IW5Ig9sIb7kX+5tml24rHyWlDN8h28Gfojl8jb1C0E6/bsshyE299/d4i4PK3snO
fbytLvvUE5tnr3Zi52ZxPf1Wjb1P1QVKsem+qUd+Rf6x9lK+vwoW84qa2Vn83iO+zY/fB7d0LP4f
6N3e7OVbnfyk6Xij+srmBizQUxe72nndcwvAAjbFrjoObu9Z52on80dqfhaG3MbAce/Y/Bk7yA0n
v9H3k8sL4p/no7Kh0q225ADaYgflOTsZr9lOC/cEZuoOv8x/vJrBX6/ipn9C5tsdgB85+ROgcdZF
CO14nY/NEZ4kDVuSU53xR6ruOxfdr9JeM1F8YHw4Irgnsgid5mgHCGkEXP+u31/7jmf8vUi2lWBY
/MHlZ2DOBrnuAwpYrc3M4ymftM8I909N9okXXfTgVTop3ANuW8529DICnkrXDCAJu+/i/RHy3/5+
s/0h7crBVQ/GwfIfgSM7OmxGy9Hfie/eteyb5km5ybDUXhLeosFvXKwBwfW/vSfdXjGcb+yxvHwz
KPA4PpTveCg6O+iOvCjrBRD6zXSUHRi5oDPik928LTR7v42aa/Yu8MtEO4fere1ybhucPFgSmGZb
pur8P685LxnlJwA1zti1tBWg/HA5yxut2hsYAv6PVI7/Pxltr+XUf1843o/v+cd7++3n0vGvCuyf
paMQ/8Biq9iyYf5VA14xvf85V5T/ocGBxc8oa4BhdWrK/3TaWjLpaDBiLZnUO0O2xb+ctqb2DyE0
oK7YUYlP46/9dyrHK4/4XzZbvPmySsiYTrieQUaXcWXi/jxUjCdm9+sULUGIq602eHDWz5/ei//E
0/4cl/br2PLvV/gSzbYMdRXTnFwC0j45q4Zn7VmTXn5/jS9u4b9f5MtsNBOdpgNgX4J2AhJHmToz
CRu8nuRYPCSIPL9HDJFaoI+/vzCf0N/fPoLxGM5C3dOvtf/Pb99s2gQUWTHXJXPafEFia9PDzl5o
zv3+Ql8C7f95h4JjgiJrssps+ssdIqCgpSXSBZsdx25znB57TPk6RU6ZPS4L25QVLcexgsVLGMMk
YppvtDCyP7wOnruvNwzU2NJk8tYEwIkvyGmZvpypjtzwtTwEum7ayraPS069VCsENRd2uvvDncvX
W/vyjP5yzesT9tPgO5pjkpYSZH4TwuXakm6inCb4an4361YjNxZTZkho4S6vO+nW7jvSULVQ82t0
TTEQLEZBu4EPyR0h+t7xHDhyK6DUMNzl8P591RDXFAsVhm7WtzVsTGcY0d0NtJyMEdRiEWXSpaV8
YOgKqE7K7zVaFV2SwyamEO01q37AhCSzHQHwV3SMHjE8z5Og9d821t08YQa1p/ICCQaR1by811OH
i6VdymAygCut4cpEMo/PyyqljtUONN0l4mSWfHhIUBZgyEnH6QcwJ1eejV3UWZ+ko0BbpJCVMnXb
VBqDm0TdG9Wy0o3O6MpnnLriJao8oUcYlur+e4fx6JxIKlHYaI8iT1LbG+BI9OqGW1s1IUiI9Ukw
+L4mEifbbtYpzMlsJ6FE3hOcc4/p9hFYFTHUyWydIlkbfcxXB72G+Zk046WsJtlbGHbirqr7hzWc
p71R4OhJUHKnlUkGKzzQvDG26Zx59H8+fv+gmL+uZaamKDpKbJZa1G2arSrXL+tPz0mLDFX0MtBH
1EXq1pxyzZupoLVUWZ9CutUmPH78NHBGSg4Y1WJeari03gBACXyPrXEwKRF/YdcZ/ALAMO2lISqc
sVGNy7yi4u46QoSnxYQ7t+ItQQRe4XkBv9EkjHtwrhkDVo1NMmglXaSOFukm61Tzae3oCqCs0+J3
PRyrq+OV+Rwva2NhWb1AiF13iB6s+6aSxnc9YvVyVO4EAIDaabupa1VOGvBx2mHWthPTZmoaWCMx
ykSeGNOU6eROc4sMHP8zQFvgWqCKniNlkjcjY0yytvAHecyvgjbK4aTO2JqxYo3M3XkOyj0UpP0w
1586pvHMpEpnulG4DNRy1L3xAcnqjt/JsdRnAIhhf8aAVSMw95MqtU5SDK+//yx/XWauH6UJecIi
fg5JjsXO9OtHKRG2EZXVWAdrx7dY12P9uwSb2Y07YulCwmUeaRIeqsRUN3+48N8eIho1NGtAGdBK
kS37y0OEqNtGNR0iGLd01lkNxOIyNQ9oJ0kJr9dHvSAqDAUECXx9siNR+00ro6fKDHGShzipUDpf
mXDLjTqi4FxMTs4YNDdxWuTBzAS540SHI4FZKgOEfvKhLMhYUEofCqh6Bpf1VCyrzM41HBvGLY4B
KHcjTWH0Q0V58jbZxkm/zn6EPr6OdaGu27BPpxdDQT/d6w2pZzEvoKu77myq+kM9GswNjNzkYKRl
BrMbnakgFlE0ibHCymctVYNGQbGZWq3rWLOkiPitUMzyNY5K5ZAAE32fUEm/V5JobxGtIVINmRM8
WI3c7TG4Gd8R++Az17qbKgIhlYKXuLIWJZrj2UiU1rh6eZbGd5GUpBdh5rQ+0mE9m1mW3OYxpW/c
QDM1BwVBNX3MQkjjU2qI+oii+BzOGrNqKGDoh9s/7N6/Bh3ylBFMyidNGaWrCtqqL8WPbgBXkrpw
9vNdtO2CfiuCeCtvu+3vn6lfi4S/X+ZLBQSbXVeSiGiysSEzTYv6QMTU3nKU+HNZvTZSfvP7C/7p
vr7UCk2viXaUuWAu7qRPK77I39PkgWNld17/KTX8nP9n9L36L6q7L/Eaf7+5L99UJbYMRFzsO/EO
6Cf5lFkg30OLDtqAPJc/5Nb+8WrXb+9PSzwZ7ZbOcr36nYffZtMExUb9hnZkY/h1wBzn9+/jtZj5
V+Hx93v7Uux0urpiyR8Uv1S+28+F8r1++3cvYFLcg9JhtdGg0365ADCkSsXfovoUDBiDcXBG2ku9
5OffX0b7tQa/3ohJ15rlTLYQ2crmlw9pmFSm+UByyIOxugCE2aGJsUMoA1wBS2vJuMuodByQiP0B
MQCydPDuXowG4iFRBphaKtR65ID7omlUr4kahj9FnTljh/s7JZOPzBgyV3Wj9GIz+9D4shOmdJAm
sweOUQPpMK5cQPZTp7VR0snSIBwzwR60rCEdXowqL1JJiYAjcEI+sJqIenrs023ZeavSPLfoyXx2
a4V8Cc3rFkRAwrbFMVpMei/s+X8oc5Uv/fSvS8P1aPbzg6ZnBVhwdlL/2oZd3c5J9vXWJHM88f+0
PPz9w/llFforzOOnZzqtkVAkA6tQRPCFjfLRhFzylJjl/97TrF9XjZ+vU5rAVYU0+9JV5h8nxPJA
sWma4PcPm67+bfP+sqx+qdfhmUWyhT3TZ0A9AQRfdDKlrEba25PW/DCnrhfnUY0EjtvZvvQinW77
yq5JsZBJwnOSXImgXMT6Xd5Vq9dGuN3XuHuyozYOZqAgIpTv1Mx4a7CZbzAPbRDtFrvUSrcMWwHp
hVBXY2RQ2yxviBnhkFA9m0YxuFJB/z9Wll1rTvfNpATaGgrwgp21rWWJUi+Mlp05JlWzaUk7v1FD
/Ye22s3DDOJBvm2VjH5cFfXLI9DbBodY1r+wW467tIBuImK86fWCponPLw10ZeqJiCSRcKqxkCw4
xQZAIBEtclva5wa+KGdSIvFpNEt/Z4nyPjZkTPHRvaIVnO7EfDSIZIK9M+svqtxx4/lgDK+JCRy0
0J7XphdbW0Z3hrrsJoVivjdwQaG3/4iQ3js4Yvobvbe83DA+imb1UrQENO6MJ3Vuzks3Brw5Hw2/
0U+gLbAJVKcwTDd2Q1xkF2Wy30jS9LSgx0NZWT5mSU3+7hDjnkDap/o45ZT3ReYxwskUmouHRxZ5
pdk/pSVKHlhV+0KuQNbZIt5QvGpMzettqeaelSfHdTVPJl5zZEbhRjVgKRjXZBNEK6uDpu0VVe+w
S+0yvKgNBsISrhCYbNsLYedwwpM3SbXwGZpNdctI/g2lY3hhwr/67ZRQLWOAzm/WWO5esTNKp1Yw
ycmmwmBC0iPOHMecAqofX5Ro+m41k35oycGMA12vlW2MdwRuYK1JOEmrpfazWDTCNQHSb+RCid5Y
aSl/B1MdCjz/wISwjibMae22ikEbh8W4kw2KczFW0kG3M4TLOXAulFAzFT4M71Fkozf2NrMqaGvP
yCbkIGmx2od6PX9YBeKUupzHm1ii3VcyI1edZFkq+Mzt+jjlEhlyUgceIAsH8Jy9NkTkCgg3z2xa
nFOUWA1TAsx0To+YbnHTvoEUUhAJVvBkXfgGcDZUlDbowwScgy0395CVdlafJQd77VrXzonLi9Or
YGiM5nRjVMZ2nbTlKmBVDHxpcZx7SJ5zBGi9JmEqSwxA6tC2Cv2Twbz1OPVT+qCMaphtrdCQ3EEg
kSr6ejoU+aS3blk27R2SblkJOBplNGZbjTPxulr54Kssvh427ujOGNccZ3Ctpc+D3tJxb8riIYSP
jG+8wa0brmr9ECWykLbWSIN2qhb2i9E+mTZOyl4C7qDllltDXfLqkRFYOqEeAuA7BMo1gRfVA/F0
NrP1zaga47085NZC/wi2zQkkcMgoKQr/AtpEZBibJufeNJtM/gq1oghZ/1LTzcIYJzAZ1UND/AkO
M80wPZlUEiCb0W0MuOxUpHP+Pel60gNYCJ3UVmdCW/BxIzNhFptAC5Jgan4b8eTvl3DG6qsn6OH1
Ik7P8oivcTWnxDOzqt2MmrDA1RM3zHY6+n1ZV5daI48oHFryM+ViZ+p4V3HuAbRGwZLuc2Xqtiie
sodKYIiaJFN74jijbmqzj3/kHdxjFMdQ8jrigupGXYOp1EGwlMQwtCg+dfvU8VQ/hbXOwI/QJOBz
kUmWjk24ot5n1+dMoa5dn2r6iaQ/mKe1JMhxkHVCPpMZj4sUeVme78Wck/YQrtlmUjqiDYyquMl4
SlzUHxhN212MenDVGXa143joQ2uXqOlFLlCdxCmq1kYGVUbzOpSmV46rL82sr3ftGJFsssAeEe3q
YU2ojxqSrc+ypbWtyTJRJ3P6MXLE2SxrhXQJn9AzUHMgT1rK+FUr9v1azwHHISSyWnFJDVY7hYma
YfWyB2znDarfKzpVtEOWlOxVuzd8xI5vnbqy+s6SOM9i5E8mWnLPoQJViKrksAomAky3eUncMvLE
vg2WtD4MizrtJfi78J/WggQrE7l1KdmZvh0WRUVk06143kBlGVc0RV1Nn4vaXzMtKPOa84w1zU2S
/rloydLQ9HXXydMzQFmaNQRTQo/CSjGuQdRmwKZTgINZqTKKlgGhMpKIpvoxNBL1Hik0wasWSjc6
FRDNcPsXPXASOZ7PCYbebWR3w3OKyTOATmtdhVjT4Eltb8C6B7WxVxRl2C3cq8MW8iMky4kx57h4
0WIpDt58yUEXfQ3067QDeGaGNZL9lGdRiuki/RwUKNj10GEISZhCoWifHLG2COAr/YJIJr1Bv9/4
hIgQOzrzrA80sqF4TJfhGlloxeF7rw+9XxDOlXk409Gy0sODaAPhZyXWaMZ46gz4JfwubXB6tmTw
NQXh5iqJvyVGjUYGyFNRteag/6D+yOTPp7ona+VuTJt1l4LUAVUPAI6MlKe8RnWpp+YWksD8Vk8Z
+3iNFONYGHV30LvuwxQLqp+5AvKXzuhDN8jDCYFNS4RpC8zUXu3RzJup7UI5UwkHozUzheJdG0zp
TUvW81RHFX42o7R9bTJl9kySbrxJU61LxPu8yQh3XlwMGLOrNIn8PHSDOGdye9eD5Q/YDrdJWUq7
tZgvYE0M2C1A8rEznPIhD13QdA+FnfjQZfXtBC3RLZfKPk9L6mldd69Ekr/o82sJK2BroCd0eP4b
Cv+qfQtBgkJnlyQbYzVkRZaPD6mvn2XsNwhyC8PrVgAcdQzmK5VEigoiQuEJskaAJyqygl/aY+XQ
fkXHYKdBl7MlJq0sMfhv8gse1+U8w4MBmdROCqBnuflTOX894Px6kjMN+oI2u/3ViqVcS9afal91
DZtIw+DkS9vyqPtdEPvy5Xpu5Ku5T/z0D12kvx8cf73cl1JbAO6qiZNQ/JDoC0LDwPV1f6jm/35q
4BLX/xg67lPmQb/eUTNkUaF2gkiNgbyOsPH1qdtfuUYjWZ+/r+j/q0sh27UE4HZDN+Qv/QvliqUz
uZqfya/tg5SdLPvcn35/jb+33YAq/HSNLy0LYmMJaAgz1QcT3yH4tuDBV33yh+fg75/LL0ct48ub
NumN3EQ5B/ohD+Q124HH8afp+Ptb+dNFvjxrQ1QpK/J4bCbLEUjQNhWBNqz731/ky8Tr772JL48Y
km4xRYLkjsHUMeODvy6VRPHETGLFUluekSrPDeiFGlV5q0e2/4fr/6HHZH7pnbXTICIb53GAJPGh
U2SPCKzHBgMlPDqobLTBM5uEr0Qsn8RmebB0EPoOJdNyuYZDMjT7vmYn74TpT8jjV3lCs5ETj/T7
1yn+8GmYXx7eOOTkFidrFPRGccnLYmusL0sDo9AmoMg+thXBTutR6+JvQwvMUqInzk67iYQN9NuP
ZrRKJnVgk2GEaV0FlNlsMkrXldvReEEcHJTyPtGhHfWHaJn2Ot4zuhEGhA5/Zb4jRbKbWLFEDjpq
5t/fm/qHJoX55UsjRa3caqFdBQbRRf9B2nntuK0t3fqJCDCHW1EipQ7uHOwbwpE5Zz79/9E42Eui
dESsvQ0YNtBAF2eqWbNq1BhcdDQq+Dj9cgaIDOX3XuoEaDDoxFdTQlKlgHIf2hY68qEgFMe034fU
ph5zgQikyYEVQOlKjcSz6r3Pbb/vDZQYugQBiuvfPZ+yU2dMm6xGmh3PZajKDKU8dsa6SUOVTJTr
0Ba9kV5ln+dI/cyNKvY/r1s691ynlhZH0Y9UdWrxK9CEweQuqsNHzXPyuwIQWBW7xL1u7dKROB7X
4khqOoFjTvnW0X6WoKurn+ZvCTmsSHXaekt98Lq1S1mWI2vLyr1YWt2QdLTUSvLv6sHUp0MP0x+M
SkiYxfFKRvliPkzXSSEqMoBW9S/+9OgC7QWg2YgTDg48nep3i2C3/BzuPHUrTE+V8Ji/QBF6fXwX
d8mRxcXmRigQGRy6GBzrp9xujdJBNRyaY6Qmr9v5e/efbccjQ3PscDQ0c/B6vZdGz7ESdFfjGhFw
pa3Q24rTO4M6xiblnbiVO2l0LdRanGLwDKczFO8eePjBEKGNTUxThp2D+DHTvPFNl2LLFoP0ceVL
L53340WYL9GjL40pWaYKamvIVsWZawliuC1RdopoL7hV+7GD120q51QG6CVUsjzETfbABaSVGVtb
mdnlHn1GUrVhoBuySDzwBD13N8LefKD7xVvb4muG5uN9ZMgvvcKCrkN0GIjdwbxAz0R4J9wI2UqE
8xencW0PzF9yZKmsI5SiyiZzdbo1w2knNW7xSkapAeacQaGHVnAgQWALdOCh8nbebdz88VLkFYnL
YUWKojXfftGXHG3KhedKC9+DRwKEQPlev4V6cpN7qut/ZoOLxivko8PKml4+4OiIzzglVKPVhfNK
BqGTFIXjRipki7qmHd6I4PqUXeYG7vV9fHFs/5jSFqFDWsJUkpi0ZNIf4UODCh0BNUuashqZ7ooY
os7ptVaoiHpM+HXTF3fUkelFNCDGJnUSjR0l/CyjR1X+RZqghEXwv6ks6kd2ls4LmlB9EAgAqMBl
ElKP9CTe5d1LBh178wZA5/qwzu8C6kh4ZtnSeeNwq55uX1MaAxqOtN7JYoe+QcAc/ZvHo7191cKV
m2DN1GJj1mWUTGNR0zYws9qMyNZOG/Seh/gmEqBh+7w+sAth7unIFtsSKMIIS0UmO40p3iu9bNwW
RvpRyGpqp4O3rRSkg2UDbqSOipLfTtlKxfE8fDyt0C0uh5oG20AQSW7MIp8DjBVQ1gjBvw5TTo0s
/LpsoNUEcG101GQr/0ZjVf0otBUXN/+OUw93WgJc2OgSyG3oXBwdDdbUyYh3XruyVpd2xnGRcXEt
tAKRaDg/4QJDd4yaXglQVlUCtzXNY3c0h6vleFjZHvP0n43KUEQREKUOIHJhE22JESp4GSHHQHuC
PPdtmksYkjS/9EM4KSEG0yAOJqlc6hV8gmPlQMn/zrNj0yvjSsRycQKOPmZxXVFnCeSiYIrNnk5f
W5e/pN6N+lGpj/Las+ZCIZzlPLI1f8vRhTVQL+tQI4TftOneIEVGK8CwC6WH7F8dbEPILXiZ4vYg
Q4aQm+1dH2j7Sebdc30BLh0PFWk9UwfopxnGwvHUQUhvZUJqgCKIYHwx4BvrV26Lc5d9mktZnECE
eGVpHGiQLUzvo7VSni4SdOMdbB1GV2wFiOlX7sLLg/onWbQ4Kp6npnUaaJLTUCj1VGFfVjR+J9P+
+txdCDpOR7bYvAi2pIramKjE1G3umFn4Wwpo4dS8RtmKxqhsLZFyJCSbNAgVtpLRmYJ65NeoFd70
ofjR1eFdI0szoy8hqOLB092YkN8USJitRJ5ra7Dc2VUFZXvM0Y7q17EX9wVE9ZP2kuFJkueVWZmv
xuWRPk7VLbZUMgEOakYO8NDrhLY32uijeHWo9eomzORdG7+2zSGDyCiI0aPrqpXtdh6cnCaiFttt
CpAwQZhWdlS3OsQ31g4Zd6dyoxUz84wtR3mc71rsMbP0dLPNEs4vypA/mvSgfNeKlcN5adU0nfZC
bQZ/nL2zyRwHlSz7zGR9q3g3aIJBQsSTVNpokDCuLNslT3xsbOGQDKXuBj0KZUcZlYe+9l2k6T27
1JNyb6C3vKXJ/zkWSvgDoG1tSW9riufvJ7GaHLVEq2Tlc86fSiyjiaAc4Rw4N3VxtopmSuFNlCQn
iZrPKXqAyeejqgqIo9zG/wVPIERy28ygN4q2j+u2L7kPDfippagiMNS56fPYNZu8EQOAl5IzvbYA
rtAM1FcyjBcuGry/pankswGuLdGRoHajWBjj0fHHbyWzioPaD6iTUs/Y/uuxnFhabNMxhpCXgA+x
2RRBqy3APrFema4LuxQ3qJBWhlnNAvN5Ol0DHJ16U089AjXJBrn7baU+p2H3ReFFXk/ej+sDunC8
j61Zi7dHh5RwBXygd+oq3CXWE0kNVF+payoAJHtfuBN7pYTr2Vs7H/MvXhz4E8OLXQGrT2fCNz06
RopsSNyKfzQp345UoLdwBv0UM9nctgU1ysH07Dw1ViKlC5sS8/QZGwqkdJDRnc7yTD0R5B1yBhZP
aRkd89x8Fxp5ZWNe8GonVhZOwMsjVW4jKEdGtMGF5pBMuw4qAw9y0evLePEEaCIN1IpKUWJuqTk+
Y4bVewmcL8R9OiXp76NPayvKRoa6pRsuWUt4XJy8I2uL66+Ad7dpC09xxNp8EZBNcSg3v4aib67s
kovzd2RosUpgjYSotPQBclMnewHUpL0Hv6/P3JqJxRLpSg1eGFiIU4bwr6Ak9hPdNxgDx+nW0yA2
/d+sLQ430I6IqjppQ+0z/x0imyzdQwm1shkuepB/Zk1ZnGlRrjw5CUmJwBWC7CmF2UPSCXQBb0vj
9fp4LsXdXCz/2XjK4hhHSt00vkSaxMtRI5/gYt4Y+sDt5nV7raOjYmq+tpNAK+Fo7BPRE8FXTrQK
e8V/NbMKzAPA1FWwjqcnYBwNKYjmraKLr9ZnQ7sffZAv10c7e/elz4I9Q8RxGPBY/q0/HD0ycjSE
OivFRuuBExIit6Nv5LqJS9vx2IR8OgxTT7SUpobBUd/bwaUXuHtT2v11GxcX7djIYq6aGLSRpE8Y
SaG/z2poGKeN3D0F8KuXRksR/0lt9oUZ70v1Qcy/Xje/NsTFHVrqqJFHI0O0PlMd8RqEiJCIXakH
XnJRhmxpInwSMFItb1GItOXBFNLBKUtbqcdD194N3tpEXhwJqAZFp/sQWtOFe1IKUQvlQMJIUdkF
ACdQRCB5Gnuim+T6pF3cegqYP1mnXs+Fdbov2ils4anUYcinyYwGyuatQvZ25TRfukXofSTo0BTq
2spiX4DUMXuRJKQzCU736hvRThtJz1nirZ+vZQQvZbJMuAdh6ZDoFjy7gS0LmGHusQm95HdFK+S0
Re2lM23u7A3xb/QNrvKVSbwwvhOTC1+f1pGiJxImayCR+gh/Kpdl9pC/ZEg6rkGmL3jhE2MLV+9H
IPL6TBwcCErfYHSg32qbpPVLq3e7SHm6vj0ubPdjY8vOjc4vBb9jVZ0ya7vbKuwR15qEYGdW6fbf
W6IbiYWD3wXk3mKPtEg1BF00UPiqoLcFVfdD/Lhu4ULqnaaZIxMLB1HkwtBHaqM4WSbqfwphfIyH
RgedUk3mFg3V6FuZ9zAmqOKwo4fuhiabDslt+Pjd619yaQmPP2Rx6BCzQGREbzjf31t1E3TQJX2D
gTMmLXnd0CWPbEoqmrWWNsNXlnm7PMsslHrhrOvtfqfatQ2bKlwilgu3hCM4161dcFumRIcP3HMy
SUJtuYSaEFopryi0HvRbVDInawLd+VG3a5ici/N3ZGixkGXcKS0sX8xfsm2/gb3a0BAqf1jD5/UB
zUdpcS+fDGixTqAY8lxDyRI1WOR8Evjznf69KPWN9xnWN+naI3Bt/uafH4UBBWJDZkPXIfWaO8+0
03szeFur9q4NaZ7aIxut0BU+Ja85NdCK76NVSC/6CJgkHiB+QG/DDi2x+Kw9OdzTiLJWaLw0Qjpw
6OOGx5ve5kVUR0SsIFaM78ri0JV8wx35NyqerWgN+3DhsOO4VJ3OacNQeLgsBirEFhD8OhjoL7yX
eE7fD/oNKfL6KdfsGYcvQ5yhrqTvzod3anNxDzR9bhlB1oyO3Au643njTeqZe6H269s6yVY259/U
yunuPLW2uAgMwSrIFSaKk2ag/kDHwj6YIaQKhyrVaBD6AqiI7RQED0pGn6SQ+Led3n1VpxIaTtp7
bM0Lm8/WCAK7NNt8RwH4kAjhruxQeFYySG4a7atk1QdjVN9M1FnKINO/ln34DT2P1Eklz5WHjtmc
SE2jNwvhuER+bCMPBR1+YpT/KlXWNelGExaMMNsHWghNS9ajDtiWAZRYIINzYEAh4q1b05+kJ2Os
hN31M7xo6J8BXKam0qmMMI8mkaBaLApcpXke05viiH7e2hkEgHZpDAcR0tCmLOGDMUVovVPjQYGU
7nMkiU8TefxhKj/ytK1WHPKFHXLyMYs1ayD8lRJ4tp2BHifFrp8ympHXGpAu7f1jK8tbuzc07rDe
oAYl/R73CQ3NwJqttnLE9kkdvrSvVn/jVysVvAuB18lE64vD3bZRHGmRCSdM/5E/m8ZDfV+EH56/
C75l7WFaq1ece7JTc4sXTRP5DWC2QnZmKMH4jvKNdDcZr4jShtmD+u8916m1xd2WGVOtTmCMnUL+
o0i+Y041LQHb0ahXSswXrux5qyoSiTpLotK2cFwh0uKdHHKL5lXuSkUBMHpvQPObB78KGQrxKoTv
rP9iQQquhL+QtF154ZxfriZh0vwWReuHTsblMo7InvIH1jio8gG3Tx9D9isdbr1mJWqW9PnonXgw
hX5J2r+pLsOmZy6JBNLUzyPd98I9KHIgNpHc/06K3NoUEChrAGHd0h+andFbL0qByLWENorSwBnf
yV1zEGp0bFJfNb19Psrpnd5UKNWi4YKGUyYe6GZEIbGdpDqi5Vm2yHmqfe+mKIzQcxMosnyj0GP/
x9MmD5AyxLSSLQqCZgsm6UHbk2LRuBWo/8HUROZ/G9BU9qc1rNbYDbSwOHkqxA/wqXt30CF3dKOM
JQp7CSqmj1YNja1JF8/QpXIGbwH0Y4FCs0EtC9bo+mKt/jFSj/YomiMOVVLVrjUVpe1FZZCD5ISm
SaWjQ61bfYuQT5DZiUzjb9wk+WEQBAcP/2DAE7pJKyiOldI8SIP62kpCt5Pi4L2vowMchWlAVITM
U98j+Eu2Li2S7s2n3VT2x7njs0wh7s+LaqtKoTf33zz1CZ0JRpM6Y60W0DeNgPj2ddWhJRlDiBbr
tXaP1AqSplb+vSjbR4jd0w1FO+1rn4TiK4SzwjMrBkVL23rQFZe4fsDnoHITmJXrIdn7etmMqOHI
Q7vVETLFcBjLqgPNZ9jC/Cw1CtXVxEKoIelzaPaKzoPD05AgjgDrft9RIt140gShlyz9TCND+uob
Haj5OHyLC/FZkgvhRaKVUEJ8buTS8+S22Ey+NdixGFe3QwAYP8gQjdlE8PPPujYy1HdAMwumWlZR
Fh81eKE8Ey0liWtx00QdDYJTqcBuCOUpPHYofPjkl624/6wq/RXcK32rNahTOE8bR6gq0PrIn9ht
IXykSINttaz7ImqTdlcVcmY3yazcBQEBScEm2CMIto+MdoI1StkRgElbM2zQ8C0gQ8+zR1i334qC
6lwwxl8TLfHepcGLPr3OhB+k+kU2nUYHeItD2PBGHyJ5D2zd9Rv0zCEY1D8UHSkUyUCWS1042kxo
IJ6JlME1fGEXowItac1D639P5QRgSrO/bu3MJ8zWKFOYcFOYlrKsdIPorhJdzQdXAvciQHb87jcP
VmPY5WP7r2+sha1FaJC0vUa3B1gvZDRue2FHnXCn51AxWBBgmNtI/RaN+X3fqPb1MZ7HJAvDizDA
jK2GNi4GObeqhVAF0llDs/az1qhQcoOEDIZ9reyK+kcU7FuzYwu1/3ZVCYwUTeRdqMOLSrLp9CFA
+yw6fHo4ugoSlcDtEB29m3QIB3XVaWDuD26lqjLc6wOXz/bSqdVlChlSfEmJPWQByrCGRls15BsE
Cj3XUAL831B431qEmr5GCfwju1DwYYBJhbE8JFkG0lcd6+iLIM4k1VDjiMNWLArhZ6hESeM20kT+
d8z3emMOD40IilTRBd0VYzob47ZMX/R47FoEZdVt19KTVclAtK8P7zwEUlWRaiQFNgJNRVze3WMW
I3cgG5j+rACgQQH5UomvxTep3bcPmrKyhPMz9+T6XFhbbN+uoDpadfrowsS+S3t5n5P3vD6is3h1
YWKxS3zYRZDnmAf0EtHf19+pMDauoerOQ55TK8t4VfPEZiprc3Sr7eTA/7RL7fEr3RyOuE/s+OP6
kM4czGxMgwpYp6JlSsswdQrloh8gZ3fTNNy0ePXgJ1ry9CnYSUC/tlocrts7S6HN9nQJsIxiwgqh
L5IISj8obVPko1sXji6NL0IUO1Lur5wsac3MvJJHD3s5LIxOq9gMbZy8grJ1BBEBnqir0Y0KQuPZ
KFPBjSPxo/Ca107Idl5MY7wZ0IYnwG9louMGbaIorYz+/MCfjn7++dFnocPj0eanjbRO6NtCc81h
sL3xs6i6W2P4t5HrPNMWeIA5aTO/+09twctmjZWSjO5U0eOGGoo9xeEjMjitLfg/zZCWjf9iaclq
s7iiqJ3hAyAcodc4Y2lLHbYEuiKhoeJdXYpysDKNFzftkaVFxquTM0tLcnj3JmSWbDo7nyaUGBFK
999iWPy3BAabCgmaFYd2aVOpwFp4CKjz38XxLwIrVM0kHV10n3Zj84Bu0JYuzuuzeGmLHBlZwpTR
cgCkow2jK9D+qCIb7NNTk6qwMOv6WwvJ4H9hToLy0UL7mcBxcVAGY9Zlm+KRt9V99ZASLhXy6/ih
dGuwoIuTJ+ughCH8l88yUPA54WUKDFnDyyRHd6HJQydfeS6uGVncAUZcUR+KMDKk8i5Ov+SS4Ybq
/vqUXXQu6tFQFvvAqHmq6jMbYYnMgyV6T3pFR0aqCoeiRmxGbqHT2KDyaT17nhxsIXS5b+Jhp6rg
iGMDOVqfcvuzL/aDe/3LVoa/vDlKPG4K3JbFjIWHFsSVn2e3ZrGyZS7dgkfDX14ZZjcU6P8xyUry
tf0O7UScPdRrlbiLx0Dh3Y+eNuicZaG57MnAIg0zulp3Kw52r6GcfSie4zUc0Hl2CDdJN9h/DC18
iWBxpyMYxXlTatKgu0BOty0PrAwZP9m719sv8DzYk2LaMQ2119fr4kyqxHUUeujQWgLoFY8j2XrT
6KaA/b6O3e30vVjrPbhoQ4OyFb+FHsAygSGnUA6m3QgRKpG9Eb+qxrDr0okC6hpv1cUlO7K0eBmR
1y0KpZOxZEHuLobiI31w47sWhcqmUWva+JNyxVlKyvxLT6I+QyVZgjwlLQgyF94iE9VbXtc2kdq5
QQ0Y2Fca4ZlAsL9NqAfe1qZS3QNVHuA7H9pmaxZ9Al6/UGpknYXGKsEN5+ixSLURtgCi5MwdEBN8
Use++FO0pfwdHFoD50gUbPQaAUShFbIHkBhUyXS4XcquK5zMJ0WgFuqTWkeFPXJxvMQzFI9XuKDf
qkWrC2SrgJrZaFMbB8qxGaJWflUdPAH1DmEKDCQ+cjnftgYi5BD/TfItdyb8c6nyK5Uy3TENS3En
QYi3XRQ88SZFfRfIR2NHiS5ty8aqt0Uw3Kdilu/Cbnw3PBN2HFR6q/LQKznsfzD0jzBjMz+bqCDA
kYTxmxXqpa3TYPco+J70kKMX9VAFYfxbUUQYOSDRhLc+aJCMpvDjI4VFkz9yJwI9aHeoUHsFsm2m
dM/rtLgx+4QOvdSHlAZW2L1chl65kQtFQWMcioddhtjiNgTkILQRORDYf0ntBF6fIHdjpaRm0RHd
078PwUvUS3dQGkNiKQvlH5kMIIq38HtGpOJ1wdpDOHHbBbIIidRY3zZli2q6sMtzK3xEn67co9gr
7Px6fGnQiCO6Gr+l6HL6Qwwd9xAbiGuFOpR4qOdM8WNrxUJlz6jGTZUa8BnVO9Uzxx2ECuHHJKZx
u/PblmKX2gYShEP0u20VBb2VbDSTvaSP+euQ9ncxeuAb2fN6b8vzAJpYIajT8gCNjSRs2HUBzONZ
OLf5Gf+P9/r/S4V35vPnx7MGCzCAGV0/46xE3DCIMzEaXKv1vzZt+KUPzQO5r+ue6hw1PpvRQdzz
mvub+ziNJiNy6J5fJINbJmWznazqdydCxjjyLBekl773d2qq8LQMoOjXsrrc6FVuV4b0pBX+wawH
82aqkJ1D4mpfeTn0uGWCGpdSrbzQLs2GDqm0yucCeBAXV7OFEPyko5HuFhmlrnZrUYUJ/JU4cP4l
C58DdaOqw0WMEdIyp3OBHFCQNAPs1WnsIeEGmX3UO9Pwp2u9Z8N/IYAy1oDb549CBFuoIxtoyPGX
F9SpzTTo5dybG2lkV3LkHcpqNvKgg21upJ24N9eyXOdN3gt7C2cu1m0xQr4CZ0HQGdvOSyYE0iON
400qgYaW6U3R6v6OMHy4ESP0cetSeDL14DX0y1u4mKaHKDTMPcXUaVNnprppTPO7giqkiOz3Zsij
g2x2/zqLs/joxcL0rW+M0B7TuUnY/JRphq12kIMgHR+tbIHzsGFhahE2pE2iCogOwrVxP2xrW7rt
bkNkFpClfVlb+7PXzsLUvOePHo25nhAkeSbpse9S4Gjqgz7C4PlL/NCsZuX4nAUL8ymHqpEnjqER
xC6Ojxz7UHmbsBKhjmUrVrxLm2xnKTchXEjXHcqFQZFGJaOliaaGjvViUADwC7/vCLv6qthO9Z/K
gAEL6IJG7leaHor+376G55Ed2ZtHfjSJkNdOqTF48C3RLBD7imuV95R0bCTWoENb2R0Xp/EoR7w4
rHU4+o2uMo1k/zejZn2JzO2QjlsojFYW7DzHxriOHN7fnx+Na6qlEBk43D/E17tW+cqFDUcc3dmj
9zMNCPjizdgMuz5a63W47GlpBQAKrZ6nF+LCrCZtCgZXVXiCl48AiHZyfri+S86NaDNmDeJ3eJFF
eQmDMtSIHAa85W4nFHBKIURMtSSB1iBbvUfP1wxTlPnmvD7psOXNIaeVYeXwkLvKIKDBMnToWwQ5
9MpZKWx1T9pdH9l57tfQVG4pzhryXeeoxjKO9CSw/MHt4U+R2+ccOadZto1W3SKfye+aAzWZ53yy
7hqp2yPbU5fpe5Zwz9Yk61J/00c9on3SpiO+E0gUqKjdIKhYxTvfSKE8ku7huNjCkrSy586P7umX
zz8/2nJdNcC1qfPl8vhQPQYNoqTWY4om3RNKdSs5pUurcjxLC4cUemMwQqXYIxSh7APh3leFraoS
z4orR/b8UT+vxwyIMzUwOaTNTkc1NGrmRZ7Vu5VVFZueyL1tb/N+n5FCaCJpa2jixpfbR7N8Cso3
VYNumI60oP9iTs/Xt8alTX/8JYurxQOZUSfQQ7hxpezKabidhBcoGlcGfB7EMF5rRsOpKuRUy7dn
CjeVMBVm74Jj36YKGgr9Ux9NB3J72xyZGP0GceCVnXP2Qpzn+MjmYuf4sY7SaIdNq9b2Vvwgk2Uy
zLtIzLbiWh5tnqXTIO3U1mLnWMgUlL6so54VaLdyJN4G364v08Wt+Z/B0Ax8umEa3iK6p2KgmwyX
iopj+oUN6h4o/nVDl2cNBKFJuHmOF7a6WtV97imAcIItljDTEWe8JcqX+F+DHf6uzz+WFjtvNLq6
lYMSuQn1s/2OpK6RfklCW/5xfUCXZ+4fM/MBOHIgaOGaoRYSpgWCI77XwqH6Dh3C/2Zj/oYjGx2C
GgaQM8kZx/3U7AXV35naDpjMyjG66Dc0UTIsqrTsuGV+xYL7cggr3XIMQfpiytAsQi1Z3OuVj2J5
jxx6IVb+fgihLEmVEVyZGI4PMHwLv7U4/5GkSk7rWRE+5zwrVubgkiM5/jT5dA5Gr+pCy2skB5Ji
f9Mq3quYyLBzet6wcrAvreixpYXzpLstVaWEFYWnB8XFutzmj0h3X1/SCzE3dcSjqV5sT3AJkznF
xNwzDXv3Erz4dwh92Z3b77XXFVtrI1rs0bbTjKGScFWe9DSMd3Lq3Ydlee+H74PwWuufTfyUeuiy
Q7hrml/BJ42adqtXKOFZ8crkri3jYisPqJznqcqn0LHoKIK6tej0b8L36yNeszJ7oaMDoxMdF2LD
/VdncNwTieupb5vB7roVaV6jpVsm5CdVQYGIbMXiCrCSYNQjX+1d1Su/WUPwMob1PQLbbfLDELdS
+3vMEwmC2p2YIBbpyV99z6GwtPIZl0IYcmZc9ei2zInR08FC9Zw2jQLdjpB3qjuJ0Zc0Dn/DZv3D
HBSbUB28j1X96yeIBorsH6OL42gqeV30qda4OeKTxqcgvknmF/Wu/nF9ii/N8LGZxVnMlEyAcsFo
XPiUS4oPpATFJl/Zk3+h8st1PLayOIsDZQa01OXGjbTmfoRftfHK94RuuLqi+ILc5AgvC9wfz2rx
Mx4/rc7t0FKls5eCIOB+ufFvpuG9UZ474ycI2RsxTTaZ/McP4o3QveSi4YxK4IShyAO+tn4MqRhs
xyZ/btvnQYIaSTyk3ZMef2kj02ljlEgnrvgq/ex6HwIaDRL1gPRsuI+E7MZIzT2U/Q79Poe635nx
S9FRIUyUyTGsw4Q0qFF+ZuXW7/WvtfKnrLOdMQ02aDU3MwHZpd/ScHLMOnS0Tni2yPGJ2b1caXs5
7hwN3NRdYTU/hvC+gKa3Nw9tZLiFdD/17W00pHRdtYh1vlDxtQR5I1tf/Fz47Lo1jzWv67UVmQ/4
0QFG1yNs4TRF8FSrxE0jauI21qGPCTzY6JVSJe2vQXwkT2LsKNYE5iNtzE9TGdp7z5J+ZxlJk+s7
ce2ULRwXPHvk3jKWvp2MHQh4W1Ds6EVpyrug/Blqh+vW5Esu+3hLLjxYXFqIVhGRU+nwbcgV41tB
DrcqwqozabaCPC2+s/F7OjVTKFoSW9Y+h9eo/d2W0a7v1GCjaqhafWrKl1SvyKrJGVqb6Q8IFbbj
pK5Mzl8453K9TBrnqFog/QM39Ol6qbWnB0IcNy5QBCSQG0kX9oY5wvlhDgZM6Za8R6w+2ZWCnLj6
lFXvViKNv+PItEC9mo+jUKE8kL7Ho965clD/GWJa2a/P6cUr9/gjF+468KmnImLWurmZio7YKF9L
xbP2EoDKW/KRv/NuuEkK4dbqI7R56z55mIxi7eK/tI9mxoFZWwPFwL8Lf7SzgUBNE5IJSIgk+R2N
NtUewYpartHyNQg1tFmcucjy7fWxnz+QeJdTqpYs04C4ewn0y3PUdpsogGq0coRPFfJ3+SctIGbi
9h+gi/43YwunXQ+yAJLSLF06v+xReJSC4AO67o0aOhlySZ30hADeyoE5f1fMA6T5RKIwyP5bbEAv
8eM0FIrRCf90r2LkhhEasJWx0px/YQudmllsIcELSskjfeM0jnqDNto+2+cHBGE3me2t3EqrtuY1
PdopeuvpYzrBv1EF8W0WmQeqfjZV1m0gqd+Jt3+1TbkVvdcmyG+1Zk1X53yfnozUXLwIcwiru17m
zVGO+8a70fWNz//zYlP5trfW0rOyessQBoqwYRQCuXQN4yY2USQRkdUFZCB0myRai+8vOCsorCVY
+uhuRDZ0WWZVmyEoBY29Mo6HCTUpZBW8fURSccjhVIF1V7odaiiBHL/gJ1ufpFBS8j08CFae3er5
wE8/ZRF5aLJWdYGY89Yof6TSUyOorlFTN/zS1TfRZ8uDq372zPegQWjh1hwei+lHjQa6F9yrZQha
XXBq5CoTVO6GmxZCHxzXBBOH9V6XqAFo/S78NHkgSf4+VH7lL8Fkx42dNzvIFnsQ0tre+BOh0ADA
+Rvwj65+jr41ay3P58H46RgXdzkCD2IXtq3oVDEy6u1zRQ5Ds9YwFheKSqdmFhe0UGSCT8gAmzeV
8O7F+NBEO4e+Pd5kI7DQu7h7UX7H9QqX3/k9fWp14Xdi5FPEUBtKV2uD3Emy5h62nHCT9CLSyIq4
Qo92cZAkkelSByJAsnVhLrcSNBukYHIKaaZVRRPlzyRY3p1eFxk55Ur7CRD9TRR5+YCnTZRI3IVa
U8JNTGH+upe/4J9oYD/6loUvrGWIIIcy4QC55g1Z7b36YG4Uu7Iz21rzu7O3OY0vTm0tfOEYCdGU
qrXoIJ9IW6+MCFEKO5xd/hoId4LduILFOPd+J/aW3s9La7EbrQHZshovnzyU5fCqKokthYcgvGmk
+n+czKUHVLJB14dW9926cto3KY5pJrivok9ckNbu85fBLO1VEqRz3l7DNMjEgZkFciJReD+9YjQv
0ntjxBPyRLUVp7bLuYvYBqXrhjZa5l8oAT5E7rhfY/e/UOo5tbw4rXkQdaVZsHlaYnW3H/qtKaOy
WPhV+ixbENO1opduWksGbmLeNz1EZv/F9j0e++IodZnohYGPmqBlwvNrvVfmjzCzHnKgIEk1UfZN
t4IqPkrm1qy8/XXjs1tfbudj24uj09SoAyk1yZ/OIz/vUWLbtkrx87qRS3fLsZHFmbEyBL6oW7Ol
njX5QXiSP2rDCVdJGeSzsVizzudc06KWD/DrdA95RlibYRmNjvTQbGcNSG8bfQAh2Kl731krRl5w
gCfWliXCOtPHyqIOT9rMc+uncBe6/U99ozsJwu390/UZPPcCp8YWmRVd6tQCwRRYDOXdmLpW9OB1
uh2Iu6Rrt+q44gP+6k+f7opTc/NMHwV8pdonJFQ1323NFxKw+04w3sJ0JzepHSrNbhLKPeWU29ET
tqgA7Y2hOyCFsy244Ns8sck27uiPCAXjp5CbTqlVLqpT5UHLhtUC08WZIesFbkSBx2RJa2Poij6O
QYjjKPOvKVrOpdSVm7zorG1Ez5QRVg+lWsXIRpn03SRyv5cmUX1Qk+yuChXN5p6m2yzxA3vUm7tB
VmAtjnbXV+8C7IP5PPrIxXy2qC1aacteoQdZoiGg5ZBZ5Cw2UuF6pd3nb13wanyEtfU+SS4aw7zK
kJemFdMRuq1pIT2yLerV1qTzeOj0sxbPIwh0przP2VU6IrOiG4d2g3ZVskV/vHsMo633x8p+5pPD
eYVeoVprLfnblXC2zY6mZXZOR9ssoNijJb7og6DL6LwMnVzJ3+gGTS3P1WkthA8S0aCNKUUvWSOS
QDQeQtTBVLBPhZE4vodQTfch19A2KXtJuYsF8Rk8z1fNuG1pGuwmMGiduvWC6sYftD8DNUi02CQ7
KaP7uIBnVUj7w9CrpCxqG4R9HgSPUeLK5DdC3x101JU+xQo1W+8BIc0nX9xrVVI9CCbKbLI+SNsO
qPogek6VTZtJePSzT8uL0d9VG7uYJc6RXGjM7IsW72XFepSD/yPtu3bk5tVsn0iAREXeKlTu6hxv
hG63LSqQShRJ6eln1T7ATLu64cKcudn4sWGbJYr6+IUVqg3MhrYwMata8/DvM/ZjPALm1sagHRgT
1J9/b2ZUSzJT2sygcEIxehAeqCZz0iq0/rpyhh0i04BWRvg6mR3GHhvgQAhCn7rYKP1+pZwgo//9
Q84DIxrD1aho5ayoN8O9nTUPgZ2rNBDzKwdsSQWLE9s9vYYJ95oZveGkZbHs/G3QFOitQWxSecfR
gfGxdqdDbmM6Z+N/9KxTT5nnAACQXoB7wVm4V94I12ooi7eV2ZUFYmE9fii7/egDlhg2wHGx8fGv
DgaZfhShw5O3GWy/ohh4ylRRk0VR8Wis8bVzh5vFb3esx4Duwqs5fUfn5/zrjpxFb7SWxrIVyBmF
d0JCPy7+LwHwogHjsoaTajC84B6GiydK2vzYSRiZQJPs37/he3Xw90s5i0CWJyTQHfjUO7oD29gD
G8+984sLvfifgvHXBz0PKNVszyFADGiWroYiyMLofaICjgK/65NZtU3+P54qpNAEJf/R9DmH7yna
uv7ssXmleQYrOVhm+H+aSw/1U5T8usjZ1jnuGPRAiC6r6eiKHQzLbPvC/fA9P6Lk6wpn29bWksKb
4vRyysPcQkdqO0PTVSqYb6F++vdB+DFOfF3sLOi2ElhDxt1ibW3QqF/1axVDo2jrZPWKppfUer4d
iAjKy8Ax2YELTA7kW/8OSrrE7CvvQGTuI9qkiJshOPMYuaEJl0qlN26ga5BSJ1Fe+ua+RSGwG0DT
skM0V4CkOgdiWLWF+YQDnRs7qp40HW/A4/4DqsgQu1Pmlv7ehAeL2Df9/NFAp1nM63q6DasL1dv3
6uLsZ5w26MsVN/d5LXwNvYrKg265G6KeGOaqyXSvP6YgTEhDygRRO1XSPUBA9PXC2/6+DX+/gLPq
xikaKAOcPLZ7b2WNWXGLKU9/B4uRkr+PD8j7eQWnIECKU8xhLqx9Cmt/hb2zl39W15h8XAT86HGs
jZdNUFCn5axiHlr7AoOTTIKomKD6sLISusmg7r2UbhFc6FN8+3jPfsPZ/vPAAxczJ8Ualnrkdw3r
09//fsrvC0BNkaDRCzWLIAjP9ag6Vc828yGKCS8iFuuRHBrSv8xhkP57nW8BHO3yr+ucfbZuPet8
0QJg+Wbdm1hP2xAtpUvV8KVVzr5XoB4XytqTG0w+ZyG492pRv/MpeDHOhTh0Skf+Phx/P8/5wQws
cO8bmGrY3Xicjz6E86yxzfpTmQ1Tz8Q8/nv/vjeJsIGQVESbCBbt3zn/8MJzZDjABBxOqHY8k1Mt
6o9xiGvZO2ERpz6z+iKjGFDnkL6vod1x4RecLorzR/76C87O4mAD9O1RII7I1YSacVrLTXAY0zlt
Uyu91BT76Vx+XewsHXRagovRBXbEeiHT1hyNdeEF/nRUvixw3piKZh3xyhvEGqI401svkvITDI1/
b9kPa5xQ+T6KOJsG9jkKyB1R8Wlxso2C6xeP2fzh98l4UVToe6D6D/j/v5c5u+EXyfKoAnsLqHNY
32bt2t6KI3AS6B9e+sB+OoZ/PdLZXQ89esEhBCPW8MCo1p37TiG+snJN+asufHjXVv7Gg88YPJjB
Su/6ndM0/1s2Z4Sn9TF8g9Ekxn7nhYIcWqbnIILCLkvkjdWtl+lCrPouPfH3EuclgE8ERmQNDLzd
ViWyEiHcV4MdUoTYV84HOPFyM9cwgIeQ680gAnNLOex6Zy/AeINeknD/IdJ8fd7/vJEvV7BfzMzq
BthBze8j7Jqr2wgUYOexb1Ntt7HrXnj4n84sqHPQbcXMNITH5t83vg/3Fy6ABVtBweSqKsc33kGB
hjF6a0/wEfz3B/Ljcfq62unXfHm4Qo56MifTdmicnkIKWzl3agdpyVW5uhRSvidzYfB1rbP7vECl
PmkbNlbTU2eOkGMrbkMDjGkEAtafC8/1rWSCPhUEVk9EBkxRv03Gppozpk5lEGqj//TyWBqk5N6c
PF6zYnXJxeqHl/bXcme3aw9DCluZelmVQdx6fWre0f3l4yWHFfrDWfxrnbPDUThWC0YPF1DTWJKh
g7MChGiimxqNCS2qAbQnlvYzADWh/vQ0s2JlPgYi92weMKanaHQI6z2gA+wVZ/1YgpHAnWhbA40R
Ae8OtZK9A7jsDINxyANBVKrgN4N7B1xDmwqv20MVNzG9t40YAWxSw2gweKQth3P1zKOtEJBo6Id9
b4FnRnIFtpf6iOrw0UDgCCb09iMZmrTEaCt2By9KNOSFbKf1Ul5XxaHrlidRjglkl8SK1UFzbcFP
ZguHVh9gIBvdQTLt64HCZXx688Uc07FLqnHcz7NYzUuXqQoS5gbNnB7NJvif3rcRDMUaaDjBeprY
mOUEGAlomkbcsm5NRD46AD8Bxtm6nffBSddnENvJCl0nDEpfms6ws67eImpDlUVczUjPWuiLheNr
YHeZ36DfNnX0QUSVjOJu8tAoEXmTuzGtFSgDekY68u9T/dMpA9AbtWoENeRvZAhOQ/hTAxGIO7lW
VwPPbMj3VxfC+4VFvsVeUXThgkpi1d8NoHOMn6Z7C/jm//Qk5zGVcuphRI1z3D9B2r7J1KOQF+Lo
D6VTGBLAGSFpAqvKb1z1Cv116EBit7xmPQwpFzGZk8lL2zrTAYxx8MVcSDdOAewsQftrxbMoMFhC
R4Kdtg42geqaV+sIS7oiW9wLw9rvVTji29eHOwsEUBeBVFpP+bqJaqCmMnzJHSbuH9ILE4Zm0PhZ
Nqv5Wc+XIIanf/jbM/rIhGkAqcpvxPUlotaUn3Y1qCCQHqNbH15Sqv75zX1Z4yyfgqxnFFSnc15F
y6OfO/e1zka3z4zjrP0xh1jdBq1YG3X/57+P5Y8v8MvCZ8mVCzg4FMDxAq0hG+8W64V/gg9bXern
//z2vqxzdlBCqMd5g8I63tqkblqtwrvlbl4Fq27t3pC7/9tDnR0VYqALR+2Fr4sAbtqDW9bxqFon
sxoLjB2r+/CCqr7w8X3XfT2dzy9PeIoyX/IK4xDNIG548tB0PyaPZAotgmoE5a3sr1lrJcUy/1qi
LmXkRJOqnESfonHjkHimLnBd740mkKwrgWMJ/E9+4h82E/8s7DJ/M8oZptSNYKVYAUMaRpABnE5E
tPLFouZuHMxhABOro16mrTdoJ+YbOVVgg5Qgvi/auwYzIOl41OEOofk+HJX9LicGF+p2tG9CglG1
2+ELri+xws8zIDC1XTTXIfkLx+MQmPm/d6WHJoJjiI/3HH1UYjNj3EeW24o8FJ23reilVPL8Wz1f
7qxgDNngNGCpBytWAiEH4ZFW98llZfnzZVBEnZT5YdnjQxTP9s7a03VZ8LYs4Ayhl+3yLPJMXYoI
5/t2vsJZQOjBq5M+ju+qniAugC7GFGNGApUf3IEVK17qfsBEZaH3//5yfroKvz7YWTgQLoQHmqAS
6+61Js/81focxwtqzD8ldC4Yh3DqBYLBObe/HqvSqMKgq6BWxWYC9MRdsw1fjRfu25828OsyZydB
2LzHROUElzaxDRT4/AJH5UQtG+RM8mJb/RS+zu+Ir6ud9Q7mEOMZd7T4ugbRe+H8oA1d//vV/BSp
Qbc/Ef09SBedw4fCGkJZy6kb09tr6yUYr1u4NjwWYvvvZX6M1F/XOds4iAxWpu+xcXIFa/dNv47S
ZT2v7BSjwfRScX/poc72TUAiZYoWl6/DYDsvV/2tJCqGl9cldZ0fPlikRBAch3ABeMLn/iCOBh4L
jEv0tuvY2BlwkMMlUa6fNu7rGufeWjyMmqXvsHFtptL/B8ixEnOLGRZMhP/3YwKQkf/ngehZBJLK
z/2glM16ZvX7PEC/pDMOXRHIk6x52LzyU7lBC+ZcaM//tJGwKwOKDWBxGHmcrVt0Jsj7ykeVaY6g
AIJwW13AVf6UC2H+8D9LnIW+ojVhUy14Vz6NIW6QYiTayTH2eZuMJB4e4S6geXzh1P8QLv5a9Czw
AZuc07BDOevqfVHdzuLT5wcACoy7rfRb2cIFgsbTlT3OmXpnkP2UwQ0trsvXQl3KJH7qUPz1W85y
pdo4KnRVDlTOmI3FJsI+2+BBMfvVhT9EdTs5QI/Cx0En/96ES3twevdfMhgNCqDb9mOzhtZOk9gA
dkCp+FlGuZNgKMBWwURTPtvuhSN1admzxMkfqt4ycq7XM0VOX7SQwCkDOB7nIkotf/ndLGAq8Utz
nh8iz2nQAYWJ/4Axvw1CZ+USLnCQJ2fX3rrBK6hDbgXdmNW/N/WHG/Wvdc5OsyVbv7Uoxll8aKDW
ZAH/Sar81pvpSpHlwrfzw93612Jnp5ihHqtdFyJeECE6jLCmbnedWDZmdp9OBXo+qmzxLz3hTyEB
gwJURv6p9Dy/0KWleu5IXEyTdZDwR8WSF3Lrn97V1xXOrqSht6ulzem86lwQyJYQDZTWc14xLole
S129hWPdX0CtIgU9bdbZnX4agPz3c53dTbJ2+CQDCawNBIifSw8ilumkBJyLkK97djLnTQgatBj/
MMOQzISLtRsCk/m5l+/hUaC3uK6DbUOhyzVVqFWdKiAw7i2CG6295T6AwvfOUyR6Uu7MNQCTo34K
Rs+Hb4pbzRUkh+GYeN20Png33Cz0g0VtTmKnbGW+GYn2qrgv+g7KO50Ph+loHtCP8aZ+5zvC2S55
MaxzdrKpmkp3SSpda8BcJq9o0X1s+0+aUxcQJsMWQF2ivnViIp3OPPSshPxVv1iDybpuHOzMspec
pGExyCdbj+HJiYFWTep0DrpGtpmiY6FDcoPJbLid696vIN0N0aLjYueFSia4WlRZ0TiqjIfRt8tE
m6XCVIk39XvtGPnoBy0GTF5BtJ1BA94qEh567OMkP7nrQiuHbruJgmsdFayB2q1SqOImMr9U+ZI/
687UVVyGgdJ7SJIj5zdN4D604Qlgb4H0MCungE48oDuDB6Xw1u3RLwtYDJ/bzJrCddue5N2tkByg
sydfJi6AH5PPog3pJqgoB3OwhtNiyPxdU9X4AX21BYy7TllThVdsRHMlR7kO0dGT9D8kfyGBoVkt
4zqCPlvDwaZquvK2yzW5AQ0G8BVqXfndNGyRa9W/C7sHOaxxUkjmx4XyAG5zIELuEmAaLP8NjCME
Jh9y8b01rSzPitCIAwsApdrWs3o4uYpOpS1pbr06Ioc8ZKnlum9gffMWvc/gGX3ae+nTp4rW9I10
Gr2/+aqtGwCFZ9ml6Ka8jN54u7B62UTz81TlfcaEV2cQx4yyVulpF9j1tB4kBKkdiGbyvKuv0TVI
8PNxK6kiURKYxSgKbybZ7ZkO21WuPHBrZLONOm8zRnpKmIiuemxLMrKoz7wSJhGAUg36ONg94pRl
zynjzbQxvirXrmdMESv4BiBxd1oZzwX8amcI490ERlq/KTLtMOjcK2sc132ur8MCvdcZrChi3IPp
uAtRKjSmBXegEs+i7jMKaj8L64pc5VCddpNl8ij6Rwq66Sok6HXmjbsZoSOXdYBFbhQE3A9hXkIX
TM55tIs6rn/nflnINTomUBepli7E2+pVTO26aBLh1N0vSNhRzKB8kT8S7tK7rrXVlc+6/oEOpAPQ
Eq/wTwd309iBAt9VKVWNufTCgCiAaLU345qtxl+eHGS9d2rDvbXtlj3NiqglSIJEHa6bLoB3u7Vc
l+XspwWyFeGp+ljZhfOA48ZduBnYeWKzK7iG72aYsbUxKGNVWnIfTKcgEocJf2rfhJ11XfuGLij6
AfqaYDcElpda+t+13d11ypmuXUx6byCxCf36sIF8jymdw4jj1iYGknd30hqKwxB4r64tpt3izwbk
ZetBDiW+t9wxCCtitvg1dP8nGInDYujT76zwiZds2jZjD6cOpqeNbWYHiMRl3LfDPMZ8ZABv2l15
1VLpbGQIv0x7LKJEAvm4robqgTdLuClgYnAz5G6AUOG+DxJWq8ughjdPRGPcQt0jLgtCrjyqo6Si
xfgyhHgjYOI2MAuv3QkfSNmuIEyYQhzav48aQGA9UMTQMa12C6vgK8kPhObHgTcrISu6VUO9GcjQ
7cqRGHS86zrLXXfLOCmzrlrK30KSLVbPn4PJ+bV47rpkglxVhmiorsIKyBHVwSPjvUJsi6FWsxUu
v3cCPmSLox7gvtZnU27zeDFIvJPRAeZlgY7lDjEZcBtIZvMP2ajwHhOPYcPKJm/SCurSXRzBQvLT
KqSLuGM7sNf1+optW+pSvHvouDUxQ1hcR0vY3ywzRBdZjn/QID+48uaCHiLwljPqNVFM+knchY3b
bXIj8tiX0krKXLtpr/L8xsn18KTGzqR0qqOk9GDXIHFBQBAoR1vLytWjBVn3mxJvCL2JSkED0rGT
yUC1krT4/gaLORnU3PgTVG4+3LnykwYo3xPSxQIRypI7OM83u7rzvKRQCvi3IGCr0REP8Juo15rB
3ZHnpcbbb6brflimdVWY59N3msJmYkhh+X0VheowLfJJcdCnpWM/haG01iEkMEOKYQzRTZ719XjN
NWwIvabmcNAI5z0rmmFAnq22JOd5gg/HvWogCp7l/jC9sUg91SUcdkNBDzN66yNwObBHsW+bnNf7
RuHvTlMRPBH8DdiPNDHOz1YOdbkvLCni2p/GREEWOJ6Z612NI1jPZhJ0wzhi+eKb9pnXZl7lgpur
SGESOY/bOcTk0MHR3JnCfjcjPOk6SCyxitjoYozuY03GFq1wt8fk3ZUb1cLXuWmAmQrJ2u8lal0m
ga4tilFseQeCu+wa/w+Qk0lb+KmAY1xc4LK5W5BJZcCAPk1UWVD0LA9dOAQ3rdPsyoAK4K8UyKel
v4OoQIibdcizRipxXeWTvccZ0d3KycsnBiT7eg6NTqKg5zddSzIbab2BAmPcY451I5AuYHffbI0C
3CsBG6H+fhj08uZbZFEJD7pl2+tRXxnSY1J2kvTDZMtlyo+nQWVqoRspeKwxsAKuPQwzPdkwGMLc
zjWRH/cB+Y15lNrycSli3wRXoM2IW8ivPMJ898q2l10b0D8RCHbxgPwpm2uvQzUJNfp14wcv2m8w
L8mdB7ttotVC3fxGABUnYtDzTigYSXdhQ+fr3MY43tjdsgt6p47bOiCgb2O4spxgsZY3Zz6sgPpW
4mr023DHpOchNUMzVO+l70A8j9mzn40aZjGLIwCd6fMqmbCvwOta4+M0M3zWypHDSpjqQ3LMOYfu
JEy30PZOObnosmGeh/1SEPYUISuHGw8/5iA9PHdUTBAz1Z2d1fnkXtOlbY/2MocpKN1TnBObrGEk
g0GNVwBk3SvvmTscTGreDW8OPlIYd+FqJz3efeNidKqKcoU41EPNIKyChNZNvcqBPt85EySXi3De
clNZW+fUc4bAaHVQxBRHT4dgty4mOvpVoTaEtgOkleZ57/mV/RR1iFK5HbRIwNzMyqt6Cxvm9lDX
o72xPTOkDWqVX1IubDvC53dnFXD0qUchGkjiawj14CL5jVjRr4vIyzFwKhnI6MxVCe6nCKe69jBy
9SdQ2qRV3xBukUc2zN4TiFRRl1gtqWAtIAGY7waWVsqeP9rOuE9tUFewQRMd7jN2bYZQYCqau8d2
MRhwF7l6Fcsi9w0iTpxbDMNUPoMRAQGrFSlluwlFRzZ0tgpkIp5SsadLoAUbJdahg22w8HbSUPd0
Dc1t/0HZHXmx+86Ch1Iw3Rk67/sIbpNEIRYvy8wP3AP5nnMw2VmnirvAoyNLKqcAMxKtfTchgvvA
0DHg9TLeOjkeN5rTOidVAktmGyfXscSHgzbKrlI+5s4CQG63mLrbyQ6q3yaALF/u9Ne1Z+zYmUsf
yEJdfFpR+FvU0JAi1sQ+CTNiy4zqt4L5UVJ0QQ7ro7qGP9BUuV6iyvHUZK/MLfeguWsR9OBjYSN6
QIA1SHIaYTSBw3JFFjhsxtQovjZDDmfNCDQAoF3cPdiS9DRGdsIE+pxDMupoALCsa6cYY85oSfJp
qXYOEoFDQSmE0DBThz7d0qtbF3uaIC6adOIBvy76cvbwVdXkZhzcfh+0dEk714TXtIAze+7ZZtkJ
DWHUog5J3HmRm7bWYN2VU7gcR1b/mZA5rmb4K+1nOgB+D4n/ThwwBxh7yBCD5RNXwOun3iBB3+2i
CPPvwemLMWF9m8PMk1j5xh1UDy7ahPSnIwBFWOOij1yik1FIMAuGnAYZyX1vj7WshONSjY2ky96N
ctQVmDy8ONLuj7MiY+JaFo1BdMkfQievDw40nm9JAes44MD+ON5/chUnf7VyyXDPFrp6LQT+PQwz
7+EZSDOocJSrMbKfu5q3m6KJ2G5QkiQk1FdEczWAQ4wJf22aN29uw80ABO6NbwtVZhMyoTvtuOxd
dMGNWHx/7XYhOVZ92O76MGBrVZLwSluRVkA49ORWg2uxbvuWfDZRYGWjr9RblTd9D072WN25yo2u
iqqfajg6lfI4jsMvY0Pl3O8HSNtBXW7VhqXOk4hrsy2QOaIYntrgCDFEf1OWlrht4cn1UnKvfYBf
a3OoiTPGtSPErq/b7g0t4PFIQznAJEy2gDMUqtwNvRJZ09tYFb7k49rYJwsvnznrHnIva5Cy2F63
UL82mBRaQ/hYlU2lUULkd50Dc4WY9QHNpmEp925tIC1d2+KD0PItH+AWO/k8XA3cyCkFWgJ/ggbr
ABwXvSWjgVBtFAEUN3riYWRWcICjJ6SvyzA/RvXkfOA7aq89T2GwZ2C+yOlJN4WHn1JT6DdJ4t/O
QQedWsd/RN05xqCYwW/aWI9Vruiu0h7blQNqV8A/gNYAoeW9YF6QhC34I9jOlZILDMULVINp4LTT
jg49S3Kc9bgN9XMtYRDglbOV+FCOWVd2061kY+oN4j0idKhm/seNGHsKNSTfdIPKHG7ibbYIAF2X
MXrWE2zQXFKk2uJ3aEW4MUdxC8HvOWEBux5cZ0IKOt26YITyuB25g5llA8/HeopxtoMjoRHoK7z+
JYBcjNvel1s2ErlrGw4NyqLgV6fKCr0R6eNM2PAOcX0/g5CScwRAzeyg8w7KWj0W7yIYytvB7zAa
HaCKCw0VbT7zWg2rEqj2q96Zo62tu+BXyGtgLwFaYAcp5XQ7DWBaqI6VH8PoNftKA8WgWkxSZUei
XxLi3mUaWtbpPGAyA4+wAcdcQ3k6yRsVbTTrgEI6aZ84ocTQNoqgrFO15aMxUZkIUeIPs2CHv/tp
GeWv7NI9TriVEteeu8xyovJO+F3+0nNoG8fwtNsUQgtYo8AALw5zh2QusP/IylqxbsY63zu8Arqn
I/JaS/+NhgounaXbHvMS7rTgzAwbx7jyFTwmK2kHK9j0daF3yi+QNESzvZ+JuQrcmqTI84ckcob2
ELT+62w1r7pETymqwn1FwGgjeZDfcIJDk4foc5u3HOyz2F6q5qoZq4/cTOS+rYk+FJ4hm1p65NfS
aYenVSCru3GOxifQd6atvbjyj1PVXtbQ/Im2RsduI5HdzyPUyvXg3oZQvI+F1ZegGhgnKcv2wUJN
l5QRmIV11zj4evsoi7SJXprO/UOqKX+qXRjWl1A3x2NA4ruDHI1WItja8DiF6v/ysmhco2DSSvC6
aAAYV1ldgQAxxFz7c1aziaU6UFaqLFuuxpKzdJgkBrrwWHgqGfJJJ6j858qO2Cb3mIIATn6dF3WU
NUE7IfNZMKaKxIJ02tQnD0Nl33BG1O2oPX5klu1/Rrb/yqlbb9sQHlC06YNkqGCaBgvmI1QG7JTW
9jvn4RDCCnR0UM8xG2O2YZYb/J9RtixRnigUfE+mQ0pfdUHqTiF+WDFj9tB69kbojh5cjVZWWcDa
gxKkctIL+t9zXwe3rhiqZIlg1TYaL1jBVc95sS3VwJeWwjsmkSUzmVsZENVrBS9eiNQ/Q1P7WiK3
3pejvwvH3N+XS/jUC9UA+VrmMO/p6RENenctuqG712TwTk6Iuvzl4kd1U/Ug7L66nqTfrueFSmhg
1xb825SNcKb6a1uSOxQ88nlZxn41RGYCrSukR1FYgCwDpwCdgLCF1S1VAJuPAZ+gIQvpCShw+ckU
uPoPCgbnFv6xgU5Vq1AoBAN8EKdyGDPpVuwg+LLsSN/R9UhUdOsMi+NtkLyGr/ALbY41KesuYaV0
+x06K+zgoEACmhCZwwEujxiw5mjn1oMooBdgWOpoe7wzSzRYKQ+i8RjZUwRByqBKge0MnFVTuz1P
e5/Pu76o0aysmdu+Cjb9ksq2IA3EZOY2Nd3Ubdmt1UyajQrY9CyJ26yU20MTBFaV8GUURqLnwOfh
SLVT/QJ6FF3lfoaSvlNTxPYwRF+/CPDJT+x5XGDPlQ5hj/TBXsRukmAElVHurUQTyFh3J5uAtmnG
Nbqk7MhyR5B1FfH2GOrcHBvdzQ+ko+2N0I13P/jmFG2WYNzYnFebvEAiD8QRf4SaIi6W3D2ZVHQ9
2qJlYJ6Kakaja3LLaYU8pUF8bpsRWgvydtbizWdle5xZUN/3rdXBAs0ZryIdylvBrCpzODLPeMnL
T1hU3EAIE9BiD/LU8F68AnfCexlP0sPUehIscu5HG66cDiwv9p7VvFvKXTJAJ5CCdfSWqME6Lipo
Yz/Cv9ZP93T2vE1TI1LaBgBMS/y2iyVTUMGGMQS8CeBEOiuZAU2d30ip64Ovpo3jde6HkCP6pQIH
Y6ThsBe64k7sdbI5jBZE20ccMBv9+7hewiYJ8G/bIkQ4g5dGAJFk2iEJ5JIUSBCnFUT9THriVA8j
WjLoOavjgs7obdnr+qFqRXkz6hF7QGGVyQw+0EnTHZz/jHPKL2U8YJyybDu4VT7DMhidvMolKXxN
x3cvsmAAUV0z7VebaYkyhdSosoOreolakNstCwdzesDcAOt3Gz5aq3Ye5nSySOJUMDNsBz4mxBNb
1xmOAajxZEKyWnR7pNZpGLLj3EKCxu6qvXGL264cH139kbuoFHUEgdlBoOuPl+vkPsi9TX0fdWQb
RMVK2vpOBzDFKXiUOVX+Ecz03i+g3T6Eeg3/THTXfAiCSwVyMoVP7xA9MCWvSU1ui2E+aLQukSlB
zX82+Mxa0B85UpOc+EsS9eNbJ8wD7aCE7YidB5fyzUQZSiqK+Oe+G9T/c9OCI1wMsDFBQLBmdCRt
NIge68bMW6cqrwW4K1C/IzgsulgXPAATCKAq+zGyguDet/zqd1cCiwWXkk03SnmjbWHBBRK9/V2V
B2UNuT6M7OCE0k8h/5j8QeZIIsYSeGJ4eWBS4qBUK7rdQIoP1jC5Rot95diV2AYAwcCSM6i2xWzY
K/JDsbJqXAPF6L4hS5GnvMdF70fIGDqRK9O7JWwnw2QwQ7cyku1RFrvJVFY5kJ3zTd/kkN0IlXwC
BonjiQEoK1y+D7rcjpule4nYnFpt36fQtbRQEkCOTaHDFpCeX+WlajJgoqN3Q+idIWVj4mLRoEZh
2O8lUwE9sySc5+qZDIZWMVg+yBURTV4wyfSTMTQPSFLZnaYEBplj0ZKUQBtxgsgtmlme8yjEnG8n
hW9oJFlUgLHhM5B1ZppCofCqsFxEKH8c4yXka1m3q5HhvyU6eE0lxgMk4+9AxU6biU5b9IOvFcY9
G6sP1IEb6B5G3gbmiksMIMxyQAAAydkubxdAXYF+t69UHdlwwcq7DZKAGyIn+W4BYg3gfU5rkQhK
4aMS1r89BkUoWm4sjl1SGnIGnvfpai+OoHa0R0d/fHEoBHga7r91cqbxWNpAl8ID5xiGPVoEYm7B
iJK3Ue28lzT4aOt6/V+knddyrMi2rp+ICJLE3gJVpZIpeXtDTIuHxJun31/1uVhStUI6a+++6o45
WykgzcjxO+InLoZkPtD9unGq/Eoo+02RArdEVXbR1CsGgAgKkaypjZoaDTkzjcez2dGMXdkRF2wU
PSmOjthFaxZMLkEzuoTn09sgVmoeEFk57DJa79zRJNozqbrXhQBbXxjDG92F/Vw2+bUW579lRBOw
6OitDxxvejMHJIDHm6pLnutjjqnR1td6zLZl0ckcV/tmpgUTith5tPRyS3BFhSrcsENLws8aqIQz
vimHVtXuTEQM7Zr8VTIO6sykZ+7uBuZAtY7wGPHVQDxe+I2BZ8CS6o9Vzs7uxYoAtPS2IQw0sIc4
aNLGDPTFTvbIGg9ZLi8JjskD5RWHXu8vKkq8Q6XQ43ti3Ios3sr+LVXedoq14UCXYk+5a4akf93H
ngycaUWkuFT93vGqau+M3kEjXRCcdDlnG/eLSG+u0qreEfhBOLMsr+ZO+8sVb6s4Tl7YfqJfGQJB
JQ1gCrem47jMwwUAXeqLJN/MsdGGcdUfijbblw3w72g1Zxwkd2o1jcBevZ2Qw+9xeMsNi8WUWjRg
8n2bRUvYxhrighZbxVhzYtiIhDb3jb+OQGtlWoQ5d5rN5ODxGUWkFyiamayEno674D681m5x7ikW
oMrq39ZSXPbOeK7TRYn9WO+djXSGfbIO9sZTOZ9BZ12UGGZALuj8yB6PSYTJX0MNy1UFnng20mtC
4UDjCVi279p4O+hdQAurZjUW57DKf0jC4wa8hKPegy+74LtbJLG3yQwQwIQ2pKa3t8fHsdIeecUa
zEUVenG8Lyugpz4azqapP9TkXHI1lmce1ctlpIpznbb0Eskc0MD9rbsLUIqCixfVQm4SN9rRJ7pO
1nUED8/fZpdPDPaQB8zuy15XPzO2MCq67oyPUpzbSX5Ze8ZFxR3Md+OaDB+mCTTb0DGjOyKA7MdE
LDQy1AC0sh6E02yNViMmClBPtAXRwfyHnjhaaDm5eVZ3dO9JrafJkmz0Yanv85Vbp0+5m91IrFWr
PrLY0jqFb5Vo2r03OsFoe1xgMgh/YqdcNsCoH/cdsS/bOCXavMydYG7/DKUcQt38pRTkV3tZn4aJ
9iP1ucNuzE1ntAnimpKXvNYwOZ8rgmo8yr803i69KDaQG+jHO3GDk6y+qeVUXNFvqljcDuSgI9y5
mOFKoyXM5w7PJy+RflJnT/TVn7uqe2MJQnQzrzH68fvZM8KI2pfJJDaoB2mtxeJWOXFAwDnJcmWL
/4MzbExr3ZRQJqWBsL5Kw7EgXN0VScAc6DZW71A8G9mtbeHAF5chZtA3PCYIOydaju+2DRaNKZQf
L+JPF0eBilG9sENjGe2+ZG0bZOTxmIv1usJ/qaIyGJPsKZaCtEx17XXua8sBt7FMK4jK9SyFsm1F
SuJXkeA2nYOV2rK6Xdo0IOuM9l502Q4YlCwtLXHoAlmCXZw2blfR3EbU7ADUAGuNRmy5Eq7h4153
75V/c5ksG3pqMyumeVrplvQlwfRK4VoY9TdSq6/XRWvOkdfogaCH81cbjMvYnvaVPp4NlaOu22ra
zVxDwKVXGj4VEWbN01wvBKy7i3c2uhU07wIMDly6Rm2mpVHYavR3Umet7KDiV864itrYeFhiKwzS
JAwcDC5SU3Afg+LdpMP1rFRv+IM5RVtM8WF8a20oyVMZDO13rVENjvk58+bRKoeK9KV0b49RSMpV
4cuUG4rFjkgvM7WHMNMcl/JuEX6Pj//WkqDWvWa0W9WUd57o8Re2B/NVaLTG1FzeiZZJr+XH5BGu
1Rcd8iujyqGOs84istr9KY9MUnOqXZpy/HLVDUlwUJt6iX9FQ6u/xKJ/ASMcUEUnfgpk8sJR0p9Z
UdPhfpskWZBMpThXc3fo0/HcsG32Wyfdmat1Zs8Tqa36ZPtrRlI8qRF0h9O29xPwN31wrtCX95yR
pbhU7LlebdmP0IKClMtV3XbLm03r4ExWiwjnpd9NRnmX0CSCHmBF1x6chCxrNlwM078CRNRPPUEb
wR2uTYVnpFpmuZnXvxo2r8EUlz2nr5ZjfqL3541Z7+pZ3w2ZJwJNH24jDY8UI35K6Lz6dlpfAJ0E
au1lwFHrr61xPMULd9eX+m2uZXjE5cHSsNCPfUBXqzcg3/eNpCEl1aUxjTiNpKMk/07XrwbdbVCE
AJW0/YuRCiLskFyZqX5eVoMXVKWZ/5QlUayrcJuzmF4a/hcZlMkhx14qUetthZPUfde09W9vds7H
vH8FXLnWSBi/Zl+4ZVul1Gi7FlAh7wixj+OXgrkyanZ15WBlSz2S6D80I3poczRqC6WEkxXxFVI4
0ouW6pow1eVsat2dkZdmKOpaXKfWYvwERctHX6tbDx6HTgqXJolabuz1p+4O8y1pk4AjGqa99qrV
Z4PIKLVNCq48hrZhKJn+miIsJ3SyHP3W5DTvRnMNisyMdniINZdsUhetnVih24wBH0cL7MklAoWj
jHK8DXSaEKE+FiarHrP6rrB2VD7zXxgDt4S8xzgHK7pvVvc3T8c9QAIndOENT+CEhV+PeXHgMR/S
GfRTKnFdtt4jb29ihxQWpfLoWOEAE7Kp1KtnJG+ARFduobNN4t5ID1NvaXc6ZWT6SOeHIDaHbrcY
3NEqjvRQaRjUNY1e7wl8HINMpc9g0xV0Lt0B+6ggvNCu6WjPDPar3VSX6dinO0yU4qBqoIlkOfva
VDlbudi/9J5zYFF4EE8e+7QNnOElALs4hlPN11DSCdLa9m55N4/tyvyQB002P5gsgRPrj7XKQw6m
H3bLIegYzpZW8R3R37eGK8/1MnuwuzrGxam6Sxx1EUlC3E3Uf7Wn7RZ2xByy+BnNMY+DkCMXshba
dsWmL7kPrJO7S7E920xcrLIGN+xJVC4myf2CN2yMI9Gg2mJbG4LorXrwLkxVGhdLa94vlVWHVsWF
eoyTkWU7o4pJpie2keq26CgqCvqcchbnw8CrKeL1XGhWu6Xc+qnbvXkF7ZMo8awxNgQk/raos+lb
99uEdCOVj/OmtUhzxM3gsJbMnSa1nvB1ygCzR0Du7m6wdTY4IPPZz/UjxyKrrAdctMSwGQfeHuWv
9Wd2xies5+ndFwPQi6bpR5+s/tJuleVztcGc1eAiYumSEi+5oXuqVh/fNJyU2+zQV9NBy1M62sX6
M3HwxiqY/NdylfJn705Uyu3MX09AHzNTvNAqHdH3pMBYVnE+Z0DHWiv/VLrunZupm9/lhjNcJEIv
AzU2rypZ77R51jZ99Is+rfnczvN81i99/yNtoaS1bSk3fW4Vd4XmFW9Vyx1aHN/yNOeQKhodRKa+
8QiXPK+N6rxUnBvGPFxaRmbvlmk1NrEQf2CgC9/p8X9ylThSK5SvHM5qY+W80hqg+rHK0R5nkUYS
ZetsjAqaoYQhdono19oZ2orLCDT17iaXZpQ/GNxjoDDNWpKGgKUxh4BIstd0WLtfdSvIa1SG4Fpu
1nK9xtM9eZihxt17VY9Orq5oSOjSTIJhbZaLuhn4VZbWIDlOtN2ZyFZs34ccP6uKIj0DUocB4/SO
DTxdrSrsRE94qGHX7oW3xs5Ag3ySd1Xh6pvl+GqSKX6VGX2wbtQuHaftfy9DYfzli0FI9Foc1B29
IabX0B1YqrYZPS2jXtzozTIFCH4zDi/nZ2QafWBnA7KUPs0HZ2vWsZZsRELBe26TMXWIY9aPM2aP
rr0MlwVmaZo5wL6kZmij5Vnos0nZ2+bjU63h9mVb/M6i4oqy4q4qJzrdlHNZ0JTtQaKaDOcRNnct
+i7kJwONev29pkhF1XoRdGhSbdALqk9B7nDoTjhsrEWzb0pwlUWf31p9+RPZhpv5g9uPgT1mITwI
IKzaiu4KgiAfrVmtJAosgB6xd6EnJdfJlfZWir1L0PN2MNNtol+VXoDlt5hBla77sGZZFPZLm7wo
NbuBjKxjtnIF9yc3pyCJOXY2xZKuGiFkdvcYNUa0N2hebapxmTc6TTATFKE0wSvStHCtcM2rdD/E
46D5kL50N1irplyv9byxKevcDmqZaidQU4Dqwg6ELKr0ucvs+DyraLpRpSEZuqhVczEJl4mYSsRy
Ag+Ze2knam+KCHbmsnI38GzMT9K5ellNGK0EFS0bF2vLp2Ttyymc2hmYOLLOoqGrXzKhxTLsaBiC
xpkuSGsJydzjGKPbJeJza0i1rWw62FnYIJyl5bwEU1It28Qo7hIFSEiC5RaGqxFaBJT41Wg/WToM
hxLe0Ba4xjqM/bLeQwRzLmacAZiI1gRK240H2TKbLWs5KzISH9ZSP0tHKKu8/2h8os7uglmmZyqq
0sCNyUUYXcwCe60DXbFkAOkAV8FS+c2cnY10L4rAa0eYts1iaq853Ct6DBKfV3qRxSMvL0Kx6uaF
Ct2RH+WnUqy/3LUX01GquOLnDGgXzqmtrq0ZqCNVqYYzbqV6jqpqCoXiOI28MXmSizeAEKbXMb1S
Ej9b9Ry34KThbHVZR08AIhtDRZncFPHQWH7rWmgaTXMAaDUd4jBmh2tnRmmyUTH/B4ESyk+Nsjb9
KIJDOTXNdN7Flv7qumv9wpG/Eyu9eD0trLBIE52Uv6g+dwlEfpYatblWLrh6th4zk9asc5u72Vuh
Ru4WSsy+Fq3dxonsMmRE2+/qRF42sAx8D9TId0STPoMwX8oYdVCoYBkQzbWYcLb6oRmfWpF0RPla
R16iYRqpvlUq8ca9HuMM5xN1W3ONsGDFjWmf3LsRbVWBtjEpLDeUYBjwUxv4Ac1SubtscbU/tgaS
58+tWFYSlmSDizRA1Ug8ct3126GY7PWyi1LdAwGOBZ2ZAraHj2E8NwAwu6TaxhKOtkD3wQRws0tW
5PJYUx+Mfl2ZPCs3GR12+qS0cZ/oihtuuUjwwja35Kttlx14opEdEktaz4ljd8u2hwHa+SO18tWo
A2r5rdZ3fWDOS/ers3XtD9QITfftaLJv0n84Jb3qnQumvOKyHjlcgByKBUNkm0Ja18VcG1ApucBA
MFp+mD2ZGdtq0hoMVCuTeyAiMjlFlk/hml6UR1Z37kBHlbA0s9msQitfkqCtMF3X1HjldQZN+8yY
kQd61/qq/UgGZR5GRzdDCIxA+Mb4004nKMkt2cq7XAgu67WdAvpoLkzTDLJ7aHrKC/XGwCNm6gtx
YR3x16NiIuBiw5k55tbPkan6u6rzO9rt9e3opgk0JAlYOo11C7fX4flaY91HdjytfmryEy2Xq7QL
3SXQHZU4B7chagNOEyfw10KVf6S4/9I7mLatu0dFKyyvj/If/B+T0qvEvGWbaH6vaQ+3v5I7G5BY
H7FcMmLv1m2msxx0WsDoNevqYYhjdM24p8/w2TQE6k2ePubW9PL17/apAOTdr3YiorHIK0XKhgBE
fyrgABAErP9UKQaQ3/lNfKZFct4NdCKg8Vh5nhdzCZ0b/bUSy6Ff479rb9aPlbWAWMwxHqqW9Y3m
8t8aIfz+dNRIBuJEh38+vvnBiOmjlwa+DVL3JUh485NciEZ8o+8S/1a0fBznREfTEwll9ur4Gpeg
3SMkDusAUAb2uj9dFpviW5Xiv6VBHwc8kdBojQdx3W3lVs9kR7NXZWcZtqtUQ1yWv54in8gv0cSa
+FgL20GX/U9Q1Dv1WjESPxorXmKH/BIdfQAjLkgv///kl//+Yh8HO/75u8EARoksadF6Js6e3lpk
BSlyju9E4J9IIT8OczIxFF3YqtRcuT1Kd7wXF8ygSszLqF027dOghV2dnzfNdxZJ/14Ex1GJYIQs
JWx5ahBdEHQLcCBhvE7UHUQGq8W+IdJkCfKc9oRsf6zpf23B8nHIkwW+wB33ViNet3MHVnaMR6ii
/qrr23gnFu31fzVV/vOAJ6t88ZIyjiYHyK0vz82aBu49ofLgKNpB6segLGxxjfxOPZrrcCcX+Y0C
/pP367K/epK56ljiNNw6TrGJWAQzdVpSz1ejPr4YeeVuDEQlz8d+Z8cnte3von3+vYkiLvrPsM5J
Koxhwi2ie7zwWSWMchJPvYMjQ8kFTSzfOPd9sj4+jHVylmSDPcF+HuQ2nkBRTJZ8e2w+LLMp9vqg
/fj6g37yZB+cS0+2mQlKSgyPWm7d8tmkL182ZRYU2pNbRWemVn7nlHq6q3FCCvforWeRmeVhWfZx
8c9as5ZuznByRc60jkMTVJYr9nU5TH+/frLT93g61MmOjdIrKan5Jp4sY0lAUHhx6oP5jQJXntoX
HIfxTGaAhykDoOLJC/Q4nDDTJTJjTWcqWK4jGiiljzpigatYWgFBJeTpoLCATKQdJVzQMnt569Vw
8zpR7GQll4NoLfHbVAmE0rL+pUHhDtCjklkGqdkvuYOBjZnODYqPhzhG5eiO2ism97/7VJ0TdYja
e3ZhUSmMp9zyAtXjNa23LFyRuf23iXD/PDCGUp7pmboOu/jjJzQiogFrhIHbyumvZqcNodE+dnlG
NwT/x2b+NWnjNy/5s1njvRvy5FOqcZhaAw+u7RpnN65SA2Snbjifonh5+XrSGKcbzOnTnXxOJwYJ
1BMJXQho+Cfagoj+FdVy0VprqGWmfhlJzaw3Ol6zZ6DeNu2BXN8YMTx88OMkECzWsGqAEm0FDaPL
nXtuIgWNRzcBfrDUboTScZiNYt5g6zdA4UpdCMlF4b7klEs+XmicHGsPqSmn7ff1850u938ez2Oz
MjARcYjO/PjxTOjr/CLOBKjnt/f0pxMujqG2fvPBjm/pfT18OszJmeSZrS6XmWHs2U+TlW6ZZwRT
pjuBq5LL1LpqLFps6f7rhxPH3/6rYU8OpwQ4PIunUW4drveBC3ebGtTdZK7ogkjr4JpO/ZNM0lew
+nxDWsPOFdY3J9S/Co//9+yOaaEPcwkKOlkfunCXUjqTu8Vnwpf9IZrSi7waaJu2+wqWjdtiYgoA
Y4hvRv5klRj8dJ2zCKoLrkEfv62AnKYNcTFv6fK0NzVo0M///v0aGFxjoeJxHrrGyQh9NmUjtOl5
W0Ch9XU3jzkI+/i5baEjDib9XzI5Pd9eiWgmuFTfT/V81VXoqL7+RT5ZpB+ckU6m15rwmQerIU17
Gp+qnoy20dRvWkdll06beAfuqUkgZy/ffj3uv+55fNsPA59MsKoCR7QivMbmwiLoKm6P+kWIzXU5
nmeihQhRr6+9nd2J3DTwm0qXe9EhfB0X2/VHLu4xSaijeIoHLQr6Hn5xZa395uvf8pM1joOdtG3O
JWr5U3uGqKA56sGO25ZLcAw9fI30JzRSI5e+rwf65DN8GOjkM1hmV4x2x0DyBec46Cd+157hMqBE
A1Psm2/+2VNhe+2aJB1aBD6c7FylGpJ4gnO7jder8aEg9MWUeNaGLuyXrx/rs23EeD/UyXN5uabc
wYspMuEbnAMK7dJdCUM6hKq2y3Zfj/bdc51MKTNTepy4DIbAcWgv25ukC6zsXn/+eph/3fGYuh8e
6sQZJXHQoeoJ78/yp83xjhft27M5aPYFFjvim534k/3/w2AnG8UitL4wdR5qLV5ldN1mR4R/1xXp
zsl+uniIVuU3PhefPp/JHZaiUpfSMY6/0rtrJQJXw9PaiCPnxwQtGBZxiY/DxdzedcAm7lW63JGx
oo+/vn6vxyc5OXKMd8PKk5uBKxu4cy5VpqaFGG2S/zJ8Nx2P0+2rIU5mfioIOW4VLzO5HDbWttuV
gbGXu3Vj+N/b7n7+PI51NMMVxKOdfLm6rCGBggJsS5gncWtexEO10eT6zVn12QSxDIm8FLdk2Lgn
z+S1Ihoqml1bUMs6cJf6rp10dKe2k1AigGokFTwf7JJujPE7n+/vxj5Z3paLFTy6IwS/rQo1CBbq
dSUSwQmRG8M/2Y2PX0+Rz1b4+2c9WeEod1UDrm9smz7/22iaEWpMf7sd1t0QXQ/D//HVniz0itrL
cgd32jZZNIfQwG45sK5xNxbw/DGBaieFEqLQAxet8zd310+3zvfPejJ9ytyO3Mnk3TYbzHo2xXbC
+GK3BmLTwvv4ZmV89yGPN8B3S74WWdl7ujlt6x/L/IAnQZ29jW9zcmO62CBsvv6Knx1275/s+JXf
DdYKnLVsCq+tCZYKu3rer+U4/vWGpNjVdtFeFj20BTr03/mvfXKPNSwp6aziour9y+LbmPJminU5
YYSTDFAQzeUs0UCvEe4UA+Db1495/EAnm408mrUbHmWe4Zon2ygxR4TfpqmxtTzHRI7b3+vamr72
Aqjr65EgPXwylmFZ+vGowDnxH1vQd690wgoScjgpE7PXjX6caHdOO0mkEjC6zal0woT8t7+NEsWh
Gix750RdU+ywOyec0FCWc2c48CjPPSDWH0jUuO4KT4Xp5GgTAHE7XjrwoX6asY5ieTLq9Xb1MvsC
jzQUyKx/KbcJVm1AnIVjIt6ox+iiTjqvC6YOl2pgOddverJj294Cjcd+57qYpOt3FtgWDX+I1Mmw
MRqzv0iFh0rT9iJcEECnKiMrzyYBf6cy4Zvi0iz81eiXMzWO1x2kzt0IwxWnO8cqA/4l3zVIN9HE
lNNDNrrGuTGn/Vvh1nOytQrruUDYS4xsAYmzNZHMOfWswrlvHnFQKw/xUOaJD2f5GCpeHl1L67g+
ZFq3He08RfQaF39SQgcgU4lmk40mtDbPVhthaa9mNay3MdlY8MFrtBhQI5JF/pBxlwder+tjSNSp
G9hOWwUDWn/k9kiz7dkZw5H29KVmKgjWALfIosrKC8RsHe0o1gKATWZYWWTwfTtzQmWQuzcJWtuy
g4qWZ3K9RChqACvWc3eJEoTefT1HbUji8w+thUjfZ+PPdY4wuZwQ9xfj9DD080pcXAd38wgy5Y22
s8B4zkStNkNRT5d2BeElRmApNo0+Js9tD+fMVxEJfFGhwUbq16Oglaw+KAxTPUDzXWMJ7RKCuR+4
XvWwQtxMvXLvGPo+8gzgo6RswkahFVU5qlKNpI4zid4GJP+oVMrxps+BrV+yZdF3y1IXDybxmsPW
cMebRmXG1lzcv5C4tuAjiIxERTiV8jYjvkBYEoj++PVAOhfERfxB/ycSrcQhrzMKWE7pua0qIpmn
5g/uJnJXWtOvwcObTDl5cvBamAhNPoNti9RpNtJcdi12C/thJUpZFb9t9DaDNMa/lmVAdML6IFfX
EErwA0KdHB2SWIdqjjeKMcRn+ZJBnyjjcLaN+WKYivptmGt1l3megUqvx/fTaFfo8LGNY5Y9KuIM
E/h9lQRuK/r+uUvSgZzjBOuqLKZ7ZU5PSPRYErayf4z85Gtj1fVLLdbeErs8n3Tz1VMtOkuMtraE
8agdifTizrOy6bI2ei1sZJ1tuz6Ot7mDcldVyFonNf9ohlHxoDbYO/8aiqV4mGAtvPalYb667Zw9
2zL+0ZceCvje7srA8szmsEr4+VDFxduCHfZvBzBax2uiKX2TxQWGTHKeafwa8SSwu944qwfE2FZ+
qbu1tT3S3nzH7cowmfnR6GzcODa3yOlBsudIDplvrhmqsDWBxm0iwrIxr/LNTsZHnd1bXeEAYKdO
8XclmxFa/HBrSv5WUixkAY4e1Vxp78xSv0Kl8xDlbn1LN9E9q0B1MUvTH8mU0DCch1ieS41o3BYb
Dyh62njWKCvyEP3nM4ZP4/AK4w95qq1oUcU6JowdYqbMNDg6HDFq3/R5xGfHxXuP4pNiQxB0mQ0r
Sr40FgiAoCvAYW61vZUxIfH/yNXG6e2rWjiQOjCDqrUeAZ1Yy6sSBFzNsAnRcOxLSobvDrJPymbs
h/5zupxUB7btIkzxTOjBLp2fdkSbYAHNYD+VX9vWAN1zWPTrqZhvkmzBhcEbm3Aq+uxsHtVWmUgA
teoo7Bvg2vXrSFSCJVz030dHHjH6bRFftBM9eS+ZL1zI2weZtIc5JWfTYZ7oiE2h8yVYNcD4xfK/
hS2a6/RESsaOj1HvPTYri/WojR6QOBqbc2JQoXlZ6UISKiqIMh9pdvbU4fjtIBCYPV845GSO5l8T
6SOKLHHt9KaHGdK8wwVMbkp2iu3Ymt/EWn1SwH54kyelj+zhQnEjNrZOAsO0OxqqQT8IrLjdrl4U
iNb4xrD+k5Lnw4DHWuxdYaAVKC7GRootWYzsCEMKy9kZf8bQFeG1fRdA+91oJyUPpi/zImHYbHnO
4j7ScXRQy4jxkJ39QqH++nXZQ8vis7LHFoBYOvxFfvDHp0ttxE80l51tIyx4EHmODLVO4Xl7dLJS
RyNJPPPMPUeL96SLtb5SzjCeF3RAtnTn5kOXedpzApa/cJF5zsruWssF4R25dVn3yXIt1DDFcLJa
eTHN1bKBaciqRDzQJxzTyoQ2Um/hr3rYTkjnsh+82bey+kiuloVfFip/qLw0u4Dhvzz2y8B70a+O
fNLF0W7k0f1lIf+FjWqtfc+x233TTjfQVC1OGEzq8vbXYilEFpZ97qytues7Kywb7lpjUiIRnep9
UyWzX8Nd9ctZPUAU0w5JwanO+ey7lWUmYY9r1TnWXPnSvPL/ItkhzL1zNsqAm5xDppuKDtmEx9W+
gJKKbnWFUDFImGruWIadVcOaxeh1QQqEfF+GjtVvY1h7Ve9sZxUf3Vx2iVndeqRwNWnLQh8j5QaF
lNWFVTmjn1Pu73o8Tu4lrNULgXIzpnLBqw2T4PXB00GtpzrCRos8b99sX+zWQIlvWNR7CulJpmrt
UZINWqGKc9fS+2aNfLYo3++8JzetqmUXGVbCDmcjvtarv7B09i3WmKO8qs1y//Wk/W6wk70UwMPO
owpveOiN3Y/4ttT249P45+tBPl2H79bFyb28VdnkcSlet3HSu7spVU+O6g+y0NbHuYBR9fVonzWM
pPFuuJNreT1AjGx6ArxLzcLpvETOQsWAUZRq0r3TDA94TSIJIiN2b1mWd1U6bP9m22HfbDjf3IU+
fXQ2BPfY39Tt08Z6UbcT7huFse3W3tjFM7mfCi0FlLc2FM7/ovkiUXu6YBRYooMEfdyACmKcukpj
6uTjIhFJFBFcaUuGClaGrxfeYRrLq3zo3zxqzq/f+qcTySU9QLfIycSm9ePQrpEgjKvQ0GSWuyFI
KNHna9N5wPjCsqtvXuqntcm7sU7mUzIUiA01cjPoRkJ+xhOihma6FWb+8vVDfTfQyfv0msquC4P3
6ZTZVZzve9feDbjU/d9GOSm1mgVSZTyyBiEb5tP5iprlu6/z3YMc//zduYszi76MCUN0nQrbxIeU
GmLY8PVzfLrw3u1cp5FwQ4d/ly51GxEMKWK4FgV5IN7gXW6Ibdp9lyP22dJ6N9o/cN27Z7LLQiea
sLO31fjc/Ujuu/FZf/j6iY4FwmnP5P0QJ5M60cqatc33H6R9VS6wQ9DvpDWX236pQzDj+0Hznsee
u8LXA3/aQXk/8knpYi2atHSND6YbbuOPk/ZSIw3eIg250DRLHezlkcMqOcxla+/jKXERGyBbbUBS
QtnHxp3Vjt0+1/5AA9bv8LPqD5moEE0ldSBsG+uYBNtlRJkl7Xt83JBtWogZCGfXe2Qcx+IYcr+O
FPPexuqirNR9jN9G1ta/sCMpn+q8Rqyl7p0ZgZ6hvXXTWuw1Tdw4ieYFKI50uPGOETiYDmEpl71q
46pfVNz6/xiQcLfLGCGI7jeDgYZtfstSOIzWBilTqCeP3hLjkOdu0YUi15ma7I/dJOf4/PjFYkw4
Tfwphq64Kjn5scusr9KhWP+2UOKvutX9Cxv/CodAmPBYkYlZe5WF2HlsT5saYn/uj5D7sb1AXlA5
T0aido2wL3RbfdOtFcdlezp5wGY8wzZ1B6fSk0840KrNAPOm7RpVvtkPtGWbUCCWwRNnJ6PHnuzu
YtV2+fLbMMwzc7Yp/I19J+fbryeT0I/71Be/inWCZcRtnTlYda/b0pjQyRW0XepRYRwKSImrDBa9
1zXOVETWbSQqxnkfpar6qy9Gsoccrt+2s03ImsDyz44UOfb9DTesagnSkkxXgS3lXq6z9Uw9OD1l
S/lEV3NLH+KZzmFEH2J2r8yqmego5CVCkXya3zpyHaU/JymOIDPS0Je1dJ5GRzZ30q37m74dDpaY
04ck18295w7ajSYwZdVopi35rAM69fpmTtFgaoXCRVjTEhM+jYOxnz165W1BcmkgvDQYlBNth9Ts
zsmGwCrI7LHN9QoKZ2RsZw2+3RLr0GcuB/GN19hnJGZqYcIRg9uAqR+i2nM3M+ECbVYYT/pwFDFp
GD+1408dUAqLrCMffbweOzbv1aNFp5XdOeZ0e7t3s3O3hwpd4Pea9Wizp3rK75KyC9UoXrhNY0qd
y7NpcW2kaf9D2nn1uI2ka/gXESCL+VYSKanV2R3sviEcmXPmr9+HvtjTogQJ3oPZwQ5gzJSqWOEL
bzCRJEFCpn3FfOiHNIwbpSFYMDHWDJSo2xkBkm8zK1G+t4I4cXIt71d9NFmbUI5/aSH4kr5V7Y3d
wDiGQlBduZHOoR+wT/3vdtYXd2E2TmkuCrazhlBoSHFOb/QfgwH+HX3QzmvdWHuIbPRkoysHSZy7
6D+PvHjuuQSCHp4gnbhiVtcYtQdhJg+Uj37GtuSMtv3LzKanYJCpv6Th3sjlPa4VlEUCb/iR63DM
DembX1r+71BGSYk+yR2qc/tAs15gIb2lEhCWXE3DdWmkT36O9lKTgi+/fAjPPSWfJ7EIJSbNy+K8
JSAFMBavqfN4m9GneyoXAZxt40vg/Zlq41mu0aq6PPK5rPTzyIvwQk5SSrlGauBmhtApJQftUDWV
jbACNc3RGPt9kZXIOsuZc3lgcfYGVGZDFioWplj6XIGVakBtZIarKZLGLZOtOg29YHlCTHbMg5Xd
eSF5V/jkKQg9FEGG4rz61ci6g6W29b43v9WWttYmRBdwXZ9GhPBt7RGVphUV241vN7fRMCBuOmRX
kLfnul3Y/fzfL5/X9FNsQYzry1NiaC51l3vza46qcHiTACxWDe0pbHfSo4jNvdC8KwOf3eqfxl28
GTVK5rZW0D0NMH21FUQZY1iq5cpPhyteDufi9U8zFIsnIcaHM/VKdkUqi7uSiuQY9B81as2uqQ77
dBztK7vhytSWADULjecsrnH6QPQcJZX3wogdwD2rKvx5edudnRk2ZLMdlI094eKiQoxSNoPJl8EQ
ga5F0fvWHlAyHeJ2Z5VJhxrgtarWuegaGzeDAWUFH6pFdO2HM8XaHAeSTetRV/BCNPNHlSbR5Ymd
3ZWgs3SKQYpiw+8/3pX60EnIHlJf6kcPGVrU0wpf1/b5ZL63oW3e6SDXqEonT7Kn9z9GMW2tTPXd
y7/i3HXy+UcsjganWDMonsHRjErhgpRftxhMbdsWSYEwQqR9qAweVzLRKzv2/PTpmNrCpGEKFuR4
+loVBB5646bbtePwLDUILGOa9lFG+e2oKBbsNTpeFuI9+GZRgpq4ZZvwyi4+O/tPv2FxmQ5GD89J
LigpetpthQmRqtT7oetQw0zrQ4iyJe0yPMYvr7k4t6dB5f136osdBg0JTuCMf5QqRHLERNSQdupe
8zt/PwAzrkkZE+m5RPr6MYMTB/kCDVMfNmBRG/adDybhta9R5FM44tDoNAey20qxoidJwqV39FaV
3n3VY+MFn6lmlxFCV5JmOxXYI9psubq+PKFz8wFAbc+gLxBfS0xPKdjAE5B71w6t7F7RcvQUfN3c
E2nRx4OMZplqvrs85l8I+jIK/jToEtHjjYSksPIt4CFGsk3sEFW5poyfVVOKS3yAxIs6tf6hxbNg
W04VIdRI+RiRxMR7xz0FRgRy+Ju8mPqPqm2ll76z4acJD1K+KLDFarpuWhf5aK7zPDMRmZkq+0by
tP6LUmFOHiupuOOhnn4mfpeQU+lS9IDDVoetFOzzmwpN2bXaKcNOUvrkIfawvwmrdjz0oz079jX1
lb18bldpM7HNlk20QozlgVLRsTAbH8C3FeEZb043ca28zdGWg34YdNMk8T9A+j+aTac7eWzeD3L7
bKHYknXSsJVj2MpDGSP60MpuOQhEtBP7Blea7yUS8puwDuOnmhTgcVJwysjiIJy30je4Vl9KQW/x
8uedj8Di687+A6ZskG+hyrS49gfTCo3JJFcPsxSBwQAqKIzVez+CJXR5pHO9MU1AqoJnzJVqLV+Y
TNEQ91ARpUsmkAS5PoVUPITl0ni86aQ+ctWYDq+UVdOWHB0ZkHZMfgZpjHL9pMFwjKZtpwvprtZE
vP9ffhtRumYLrknzL93tU+QSWWpSWn0/uILyNGz+knK89iOLjPq2zvPCtYp2zrhMKEQolSVa9wfS
LpJEzQEnVPGRoeJkdpm0ufyzzpx3DZbNf3/V4tqsLUyK88yj84b3QaAaqyHfS2G2jgNrr7bfLg92
rg6lsatJm2bItL0MNSYsiAwg9rRxB9T0jdJe52kS3EsShkoI9BCBpD8R863vFEoh72hTbzUrvB+6
Rlz5GmcC4KMfIo5frIG2nwXPdXLjRNdeMYIxv3Wt/Xx5umL+ryx3vjoT/Ig+LGEscek9rOCAB5A7
Isobm0q2/Kv2MxeV623vqcWmb9RtkcHC1s3kq1/Ubglt9KZHOchNfUv6IOlTYbTjLlPTOjKSRL7T
0JWRO6mCx6K5Cn7m91GT2FeCXWuOMRc/3CJg5qQotkX8tDiykFnyZECJ1dV9xJJko6abRHVV8Ywf
MaWa1YAQXkbrP0XFtEMmOOv6V+hEbi+bN63v3ZS12KpN3W4zm+JVFtMjVxtHtwew+HW/x8wmwPsJ
4o5Q4cwXLXostoXBVNSbmxCb4VKt7Qj6PbQet8c9BYWLYXISvQ6egqR9r4wp+zJ6NIgCtEd/prWY
bqfGtjE+Ql6bAsZuNDU31mMk04Qob5Q8kDcgVbz1gO4bSqTRQMJT/J7UqeQOsAxchpBhmwwcnCpN
RG5sk8r0Yf4nNREzVUMMDJSwBJQTlj+8SanWeSGsO0N0xT1WX3W8wdlAKXbGqFc3iqorj6rc64eo
GLrndMSciv4FCjuyPNbDrM7+1iUIMFM6RABmG5MMoKfvExskyO9Bev1fwlNL5dTBNOUxObmBjaSc
dES88D1v8IIxG2uT+p2DjPV3YBHILky4XxRF2D6PY7CXS+02afP2yiN/tgl79CsWZ04qZrM1Cz5v
M0XyJmuQiKy7r0rfGmsdTxDR2/vOK+9TvYZJIW07S6UsKSV3la95btmq+i4KRbdXZ0Mo2Sby0aP4
1qSqw90Fq3tFCXbby0q5he721GBgtkMA+j3Kix2mrfJGaQVxsE1NLzVeDDP7aSnaA+ECMhUKujD1
MH1XfHVtSxhIIqC0luqwJSdPM2zNVftbrpHZjnZXPZBDoNRfFIdMT75GWngQqBk8QNEM7rLSR6PN
L5A9NETzVvlts857Jpa0g7qTrBpKeli6cqCljt9k1jpCXGM1qSUImXhatbLCSSAcclVs3gD0gwAK
aJrdxbp1kESLG1aO28Ao1cFK6bx9YSP8ECbNYUC4dddhRHQvTOq3MEK2QkHptwrVJ2QKSjJ7xNBA
mP2KW+05xQ9u4+d9sx8adBbtIPpZpCFpCb4Hip0iMz2Um4Ai+muVVz86wHIPEZwDBA+8Tcm/gblp
f4+I8c2AvdkmoKC9633196Dnw1pJUNBVlIH7XEqHhzJOrjxYxplA39JMjeuUqhc+G4tcC1+qfhAB
LG29AtWVWaVprfPQRHZ2LvIJX/+eRxKStHpmJz8MxOg3WUWp0PfkFbHhCCwFHf640BFYNDSkalC+
XPdq1aCoZXpOX8WoB2vVhmTpuYqgjakW4n2dD2qJLwzZFRBJmAU3YhS/pYIqh+0pN6PKFSZEkv2c
KCKtxiaAGmzs/GFCns5sf+H1Yd91Sdg4/qg5VvfHqLOXsDYQqFSaB6MQxV2dxiHquZ7n5j0qRfTJ
+wpVwgIdCz32nQmlb60r17kYwaX0XEfSIaAhvY6McZdjPVT5CT52qEI049Bt9K6+rTovJdWOwCh6
sthq7TXr15PYgZYihGDw/zREIF7PX+pTRCMaZMOsoOWHSdpN3/SbVKR3poFop4TzVdZdiYpPhpOp
1X/68IvhEoRDYl5LWOwZKmTdn9nQjS3rCqNdD2Z9BYFzLqmlYasgTKvSIubuPJ5d1I197SWErT08
mJWsdwe/8569Whv2QgXjGOoKvnEZdiqyQdfYvuXRk7eXI4gzofPRb1hEZyp+hhNIutHVpxKB8Nk5
YCreLK24Ujr4m9YtH3z0dkwdfoByGjjLsmr36IqS9hU9fZkJ7Rvl1QjqQxunNKhoPW1Qw6v3XoEM
X+j9CkD9VigLj15KcuH9smvvOaT7IIxEbIvql2wgDIv44lpt0rVm/UAGB48Iscq94rVMvxkWaYoh
+w3KQNfo1efuh89TWTwzo+2hPx0Uo4va7q6aDZIaFbLvlz5tPqyq50G4Vv84tzE/j7jYKdh1BxU6
ijggl8pPbA4eNED/MYJavsCvUx7+XN4U5wr+HDmw6SbFJlQw5t/z6dzlk9dERSUDcM2ip4zs1SlB
DcSh3+6FLG7zNiVBrnRv00fIjOMec23CYp7RYrsAizdIsQQUp5P8VMZ6NAjR/HGBxAPe1NtswgUW
8dBQn5DUQ9022iJm8xCnuro168pDalV7UnoalbjEoULUtpker/Si7tDOJn/GK1b6ooHVm2NMfKBs
lBGbuPnuk8hHtf2jMNJfl1fxzEc7msLiaAkz0/2clt6sBYNuHgqeNvjECl9lBZU7K4iCDd1O65/L
K7Zi6ELXFEW3LUhTx5/OKDQ5DpHKcxvjVfU2SjJsJX0P1O5etp4uT3CuSB9/I1sxjTmxUwWgm2W+
6QeVr1SI7pFrAXtN5Ik+J8yiTThLSfZR9Fe6q18lFlYIctK8Xx79ZHl5G9icpqKBuEP9Yb7ZPu3R
XhoU2GG8DaB75a9YQGAnauCHi3PqIaHR4UGEuLK2p7ty8R4tFhdwewrmGdqG8HyoCRAK9RfA+zQ2
UYhsNlYR3vZ+8w0fkO1g4lyrm2qzx7yT5nQ/3HiyfqfYMIdV3Gae9JAbaorlFiS6kT/kg5TuJXN4
jSzjrUiTDFSkWa4ur9nJF5shOhQv4DBTetOWKA29VVU9QlqOYkQ2vYUjmPEE5yKp1oJ6wyF7qnVc
GoF7B+YY/TOzh+aGirwADptghE5Sc65/TY4IDF1DxwlvRHa5PwxZ+9ph+eAFuK34xq7p2yvR3MkD
x6j04Uk1qXdZtjUvyadtInm+pHXIGbqh3jtpvKlCxQmlKxvjdC8yCLsQxSK44fqy3+9hDj3gkzwT
AjCf+aLla+T8VvUjxnD/+gHngWYmn2Kq2gnKS0q9phVVwmz88s/Qqh+iuG3V7rFqc2dUN7P9oedd
iVPOrCC3ME7mAhadSuX2eAUttQoHyCcAN4pnA7G2CA8GO7/ymU5aROg5Yy1uGkhunBGgyGnRSLbG
ySqTXS8D4g+tm3h6Rp3j+fIKamdG0qnTw4Lk8qA3uTjDtafZdqq0I3DwBNHHeteE4y103Y0uKfsu
+CbHpuNlf2AaPCKAB4IpjUHzKw+Gvyu78qcaABZUG9inoOzk8gUXlM1kEKM17RtkVYHXonKrhDfA
h54JeG6TNLgBBm5oCHh29bOWol47vMPGB71qb7x8V6f1VsbUKr+ffG5Qs/gNmseZUJqP7OC3bnbd
OtGrK431kxAG5C50F0Fjdl6M5QM/gOONkaTtXFXApJV8c4tABiY02ezw0eNkIDllXRZXrp/TiFdB
0QsOOyGnqsoYaBxvJTpzaeGlSe9mojNXfgOYwyAFJ/g15KeKqodXqh9SkDqoJ0coQl4JQk+rg4xv
IuliMXH+YTk++RdGZBRbXM1Hl7iwDp2P1NdbCnQ6Vna1EWxqzXIU8WKld3bwdnnnnUZVi9EXcaMt
cH/VYZS40M42MaYdZLi41/araei3lGzXao5NAfK5dJyv3Bt/e7pHb7WiKjadsFnLDWaurR6vfC0P
oNEDDHER6PuCTP27kfUfJpIiu0ZR3FHDGcBsEA3FCa5UBgO5+WyTFejQJ9qf3FaeOl8coohit4k7
a4vGem8812hgXl6i06uGX8m3gT0sTFpDi7OZVDgq1kXYwxF4mslPfX1T5eru8iCnjyBNAtIBrjJV
o1S1GESjajc2muw5tGgKPE3LVeBTrnoGEY7l+qqnFHd5wNPDdjzg/OefniBPS6daUzH9qhqE+hJc
nbPY1QsD3efhQO1xAwT0Cmf3dCGJiv4W40Dknr61kV7bFhgGz+mkBNcLnSw92+F8eKWMe+ZA8Z6j
+QTVzBQG6d3x1LS6NkXZspb9utto62CNF/pO20T3KgIE+TVi0nxAjjfx8WiLhQQih8w9TpKOth2d
wg2o5m80IKZYjG2yV1xrLn+3+cdfGm7x8ElNJ5KoVTwHEeI4t9F7lZ4FuJ10qpwuif+fa7mEZcAq
afH0Yrjpodmobrv1NiAkW1faQtjf2C+XJ4fCxuXpLVslGn2oYSoYL02A5xS64qCYHD4l6IBugk4U
67Yed00B5EtNW3s1Ydqj27SM06bbIpwLXY6y0cELygrpUPmnTqfZHcIcXXQe00GjewDA1NpYIomB
4tV3oLSImJutJSkJVcAKpaxhrmij+ZaZ9ehoqQcnL/3epXqHS4UKh19DCn9M0nUS1lAOxfCNmPgQ
T8l7EJlbnPDeg8Ss9khIY1+Ikr1TtXicCzXf+lqhwNnItenR80q3NryPqcZGWY4VjnuGEbWe2s1e
FTF+vIm/8RXxR4ebCkjVqb1si+/gs67WYqNJ0qGLbQ1bnOmWYPK99zwQhxmhagNlHOcIOEWN/i3Q
kJ41ahNjuejnkGCEqPbjxlLH772Rv3WTMjg6/k+m1t8YA3TKiEZYbyITY2jJsMsoh3RTc4MCDo9u
FvcfrdVto8a6ae1Y+y4Cw9s3vbg1YxyNkqlZYyELe6d2M9tCT6xtDr4vum90mdW5r+MIyXwCQ4T1
chn2zUrzZr4bvACkWfEpXg16sUNlfVqzwe9DpONv28pAVyZRb+WU0rCZYPUbA9eh5bSauvjdR27t
Xqq7g1JD9Jmq57KU3NaMh9WIscydaVKNNa0odRSc3G+aDEXbUpmmQ2uJB5rtX7Qm+C0hIK60AyFO
JCDX+JDgZp+v+1LXD4mZOzO8KovkP5mGioGUz1bSwr8ZtOI2DwVOysEmzDG1Lc2HaZKhkeuBgN4d
uJaWbnvfBpiIBbxjTco6kJT1JMIDvQhsDJPqrfQmJDAz/MmnPMgRaO8/Iln50aGfssrl7gXbA/mm
DXIMai1jr5fqNm9qHNoyuiVFg52cnUkHTv/HjF/dXz6HJ+EonQed+gaxAUZ9J9F1WuntgC0EPbtf
A7Zbz/gmm1fQMycPHuAReGn8NQd7JwpPIfWP0rSHxI324U7Z2Q4Ys9110ZuTN4diDRItlioQy6Rs
swgxDA5EYPgFXm7yRn5TIC2+Xl6qE73WuRwEWGEO3ilPnawVav992A1T5mb+djK/10+++l4/juoa
x01Dv51e2VLNXRldqXOcfiJUUwhMVJQg/kaux4/cAN/cbwzWr+i+0PvI6KMRKSKxdnl6p5+JsIeN
YENwPSPEFSZ+iPtIFbk4SNjVRm8fa3Q/1W5j7Sw1RAZ9e3m8k+dtxoRZiEqRV9FDXiatI1SzSAcO
Q7cYPzfyDXwAIZ2K1L2qoHoa+MOmkhWaKYK8XwMsd7yElHitaSjRoi5E+RMt+a0vDbvKQJQWj8TC
/03FGBGtfuPzErXyv7LqdFCoRAYKBogqkI3F4FVojYMc9Dx0TTKLhJebSouCbTRAozSgL5rRcK2H
dDphqiufAqO/jftPMZ/ldZUsKYQq+G2CkW+l/XhHPdI4dNa7CvgevWipupKon43GqA3IpOoGMfSy
JGbAY1ayjkHl7eRCRd1Ka+xG9/66Wvubfy9FwG34NNh8aj7NMMJw0AxheTqDxgzXAN1BaKvGTYCj
6oCuxDVhstP0SecbahT8FAJNy1hWcgQWK1Uhd4mbjfe6/CeonfF3jvS2/DJUP8oX7/ny8ThdTcbj
f4aCKqYJi2MR/rVyTW+GFqDbbHpH2ZRra+9v6420TV3fTa/FtvPteBRsInFlE0ZTQeKypvJ9vJyS
1QBC6ZrMVWrlh9Rqjo7puy9uojTcypMTjnhASvhlSTcGzCpbntmy7ZWs4fRG4BnSqcDolAgNhA6O
f0PkxaKJoprfkHyzxhVmt/Xv+vEqi//MPU7tivRr1oqiybosHI+RRSw2DbHrefc4JkcOxOzcd/oX
OXCRN7DlbYPn21Zcw4mdXuTH42rH8xsQbR0Nn3ELrteDrK+HN66gy9vmJNnjPafOObMweXANa5Hk
62lehkrTZm4IPeUui74UzwrOP93Olq+8F2e+FiNxDmZNL0Ex/Hg2UoOWLB3wmKLjqr9XAleLXbSS
wu3lCZ0bRleB8VsAQ2ag8/EwhPXNFOC4gdb8GB2CcdU/gEON9H9eN5MmAmV8XlkbVOIiesCoPLDH
sSDZgpfldnH/E9sesS6bt0lXqq1i0fH2a+tK9HU6ueNRFzuiJJAZFa0mT/aS30Og4+Va4ClVPCMR
gylzbFwpBZzGSIzH3WVQe+QpXMLFEW8xkLvXbSfW6m/BENwmkKee0ZkZrtwnpwUf6nu6bfMKoOUi
c5qPPxs+K4oItd52xky8lgrY7FTg+TMFm06V/IMNbKKWofdrgY8vbtchRELqMaTRY6WkB9kbqruQ
ihAwHvElyuxfioi/Fo30BujCubzBzq2JCRCCrQVdhFjk+JdWkZbabSHbjmRj8Top9I4aMObmZF15
H0+PJn5dCPCD3CQQoQdxPJCWJ3I8iNbmxRowWyMtzPttW4I9Kyl+6gLdrcCsf1+e3WlUdzzo4j6Y
eqCRY1rbTliJFEO8bhdP6Y3ZGD61GduxjfjrhDGLz2VxeeDTy46BbWXuFqDDRan7eLatj0H21MPI
LsbkWyrXh07HzdsW2Q79pvTK6T3zWLJvabDMPDHqTsuNTUdLCsGakVuI0doJCbO5OtobdfvFbF5s
K3gNp0LcBy3RiAYhPaAdu8L87CoQbT6wx88oxA9bpiFpoih60v7sSzBnrZRg3xOscPb8a+qAK+SL
spXdfBM4/8xEpifCMbaInwn3Tubd+JPG6WC8zt/Iv30UO96y18sf8kzgQzowt+GFEKC6lg0YUdSZ
iMvBdgggXqoIXqWA2VZQo1ljuLVtAwIvFJsS12yleCXMurmSQKqnm5jSGlIIJAvAok5Cr6rAC5jt
BBiql+PbRIpWSWbEwIWQCPZLbPbQswvXBcY6jqYEu1zvwvVEuaDBX9UduUW1sbC/qf1XJVBzrO4q
TJsq/bnPsbucMV9ZnNpO3XTly1hIT31i3ePiW8qrBseZqjOrRwMK6MrP6ZYX1u8izm8qK6RjOcWY
AmvZfdF92Er/4LXxawrZ76loYUJe/gpnloBH0Jx19NCPA2F8fJzUqbBbkdqGE5g2cpboyeDihep7
bibvqEH5a3SwMreCYtCGMEUvD356lumXUA8nElVIQpfV+xAbGruN4G631XP9vRXKiuNjZ1c+85m4
zFIZwLZwReQILW9iLVYzEdSp6TS4P1HWxS/Jx+HJQm1rFrc2qptuUMLDZI3mti6DbNNW4C2Q+UJF
ZrKvzPnkWTBILmYWl0qrCJHERdzRZkaSKchQOUa3EW9+Dyj5yggn74GBYAaPI0ENz88JqaiY4NkH
nGwH1PBO0bMazLTSuhqTfdG0fhtFIrjtumR/+WOexBx/hyWcsqjAnb7MNWjGMhyF4XRm/KXNUecZ
dEdL2q8SgmROI8mJc3nAk61rWPRv0SGZE1JT0xZPkJ61VRfa3uj05gDHeniqg/KrFLXfcmjg6Prd
Gz7Z2lRFnXt54L+Z9dFtzFUh0xbnb5gmJ/2+JpSmmJM6OfFY3FIIxUyw3Oq39ljcmdrv/KPMbdf6
qk2gXaX4Jtj1Foacar9uPob6Wr56uuwcHl4nQ6GSCKt+8fpbY6+0WmgLJ4qTPeqRsYOf6z5GsFWv
xG2T58+XJ3+6f1EtRlicrcXjQNPx+MIIQVBFqdGofNqt/bX0dsr3ywOcvrmzLjLQf9JhYkplKbWp
pRrgZbBnjvql2fi7eis52S69HTfpBk7alWzjtKIBxcCggqhRXkDqZfkKFeQBRjDLPwd79FIdita7
nNICZNzNPyNFZjYDHTp2DA3+k08VSYVuY1sO7HM7T6vZwTx3YdRfORcnO4JhQG1QkJqzboY6/kIG
vH6tm4fJhoPduVxBT5rN/93ArXu5/K1ONsPfoVRYKYiisgfnP/9ULBlxeooQ9UDvVcOyUep+S/hb
gU5Lpyuf6eROw64E6AFeLIrGQ6EvgmlZz6uo12oZrdzwV2VNW1+kv1J9uNfFE8gw3tB/xr7MfXSZ
GjY7nbB6+WjkmT20vqyNbiI2+Hpj5UhDYt3iG21fcyM7s4oAh6j+4lUAyWA5FC4rSmkTYLoiSaih
Ra3HbYFUqNLV28vfSzm5M5kVjei/rEtLRVTp+INVZYytrGYCtKmGqnDKKboxclKTKRcGhAqjdfDp
hMsR5P5bOsjlSjYzSolCxp5U98WH1TRAEoseuZE62fBH6os0elgFGJSV0N6AB3L5F5/58PhTUXT4
+2DyNY5/cM5LE9PsHV0p7sedKNE2FJpurpBtG6Hp+rd9p+9UObkmuXUScLNQGkoyBlX/Wepqca2G
CDOEhgwYFlsV241rsz/oRfDr8uTOfQ20pYi82NUyZfLF5OxAFWkDGtREQ/WjDdvikWzmB1RvsZes
Il3pDcI8ZT9Jq1Lv/9l2bO44fB5+Ds8+nd6olvtMrXPgt1Hi7VM+I5hSo/4ITeF6dqPWDth1iudK
7xQ8eDdmJRm7yytwbusTlIH44j2Zr/3jn1C2PiSVUYLbh8rsKrCK6LdltMpBxrP0WrR55l7UPo81
b7VP04WHIvIaGx43tGxoAR52p5iOl+kB6PwddoBXdu7ZqXEFWxQD5yxqsYOatPDlqAWUA70DtOgc
UiqK99xq6tvlNTwlb/IdQR8SB+DoSJ9qMRKPSlvBXsHqxNe7DW2dGldcvN5tdFk3SmU+QJGyVjaO
7/eyhtWbWWnr0rLG34oeHMBNEg8jQt4pxpXb5swK4DRGkGspM/ZlWWnGfLhLrASkcMtNu44gnzlR
C0MvAKF0eQnOjDQbdZHMcYxI1he3hJ4GOp513YCqujXeZJKmPkW9eO3q7Bru8syRpZijcHNye2on
NG897tS66OqBpmOzVw7+tndVJ3brK+fiNGcxSYmN+d0B9kyHabFZu5rcmdLV4Eo7tLfd2MnX6Xp8
hDWzbbbS5ioG5YS4yHiUFWZvypnAvnyDkJuKRI9AszvOnqbGlK89iuarrGqUP03xQ1EnRLkmFK69
ss82SOBeK2KflgP4BdQlcXvilp8bksfHc6gRnU7Rt3GbZnZXgL4zFgPMntjbmnniwsh6URE+Sict
pQsPO/LyFjrzYSksUaelrjTjtBZbyJYUKUDzZ3CpZX6ZLc1Rxo3WxeTX1SrpSn/TRhMYcBSqkawO
rpTwzk2ewikZ1FyJmBUHjydfFV3a6DFEUG2S1Nc+iJ06Gas9TvEOWtDWXW8FwBdtWOBq/C2xi2uy
uWf2m4IPE0Z3wKuw1lx2TataKeRqRAtJ+dJjGgpK5xH+yUp/whH2f1G6o2fJ5oaF9rcvvJyv2vR4
o9N8dqNxdtrV/ScVl6TbFBFrKYivRKknZQZuBWJGAX9U0JhZdmmBSdtJUKNr3ke9DwYcmS5RRMEt
Aupb3oHxyk468zGBoBJ/Q9U2yfL/rvWnhyZTUe7uwgL7HxT9DlUCXV/REASXM7Tfa7VHQhqlwt4S
26iYflD5Kv/5OpwxsOxmAWlibu8f76YWe/qqiywoGiGO3HUU+Nu0ju69dPKvlI9OL14BAAO0LUAC
ekPL+miKiYZEpsPSVtG+gl8Nb6m+9fr25+XTeW5N4ezMgAU+ItS5xQEpUs0gJ+TeRdx8Uvd6/t7j
3/SqtHtb3cTlWjWuVI3OzEyfU0LsJSgPcisdr6EXxRiUeZDm4gIZtAY6lCICbUVwfs1Vab7YjqoJ
860DWVwh0+Afls9kn0clsCmsQTIUBiP/m2K+0tdIO//LmDz4rf1+eSnPDceTAlqWdqhGH/h4Yi0R
UOJT63LDpr+drHQ1Svobuoxwam4mGSN475pu4GngRXGV93+GpsNEXAIVRCeXajjTCPT0wfw65Dey
95F9WNcu0TPD8H6x8QFtznS8RY5o9D2kyjrrXVtGm1q696E/gSWrDD9fA4m6kpGeKRxQSgR4NHNP
6Cgt17GMJIywm7F3wzpbKewPmQpjBw5E98vXJMzeJV386arGWKHYmK5bWbK2l7/kuZ8wlyx4sbBO
m8U7jj9lFjci7cu+Awb7Ry2bPRZvhp3dE83fllAvPYMHPIxWpq+uLO9a1nq63LSD59KxptLhUpe3
ajAoQz4VLLeOm3uZVns5GRGzdnLrqa/3l2d6fizIIWC9UCNaJkrwLqe+NuvOhbS8DpR83U77UFhA
tvuVAGh5ebTTo0+Bi34ae5ZmJjn58bKqIhR+2VWdK03Go6ExFAffy3aXRzmtIrJqSHlQQoPTBo1n
EXFASI69mI6wK/XKWkt/jjmqjzJoxqzXMGeX9B2p7wPalf6DnjavmSh2fe6vZWQTQQcqT2aQouuX
aZtajv897VaJoqm+gWdA5mR5ZOPG9lSRseCUVOvvUvy1ar43r5W3y79cXoUza03iNzPtKCCBy19s
YWEnaaQPybzWP2DWO2Kw1+p0LfU7De4wXKcLSz9W5oMurwZRQ0U2Y6YzBu90YBCOrp08ew3LFzIH
MqNNX12Z1+ktCwgf1QjopnN/abmHin5IdWvMOneCs2h2RXiTm+k9WhHrviZ2RfT1Jkjt+srO5RZn
bx4/JqqG8gifjSAWatjidk8VJR0CDWVJubLjt9zsNRxwwKYiIhaUXUSqV9YPTV/5OxMRhIPQK6ew
5F1VaV81z7Yop2TSylbh5A42fvWAWvPou1JLOeaFhluIVCKtLA9d1NibUW6qLxIc9lvfHJp3feL0
I99THazc/xqlUr42JjhjGs7bVaNtzaB/FhnuKF1v/+hbcz+Ouo9aRRRv0CT+M4z9l6bTVlWf/e49
sVLa9HYyAu+routruv3pczXbv0pBsNN8a8P6anuVntVYDUqBaBmg8smKsSge/3j2kLtWAPq2qtv3
Qaubl67r18LudiJUXqU8xj0D1N5Q+90dwk67+V9MCoW0OJZ/o+vX3eJ85CEDPPiI/GN+IdQ3vD8k
N5OwRlPDwSnHhIBA6miZWT/DQascMotmJfUzfisRdzEEeUyCMGMqkaKREzN8pg8ybMxmXKupnez0
JEAqE0GsodRtrAbVeI965k3VmliuKRuL938ddO3vnLyjXLWidtK2sECI++tuqut1V0QWhkQeWrfJ
5HQ8UnfgcaP7MTPkr1QLmvVkeK7alMpa9fLytguq8CW2owqp2MzFtBlj4sQzQUcXD1417dNy2qE3
hc8UYJVW08afVmZCH8bDAGerNW2k16EOnUrX93YikJoFmFPr31KvCFa+V1QrZayKG2mCyL4qkRpZ
T6WSIPfVdIkzDbDKAk8d7tUWIaaxqEZcrlO9WBueQV4Tl+3aN7PwEUM/4PE5grCZ8p5X/+HsOpor
1cHsL6KKLNgSbr7OsTeUO1gIJJBAIv36OfRsXl+77Jp5y1fV5iIkfemEdXt0799cOB9PCDIQD3gc
JJMrZML993Zv8D9N3etxMzBsVR1iswKlxY8RLd4iuCcHM59vPdP120bwlDHm7RsCcX1h06zvCziX
MJb5BvYTdbjcok94Owr2B+3LBdvdgTJ9LK/o6sETcOZCyrY6gIETsXyeJroJo+YtbGQ2ew4DIB5W
y6EMTm6h4hu39UzmaXhrR5iAhxHWFwZZ+VQs8zMa1K9xX27nUT1DtHhnRC+2rCjuYUnG90NXnH3A
PFJ4WkCX2WX8jQVQ6aUkrJOa9plT1/Vmcpb6ph60D5DOdwqKn6TnayqEEQCyITRzLol3PdRMLeDA
h028FDclp2eIcpwmMHIdzmXar5An0dlPAhWsY2D78PU3/SQ9+Ofp62X8n4KrUB3rZ44gop0nONLE
6gxz6mz4M0Oj5usnfWwLo5yCRpqPcSMu9stcXTb+EIX1PGwmKISIBsfVfFO7/S3OLm5wNGFW+ShY
liOxXF/2Py/TUtvBBYNWAHkp730w7GN+5pBl6UiVMAWXrE5vi+U8nsdyPkh9D2TR7YgxYwU2jzBg
xTdZBw1EP7d7Z/P1238S1JBqQqdy5RkCFHORGFUK+AO7Rr4pYfVki6ybfASILoP3ZU6DdIyjb5Cb
H2eBOKloS6zoUYDwP7TbdNnWtuZY7xjObgU8zsKOJaJ4tlbXGGKfccumJZgVJfXuJ/EOPaP061f+
bGdjwoyuSAA+Pj78RYIimAWV/LHGL4CPHIflp61+VOVyDqsN9MWj5tofbrrlOwfHT/ox69QBlE6A
6gg4gxdxHNY6RjoK2XWjylOoOqhwsTYZHJVJ37mZLf7H4n5qaPDQ1/ObW8BCnOgdbLu+0+3/5Lr8
211GUYX8Cf/9ux11DwtBFwnUxmuaGswaz96ACE9v5mZuUi5i+5u6+5P9/8/9fNnLjWg4gis+g8zq
1W02W9FZhk9RbEFcmegUPZdUeNEe7eAOovzi4IAfkyjhpKv5ayhSe12CMX7g4YPNxB9Gfor+Hn3g
x6/3xceL4J9fSS7EhnsJz5OGFphLoc9TBUC6+d8txHqa/r0I/n3ExRYgcdP05TjgEcMAXc8F9vTW
Ey5alVKXZtqDE5cVOCcE7wj2ZR6EYud7NoL43bj7CnkBYmkqZkXAOOI5hNnaxDhOhbk9nBpjqz25
VLqp7X/XyP14Gf/7sy8uCYU2h0SnZN50FihUXnjkU1ukRfCrGJ3NQr/1OV+X4atlWr/Uf+5Lq1wC
OPeh99/4qUWSES/npR34XLpKWbxv79Ghg2JV/vX3/+iFQPCamKW6oJmDh3HZwXSA74S4vjNsun7i
O6VtmcJ49IhDsodwTL0NF+MknJMHCs3tkZk4hRVgEoTzlWgtSBFCa/Sb2PTpwgPJhWtqxd9c1mzz
EhGjiwAlRw17V3yExBikHKyP/lBqVmLf/N3l+NkpAKQer4++HOrli8ALedi5MxAf3EBXA072KEOp
18CE1JuySUZPfrFA+k+RwwDupXKclxKuU0J6UKGyuqdxgLjg11/lY523TrfBbwh8wPoQMP7dC9Bi
hzqptoZN390t+9k5etVtVF7VD36f2uP/Y8H/qjsAhoqI/WFkMPoq8JYWT3PL5+o1gtkYv5s4Rorf
fNg1xFzscNSt4HQjZ0UJe1nTEQ8WqJjZo1Fgv/N5QY8H/KnqO+3cT9YOpGoCMxuImkbBZde6ikkT
Aqo3bApWkwResrdTqex8gKQk0A/18yLqMRUsAkayYt98t0+iLNAP6CShPAem68MrRjPQdlpTWHmP
PrSv+ORnAph8GFxAqK1lL6TyfwWdSCe3yarBhP/nxAajj78QfeC5MAK5CHL9AH0rYADHzWSVj6po
T83QbbtibZvfUl9u+3D59fVO/SSs/vPEi5OzqFqVGAUPUP6GKIfiSbCAzAnnWxBi7W+mS/4nN0ME
BDryCfDVMPK/OBYO2GiOcldZDKQUoL5y+HIaGKKk0G7scqVV8xLX7QS5Z/NCXffsWiaRIZn27QwR
cpCJoaEhQncH+c9cNKM8hF7LjsJ092Vo7uDRmoSRajaijuekt1axPanOs6Hvs91mQ9TAJlnsA+JA
/9CLb4qleGUhyerS35DGRT+gMtBZquihaMh5jKeciCVM6qbDWQJxua3gdkkhD687WPZFPrYFVNI2
tjN+J+TxYZ0wqAaqjWAUZ0Mk8RI5VepJ9DBgNRsl4b05pBDXrWDtTm++pdN8TGwhkok8CaqiGGas
86l/b6p5cPzREeWw4TezOMYvTgfdBHkOn125bXhiboLXavwmm/7wesAIuHgmqJEO8N2XAaKA/SnK
WZRJ0FDeeN5vGrh5YKpDM8IJTH0XGz7s8L+1IGpCDMCAgbgMkGXg0GCEG+SmI0vSzrDjjSe6MwbO
UnPoJ6aJT8Yv7lq/exNTkVBaeAmv0RIDF/ZMrahNe8EPjb/8+Prkfbjn8LuQz+MgIGqBq3Kx8gDh
OWIoELM8F5LlJcASkcP2gLFBPT7kJh9XuAYo4k7mFrz65qL7y1765y7H02MPhxGYd7DRLiMUtyCi
utAYW0y09kPXRBgpVfoMuf0Al8/kP8R0NFYuRFOde/izjg06bqsnjgNltMTzsCXVsoAqR/UDL60F
rSvYnLpLcMvc9qc03XXvTvxpsgGeV92qk0+y0UB5M+wDHKn4HPhD7mpoEtsYpvUw8knGeUytEYfN
mrswdQZ/6wxBmfsFMO7WkBexPe/nwMhjgKo6l7xQOWAdaTS7OO4kktAagGzTXnMHlu/rCHukO2aG
aT/VOKtff7yP/J91/UAAwvgY08YPc8BhhVRLq0PGwaFGWkBodmlzH6sCaVxoAR8JvOYKaue9k+qe
J26NkOHAy3q678ffTFnZGIUw5Xyp9bEt6Ddf97Mtv7J9IBW8nrFLNJN2UIdJCAKsRENBYVQYJ+3v
6Ts8+4d0YF0CMCpXX0Sc40tKmQ/Duz50FESjSbRlkJctIA832u7u66X+UOyjdrYRDJHf4UFo0v97
Q6HUbXQoI7MRd57M2/bRggvANXg9IHN+/aSP0f/vo9auNcw1Pk4bnGGCskMvhg06cvHeCsxdHcA9
R4mUTn65dYfxPJPqxYrDR14739yKHzGR69Ohm4PMGT3aDwJuRcehnOOjVQ8Q4vtUoP0d+2lnuEhk
V90wy/2NJG9KrJgegyl6gkXtyQ8qk9QwLtkEMQSOWrqKqU7ZoqZfJoahMgDf36zRJx8deAL0bTHw
A1zwMkPRQ1m1DcfW6uidWrbCNtsQdpFff4jPHrKSLtdMAVOpy8spMLG0tR2iMzx0GOt128FDume+
45J+tuIrXXDFamEYQ/7qEf6nZIMSU2tVDnoqYTyAETtCIpXSLIpfpBV5W6dpeApyJkl13Pj7ErLa
LmHNz2kyGcy3tyOvr9tmegc28gjZu4PN2G3f9+Y7f7BPAgU6T3+HvA5mnJenGdW36EabDhvFAMi9
s8hD1G+dd3+68k/k2zPgXyb5SAjQUsMhAHvio7RRLGs6KAhWbVzLgp1aAwM3ol5KU8lcq3LfoZq0
R3h4yb4fE6TSV8xfuwKQh53BN8mgRNm+fL0bPstRAhyNgKwpwwqD+PcGgPJfzzHPB3WEXFkvUHxn
fiYfqvue/gqe2uflsfzO6OiTDYgycp1d4Q6FiMNFbEbOySQHTH1TO3MGBTEKCwCjv9FN+ORiW3FW
6K1hsul+0PfsbQCWWYSHuO8a0S+iSXzLpwQdRTt8/XoJP9lCQNVBj2tFCaCAu1hBP7KtBksLW2qV
Db9Hs59+ivHQn/TjOP/8+lGfxJ7/PurSENGtXaeLejxq6nIw6mEdjcm/+Pbouh+2KbDe+N2ANiHS
AvX/754o9OTDP8AzG6QT7hMjJ3HrW9uY5/JOkpy+EJZ/q2/3cRVdG+hWyK+g8Yd+6Lpr/nNd+PVi
kXEY8Go0swiKApMs/btv/2Evi9l9t5AfW69onyDioYsCriWUGS4aWNzyisCp9OoWkw03wOQ0L2i/
938Y6g3/pb22wVHTkOH/P+8VsCD9VSMBciw4bhdvqSSmrhVcHDeOU++jJv4ZFTfWhJ4/rBFqFEke
Rkpy3H+9az6UBHhXaNqsjH6ggT5UhhBFgGm6g1lg6cJFob+Naivx/SoJnRuc0m+St08uFGS9ADp4
6JiBmXL5IWfBDBOT7v5KT/hpndO8Tt3r/5WecL55tU92Da5SALgQY5BuXxZzAoKioUURmfkebJuz
3jmHlW3zHdbuk+RlJVQAwg4WI87G5XbRQcCXVkZyUxs3a+fcrV7mKSuWMQnee5D84lt1//VH+2vr
9G8RgUeiS7EmfwAJXyYDxO+cFpQ+kOB5UW91iMEhC0Zz8CgJErt2vUxPVf+n1nBDyCwmZLY4pN+U
XDibng1e4vSeSGCG4m05D7eBUzzWKnKhfgiOxWDkr7Fg+2bQ5aNdwV6OWuYuDjuYN9gThNRBb77l
oBgmkEGDPFWpApYQd+4fv37Lj7B2kHOR4SP4YBqGvtf6gf977IfYVYrTIo8xEgWWIL4PYroLBDQG
D0wFr82CrolCDGwgAnZl2i5pB6jZYeG/+SGf3HkrFxoLjfsHjbiLH2Jj1q3KKlKgiK36M9UGCIcT
DI9yJ5fbxfvmcZBF+BgGMe/ygadEvgd/gMsHMjJ4gtZ1kXu6NkMSF1C/Saym1LCJtLolrcOmyl3R
eugDlgFKsdqo1CXzljaySZa5e/L8CmGNdMMdPKWLxwouLVlB6lu5dGpvgprDwjXGsJjCiWtHYtrD
9qGvPXRe7PIkxrbLDeXNXvKR1lnZBN2VL0ibOVb4RgXsF+rJkipl1Ux+wZKlu1u97VSizBxfc3hM
JIDqPxbKl+9VzJqrsA5UApY9sKgyGNAZAjxj0pPOrWZYEjW44t4PSjhqhYqvSrUwh5hZGcFXF9Li
RTvuqCuHzK48yDmEsLEt2mZ5Lt1A7eCeV6YSDdqE2VI/RSQ4AmvFrkrmm3dFnA71Xs0OAfGLt7Iq
Op23nD7BriR4n5fhxddwkFH+6hDF2ZvujLWlDBHaN5b1Fk3lkk5Vh53eBVLlEHLqT7E1lUcWxvta
sz7pS3JCX7PKfN73mzjAoiO37iHW3bJ9j/ObDYU9vumWxmglEp6i8RRZSTGV1lMThOrJhXXYtSCN
eLFXmbpWwKXIt1wIxjrzWynm6tmj6qqFoFxG0W1+LHg/44Sb4Lc79vaLGTv7ZUTbvSRNY3LoPZA7
+DF7fOtIaEIVgzpYbjXAknToDJAfUVElbt8sWe32Vzg7R1cDF5WyINzGoVWlFRnBPK/sYE5YzIJj
J9EbmFm7CwPe+qkTMgb9nHrgd6aMngABfPMAUtj7AXx9mdZuzkyrswCAm8xTvN3QptrAXohttN34
JwYK33FuocwN25ET80t46gilbmLLD9okCub4hATmGtMLlhhVQrajp1WILlx7BkiIb0BPg96fVblg
58P37mpABVHG3Xtd2s6xqwX4uNMoo7y1ulskgENiu+1jvJBhC0kGHsFZwDQ1WiuAQgpAP7jHeeZG
lN7IpmpgsM26J2Kk+RM0HcumxicJ8IVbgOLlAQZc1U4j6/dt+mfA+YDa4pRIQB7fyegnvjOEd6ye
Mp+6hdw5IrLR5GIA7wewc2jhopcDLAkDDhZd9VLV58DDRxva1k487UGFljkABNXAFIH2VCdsGosr
wor+2R7c6Q8ZAOhKNMfIzjPX6JhC/k+O95E1/xpb+bQ0w2/YS/Ckcn2TUAgI6iScA7HVukcjZunT
ubJoJh3rNpDLko/wgU3dRkU3kZnrvFr6JYUO0z2pY1DjiQ1LdStUiYb6nBiaJoUK4nkuNRAcfQzN
SmntxMLuqad/WRGbcPWH12UDfyZWFlmHuJ8MXXnnzCvlR0NoWkqvfQC+CUISIsj7JpxSOozBqqYg
r+OIPtkT3HqiRUN4t3XOs6qWa4kAtaOzgrEaQFXR2B611jDItOMn1sP6JaE4BuDjMfQ+pnxAEnBE
NRwe6NgVT6jnq50SAFNicIKkiYh1aM9uYElEMi6G8IB8nU7pUozkl0/Ji3GAP4LH1vgI6y57pxxP
7Oa2LXIL0bU3i7WgrxXRDFbVMnMgsLnhc/yriIoFPsw8FbT7DZZKplGhp27L+ziZJD9iNBReDTDd
OTmS8eZg2ZM+CaiENKkx/KnqoTsxs6A4BTUkueOy3k6m2fqzvpult501zFkwmOebEXAQoI/mewfC
l7aFIaIi01G0bMypbEEtYNWDCw3IMbD3KJ3j3NQAdReYo2QeKU2ua1oCjlORrCMF/DUaZ45SKqW5
FY1/s9AO1hs2zOJ8a1KPOp6eLAcu4KgypwNbFP4IAAeHcHaazJs02/rVTJOqLkjmQtGYpKGO3BNT
8DKTcr4Nld3cemj0rv7wBKqqPk6H1cFDaYjo76pqMItlAEw7STXWVT7VDM24qAA4SLcQju4Dc3Dc
xXv0xDS9zp7uf+gJBuxi+iF4PKSo1sMUOpe/Kt/QVHU2xv4EeE4my3BHPKazmDlPJcEXw8Vyoi4u
nKXV9e2MHOk00Nnddx2vX5kvqx0dB5J59jwklkcA0CZLsEft055HrnGRR4V7w21oCpULbEFitHI3
Ck4HoemPZApvI7hsnGqbs4diFLVMRAmgk22GZVeP2rm2atHmsDo/LZNtROL35bHgFk8GhA466hFe
Ua578pd5V2G4SNKAAYvXlnGIob52zlSFP1jfHqGF5W7EXEMmxKsYfWp94VxZtX8Cpi8cE7jbrcOa
OEznBfLBAEukRrfiZPnjGp0QNlPkxv7GllDAVbAMWBJQn8wVVpufBr9LzMyPi2oBLvKdvY3Z0BzP
HS7QaMdo526o8aMUvqFHFrcCBxzN1WgIfqKWUDkQhC+LjmBP0SA5w4B3EuM+iIY/Mfdelpg+uqVA
r1D/Kl0FMa/OfuwYofms++GBuv1TRYY317fDfehUwbGwIpPpAPZQvkZZiQmk03kC1qSw207ncWhB
x3fJ26JhGYxZkQmr1LQxiIxjw//QBibzhi1xToc43lYha95I1MFFC8PnDpoM5bCfumDbVNrfGaY5
EJ1eZ+2A2ZtS22lhlqirjCLLuu4miUdHS/RbAB8LcoRrvQ806veYfw3IcMQ44tUXx73ldonOn65g
yy50M2R1PezDvrKxIO1bZZPraOkLTIXXcgppOt8uDPduJ3z/YUG6dF1AKrjfFHUIuVlraey91JW4
XaJBHZmlpAPMZ9c+SJe2D2Byq5uggDVrTBYBlMNCoBLTd8FLFDd/+MLHY69wnZiK30RK5e6Mf2nJ
iOCar5ssLtQpHOJbWMzsvMYr9yHF7ZKg72OdGl3wHxoTHD8ZceQppHS7q8jtUZspQIM9EeXMF/2+
DCJkOIWBXJkzdLkg/k1cFGxbumiNVrB8At7WaxC+mmMMxNax4bCqawfp/+6oGI/lYN13qsVUbXY3
/dIV92E/ib0DLgosOy0QnPuwt39DA9J67ao5uvP6mtNkakqYis1ixN3jSo3g03XXkSWG+1Y39kZL
o4rNuETw9WpsgmAjTDVdlRH/PVj1H8i9vM4QO3maMDLQCYzdyiQKrXyeEZlnu9rL0sxnRFgIu0r5
bMUWMq0w4ZN1tqE2lEyVM+87ER9nj5Z3sQVz27FyjlFhqaPyVbwtJrpVnXnjJc/dfkIZ1LTNfuaW
nTvLoLeLVR6Mhggu4IlJG7o5ErCkLwD9ZMS2jvYSdHDUqBGDAR5tgXVOSIUsPamikmd1MAcJfE0y
3AdATQZ0SQsCl3ZrRfTai1idd8JDMCORKNhyr1t8QrgDiX0BY7smHSfpwIgH3gPUG7x0JAAmuwO8
8tQy7GtJzDYq+s2w+EfwQaursQybnbXETyGpg1RM0BuOgxEeexaQyPFWdg15LkQ3jHvgmYGnKSY4
YmNK98evURomswdHYUB/bVwpQjY/WQegSiKqrr1yXIAWBXXAa4A8TDaqaRuDyoECRI80jSL97GoS
PQaQi0lI2O06b0JdM4u529rMMreNG2/GwO1u9OTwU1hBNqe0jkxBpjoALs6X8tcECNDBIpTc4i/p
DLH/2Y/nB0+24cY38HpjTh29G5dZO1UXCHruSirtRLSvY33dLT74ObWAt++gwPH0dBdvYhUAYyWK
B2fRVa75tOmiWO4rB/p5beDAepYQVFgD/wVS927s2wEGD20tkppJfBvoudczyJqyekHvZQ//pmvU
sjINhnrnS2x3SHQUCPK+PLoVajZI2h0i6v8V5tYrXN/9FcZz/T41VkNTIPonoJEdK2FiBmK+jKD2
DY+1nwUB9Bwp5GSNWGyJISD+Za5N5W6WKr7DhaPSMbJ56ptpFTBuqxBFWtmhve6HOXVbls0Bt+9Z
uFrXK8oSt+3k/WIjRx+L2X0sZwHnHg+GNpLnwdRuTTNcC5e8uMHUnKFacQ998vgnllHnULbyzqQt
UJZb/gQZ9C70czE2mL+1FsB5VVkelaicdHBWZDckLioYdUdddGoWOh5cMbjHtrK3IQ/fbOIU90MU
86tmkuIlEtGUIcjfloM4z70kZw5lx+tigigCRdF+bS/z6p4VPoOFBq9nHKAz6MZ9NrfeaYIYYRI5
Y5kWwia7oJrUAOw1OgfSC2k29NOBI+C8Oqzsco8MLVQgAzyuVx6oCvTNds0gErcEIa8dlbvkTstg
ctrZxzCs7k3kFTj4sGOFYWlqrLY/NtpBp3JBdzEX4E+8ug40vUUXNcc2MreL48wPSmEz8Rp3alZC
ri9nVXn2MNfdmQFO4bI6oS3NcyhmHWoE8a1XubuC4tZSXQMQmZHjyxAq/GFDzzWdnnQtfnajNzwh
xwDhAnYjT0PQ2NtRTHGVDJGUD7OAOuhEENLENP9pXParVMbJw2EcbsOpCF5gN/UwanYHybUO00tk
ydR7UlZo7nFZ2GmtIWcEsqlIWi/un10PgIVJh00mC/lmAtz2qGwXXJ5T8Ac5SPXDCccGR7sKYLJm
3JyXUzGmHqFQooRnLSbYkJNIHEq9A6CtQapGQq/jsEWvimj+6vJePcoOavsQPPC3Cze23MSNegQA
mR6IhYwoU5EDZTVoK9+YAOaZPKolrmM32EChaMrGuqSoXQABZw6GRIVXQmt6sI+qq4MusVUApXpV
/ejpzA5mqvQJ8hvsakHsRO3blGlQ+EG6SHisNT67BmB/WqukO23w/CYMWVr33a9w7Bo0VmaWQfuK
Yos7O9tE7AQJjwXjQLQOcBtvPbB+H4vY3QwTic5aLf5bNRZlZjcoQ2CuMwC1HdMXo63+XRWzc7a1
j3gM1eykYtZPxQbyhznmjw01OFDSY0iRWJDPDbxXE4rxehwoNOvMksty0ntYG3tnH6LiAF3Yy4MX
TOIQLfh7sTWmocSbuR3ABo7sjyLugp+jv0QaBQ5HJFa8ESB9MxLdNKGqroNxdp+msd4jX2y3EGOB
B7hmyz4ISYkv0aBOnxTbgmdQbKsGXkpsgL3vDBLN3DIQ2ny98STn115pFVlpo8xqBxchpCjQLqhw
9XU3pRPAn4Ti6qlAkZYyClPMGEQKZe0lswrjvi4Q4Msbj/VXYhEOqrCpvbONh5YSAOnWBt0Qq04D
HlUHwNR+chk0cFBUgSFAK1vxBtdraKNzruLfATHF49IJcqh56KSuNd8a9DY7UUV/82SE2qB/DOCv
YGWo2WIBuUUGJCscZ3sJTbymT62V3zQTJKGjPZUpbQlK7InkntNsZ8iFJcDWwJCrFNe+W94VtT1l
QEShb8dasWk9GeGWWtCu6kYcJ1qvbDfP6t+Qizm4muEC6N/aWupDHA4P/YLuGG9jmhMq3h3R3ILI
7ieSVvzAOmgpc1kHJ+3PcCgYQhre1MxpN45B876MC/u1JWgTDiAHXks2AxHaWw9ighuMgzYQWvxi
8TKgRM+cwMmOWMPPEtEPfKCh3zC7c7ewcf7dAiuzBQ0R9r6NFhlH9fBQxW6Zgbf/iobhOeAulCli
tCdpaXZikJkFsTNaor8srDLDJZyHS7lbXH/TAbaH0gVtCvUMw6SHyNdBEk5k3PfadnIIDHubRZrz
5MMIQ3Z3rhqO/TDnE7p3ieXCFJHH1zMVGeYzq5U2Hd/8XojMqQjPIY65X9xy3kVx8cTbDoSiBfNi
VBzZYPx9VLtvZTDfg+63nTxQF8ZwFBs4A8/3ntueNCINuF1oZytUpKaE0YNPm9+sVT8KAG33pOhO
ipM4jewGdTNTzwjC+PG838+h+8ui4Fw0dZHYq0IOfIv73O8Yjj2mpWF79id2XuzlTU5VCeQr8DMK
pig5+As3bSlw4BAqvM3guteksC1AWWo/eIl9EZiE8R4pYhFyVDbuuYit6tn3rXaHvl3i1RU/BYx3
icfH6Rw78jwxoyhS6Xh674giaAs5Pcmk1c/XpXTuSAwdCwZzpKCkcVpPETJm7XsnGQHO5zXOnaya
A3w3w6Tr2t5JFgfTrxYDucywcjMt7U+jBtiDBvHtxNBKYzOcwxs9JEDk3FRoOKI8ewldQChKrENo
dXkH2RAWyWNBnKtQCAA83CNGETsL/WjfqMwAdJmE8AIrHPK7avqDDvRPNTRTWjs1pKYZ1t5CcgtP
lkNXU/tWcDRCBjacPKzApGqyG3VxDOAw2yG/hKltodsXbRO4r3vI6qrRbvfd/Oor183x6+DYUll+
QuoS9I3R2jk+eByDCOmJE7RsWBMABNmprVPOekcG3DTR3P+0g+EAfGSfTmhcTJ2aXzGMW2CTMgwi
j2S8JLORz41Tw+YYgPrr0pTuyvIDPafrtr1tHewZMC0ygr9YcTSSZ0S/5bAWiUBLWgefFHdLGx+s
CgmqgMoYQXISrbDLwALwoIDpHnF7OHEHfo4+ip2zEa8Hnc5dE7tV3tHmyhpQRYrgnvn2zur4QRhy
7/f01q58+MjzGgsaQ1yzaQMYNzqYD+MjO0K+YhCBpgmcAtK2CdBZx24qJ/UcRgSCB9TfKKUzdKEo
WpwSxss1RFrjlm87xwG5DRcGuYu0PAlt1/i3mCKMsBq+r1UlM+ViVSF9bV1rF+/Y42AhDChsCbNl
QDbl4YQZP8RP8bslEEwmhraX8Himatm+tq1bvUE8e7wuK97XwJl1v7UV3jDYzMCxqCTJwKL+YZin
K6KjZg+N0fLd8A6XYNDbSWDLn6VA4xvVhLtpuX4kvrrruYKJDLLnV6Vkkw+oT66A3xkTPwR/vW75
I/KTnxBThI/LJPsECEGdWe1Y4XdF4Ak3hIBUr4LUmSe+HRynTEkfzGe3qqxt2Ih8BEwpb9iAzN4g
jygjgkY6UkvoFK82eDhtUFq1ZlLgcqX7iEQDOpnGv4MWWwG0y1ihNg5DSOC3T9KJi2Ti1rmEdiHL
Il52PyJ/HICyjawThEeW6wCOAUVTKVAte38nvKB5CMXk7jo2QiiGEtBGgQrARKIo7xqi8Q1tdCaK
2KD/zpr3ZkBBAuB+HqlR33PFKKDrdoLKOj7Y/RgjZs1gtEbuTVTaexKLTuR6gqsE8qZuBrkhNE8j
Jgelw+4QYO5jxuQPdK/IDWvLrVQxHMRFB2fALaif1baOCEWGIUYUbn4Z73uHmBrtQ28+toHJMUVK
XE8iJ0RbX+RLPKGYh5ltrWw5ZWh+JZNtv/TcHKO5oymFel1pgQym+rm/H8O5fhbBvKC+j16AM0f5
Oy43tQlviwG2OdPICMy15wXgIuvKnjEMAK//yWAgnZQ2bDLYXB8kAz9F11cahufSDtwj1da1av+H
ovNabhXZwvATUUUOt4Cy5Jy2b7p2GNNAk2Pz9PPp7tScKY8tQfdaf3TrSxAFaTFu5Xcv/HSY67GO
V4NfqPH+6+zheXHb9aqjJXbcLXiNpLFyT3gvuo80JU7iY+GR/3RZJv8D0v4ZQu+0bsURvn9XhTRB
S7yEW19i0JZR9dnltJe7Hm8ceXs85aOT0KuLKpW6oizP3pZizhpUQFN3WsSoUzU28K+dWugs55l1
D9G89c/FFFHWOZAhvPiAEUG4E5VzKrd8302zf2gi+RTm+lF07ZW04Xd7lA+TZe40262upp1JLv6i
zd3mGAn14RA2mbPz6+DdJBtYR+25KSW6UgDUo6yGPi2Ybo7Kr9zvbhXRc6C10ce+J+CJXCIB53Z5
K8cyOJkUE/fr3wiWiWPYSyJ0mWFfUr88QedY5nxdyHq6Pzt7u1Ie60H3Ttt1GsJi7f22jCs4s7Di
XLTsn2oKE2WqT1V1r2Y/cx3J9sDq9Vha+a2eCyMx7uRpPvUPQ8N72eE3pvAzuNml+yIKBX4e0nrV
k8VD8NXvuWYemlqPA4ij8Fa21vZJtI1VwbwO4XlRxVupqIfKrJtybVLOze9twPTjeiN3X/kkgn6N
ZwVZVSosaFYgf5WUIgc92E4Qbn3a6vB5aPSDb2LCRmo7INqqP7oixwN+7wELAdvB/NIyUH96knq0
+7cN15iLCdW9QZB6ixo+XktOJ281Yi/s5EFxAfJ7G0mmN33OFcZxCztSkfG3oCEg+8fE7p5XsVTi
YaR4i1iidATSSNdtKA+hwxso+e8b+ixsOvWyrd5FaOn2RUgSajE9KgJrbbmGSQP2K9lVoDotel7E
Cygr74mzPPEUgKcuJtdIW6ZjOeDKrKzzJEawoOlXa9tptsmDixl59ZyJ/AAoeqb4v9aGqb1lg29n
SFj8UFRj66Ooh69Jtkm1tL+2OxOcLTGhzHHBnrAE1W0OVHjlU91tkzp5GtRNOKSREVmx3/xyol7D
C8+hBvGFvq2X4GOw/D8+NV6JLBEPhvatrrp07aw2bZTbXFRk5Undh399EdAXBOgvTNxKjhOPQ8eb
XFIhpio3jVb7w/Kz+oCm66a64rbC97H7f/CBj8fOcA+9WaQNf3UgyktkkWSQIxWiz3lXCXDZrD3a
PbXvrCoLvWKzO1W7phy4NJYFBcOKqurHq/yIqPNhDN8t6hs+x9FwCFHOI+snyE2njMEX8iv/0wCo
7ab61b6f6gWRDSFaidjujcdpYMHLGg1p7YenPINpv9tmmRnZeXZ+J1hcN3s+zjbdRAYPdmWM18WF
upw5extPxXWbpwMXpTvZh4mHc8SOPvIkz1EJvjTpQzsgOrbcsn/cGCDNwTln0Zp4y/y1WuUXpXaX
Uvr/Wkv5MSV0lzr6XEK02I07QH+46BV5ksDH4rHyLvb9e89CNlPJ9WiaBbkU35FsaRMXeZNEFV+D
HTyt/noKyoLKOKblhvh0r+JfCXszB8bMd4XpHBzh7nx1J5o6kWyZPtBlfZojmIytjwcyYyD2aQ3A
QkKIRY/Y3W/wjCIdgdnMWwP8HhB6DBji7w8bprU26u4JCz1eKOuwGn/xGccI+sgEmFgwx+i/Ze0g
4+gQdKF1G18Q9CP/ofpfkm523qcqS9ogA8opfwlMMGQtGVE8B0PCvParMLcHXnaCiXAriiow0q73
hoMaGvjiVlk73t7dXVvMCKz3ZW+vHLIj2nZJokZGw29rm2nGQ+rNOu5MZDk1MRlVWSfYFyo+2ioG
R32YnPHZ7b6KLE9YkJONhjwt1l1UMDV4VfgMI/Q7t5fXOdLnwBxe1ohzxx+fg3w4tYE6jwNahAZW
BiRYO3lad00SNu51rhEH+337MG9buOf4SwHcv4fRLtmLlbHb7CkR2nl3V8/C/UG45EeFOvFABsZ4
Kab+RBJtDFb4QAbpJ93DDi2siMFkVn+IaRnxvPtpBoD3B1WseSLdd19V3Y/lk6lvkWAJ04UWz3HF
Uzf2j8sAF7g2NG1XOjXWIBns7ty0xUM7jfPJGPybT8LuDr6lIV9LHgjMRMVQ2/9CXr+9AVBQWEVx
6EsbgcrcQjsgp6A91XoZaUM3h5yHw+6S0Ss+W+JLHNntxgygO+QxktXPSNxHV4RxA1vQBABYLXDi
Y5k5TGedhwGqCu/kGTIUTqPXWYK8bsBM/IzZj+dCpatRhjH/PMbg/ms16FBWYXObyC85d86Y+iNE
Xz6Fu6Er9mXe7+rmr9k0I/kj6HEzUe8atp+zo+wLAzPBLcv6Vq7bEXECNGHNnzQ9TEJBZXN8Iakd
TuxtIg4n9+Av7k8ete9VPzzKe1ViNR7lVHGURyJpHNZVT/rwt8VHKEhpKcaLBAPWW3GpzDUu1V3/
ZQaYEGAq2gnxwb2jMA9alAEBU2N+5pSvWvt318p0c6A54Z57Aj545QFpPGL4Sx+d/ZzLt23Ovk0r
/NDTRKpCM0OZroei9H9wmXi4g4JdM97nTfVe0puj+yINFnk06J1PgDfjpmIgk8ZIb8OaNr29G7zu
U6mM4IDVx6tC2MtkjAl4xmWIMPgQWEW0hrc30WfAZiOaghHLbZf1hN+wJxJIL8Mr2rm08U1IXGcf
ZsY1FKhQQG5dvu7J7T5Zz2lImF2aVmiJNbtHMNO4Jm9nEQSZgNhMVL/9A5NskrHhkaotDi2Pl8T3
25N21p1FJ3afb9fS2g41nLqf989L3dhJQxOlv1pfkZqN45aLm5k5FClbOyJvpmduTocb5c/qCiNZ
p9An6c/hiwd/KsLNenSdbXjqzCiOVsRYq7n0O7h3TQyPSkTUXa1+LA+1dh50Mew3k49B2k98LhzS
ox23Hcw23nvchHuD42lqyr+T8j5LAHHChwaWQvNTmcCdytDsg9Wbp0U6ZRVcMU2kH4HFXQvRkoSb
OFS9VaUiH44BLGHS25Q1jtq4dsLGWtAN85+ZoKDX0glSDJA01Wziz0KkdGKp4gCjHz0GvjiT4HgY
I/vBH7ZTOy07s5fHysuTKvC5LdGvSGf68eVLM+RWukYmh663xk2/fuPfRmFgjjumzASogt0DLj2k
GHNbIgyJalGPq/TzC9Pr39Kw/ojNOHGZk/gNLyu8drx43EMIH69YUb7uqDw/9rdjZk+iXT7Yk1GZ
BB/QGvXOa/NgR+rOSxZ6T6NDfwS/z/N4Z3CW0qCR2g0PsF51gkKAqccP9qrjPFFFsPezIAb88470
ocQkkD7QanpexyHeULEenQIfJXerjsNKyD3xIE/rMAIzMLhQM7TLGlO9sRUdCSRYTlln5Cl/cpFK
CyysyveUHHFHhoDsFVkBhV99VsO4oeaszi1ZQvHkcUUWHCQ4e3dhybZTRWzrXh1GqGRUzb0RPiHh
et8mHVzIuYveJeM1/oTW1oe8affkAJ86vVVvihC81vPO2BHOeLH5sVXFMqq7fF9sZOZ43Vo8TJMU
D4qaBmQSzS9ZjMKNs6J+CB1DH7eFYxFsGT2J+bdcUENx/ybeFtCcZtpsQ4F5XY3uQURNC9EUbL8s
NyLZqqYGLZ786EjesoUKUQz0686Jtmhh66fiOtHVUFSCWcHe5yCKlAxxetnlruOe5P949jrjr+nQ
ixHwx68D5AjPxMGMSItyGH9yr/PfphBLIneBLKdrmWf1exH4KAecKbqTDsyqvOXV6m6gmdPjOEKX
6mj6qqvtYxnDVBc+19FKDW/3XlRdXEr5POipfPWKXDzx2sG/udPnShzzvC5BjBitZvb199YgHqdQ
oMoMBoSIpQs1lN23snZJA2YukTEvu9OftdX9s6tRq+fDB1u4mapIfeVz9Ep/1BC3yk6MntwIy34c
lXfIyvYRoD5mUvuXa/EHMo6xQHupUPoWbcbvsuPMVJK0LcIVoq67ofrkKnMxIG40CC/2dOrD9jrr
u/DRMn7Xo1OcNkuenbnrzn7ulkcnQMMOwkCqnXzVzZSBLUDVlQXL1uQctqiT9HR5/MZkf0VILELT
7GIw8ZnujpJWWxH4qddOcKdb6SQmEqJDHdTBETlM4g6uE2eaCxm957TGzI3maZ5tkS62J8ak7Ohb
q0lnCacFCDuvTQyvnB+j7228t8NDJsnL8Po5cUOLt6O5BpVz6ymuKtk+m4wY4AExt7s2j0yTSRRh
gIymrbiKtbPP81Q+iMXfWUICk47ZtMuq6k173UMUrccu7I9ZS377DFvccX3q0DoxbM4siQsaMFSP
O93ZXbxFQUyS5NHMS3IaV9yypHbs+nn6sD34TazpB8MUdx3b+lAqDv7C+We0FEENTvGoVfEE72ky
z2/ivJSttw+K/nFmWIlD+CPGZG5kkfWHknbi0ANOKIY6SN1o/IfUI816DzgaNcNXOIo0zP8uuldY
AKxfq++fkQ1f+tF8azWGVZEtl170X3WOL08jyGlmIv8Dvj/KUGqoEPfouKU+1VowoupoRzNbyzC2
ZMMltCgozj33lTSZ6UZU1NXpwN2k9JxryAseIzc+1sQJGZmDiMxI/KrAABSR/Ib8NEWBDhiw1YcN
qJAEEwyrMIePubcOTQzF6OyWGRiDnmXqbdy1+JzmLjxwf4FImooVS2HACZGBvPVCoMWsqiG2AWo+
QRmGb76+ArCek4RQxLgD43+OLNUf3dq8lsuGsmlEXpT9wMLErJonW5Q/5mj8DLX2/3L1ZV9hCLch
GzQKUeEcfLFyO0VHtGWwPTIdfHmc+qlNowDnygSehIKmm0MVo89YQLqxdWXFQrmJi0p/9Opoj0oK
sMNw5J6x6jmIVrbxCkhnVeweXTTQnOl3Ggn/mH1noYLU60OxJoiaYBUXRZT+HBqJxzVT9vSybgrh
iSW4E11I/pVtffAu1TKQlwJnZXGRF0d7zvezw3PG3L8PWv9tdgD5Wipeu4wKZ9iiETkakF2xMEch
lEsH6i4Tt9hmyDpGB6R/fmJoT6eAQN9eKXlaonFno78NUe/tezq0EpJaqMoKdNkQl9bTtIV6oTBO
ZaAvK102H3NTPA1hUH1395SfIPivQ7/40qoaYDKj5Ua1rf1q5tlOLKV9VzWhSO2zATGTfa5DVKP5
fdeRKjT/q0JPn9xtKqoYTfp4KKLv3hUuWiQs1QPyeu8uoPQvrrsGQbLYAJCyCooFcQtxS1snVNLa
TStvC8XeT5HlP3YZT3ErVMx0QyyFbC48ga8gsxChtqcX5KD1l9zqKUZrF09W+0BmcZeWJrLLtvIR
W3RN8GLPAIDKIXZ/sTcyW9v31ZsjziTnSXaVfZSR+0+V9dG7Twn5SpVQXZH91FZh9gn+hiyAdLqL
dt1bvQwopbgAdsoaXDhV3uqDDLV3YiZSLxvnwmG5p8zpstJxbwhUh3732oUIfh1BbG3ZBExnyq7X
AT1OXe3bwA/PlsWBGBD4J/xpS916qz+asSv+K1TuP6wYvpMaWfueSqeDQzd70iMgesuXbHwjpjEW
4IeZa6Y1RT5MVciW5iinOswbrBIXO6LvRd6PysHtj7wM2w35+1u1rOE5W4N/gVsZ/0wMCk9lvx6R
2AXXgfI71NDEXbkdOu1hClEKadwhuNbd+r12WhtCofRSTqjXYaYCYb7TRjMDvVyc7rf2eOKY6Ne9
F8hXr/Eu9ZC7fKBqQG8HnUPPdlf+547W/Jc5XJyNnj3Sqb0dwyyZUq1h7ACmruusvbc1l0bSCw9o
a7Yu5OoFtwLrCUppQ18H37XfstXqPzhcIrrcR3kNiJeEtCIEsRf47dkEVPjZ+QaSEiZyZ4fFHk6X
eNtqJ9vl1kOncD934lXKmex3ZzgNKniKSueUM5WelDBO0dBeyQxzDugw7VRXxnOngK0ys3yVpq3f
fAEQ3ow5ynCbTkInnz/DYGkeQtVDBQ9VnS49O0ib2SMdLiOTAMxz9TpsW5S0peySXhFB0dh9dRFr
66YLYdgf/qhuzli9tIvzUihuv3GJ9p1muJq26L9Z2TzBrXfwg+rv7LlYevtwPbjBUtL3kF9C2/Av
OC7Mi9FIGUMYO7uo2n56gwJgOGDkboHo3jvHYNjcBEmc0WR2KnXHQe62Co6LTKV9PQx+UslhTtDk
j68zR8tjjtrwhtOCfZDxAKi9uGZNHt6Hm4nEkW5qCuKZocFOofCZKcxWGQBlTf2QoTY5G2g6jhDR
nCnSfKi82Y57AhZzYF2CsYujyb4MjWK9FtIAdRptsKQSlAUBhnVtNxsMW0XRq0H84KHlth5RwZ+U
1RybiDFmjAhHkGr+U7d4rBwnR+/R8taj+pFIVgPDCdmNwckWO5+5GlC2y7Vgm5yt/Qizy02R92hG
QXLXdcYEUK33060iPD8JJ1unDDxITxou+hHa5LLQrYGrGguCICUikQMJTbzJYJGV66HOMCjAk2bZ
Okm+uNaWdmQ/yMdCFygK2mIKT01Lw1EnLHtXDjIcUs9X6I27HsBrLeuAQZ5+mAm7/u9s3Cr2yBmd
5AR0nSov/Kt1VT/RET4dMtNR/wwZXazKfTJmZzs2tbmx6LsCKK1ez+tiPTlyxjlD7U2Sq6D+RXg/
0fGTsvOUx160sTCa7OxLQNRspSVAbCbx8l30bjpy3AcjUAOVf4wCHAP73mFpRkN49cvRfrEqcm3x
N+FCcXkPlbeko1uSK8SJqkf3kgGsrV2xPIg7PSEsD+QTIp/fPQN+s0pElPBHznFbRVCAc0QHQmbR
D02CT47ntyjm9bnwuz8dA9klKy3yhEvP73+jsqxPY1tE53kQ9kunI/MJZ/q17nVwLQUVwGLm4XEb
IC40HZ5Ez9pNpfPLhmwZu5iPLHZq66Rz8yTD6sHokXcGixJxV28r90fBLHNHMHlSpr6zU1bsszUW
N7nYj1Fr7+rW32chOt5Sh7/7McCyJUjHb6avsQrrGMfePlrzR/P+51RGC+Awnet66R4rf/F+N0KT
mdGTsR3VcdTK/rUqmifD43voJ3pIFn96qrv+7+b2GHGEDU1thj2lmFnJUxp8eKJG+Gbr7kp7UZ4i
cY7OJM+xMqxQdU2OWW6eTfNv5cmBHG97eizQC36VaCh35iiHlwgxZswRnXHM278Kwgp4utCCVK5N
A9ziWUfNIQ4JX1NSlEx+56SEdTu3SBNSMhqTyY4FY8OfiJct0E5aWejHaYZ1Lz58525hJU4GZFkG
Dso3INo0U95ZAXGndc1I22q89Fl596lk9Wkwmf8F46Rj5pc1C8RnVedWltobuiJtT85w5IjNQSv1
nERatTGZJdOnyaF1c0q6tbxZUV6SyafGCs7WbIm4HKadHeo0DMrwYkiddN48AiN06L3qIDsqd4PK
XTmSp5q4LXi+cxXgDTENV/9a82Uk2iXwbovwWzw23Qi/rO3qUFbm1QhcdBROi6Qo4jvJKUtZXQef
i9NTH4U4y+r7o+9Or9boboCcHnRAzjPhGWvaS/s1MIvLilnAY5xPRTijtcBYQBi7+SVLdq3V2VAQ
Lzt3BVqY/F/r5CK/xeBx9Da586IIpQt6SiC+8bn1iZAKq3I7MhYcxQb0XKoix/lCtrG3dXsz6qEw
wvFg+rpIQIXfQm94qGthPeaYT3GbXSexvkRS2lDAM1WsQlwAHv7ddZyLf6cPMCd2P6spwjN6bn5g
JJ990buniqUubj23I0XYfSnrCSdJEzy3mapeNmWQv7f0DWpXPRyWTV6zLYri0S+fg9CxPpe2IOXY
39AihPAEp2ngIc2KDNjeM5BTIUYX+6YOvifu6cgvqtPQGvXjQFnETTpRvXMM+SjK2nnNBgPdmpTT
FdkO8KOu0d2ueuCeaEzovU1aY1pwVZxQhh9XVQKf0Rhtn7tc0h2PnQfpvtuEz/PW5GfL50NXQ/En
DwqLgS7nGvYDk4ePf8BzrZ3te44ypBW5a8ETzcOEFkOTq+XpV0aA8cOJsvpJ3lX0y7R9ZVEBME82
AcYXYSaTg0aL5f5PuLYvngHL6xARhCtCJ+EQTvG8FQYoCgjRHHx7xrTXq32twhFHm1LPET42Dvkb
3xr67koeFeLqA4HFZRqgoI0BqdZ3UTRhGvB1tmaNgt01KwCkokR3ovbeamMNBcUsi1+WYXz6k3qx
mT/4d7FgBNOjJHJ68PI0qjcRj4b3z5jyfRXC+Zb+J5VAsOj5WfE6mxUEV7fpCzrNX1GvW+Za/0u5
4y4M60PgtcZhEvQHmsSZo5sSiR/ySdUT5kel74ETdbbHgM8I6Z04Hp6CYLO41Bkq7y4ueqYbJ1EY
Hyj0rt2vkqB1duQF/c/dQ6qX82z117Ycb80ySEFSN0sxDqPmYK/ho796j540Seo11oOMoHu1RfyU
5H4ndkm8szJtiULpP8Wmti19dLpt5UacFzKxwProdXxteu45RO4vo4+TapyC86qaB2QRKazgxdDu
g8EVtBN2Q1DeIkHt5E0EJo7A2fU5s6iOltEDSU5tgqRO7nw7OnSmeF4zD0HFGl1x3u2nCh1OLHr4
Dc/NDr2vXgltTqJh3KO7VO9zt6D02dg9xOw9IQXaO1j+wpWBFSnRM6j49lC1S58M6J/ufNqpnDEZ
bShSghEf6rAoUPfazg4gPBWxxYP7NrJkErBdSLzznd6R4AFQiXgNpc2OiDEmQLPCIabHQya7vaHv
nnZ3PdmzMSUtZhOeZZWG+GYfmgDMVuh7HNQKz2MVD8O0cDJG6tdaBfFmsH3bCg1N6Z0IkadzRdjT
wdkA3Q2X58Vedk4zUABadjqhaikpdEu29hgeS7Mxz6uLNEVGWw23L+c/3UZKmcLcebH6zfm1dPpg
1wLhR7NOSPqXPUoyAZ7VHbvRmxgNo8/RKWdcQv5DS97f2QToMz1CESzw05hP9Ld29c6ipuiRWEIU
yEONIpkc18RgsdzsDr6r+4+L9magl2Dv+Jt1BBapLNvrrnpohozPYsWgZQI/YKpIXZTa+IDgPVju
q8rE0IW7SAQs6g1irhOij+2PJjzWLKsvW3jvcotO1pz1RxNLSV54+iA7sIeeMuvAHS8AdReUKHsm
Cx/e2eNqUM3ErYqnzoKBtovQTbemLk6Ln9OaaUBM6Z7I9yoSL0iYu/20VnQQyAruGD+xzjsrlVRe
T4X7pyST1mJGiJ0O78iaM5/HI+4OBIUrYiBDfWMzvAXUGJwAhcqTx3zqqvqPseZnk5SLq7JmTWRU
u93WRgeJBjpkCPBujo1BPQjFaJIyxyTQrYt59govtfL8M2wRGtj3hA0tq9fQR2uaNbc89K+ixQlT
IlVkIWqi5mCE5cjAhZKr0b89ht9RmZfG9G5To4mdzcc99p7L5MGfWqwIwDzVzh9pCF4brOdmt90R
lWg/2RUEomFpNGaglYGYTt1mo9kuNvsyzxRECOvNzot6x9GVuJZ4m+3x26qtdh/YGYipvaVzOGW7
Rur3bKWO3qre/cZunt2lWVM/QF8KlBge5i44zVtbvrHYIQE2tcTUX8tD52nuJmt6KtWI4yqE6JsO
9BIk6FqvTMVobOw18t+8vGiSZXCyi3U/8IKceM5siKLUBBMLO+s1d/hAu+U/qpDbnVuGjHmjRB8R
zEgyuP8L3I3kSazOmUIRD+HwwJu9enm0M5l+TKbGfZ25zm6Q7XqcYTXtYPsv6w3nRPwMX4ifrWYS
+OrkAt8BKqz+XgTRkq6zs1MFyK9EwASRgqtYF0eZz2e5Yc8wW8ooHFQsqUeRPASGt9cBCOcUwUmU
WrYXnMUn1OtDwgRn7bCsf88qc55ME2Ws2N6xXKh4MGDaSyVbPg2SCclamDAfirQ0PCD6gEBdc+Yw
2oC3kaZctGEdl9z7QIb1n7D6T/hn+TWOqCUgv3/Ulq+H0G+71BTmNbREy97jkWmaG89za6qLuOvl
2Z3fibLnx/sy+leUIGxrdcACnvYWz5HDwXYysAWlo25uqGaSocuBr6bOYpdi7dUFrHyobB/isjh4
pvVfRXduGihUYoNsYIyYdSDB1LVGhe+Akj+hNNwSOwc2auoytioSG6iCrRLOgdHYtXWNj7cPVfQE
g74PjTKKbVV/+CwCiXcn1od6RGUdSfHtDBB2Nvaj3wTH3bZurb8MO4h2NslOGAqpHUklcTNpO98l
W5xgBfkLEySZK+gu6oaFVHMbRNRpQU4r+V5mwXidIxEcWYza02j5UdpXy88UrV9CAu+ZliO+sXTB
BEk8mEvrpUaJjWNq+x0Jq3us5X/1wn1eoRD89i3aT1Jjg24Ki4nfArk+i2qQSle7H9bCbIr4VT3V
gaqvdosOGD8EQpJuQJJG+d9s5mlrGuFvJaZ000A2mSNjt2qwK7REhqo6PNcBKg9MfAWPi17uRCgj
9kQKwa6atz3acMCLxmRp9eW1dKCIYKl+1rLc/uu9aPtx828j8D5Nb6j/jUF7ZEB8Un59mBtfHTxU
IyMCi+rZX7c3RuMttiTPpV3DDVcSmaq7IHyfzbPrBF/t1nDO9J+LM6yJ2jjzTeR03uRaj1DMnAal
o6rHcKrRnq3hzwoEC5aL6Q6ycZpKSPIQEzFDX/RQrJL4KkgechO6RE8LfrNoyfKjmIr80kDvQRTn
TOTjvItmp/4CpkKkN5n7ZuCn0QdSHGkN+QwMo09K5PeELFmfeWbfNs9CS2M6R4XxlX8MYF8Z/juk
1133cIW+uJoFeovO/q06fBG0NuXHecDbCLaFIHMpQg0kq3N62OWzNXkCZ1YepnU134VDFK+6/fak
yoXPOFqhJ2vgvq0iRkb8gyhi0GjV0cDI9OA0zvySVVt3Ybb9rQqFbFiUqHJ940n24r4KFiOSqXzz
U1XmPEimMoNdOG7ehyz5S+xMoUXzKAUN7bJNnXuka9NVV09haSlmIjLYQClZztnLoubHyiruRfDR
yypmEu4wNvQ1FAvxuHWSj4wXVgEEqApDeS8iyqiZb8Y+3VpD7mAefbR6Vv7YNAZf32LW+2y1ISm1
7sgz7T/QPx6QUe3tzK0RMOoo3qRgiEJfzLco51sdFRsasgaXjOu8E74YTslmDcvVxdmFNBKTWETR
/d0EGU5Hvw9eGnc2UrmMDE66YPs3f8p7BI/bkARmYplt1y88Ijq1rOGzD6fr6s8U5iDy+igX53ET
JkGk3cnVcue0OUdZYHrYZJv6NubRPxkuDl0l8mNctuV7NqGvIgiKqyFAsPQ2VN/ZsB2MmappaLcn
Y/WfXDn8GnrjvxVtFX0VyVZ1h22074afN5KMSD8bPzoFKGiA/7KRPLdm9+VO1oogvkJ0TfDguS/M
n5XdAkAHUaK7mvMDzjuGwM18XO7uoVG0z6a+S44Wf9+YmY6jZj0hhHTCfdtoElSGf66F6WJh+fYw
yL4tasH6BFibOMUIKeI/3c1ihb9xR0e8w+783N7DKazSo12LIRl0r0xMT374GCcqk/4c/IUorTN9
5GCFmqyHgzuq3xOyii4CtFpK8HNlGLipLZSDjqz3Q59/ka19HKjccV1ybRuyfq8BhMWBj4ChnquK
VBN8cFEnzuvwHw2nb8JG+km2iDpG5CREPfne0sJFFUS/pzU75xaGh8qeU3jkGwbQLp7N4plcgPcF
0yOEbfBsLt3n3Hvnou9vxJol9GcclzYvErAm92TXQHQt5umYFKnuqcujr0o6v7CG/2miu5GtprJO
Bu/9Vmu0FyQqlVjAqkynPstvjG7xWoRo+KeOygOIsoCUmEzabExrDeTcqe2plsOZLIcnLqT7wSGN
HUElQHqBwnRfYnoTUdldFDrbdRhYAe0iYaB4EcQuHbIFM6Ny5OtaMJKEMKPD/xydx3LkOrZFv4gR
dKCZpnfyXhPGLamKngQBWnx9L/bsDW7Xq5IygYNt1hkVFLtsHxsGD8yrDSGOds9V2GBaq+rMG2XX
okonYOdoKRyToL8uS0MdcH0nZ5wO4Jl2censM+ooC8sHUwtZvy3+9Ag1YdK/OohT80IeV+X+FocV
e992bnVHvA8MBA/W/0Qzv9pdcrSoI526ONfIsc2y1YTqoHd3d+B7tuUSmpMVLP5bZTHfkmXkT3SW
/MXFmv/OyK3rTdp59suk7eg4ONGrJNhw8Du4Ez6OAoGAzdDbLUex2tNfFa9Kggr2C8QiWQAuchUl
+fi1mDhcIHW2e0o2D31aHzEm2N/UfsuAGs7ANt4CGUKKU0y+WknI/wP/RxI326hT026cuRRj7TFV
ZwspWPtWWfnjYnj+4upfLV00p8WzDhMFuQLFiVg7w6bRL4lOjqoyG+3n/OOoyyBU3wpVi98kIpDG
Fwlf3It3NayydqH7bdGcWKwtJKdfCg7YWMtvqsrfdC6APOT3Nmz5Df8s2ELjufHKQxDO2IzmYnL2
2sXlqQzkO18AJr68P1fV8DAL+yV1irsFKP02cmEmNNZZ+/qFdt0Nzc7dePhKG9ctbzp2gyeKcd80
+3rcASpEZi3e8HtS6T0boxyerM5/jpfdm7A6arsQj6Hrej+BqaNTQ8+b0L1fOmJTMVwUWOEEBjKh
1adXmFbtmpA5pUL7fJxTt3L3Idu2uO7/SxHsdqFockIRC/FVFf/RJEQLdzrQjoBVEc3WkR1+5T4c
o32t4h8/QPGdsEm3oSxbgvOwhkQ1JpdxMuKP3Y/vVlf8Ay8htpK+/kRxPyb2rcNC/pf0+Q72CVvF
KDpoyquDt+ziITm7dsel76Nt8XnPfG+XBuIoiC/1E4qxKM+eCQ5lor7ChE/CsM7KukdAETWcnESB
qZak4kRYPZm2kzu2Ab4M+byzIvnuJP1+9uUvMv/eC7w7U3LuQIqkGGWFZG+xTMfj6NO0ERwEX/BK
CXf6YE2stm7v24gwcEnxNEnHUyC9sy3aDoZkunWSepVsCvJVdZhjbZFwbkIHAgiS90q+Hy+ChdBb
bmjy9hbK6rwACPDoyfuPFM+mjVHRKcVKwhiEwazMRzmkZ+Knl9yHpz6unzbD9O1ynypncl7qhryk
BmyeNCLf+1lk72ufh7MSxAWIPijZ73E45a6CIJi7Nk8Tg2weZj5SXDoROk7WiE0bnqt48BDbwqdJ
ZT4ahV/cZDh1v7JC6wKVtZ/XIXnMK3PuSKuB8F6nY12EdU/QnnpXN2eY54RqrNLlRU0d6Dxm0/TB
D5xA0mD9xqn6NrRrDSnkOMp2vGQI3y9b3/Z2JmrkXefm0xkXk810R89hIHWLl6RyXsaestfSmbPN
KPI6ME28I3VdyygFKdWOM0FCD1wftpI35CfXMOOP3clk7rKtCzxzxQ0ysakEm2SbgwggLS4/q4lj
Smak6jEFjJWwAaj7b4XATdCkH0QiP60VRYENkqOTWQ33OeFNVycgEnpyppZ1P0nSfM1wzqhwaw8V
VtOCt+bl4PTxc0Pecy+SdvhZiHNcjUDFow9BIJ6/F0OTfSpCeUhLVGyHsIFiZzVvSxc/xn11gvkR
LB5Glfmul3BT5/O5SMcjrbzk1Z6oOJLzhNSAcRbmioHEIxSTkKDKQvW37zkYQOR1OG9K3WwhKOkM
pfwrC8/d2Pn0r6z5JkLdoXV3EI1M91JOzj2XD7ZD0p3yelKHjsW2fVcOK9wpwhUXAIQd763L9X+h
Kl8VOeFjThn4JPJVGY3WMMRs3NeWkli6pQQV7WxDZiWv2pcltXBhCBYlrhdTfBAbiy/pMcI7p9zQ
Ff0ZRzTfBmESgwgz0xbe3XNrs3iuYQ30ARlGYhyN66FKurG0mr09sKi50q6FBINrYbqgea0MEfCW
Ue81wz1m+19q57/W5PbuzpRpfJfleP6CkfbA8vm3yHho0ax4mqOAzRVR2Z4boBTvhbRcZoaZPgU/
ry5hn+BQoAwH+kDYob+HUcHgt+TPRBdrsrkxPxg+o+1DTIh2I1SiX5qk2wXJ+NM68yEzJM9qm5ZZ
ayJvH+nw6BS8Vts644ZfpltMeadrRHMFM8PzDgpJigGl+Z3VVAvoO76wP54AyRJab5IY+1vc0PJp
e1Feez8fVvAPT/q8YDMfxT2M6Yy4PgtkBLq3U5ySKfWP45z4h1ZIdR10EJ1IwMmchyqzWVoRXKUU
ug9X34492zcrhRflxW3/3oSRAwoe0R/9ON0R/cXCq73P1CtBdLm/VHqqwzxa2c1b8qu/tCWKMwd/
B/PjnPYKgEYRn+lonuIl7/fsfKEjXNGTXNFm8fDoqaS+iLTfFHLiOdddCpkeIERpitRVtkszLm/h
V+5bTZ4bGlms7lsm52BLYRaiYBMHx7lWwYPFAqJ5R9bJO0HslGfhK8QGWSLHkDzZuoY0oGK33tWb
nXjvWPRrQwwCxI6UilP0r4OTs6ThaUDEujkBEYek7NtyU9nF8Bjp9jT5hYepT62MRNH7ugdvTNL4
EBKp2GEpkgT3F9ZxYnuxt1iwr5PYUJ0Qrp8VcG0QBNlj7a1Sb+Nomz6KflgXpvNTZSNC3SGmdvgt
JzWjCARdWv2dl+6LZ3/yyXsoJxHF9OT6ECSq5Rm519+HOjiJZPxXzWzy2paNVZ76RX+hG9wTRiaI
XIe/LO87+bWNa+TxER+1s6N9GJDDIgKya2Qf/zeH+jFhyjIL+OHAVHuyVngiQVJxrtlgCNzkBLNU
b8GJPs4hWI8q/Rzb+aEYnFNOJzx2/aeRU/nKk/akYkwQDnrCpD/lUDw5dQdyrHWAnoEC33Y9w0A2
MU1i6zymgixyV167gopyWb6PkXPkIXrhPLsXlrgqMvfo81Z2x1PvQIklJVtYnzPWVey567huWFQ0
i6I8iBwJmvcwmDMGE+Qt744P97m27d98qt/5CLG/rrMBX3oEsL7CIhQPZSKvQ0M8ZTvV8Ve7WCRd
CcpN7WROqkRUmSPs52LWtypaLkUxIbj43oFc00OEWtAD2Ng4DfdMU94GzpRNaof85HgKAcaG+gjd
jsM5QrLxPIxMfj0w68bBe4jdnpaa3fPoU7Jqv03gfFIt/fK9+hK7M+9nYgz4gb3rxrdR9dfaj61f
MSVnOK3Yn8ReGde6i9CY/04HwbxY2jcDInLT9JjscKho1XiJHa0UGvuQUTUdJRtd18OdmeuAbEmo
de3fi5pwppiq7eyEWxPph6HRDHZWBiGzbwniN9N30Y2vwzIT6smXryVVodrVrDCaju7ojwl0t8ZQ
SRma7miPq0RrcNA3toGqwKwKdC0CCfbkS1Jdi1+XuCqavY7MjNlAAqOhUV57Azwjcs19suf7OjEl
YIlJeV+j88d+xsGzDP2BiHzCMd/9Jb3Fr1cv4UUFZtgwzK0r69gvS5EEztkebYp1L1zBygMdMppg
U4vQtjamEfJ3qP12b1E0bzZRXPjscnO61y4J4s9ytNN/fZBGt7JzUXGaUKhDmtf6zckQm7jpjoXF
lt9Ss2OOtS7AHwxnQVF4waseIya5Oerfebk64wYU0XBqLLt78tOWZJye+DfTX+m9CIifnk+TvaI0
J5IsgZ9XJyrma8ks3EZ4qCHuPnmVZjvHA9/EDuJOLdPsd6zTc2wJoGtZnF0c33hPwvV4VC+1qLpL
oh3zr0hKbrjWy3/8iv8RnL++ePYm/iNTKZ8CWlmzvn4IP5SYJT0EWd/NYWDMEfjBD3/fuybpnYcw
LnvkWTIqUJ/AzaLZL7sEQTF17PLWIcwe/GTkIbNW6JrUunch8yz/b6NyU5K78u/5e7n7pQmfFleN
HAdRDMGj6o4p80y1cZQjdloF+8GDE0Dr+S5dhq+hifh/y9wcvLSGNcW9oAovI5ODRenWwKpqV94m
cUDzQ055PA1cmNYm6K08282ZMLswCK3gOCV0sysgSx/0VOnLa/o7WAXNjrrvsicMQoQYMF8yo92k
Vn8qw3m6wWaw7rSsl6dixhJBCAo20snpY9uoNGEgiQaVRMna/lC03jlS9Np78Mw2BpI9YNsVBuGT
4ZiFRGOsFAybcygzSWelIg+VkuY/d13Z0j9vvfq5G+gbINTavKVQ7dyB88wFDwzNDiURXEERRJhu
apLEOQizkFpvLk7Ic61IJpYPtmIHFah8UkEojp471J9lgKdKiyd/DKTu2YadNrc0crg83aHatX5O
arKMn2XTjpfCmbPHaUK1i+J0BIGAXNVNAT2dufpx3Wo6iIBsNDORc5wmRpueL+jFDwiu67IIcCCr
pMJmWCuVE+dlMqofWRbTJzANnqhNRbMyRdtLO4bG2ZYfVQJQ0eEeOHttb0BtsEgSvjfrugnAy+qp
bpbyy5VFy4DI/9gVc7ofo/bds8P4McBxgytqY7tgMHvpvvICR+/jNAv/CDwTOLoh0eMSLBS1xSHY
T7zr79qoMc+ErIghDFVavJnS+tuFWTKQxbeD99ibrB8nU/GXZfgTWTsEHyDgiBmm5nWw9Lk3hk4q
fC9IB/rQqvrR9ihGBCy42gxhWJ/6LP3m2SH3dRsRHqBRqCrnKVwVDMtqH4OiyS786jcZ2bJ5lXfD
MOYhTmao4/evKOgt829B+Rt2NZyKp1nxI88Tdn5LY28jS4g31O0TWCCIDeR9A9C7rw6u+b7WbXu2
lffPTurPMMzvIaqKc5NiOW3GOfz2hiFYbR19NvOUa9gH4bwvUEwQUgt8sdU7I8W/ryCWINB1L6U7
MCvp9DOBi7UBR7AH2pPs4sj8FwZs0O552fN4CGZ4PMwNqvov9P0XmeAc1xp1tPE+NU3bXd/Ux06a
L7tA0wVhUz5VfMpuo8tDN+1BELDM6Zwq9YeCd362+pY0WmbfnHAkpT69eHWnNtXCGUlN1drYrbWH
zkaUblx2g+SksEYO/FytPbIofoxQhgdYbHvJz2KDXkdgJowPFcVaVpiSs/KQAJwmDs9poy5SxTDu
1giq9p/ynPx/r/h0d457X0+kAS3LKS/Uok5h5V6IqOyIU75kXUv1Qzym/NwGiXFFzu61TXmU2n1w
pdbLlu4JadAe+BJ36Bhig5EVH6eWDBje1/8BFD99a1vvtquewFy9tEHP5sG2H7uHQrTBnh7HXsGG
+yGxUn0a3kbd2RshmRwRXMW0rfooIhXtjW+LnRHVF8jqMfWIrTe0M9pz5H9YQMUMJ0aDsda4mnqu
Dye2bcF6ScqNcoaxEo6nSQVvoTZXMmh7R8jr7PZnLqORn23xjgEGclf5n3LgI52VKttlOSVDpeo7
25XTMxb18Fal/TllVLzrGkqIjr6fah82EcYBuceSSH/1qYnuBQSH6Rwuw6fGHOL10FK56fR7N7j9
c8Y2712s3TtaoiNZ3QESVcHGep9Y9Z/SLRcuA56BXucSuqp/Hd868K3/oHbsbt3Sf4QWD0cJTutu
4HUJNYSsWUuHti/999G230h0PuXgEXZxwKFAJ4csJ8zk0Qs6mEQhE0py4Al3tBa+zrbhmNa5AHS5
QjfHgyABsWJd+uhfhXg0Y7o8mAy7OqUU/59t6Ph7lTSfsrK/uyBcThWZsn8WEUrss+Jh7i3al4s1
EHfyb45dfVP2/QOPwzuCDBl5njv7socNB+XjIGST03KxmgPNnwMrWy8Iw93O70pKeDRHEKuXfF8L
qGQVQT3Oj3q/AIoeFUjMlix+OpUfOXSu2ongVGWIRnVkvXk1rQ1OnOUBm2Ar5wY4tApdZAHYhGcq
LvFeLcWraQdodW49neZYnCpVO1ujG2Q5yJQCiWXr++1zEy32seVd6Yf5wzQgW1hupB5VPL5HffQw
5AHVXOiBGAnmWIXmGoE43cf0Hsctm0Gm82oCHqk1o0/n0j/F0fissvojbKyWysi0Wlp4zkgmqHnN
QLRoib2PYYLS0ajGvGdc3vuEMj0Q5hRQmScB4Lad+14mrj43MOc4kdk02eb0FeKy4jHfGkqaqTHZ
c9wIc8xav/qPsQ7YAEy0M7M/jqBOuwcNUD2mzs7t3CYdbRm3peoFdqabP8okUh/BRDbccwVReWuk
/68XqjxRdOcFjP6aNcQ7PZIukuTOIM2xxXPlKy4JdJ6h+4SuMmzDEqmiK/WZYPAHK1EfEFt+kLAp
GNAmBIAiQffvgin/8ORcvS8dJvgkrd+pIvNF9PeiANGh4xLnWbLoIcot7FOyfTUaNNi3BqOccOwS
jtfETl58jnTmSkhibXokCLXtM9Hc+oX8NxnhDAMrKoFYecR8k12xJo98urzkH3DwAgcV1P0XFD1M
hOE+FUP0I3l/7ZNA0MLGnVDPEEYR3lfGvSxcahcV9m2dq2PdUhVyZjppeYVTyS7oZdlKbww/RQdT
1O0kK4rDqP1LDxN2Qp75WXLpvRrVOQku2vTz0SllQ0CJgjXNbbmC+jp/eOLxw8GeznhJxJW+kkqQ
Wg/NHc3MhWnQt19dJoaJ8RxXKstMyI/JFvAnFnXmGt/VLgXTYgo+hpxq/iJa94ZSX3a8O7S96Sd5
57T8mRz/PJ3tNAGfZblqgAzXndgele5dlOOEhRR8Mdr0VMbo4WmjT0CnsmsJqoDq3Xms7UsepPyh
7uKcZAjYhNLejJuEuzvR/4yKkM5q0JzzMn3t7TXvb6JHPoaPYmZuXRSYKhPvhFMDkJIPVTu+ryzW
PYw9jglDNFC7BPf4O18qgQ+ZC5Ij0sUAHAtPHca61FvSdR+wayqkF3XqKYYd/Nx5GnwmojwPygeb
z/K36pPwTzp56nc0xE8BXR7SZP7yXCKPgDtu+NnFJW5zyGS28XeW4wQ30NbwOfGlSIseFofAkKax
Qd/3lq/XAWgQ9Ccmtjkp6KNCWvcJEH4Rd5JntK9z7qoY7PjylFVZiAxqM1Q3QM4c4x36dd4JHC6j
Vk7/Md7thaO+vIiFGw4MOaCU5yKyH/n7MlOgHMHWi7ZRjW6eK1bltX6EKlyek2wKP0eceLcg5J4r
4M09Q9oJZsVjouL+PR41Ld+CKMUOnafcgL+gdw7g8N4PeAbEgzhOLMKw6/Evh9zfEZio4wZv2UiE
T5dwneoSiJGY9jD2ogMkrXtf9nijbvpHsagqCs1IO6HcFY516Of+L0dfiq9R/cyKwB3u2q4cc5iF
CLM7oOTWgbHLPUu3WH+orBiIepfIv1VI9k3SzvbRHzcxheJwCj+EmdJHI9nuwfVkTO/s5ywPd92y
3IuFxEUh9G+XkPFo7NcsZy332BUssK/ht3StjYKqeDECgTAfgu0Nn7EVfcRU4DYt8JqzXatmM1G9
vZXVjCWFEq5I/eDRyeRPqql/2MQODcsMWJFA0ibFmW4FP+lGDZe2oABNtprKHUl804Wkv7pKEJuI
ztJvKQcuUGbMDK7L7pADA+KxQyqvspzvmyEY7kWqd07FDkbLGesrliBtKodOSS9eo4itMUjup0xS
fgfDV9v3/SzuA9X8cmXCmSqTJ0tRAWkT9056sjuRAMb4IShvvxVqGV/qkIhP14LnqOR4NCtBCKrb
NlR5/Tn4pA6yBmEuJ8voscGC4ipY3MxO75Y8OUO9hDELDy9XbAxhH44H3pEiCTkvl5wdwweEqqjq
X/l0oTDEQ7VfGWh8YXCKAGgMu3lFhQ1shyfb8LcIs/OCMgf2YxCHoKgendlvX2YLMbTPXBhT6Q+r
F3cqlu/TEtzlmXQ+/Vg8L9F0A/UHsLFP7x3BeptGO3fsC8ELm7rmAb2q3KY42M9p4N5bcY+pqu7C
qPozJ/mHX/r47ZNHpnL+0AkTWt8g/lRD7LxTz7yUAjMHjspbVGlx8Ad9Dx7/NodyvGMGpT+e37Mo
4rka0ydrKj5cqOLaxbbxk+zJbudratHLl+Th3IiNr4xasdF/5GJe0pXyFU0QZJvIu3eNnz2R7GDC
7vDginz4k9crP9yX4l4QSj+LJDS7aqHDyMbUCbjGcHTCbgDOymeideK3qmz5DU6PkvS/K7w7QgRf
I6+JI0BGhFEo1JsG9kfIbnGyFXzdppZoqY20qvwTA1VJF8bxAHSEL12pXkPe/Js0ToGeQwgkXW/v
m4SFtNQAGDBsn893woIalKN5O00hLjk80jUkU5X/YssIHCXwOYl4NAFYSxbZXfI2sf6wcuU/FOuU
npWKHzU12804qvGU6EGnR3r8hG1zIAgfSASYTTFihaOPpR/8tG7yB278QXNwH6rAv6O+p3caXj8V
2FDxLRMvHdEWbQ/vMpnPSdKWryZkX0VA5/HC5fZviCbUAuqRlMXT7C3KUU8Xwr+0c92NJSs+YVbz
JCeP2UQocsw2l1Oad29zIMpTHmCOJL1GqwdJtbHd6MTDlgiGYHlFHpY/xPhemRdOaF/5Fcx/fs8j
yzzKPBrXKrV5i+qaN5Hv8E9dkyrtl5qQmsfGmo6Og3jHqcA+m8WNWfypy1l8mjYEA6UUegNln+LO
E07HWyiQnD+L8ZPPrPb3+ZyYH9ZPMpQNg426yU3sgWw6BkS6ccXI9uJB79to7i+UxUnJlKEpoF1b
UIzgyA0uH2F7wHQpqaQu1Ml1y8qVZYYTX6EwQWEq96wT1ie3YleHoF2mEvfq68q7r6mNHlCpn7rA
tU9lgXcfFBaOmtQkvETxlWkHtbhcB1i4iRtKL+OlTgZ1CNYa0qyznFTOYIUXe7GA+3T2Q9nYbLAZ
PdBCo76S7hp3UPffXKv8IBbI3WWSEGrKCEUX5y0Z/BcIgNmTHOwS+mU8WA8j5OIfQFIs5SBy38ft
czu0N6CMnxTSbqXb662zrCpfc/aTIidEQijwJDofImdTFGAEeHjzja/zNxxMOC5BcZWN+rYoOZGV
L8ZtPo5EHNnohjJNIiQHAZnyd2PTEmkIl8pB3A+f4ao3sxmh9tp4AYXY0z9vnOYnK4T/HmTZfGdp
51RDu7oZVLGLs+bDBjj70O3LLYiwCW4hMZ+s4zsY4aDzR5AI0YWCEsjh0Qfz62TN7iaSzke4OMeY
OsnJjymuOeBgrpNDSSYtcPvI5JR7O5lf5sr5rBAlDl1HomduWxaYWWXPYurZV7esd9KLU/cnpNAT
2t9/dZeztIrtKLKJf12AzXVRRIeMzyjLodyzF8j+e07BOXp1uK3xE6gjUFzt3O6p4eIh4UbAqELJ
YPVKFA8/AfvpTrqhhhQ649kVbNfOxyY45Q3x5qhiXIT4SjcgTdgIjkey2Pa4HSYmb7+lsTPA79P0
de347FoIXJ4XrqKCl9S7jv0ctL7Kv3GOoa87I/cMCNeMUvqL8K18OHhLmkcnaSf+skmGZtd1Xrht
zPLkt8ktm7LqtfKtc6vEyWWhFaysrZlT9RQUNnhObySsSyQqwuasdmu4YT/Edr/LaqxYSBK5/aWM
GU+OtF46DuGDE7cEgX2C/Si+cjwP/3c+57F8GCsci40j3OzWS/U+8SIQ2zEx0VvYpHvIAtEfXfnw
9cp/ESnjLZ7kqfVN+xt0quN6Ludr5pbev6mffi0NdJvK3MI+Lx1GW7dfqNyk0XBNiEw9Yn7+QCUa
iaE51alVJa2+rG99lmv0hUOcQHfx1xB7zSWxw+CzyeDZRhO3zgja44B5wSYPb/C/w45QwIY+wXZq
/fgjCMb+RTrO+DRoUTgbd5rnh6ZCcmcPXHVVLBm7IipEDzpqzR5HvTlavAoJyc/XMmcj0KnhGU0F
s8uf+8FpTm4YUHgM3CaKICY01UcayO9icoedo5fsp2ci/9smXrPvZIaUlEPgwKuyHpMhdX+X1r6W
/sgtjugv79j37p86bpTXIM7thxx4DphvJptbZ4/N33mcq7t6QH5m3s3+Oe1M8yRxa4HFrfIz4QJW
dbBvIk7ae6UT+yHsGn2wBraoEU4EZAmgtX5NdWLhXGraguuWFITcZZ903A7poPDoJ4A3jTJ/qtb+
tVjse/YS+teTjul5SvPtF84+nFizMC9lf5hUhZjoRQSd+ZKwsKwnTJiZYZeNZUHF1MAqN+sOBbKr
e4uc27wJwiq9H8qUEoCcBaYDJ994ilMzPZLfn462rnheJ9TtGGYm5wgYV2h+eHScr4QfMQeILb7V
KV0V3pvA0BqfDFf3UfPMI68+zJxhxcQQkUE1IvFNlkxRUE4IA6C3q7u0HgxVM2e6i8bhP/4DMtes
/WpjDNxFWODKfB1cB0NpBUNXMQAFsjXea8MRcfS5C3xAG0ExHZPJL3NueX6j+7ao4veG4bp1rOC7
kcLjTVm4O0tZRHnB23h+T0xhoLpvTXb+NEBk2XVEomlV83naBK15zNYIUdebXbKof74Lj9zt6rvU
+U08lT7ltn/jXdTs+5C/fSA/6ZFf4nB6G0N0ZzutP9KKnb1+NLz39cjksfAzgMNEhbJnn1WTA3kO
lUNtv0nulzy9eAEJAtJg6RHNHuo4G5j6lHSka5fPeHrWSVNjmVVKlGMy/zm0QbvR++CbcXXWhiVs
kPRGXnB6LChdQAYyd8VSr0AphoS6I/NjBXQVFsq5gNcZ8vCmHkxnUfXoOyeGiQ7fdZtw5R0ZKwzb
JkEpwX5jpWvA6e5gbpdZz6OuNuR4c/aEIXai+XY1PUdxqCiMzSStTm7mu7QDQURMACAOAbF6sJ8T
holPHKOvbb5QPH3AbUTZMcbrmdKFOzefjpQ9i/u59uneuJLJgE1Erk31OoA60mf1GS7DLpLRGStX
08YhDJSwOCOSfU/nLtOHQnR4xxUyjZKY903Y/vL84+6rhjuaErcgnOVr6KfnOVjrNOTrCP4km1Dz
FWHtxA7+TgFyJb7X2v9u/Nhli5suTqZvPZYhz82Z1YXzlonN2VattyybAIFiUyzTU8zIYrRvb8eS
870AInYqSvcBAVJD5/YyiknZn7CffyqBzUp3+IXzrts7vvi0C9DxAhTsNvDiS88kLWtTPjnG6HPq
1PrZb3NxV1QyOuoiyF5qNtRR1gmeiiyVF3KRNAXa9E/URc+h8s7+NL0qi+EpzQdeXp3Jb6nN22Tg
LACn3b/XMFGoT4bLbg2PTW376bDvgzmKtT1zfqQBF+87vIwdbISjQ9jQkIG2nGHeE9jhpimwZTUN
kqFJT7aThnQQCYCMqypVpQ+LFslDPSvCl7X7Gg0opNOUr5AleUwpwcx5Ox1CSDE/TlhHXy7GP6q2
ehsmHyzK+tpCSbfuZVfXT6xpJ23ck2SQxTGCKXFM8DbEEuKKarJzMjgv7joEFtNP7Rd5TMSaPeZl
NSCwozGWZuBMdMPPZTQaGpPFMUgz2x1+Qj8mNOBjH1dRczfPonoW+Itrpd4wj2e+Iynuc8Bqzbqc
jhxGrskmoLRWByfL/05t9kyh1+fvzxWsQ34kJqP/3FbNy5J53rnI3JGZnPwipbWejWX1/UL7u05A
E0dtlh41ShvAXcSJNPLFLZN5AhSBLG3DGo1HO6A5PtAAfMYDpmNeF9nOpjt3Jli2Qc0QsOLHX244
cQob/yWjm4hSnk+f49ztuhFmv1M4w6kvI0pSXeYJaD+TfpCmj7MvmNbt82J669ZWUF3KqTtFPqCK
EmDM4+LSjIuHtKUzAyq5z2JiVLwozr2tVrcv8lW079m7QtaOoK9/CCyr857xI6P/fBEtz74VOVe+
X3J5K7icD5FcMmz4IPzFclA3b2Tcr2kCQxzQxRMFWHwGr2FJk+zpdkya24YY8CKCHBJA1MN+nIA8
KF7j4P46lfYX6tklEXDhduteTKohIrTYMss5drXLaD5DC5zQeKW9mG2niWKOwkMKXAZzBO//kQpl
nWtd5fs8Lx4MTMVLjoaMJNNuPTGJh6CWiBAAX0nYcgezxfhvU4d/ndR5rfIJJla8DAHzRAqUMyDU
gcaf7bw12Dn6uly22dhXtHijcWdFAKQSFu3VZqKL1eZfqsxKspxsX04xN4o0+UvhaZvzAf+uCTYe
bavDGUkWdG+XiB/UDMCtJtomml1KnvCunmRSJyHG8lYyzJugZj9NQ1P7na2O3WuYBf/owvDy6zIG
zoCGWy6W6sXL4pxBp83OXuX/EGL4ZozrkAh7YHwQG9g6BvW8r0l1hawq/evSIGehbSP6t4I2+WvM
sgpeiDn82S6bKew6xVtTQqOuJDWF1eMD202a11L/6CwooIlLQI3KkfNLkpIT2AonIUbCSP5s8++k
VtRT0kqDqN9yQva8RMpncF3wmdZ4D1ur2eLUKQeSk0fialyKM//VHgRp8OPrZtw6oPmR0zAUDL+f
YPkGYBqe82LEHrcpTVIMw8NKNFRCMsRAfrJ0vPN9q/rlBuCaHwLQF1S8caWi+JTKOcICnimX+HSt
75z8f6SdV2/kSLbnv8pgnpfYoCcv9u5DGmamvElJJb0QZem956ffH3uwtyQqkUR1DzAYoKunTkYw
4kTEOX+Tay+exRIEjm66T4qbDUe71aR70IohIr0drtx2D9Hfxh7kHjVl+WoQVBdVyIDlJi5KnnyT
TsBVXPtghYqjEJ7xlJQYcq4m7YNqY2lRewwKHelNKoEOd8sSKTSEoqt1ZXM93HRDW1GRhcg4Sqws
oSulg9dTBX/IpJWf2KFtr8LO1r4NFf+Qm40NaQfW0hUkC7RmstK/AH+l7kdgSlQFJSgkqU8rtQZ/
qTpRoalvHR46WDJp9kGvxZWLXE4YIXEJkurGa1X0wGyjpsA6QvKFp5pDQUuekja5zuTuiFrNs6bi
TqkN4R3SPMfW1mzHj3wNINXUlgubJr8bLOBRBkCNVW6hEgR1dNeptos1SToA8rK2fVehyVqxopTQ
3gGJMSfoG25q5NwXI1KwCJyq+hC84itJR+BXiWgUwWF0hyeB5NeWFlOGjERPjy4G9bdWDcVHe9Xa
BD3ilDFgtQ4qaBzeN6aJAEjZKNpr5oXIced0MCMWwSXcmYJ3kUkDuYK1TEfTDq6FEUbPLgvqwh3z
Pl/lgCanQo31hEKYfFlwuG71PmlSflavHw2//B7EKqVmz6Pq7YbmEeW8o2ay1XCahQpQuvHOUrQd
1VZplWsBl48A46Mnu6tfJAMdHarKin7tBaN16UY+ZCWEOqee840WwKKWYwhXukzBu8N94VIOumal
4fz21qTZS29I/X1ZqVwYsywNvnVZ3V3nlk5DCO+oBkmJPP6q9Kq0jSbWctwXoKJ8P8pRKec5jnwJ
YjMo7uXxT+Qom4vaLXgYK+QAPA0KkBe5wNZbb42tjrY5ABWKYBWkhamOhuNk2NyYKSqXWuTp+z4B
apbFEQJCFVhAyb1RTIqYUaCBfzToubbuVUWvdB9n8LRX5eC5yLxHaXptVBhDUMuyf9G2AVkIO2Sv
6IgQAR7EbUJJq4Mu2SPgxRjacUlzu82bb4nZ7UdPugzt7CaswhEnAy841kiU2ZuonMQ3Ua8MN52F
xLqRYZraoZXRFjKkZVmOn2UfEoBXhtoV6ByQw/rUsBVtlrNb3Fc1AheoNNRRoOorqIpjxHEd0+0O
cyPfA8/1p+4gyJnJQYL2MkZMeBOYEwAi1C4rldoAFlLjIxoc0g53ddB5Gf3CC0OXlB99HOjoj1Qy
1IuxGaS9iinDDkK0eDTUons0c3i7lu7BdEIb8JFXvPvm8gp6BTrGLVTt2yPsSi5MalsjksyL2J8Y
NCNF5Z3ZsMM3TCivNcgEvAKzC46AozxoACoD9OCR9Lv1siS+zU2BR2sYqyu60myqYGcjZHRw7RHO
09SGl0eN+uXgcTL33a0HRZzbvcx9r9XQpQZkIiOcSocjpQqCYZVLQTls9+3k8sku49E8pmj5hn7W
r7DBuZ+wQohTxBdFVQ7IraaX9OunYiHvojigcInHlK/+oum9NRvfd8YkqsFcNw2PGCV8K33zVyuF
W6OKniSXbjvK4hc+Zwh852dui/QH6Lgeak6XHSC/H4qG3kWpwLpTQbGgCnuptmItNFLdKhoNsS7z
5NJD40N0FAN9H2vwPH3L6PFtzaQ5utokdkAVYBuXLgX3NML1skbVQLgZhZtqYyp/Cex511FjjFu1
BkEzFjxnoXb5l1LUlhgIGNe5hi5wRk3gCkbiD6WzEn5GfYisQeK75MqtO4ETbA+FMe6IVxwHsC1B
SdIGE/xbcnHXpPkWpT4WlFcw4UF+7JpeuwiTHDTa0BxFj0lppcJiacoEHIfmHTXL+pV05ga++hPa
OqmD0MV2KOUeGbD0spR91fETQCopalWjeunikrU2W6+75ToZXdiV/cWucbhwg8C7weIJUSILNWI5
aJFWS+Bk63h37ErNHgeno5L3k6l6A71LobUcoZNxM1H8AEwr7fcnc2Bpg2Ek5TZ7qVFui64feGyk
B0rvCkooo7LigJTpHLXfg9zrr+QeJD8IzRcrH38otohvZTO0LpIqTOhSeEN/22jtBonraCUsd2uZ
SIBScuK9URuPjZpCvM3wYPHTsXqyTe1W7iTafnGjoRLWDnTI1p6GtmozGA50werON+3HthS+09as
7R4+S1hnky665dVfIZZ7h6wwNIgWqCHmWmXfI8aI7F8o5IthZMfnSCStapmyeRopkFpl6SL3LMq1
SoF+dEBd2lPc+FmxumAX6egQRxV+vEhGIIUBPIK2RettbECyAQA+HQi41F23QHXWakWLxUx79W7U
kSKqy7yhykNZ3erL+FJPUGXJEFGwo9FEkUp9y6jwoSFpHyI3vg7q8srN6uwuR37EA/Cy03gT4DCe
OdQMchjo3El0k/YWSDek/GNaPI9G1VF1zSdhpNZVb4SHyoAkEntth4r57GF0fgykOnXKItDuSO68
1yLoF3gx5pEtrcK6VR2b30TRAFreniFvK+qLaxR3QOBzKVWAjd+a4ZDvkL1C6zwy7wEwl5Ru9BsR
xIMj2gCMRD6Gv+og+x6VKIqiYQf30E9fNQhXfQlypEZDZx2WzatdRTccq5cgZjmrEJFRBJWGMkGP
JkpgUmZNPKzDhEIHUtTdqybH6tOoGIEzlqZ6GHibf5cR4171amj8yCr4q7ZpXCgKugtimoRcWg1y
Ya/MpoavhRb7lpokFFUlE0CPKHI1LkVXHgn3Rq5EUCniAJyb1D/6uh1v/TYOqZnWwRd2yREcLTgC
G44Pb8SVVAO2jSTbfxaZspfSVsY8ld9ygRRat0fvgEst/LoWLBI3pfsk87+YsX9rjvWNQpNlo2T2
XavkzbCKKSddjlL0TSuSQ80RCUYOGPKTSOvrlMQTroRrP/rUiLZKiYGsro6Sg94NHjBu8VBTkLtL
VehsWoYqbYBjVN7xtNZSqhS9bP1Ao+4JXG+CxdXIPV3l9pmW2LjkPhLC9f0gq19ChLFGWWMnNKGP
rdYApdcwXlGCQlx9BMfN/QilG8i6UW58LbE95oUsTz643QAdN5MTitNRy/GktXtpKgeV+rWiqpRt
lf4pbnAYMoq3tqB96KEOC+AEgZEgKh9djZ1rFk+ou9KYNDCGiAFh6Tl9ldHGfjiF9YiuxXSwoyNg
qd8r1yyem7LmZmEDpiton6EBiLqmiy0f96ZVjrF3Qq/qaroFB2OWT+jme26d/qQSt0vQ8cva9tGw
K/OAC24ObdSDVJKaqMtruXlFJvslixy8n08bHJVkiuMBLzA3C35agtQRSQJqhct6DtXLWokn6Vas
OMkcNAfiZ1iyw62lizs/1LJ7fAxfpZBKE0n4Abeim7QU34Ef5ZCiJHmjVvoxAqp+G0mVj6mCKoGa
btNhK0W4h0OVAwXRFdfwyvoNPhjhQe9EsfJM8xadYoYOM2SrehOwz4uSq6oesFtAtj0CXt5vELO8
pYvtbjO91ZFItcr7QQNNWwHzvwqFId2KuEAmuq9A9mXDBHI6KL0ytZgwwsWNDb0HcolMZjfScNO2
aXWs+kFbYcf5QF+FxyQoZOWpjjm0/a7GnyBXr4qJ4ZPwLg1VXiIgKQz9O0/vaquX8bWlyHhZ6TXt
eOkugKHncNXglK2+ebaJkaGg1jDlrSuU9qmiJOEz//LOgHrhpDz7rwKzjW+VIGB9SlxaHrJWCx8U
oMQbXIZpweavFvZpnTDZfFASNqLSPVwNGuXgVVGzVyCHrutS+6EWdr3mwiCYqvgK+MZLnxnPlaUa
axI/+YfO5jOSRS7oir5aF+BFNyg1Dt+Fn6foQGIBBEx6XfPLLjGM/KX0FPnWkakWX+rK+DqYRXvI
S5M2KB6a27Q38DRIChj/tX4IO/1VRjWYMrUNNwiXbyTBgusB1r7PObINJoJFif+MFI4mTmfhoxzL
6CAlFHETLOvoHw5mtZKl7BkrgUezwjoUY0D5habqq0YPYZ0UGYh92QivrTI3YNPzvWNdRf8d5MVa
YJGx003rYFlIHvWRhu79mNTKG2ReCGCtAtyrr1Fwi8Pxh8v1PdT4fwXcdD0XtmiP4dEuNUTx6Jb1
L5nnWov9CUxMA0ZD0/xCO+9nL1c8NaJR5JsBZUOuR6ZUb/o0fihV6SfGQtldF1FfMsA6sQQjICUh
onHFoeyaS/b0ukW+du9bQe5gs6Y/Rl1VOGjt8TQ3eOkLJNbHsWyDNfhz/aF24+BxwEFgJyWe9mTT
vCVZRRJWaFOvubUgQKI3falj8F2hbLCu00y70IW9bYcU/AxCrvcS3oXXPoYDExVV2jcizy/hinLv
TZOSVsXQG4/cIt8gItH5kYOG41CEADiop07Vc0nj4mEBMK+lrpP54ikoaHmMd1pV+T8LtNAPg4b2
c21YK6gdR0nBhCwqy0uwkD+zAgpsqCUahfh+5P2a64+dkhoOxToN9bQw3Ga9d6Wl6kUqNUe7r2/S
MM+2Q0uZw6x1h3CMCvctGkNwC3z9mWqmem9TSrLXIjHoisaD3l8Y7lhvtVALd77Rp/tIgo0v9+qP
AfK5A/YRG6HSz7dUITMu4NktyKrbVKrFrbDoswc4lRmpr1xGTaW+okofTrkjRb8OVbgYRPTY6DZe
OFWP+7ee38EH7n7oHr6+vinzRtYyc9eXvU8jie19o+ESgxwYi9MZrOa7p7UPiYTKBFRoSnAhPA4Z
Py03RVavya1rdjJiS9aw1TyLV7jX4gwax0NjwXjKmv2///W//+//+d7/l/czu8viyfbhX2mT3GVB
Wlf//W/93//K//NPDz/++9+mZliKKss21CNNmELIJn/+/etDkHr8y/L/4i8M5Voacyi0W+mLBHUh
Wv2NCDpXJF02ZV1V7I8RVBPGeYw08RZP1Mq+tr5xt/7zCLzPhawpMJUVMYsgR1FgFomSO5LYqPTu
xdZ8/jsRNPRGIdaBUJ/NEoWsdpQlgYIxBSpuRXyszfkI098w/w6KrQvDEKZimNb0nd59h6Dg7Oey
5W4bnJzIQIBoaYiFZbT1385Hko0ToTSB/JapqLqmG/LHUEi49HoDMsoBubBFfWCTH3Kn3+db/R4o
6QrR4U33Yi6M71RUvo2pmpZpC42V9jEq7QSRlfXYILQJ36UPi2NtqnizysM2ruGBDXKJwFdursC7
JLdJiohyYt/rtnmHredqEABe8UxeNRQ3r89PyOctoAq2gSZAMcsmgImPvyyHNRmQaRqHxiFNm3Vr
CCcIj+eDfJ50+EhE4E6ON5Y93wWe6iGQYjaNw/upuUEzqb7RX8+H+LyECGHCuzKFZSvglz+OQ6/i
2CqFaBxbguaBXFPI4+tOlAfr5R8FssXHQB2NKvrMXePQVI9sj1iOeMkw3ln6MhZ/0cdN8WFE9nzN
GOUQgFpuefteAUNq4R0mb4ql31OieU39X20vbs8PbSmi8nFoeScVjSS1jQOSdngOx02kf+u4j+/R
DDsf6dSqQ5NIERbgfkOdr7oYbYysrlkQtVvT0oeonP5SjavzQaZPPptAWRiITxq2BtvHmC3tUvKE
wpO9cZLygVoiYi4eKiI6NfiV/su9OR9Mnj7H52hkFc51sDzzLR7nXanD4+fhv0bpc5Nu3ANu8rvM
8RzJWYg1rbF5LBkynmIAOZRVbTayrgELRXe6cbDQM7/wlEMzTrSUii8gOI7YJrnBH59jKvmS/K8y
pZqlqh+Xxpggv6AE8P0o0gN3L8R1LXQoC1y2fpwf3ImN/CGS9jGSHGa26pU4oZqTSA7iUk+gLVf2
c5EtJOVTgXBrwGDIpolvzpMSwm4NkHxOAmga+0iBIbRpX4bCvyoWRiRP+2b2uRTLENZ05mjcAaZf
8u54kwfRGkU2IGz3tYxgpsF+wE/wTgWbhbrkkw0RGqUTsfDJPi9/TTZMU2eR2DZXg9kiKTQKmpLd
x06Lm5Pojrymp74kMrHRtQbzJq6dGnL8QtTPO1tD882yTKFy4n26jiiWmddVRlRD3HdPiX2tP51f
H6cCKNwUpruC4M4zn0yUI1R3GlZofIMcRGUR0Wh8gc9H+bw4NCpctGstwUaz7dl6x1fVtnKNKCPN
DRQuNjzWaxBjC7P1OeMSxlZ0Q+dbsY9ng7HcLOUXTGHya/FsYGDaU83Az+EbhbfzI/p8Bn8MNf2U
d4tQ9TsIymDhnBRAdbevrF39QMHvfBB5mpePS13jgLemNEjCpWv/MQqgHujZgqVeboCcbOSV95bu
ubzslE20iXfS5fl4pwZlMIE2B8mUNWZnpAXqM8/hGDpe6dRHBRMq7LoO52PIn7OtphiabbPobEY0
TxReaY2W5jNzBcYuq165yu8S+UqMd82d4jt5vZCXPu9b3qRcyji4OCDZvB+ncBgUHYsXxgRdfF0k
FwbNaM3A+lwhVcXmQzc1F1CkPj/KE1GBCJMMDQvvRKDbH6O6vQcPVWWQcoLxJFDnvxi22i4wqqOM
7lnSJw8Uov/8JIOZpckUyhTFUD7d/G0/bhC9Z73gM2dett2PArjcLa9n3f1hvaAl8Oej5Cuq07Y2
7E+fEj/Pyb6KUSo766LaGYfOwcJkFy7stc85SpctTeZqw23UYl4/TmYNXansRsLoxlP3hjOnu7Du
TwVAfM2ySLIq1OZZeuIszkusUHiSZeF12aZO4aG/iebD+en6nJ7YUtPvt2TZMj49lvQy4IAPOSJp
TyEOOnzzrK8h3YurwVpYCFNeeJ83OIdtAW9Ok23Bs0aenfqdIaUd7VIGhKZD99y0WyQ7O+27OP7Z
iOZxpol9lwXxnQehIZrYccHLJoj2FvBxKX1fQ7MAdQt3fH8+4NLApgz2LqDoWqxkTAKqvrUagc07
kgLzyfTXwMCjjZTBcz0fcf7R/jPE6WJt6aQQbbb4Wreve1II537voLunTwXzi/DrhATWFkLN0+8s
lD5LGgOkmzCD9gIKiDApHG/4YyhmRW21QXdWWjhdTs/l/4xMn2X7SZvMjOOeYsoobzK1lNZZLqpD
mCUHip8KIEucQha2wLTwPi/M3zGVj9+vIS2WGrrzsFdkKs7+LUfcP5zF2WaWI98coBVbyFGo5F3L
ONBk6B34vx313NBdmMW/9tK5IU1DfrckbbSszbHA+UcOvOvcFCgNigz+IV0yqq0YYqPnHkVil4Yy
QPf8YdTEJKJQ/RhtVHKKvvh6fsEuraLZnsRJC/GIkM/qtYi41uoD3sdHpMEeYJu+/rNQs90IlnWU
gHC7Wx18YiUhWGtjBAwY6D7Xl4o+C/twfrdDUUWXLJjrDt0q3oXbHi22roJciblpUz/6QfV0fnBL
Aac/f/9dsXpy6xBssKW5a70BqJDGN2PZT3gbOrqQEHDg9GmN/LOws3yjYP3mefRYuYB55qa+s2g3
t0+mhB7Zwkb59Mae5Rtjlm/AR8X4zXjYHq/aDSqAq/FS3w4O/ip7Y3t+VKdyDWceVyFEAXnxznJN
2PqQrxu6anqfbYwGp540uq6Bs9EEx0DSXKhVfHojTkN7H2+WZ/qkAwwLGsahJajhzdNCu0WYG9Ka
i9LDmvb6G6+c18rMd1jIrauxuu17NViYYWXaa/PcwBGs4vmm6Zo1PzxS4aV+EhuZE1k37i8q9N0T
ptImUE7vQXqxfWdo7mXz2D3BNp40C3IwHPcJzRqp/qF8z9BJO3jQWlLM5dXUOf9J/ro2ff5xqqmR
jm2VcuXHBe4muNEJJItwnQiv0VO7jdUfcr6JKmOHdYtjmyopDaShe0SO7cLWhgc86f32V6Yeu1bF
XdkimY59tSWRFRtQPIdWTw4aGkCIJ0dI0CNx/jVEdg46MxSPukGFuen83flhnFxZ9u9RzLYp/itG
JoHmcmDCrGlvHJCc+Y5Z6I3tVTdUv7+cD3cquzJb/zNps+3ZRK1dYTvJFwXed8fb3/7lyX8jBcjc
2ixuGyqE61kGVyfLQlCVoZONtOKq5Bs+zGusvLRVjihHUFznTby0YaZTcb4YlOkqb1PdM9W/XqLv
sp1JoxToQ505lU6bsULUI8CuKd5Xxp2fWDg8Fw5C8jhRv8j2jdztc9v/G1cDxVQosdiyqRvzFIGb
tAVZC5BNHVsQZSPkMdq/kYXeh5hlhVCxGgT0QQLFMH7eSrFDm3tAx2JhJJ/6E1P2eR9nmux3k2kb
ac5DD9XinhpEUlZXbYJABvdGTQPhUBhO0eYbP0WyOI/EUyWRmiwDosSALgwyYQI0ozBXSouk1PnV
eyofvf9hs7uKElR2lHY8cLBR1eF5NP6mGLOF5bsUZLZ8G6+pmjoeU9TJ1+0P214DeTk/jFNHs2La
hkaHQle0eeZSMW1ATYBhuPf5bVe8NeYu+d7kL4tVHvn0WH5HmmUXq8Hs1UyJJHYYqW7lTbjpET9b
oeNMDUZeg4e4GO/+fHSGoioaQ6P5Mh9dTbkiysoKtJm8KRXEUteZ9Usx9/G93C9ks1PDw4TAVHHg
tQ153r6zqhKhwbwk1OSzrqdIs8O/sJWFc/DU93ofZrbvMNgCEhSQo/GKSO7T5rk0N+qzIhDNuTg/
d6cHRPWP5y8FwHmpQJLrtm4l5i6WnOEntgDsqPMRPo+FEgtPeJ0JY8rmEcLaAydkUE8K8NrCv2jo
k4sOHa5Y3iPT74xgvM4H/HzA0f7g6kQJ0KJqZs6SieKX/J1TQPNL3oLsiVbRq9QcSow+zgeajq6P
RwBFPxacoIBkcl+Z3Qeo6ZdgtykamMWXpLgbpO4Qsr36HklBoGLMZC/rCzFPDE7lRkirlJiamF+Q
YO2iBIjTu6OlN+2RKr6X3ysvcXs8P7RTYegYgHplCqkBzoamtHieZXafOeqX6C2QjLXqoaX9U+sW
jtETi0MDOkDZhTLP5wKq6/K2G/I+AvmPRdyNh/T9w4QIyY79z/Mj+nwP0ZkuCy02nf37qT8mF7Xb
xio71/eUQ1tzc+yvAu8ShuH5OJ/KteAsNLrMKg1nkyLIvDnmxyEePninO36Tb+0vGfZs18Z3WNqY
qa5AqUYv5wOe+FSaTL1Pn94KdNJnLwXFKmD6QX10MNeL7/ByRWV21Twq6UKmOB3HMukKMyp7DsPQ
kjyLygSMeGVslGcFCeB+W97jAHp+OJ9K+H/NH4P5/3GmJfPuLhA0dhO0gvFoO6S9tv0l6KV9vAKS
sRX74sVeWIGn1gVZidNRwaqWlsHHcIUB4J9XcuqMmPDlm6Ta9mi4LzwdTmQK7X2Q2TWi5Ox1xw6l
LvDDq+LGhmqK/jzqDRfsK/SUzk/hUrQp57+bwToEW1YMIWfwhe4gBr7D8WBb7qzt+TCfjw79w6Cm
mX0XJpOtoE+xO3ESseORn4udvLBnlyLMs1CT4ZEBxszJh8vA0p8NbZ+jHnB+GCfWtc5+VVQbddrP
WADDGjSVMykFQH9kh8bBMRwPyku4VKw8FYdnwoRyoddg/PX0fTdddYWxUKExXdVz8DaigHEbv3n6
wiY98el1Xs009aj/K2LeJ6d2VhetW3p4JT7iW7tSr9rue9ajYfMDOVrVfz4/dyc2zzRj042Sqjlp
/OMS0FFIqJEOCgGwrYb0CqvblyBbGNKJx4H+IYjyMUinxDWAUpNjtkPU8SmUfw3cGequ3ojcEZW7
lvDYG25Gf290uA97EUSrBEdf0Pq2v7DmlwY8yxZxLvEAUQ3KJF/ydF8duxeY8f9sTme5wsw7v3cR
h3Ty7zk8DBCXiLRVS1l2+ltmdxeaHTxtpuMQeMq09d6txpgTvmuaAvukrbf31wD2+a+7gTXdrKZk
YeIVsD4/sBMbYOpHKQDyBSC0+doMBjSVJ1H7qQOMTGRq3MfPBry0pe7XqRPE4EkM3oEOvfapdgbQ
q/F1SaWDuZUdxuX4jr02r8e14eDdtRYL0JsT48IAgssSQZlNZbY+Ee5Qe6iBFFpxc3nGnSp0t+1D
93J+9k7s7A9RZivP85REyNOg1C+uvrGwX54gYLsR6LD2YjaH89GWxjRbhH7pS6Lp2HO0NfJJImZn
vJhHypDnw5z6VIzKRGTNMvC+ml+h8cTw6K0zqmHXbFWHS9PGfDC3yEnsgMTeFQsn44kKrs7Fgput
ws1WiDkma4BtQW1tQNqyG3Yi1t/sshaO7ekqJAm8kUQloyWDtoohJbuhKl60Iu4WcsiJOuLHHzE7
OOUuArds0rbK/f6rhsngKrX9r1QIUW0e44MqpFeBZ83e9jUaH0FzCfdCu2hifzeOKqK4Np0tLJWK
S5QdwityPkjABolZtzwixXediw5+s/E2VNKXVk6/CTR3V2BN0OGw6msw8JAsTbxgz3/KE5nxw8xO
K+pdQikAlGaSb0GOA/zobrgNuCPFz4W5U5fCzG6HiIUWhVm25pZOenyldb5yASMvfs153Ull7K+b
qm2/NHZ0h7aZ8SqEQNHZ0Ha5ZR1L3HXQglF5avgtcoemkb90UYe5BzQ7/F1wYAyLoXuOMCfANycH
AIvDlaqXiJp4SrePWtwpKrm+gGp90Uc44OYdwqt8xdvRNr+PavYgV5p92SiwZ7MxJPbfmGPuKP+B
gvBm/zjHcVJQnZ/mOLmx3XVDtQMu2NL5M2X+2ckw9drBfoCg4Rk9C0Jh0ygV3jBOyxvCad+EWPiG
J3oNXO+5cE2PPtL0PEIuqZ2JPhSFS8faadtsZ10ZK+RJ1nivb5baQycy2ftgc7xsL5AxzVyud569
rvur0nSsL5hceOHj+W9zatreDWoOly162FbqwF21EPcolkn3aLSfj3AqWX4YyuygibsxJ1sSor8F
K71rdqgW7sUhOMA3A+Y57M7HO7HVPoSbnTg9Js1agzaJE0Ju92D7XbU3je+cD3LquUwUTs7pCql9
uha7jTSous/TKEZLCozPk6yua2uVdNFaxbTuVgQLKOPTC+J3wGnY7xKViE0zll3u4eoX+WW0L8Mb
5VtU/iFAhkfsh1HNsiGl+RpDa1ZdiNzm0TK26s/z83ZyFIZtIZMnqHqqswM6LHGsUaZpkyhEZuGz
isuCnF+l49atn/9ZqGnlv5uwTosLAxMBtissRsPaNNWlgWynqd4kTbKw5k6v8Xfjmn0drcIFA6sy
lgP2G/Vtpt4U5rp2kc88yNetfIkWBZ7S47O7VIlamtDZF8s1ZfAREmf/Pqt4w5sreHDWN20x+U27
Zp5eLSpeEzAWp8J5sVpgnDQ2RoBo9/2wLg+U5Df2uof8oTgoPTlLfeQTackG1wTokTIe/5m90DrL
bPUGZ3e2F1Wb0t50P/54dXwIMEtKpYjKFAp/6kT23YglNRKr9OAavCaWEKQnbsA2lafpqq1Q/Zw/
NnEi9qDboSaUhfvh2UO8Bg+XB+m1ChHCWMi1S7Fmo5ICtQ0wFk+dRr4XMjamkN91i/JuCHcdL6Ti
vkDm5/xMnvxU78Y3y7d4D2pK00wrAyupZ9Tngy/nA5zaXGDNJ4LKdOPW5yW8WFSDVQ+MajpAprWH
4N9avYakvQH26ywifaZZmq114hFLM2nOfOqRRm0Dh2AC7YjdsOZ2vynWydp8Eg690UXExKlrxYdo
s5Q4mhCgYyREiYbqwxapkb2401aKkzmwXP+8bPgh2Cwp2poStkYi0ehNLodngbetecjvF77XtDnP
zd8sGSqZaraGIQFtcUYHdRAgUWtjhUbkBsDJYklgKdosA9aon/uxVodOL55Z9jF6PqghBzvLt5+Q
fBhecvFLd9M/Pyk/TOTsQl/jXWkkGi/NOrgq7kV7aX1bmMWlVTi70Kp9MEb5SE1suBjWrAsyrnjF
LpV1gdHnQrTpk5z5ZHMcc96gBRTVbujkvVPeIX5h/tL+HLBHx//3tpqjzlGlNIqoo+BQBAdcUj10
b4/WUpBTF7MPUaZpfXfs277Qgyyo4PV/7cWPZPAf4x5ozQj53L10MVnRCuoBQW8vXKSXZnCWBhOj
jSUwI6EzCcOkSHWhFU2Vo/9D4iE3tA/Dm2ULY9SyuB2s0GmVSVpoZYlfzcJNc3EKZ0lCjVSE4gRD
UXERg4CrHCvDCZDxhzFVb93hpn06v9anH31u9c0SBmjRHNcEI3QmGiQ7Cq/jKnHOx1j6PrM0gYcR
z9+gCZ0IAWcJe3lblZ5NEW0Vs+kO/yzWLDkgsD/iy5CHjn1phNv+F+Lqolyfj3Hi4vdhIczSg+4H
coL5QujUja46I9brOOPFProhcrJtK3GVo/i++kcx1RmQ0FNrIUkxvEN/kk7L0JrPEXZrgh1qMAja
Zou8mOkv/LQwaHNQ8oJu/gkrlPlGpYaTEuMkzBbruyJ7tpTLGqFdV9/mpb3NkHmJvb9zN0SRFVK1
ZtAlny0VwxWRSTENegwaaQJR5V8+4jjVbaC+nZ/Pk1end4Fm60Sty7HUWy4a+WuEFeKjvgRMPHm5
mCrXkBBoiXOb/pgNNbWRZMSjQbU7GM5s+N99fInNGy/veCcvLPuTieNdtL/+/F3uzQcXX6kiCx39
tjyoe4trjLESV/Wu2v/5xL0PNHse4JLY2epIs0GIi/Yo4WWz8GVO7a73AWanSGcjdqBKHO9BcEjC
g/KzM7/mN0Acz49jKczs0MCg1E4xcWalfbVfSotlTs16tXjynrxBT6VjWwdx95lJnveN4bcdxtrd
GoOz52KN6u7BWIHY3CQbcbnEtD2Va9+Fm+cJHPHqVFZ4lApaC9cFKFHKv6/np24pxmwJqCLB5BvN
Xaepx1XxtQieG/NpkcC7FGW2DnQU/ak3MpKwurCBg0Fc01EHW8irp/IALC5VlalFw3Sd7VLZ9jMr
mx7X0pfYuI++CHXh1nBqGIAVEetAsQOK3GydyYWeJcN0Wy3ijRytg3onPy+yGE8tZkuxUDvRMWyg
i/Ux1wQU9DWlJYj25qGhSBPQXYcZDifb81/+VBzKbvAyLWrK5hypEg9G3mcaPUCrvqofkUWIfNo8
fbqwNz9/FEpUwPOmJyADmmOJdMCxXYZIjVMiLIwfeYIriL10U1gKMjsBauxXlUIgEiKN46bQb9oO
VbLw+U8n7ONIZsurG8u0sV0u3n1xaI+acSX12+bYpQtJ+cRh8z6OLmbXg0oAw+7s0PsrywC2X2fr
6BowET2xYV8sPMA+r4KPwWb7Py+1LismQnNfYmC7wlXUuu6faKufn7tpbj7eQAhD4xdoKHo3nKQf
FzX2LWoRBqbvlAYiJyZMkK+TPH/l7+Rkr4/7Bune8xFPLglO7AkYCvJwXvoqUHfCK3xAkrZR6X2Z
9k3R9g1ire3hnwWa5bZKxIrV9wKbJAkbLtMLN7nXrHVjMBZGdPJTvRvRbA5Rt8qQqjXMrTlgmVoF
KkxqkIZxgfUitk9y2LYL4IvTX+33HM5eSW5TdUgo2tJWHrEK+IKuWGPgnUAVeHhEiGTlNUtQqWmj
fl4nvyNOX/Xd1UeLUwTTNDq0iXbMcKRQAddWw2P9VEYC/bklFYbPCX1alr/DTX/+LtzoZgjWhSHe
1BAv1oMPa1yycQcumgGH8XSp4b30Bac/fxcuQSYK+yLN3Kq59XNMsWU00mupCKJLXUv3KdLqf2N3
64JiKagU+obzommj6mmn1SB0BP0B9VbbKgibaWsRHM/vgRNXVgNZo9+BZptgEBIWYQUccaNcKcGh
PuKkvNJ35Rug/eYWkeSFeJ+fusRjaxswhDmK528LJPqKcEy48RUhKoveuj66qI9iFHfZ1ddRey+X
yhrdMhE5cXSTabvz4U8tG/Al5DIyGoITs6QpK23v4RzFtZYcNvws+wevBDR2Psipzfc+yGxKEV/V
Cq/Vza2CCnT11dfyQ9+P637yiXzUJG0TYeV+PuSp3fc+5CzDtNCt+27gMBhAJ9xi9JNLV/Ebuo44
A52PdOIqDQzj3RTOUgtK9iloUk5sFdlUddM9tyocXnOV3NfJobyPxgf7l2W9akt1zlNbEK0pUCW8
hMUnxDsCiVmRZzx761LqHIzXd1qOqQgXsR4DBnUNDVzf/p2x/o75/zg7j+W6saxLv0pFzlE/vOn4
swYw19F7SROERFHw3uPp+4OquorEvcHbWYMcKJjkwXH7bLP2Wms/HlneSQt6yfDCJqE1UtuJCNLI
Zf6jgeW3TePHpKo8/MpbHRLZHawo113HW5xDW3vm4J56FN/NXlkd3DCJUdRLyVv3Yw9jKuoiwli6
vgK595k5n7qg70dand6imv2+rppoA/2hhhlXTdicSZrDPDmJuyhr5Jci7qWDlWj6Fa2A3aWYD+TR
0ZldYIyobcT5vTqld59/15ntX/shHQLG1N/wQ1AKsi6C5QlzwotUP3O8TxqIdzu+Ot308+i0Blia
J+oXerkxOzvtL89F7yfgTL+hTKDOYOwgy7J6LCFMj8pU5w6JoVM/yMMBnW2zHOzkp1hfROVDfQWO
4/P1O32AFhT9P4dcPZjSKBoB+pLItcfyvZAa27IvdQeGcvPcAVqO4toTAKf175GWnXz3Vna5r47Z
2Opof5bbzrgoRuFC7y/7FpZOS9J37Xw3lMa3GtreWRMePp/myffs/eirgGKakUwNBSz8MHwTXkcR
cVn0aVw072ChTr+10RkU4Ulj/262y8/fzXYo+sHIFt8O9H7Y35YzHJXWVikvfZpIY0Fx9VY6s5Wn
z+i/F9hYhRlFWcLlOhOYURtu7rtuX9xGzZl7cDKWAZ7AUpoGVei1F46YgW9I8mx4STRxuc29ONTX
aE0fklazgVnP5U6EVRxqeacWCnfM0jMW7/ROvvuCtSFCsDijR9z32rboIIGVqpdIVm+HIXXDOrgK
1FK/8+PERG8IxEmZhPmZLzheZ1P/nSyiOVU9JpnRxRiBrKI0vGlEGn6eFwZrOOedGj0CJBHePj+5
J0YDSWlZC7CKBtWj7AFKh4mupJbXzS2c7wrcjVNIamcsZwfi0zP5vXOjra5JN1opwWpFAlmIvtKE
u5cD1He0ZEIJvfj1+cxOnCWYnd5NbXVHwikvQTQHlhejK2Ajk+sYKtJxkRm3dq4FCK7qj3UdDBfy
NJXQ5Sf3ZZY6Qow43OdfcmwEl9wM9lbWYKY5CtBzBVFMuN0NL/bV7lA2vun689jvjc5QzlygE0OZ
EuhYaTG4MAGs5lyZmtYJra57JmrAnoEOwNZoKIyJf5XYjOdDoeteUcCJgE9VV+Z27mTI6sde8bAG
RmvLlXuuBevY5VtWzDThoFvoaI96sHo6ADmZk+b15RUdwa5lbK3KtOXvEtwG1OCqN93EDKiUykIX
da/PN22ZwIf3hNHpDqdfj7cSCM6y0u8sbJSHORqHneLV8WV2Z8VfpOZSfinbr//FMFAwAm0k53XU
j2XOWTSJOus4THvjQus2DYJrt8q5ks6Rp85sOBKgzNSFvGrd5QgJZ1O2E8Oo1aYLd6ECei6/ryeE
+savcKWfeY1PLZ5GM+VC0wp2ad0vMNZdnaA5oXj9TRzdGNt6tAHdoFT++eKdmhUEWSaUdNLSJbA6
7eTX/zVMZzWOOvhQ7MzBXovhHNPSBCqT+TXu4unMyTg5KrvFJQPwSjfnx5OBpqdooUKqeHI+8ALg
hVZFcCvA1hD6aeflTeMNCI+eWdIj08kOLg4yQbMunWjcy8K0Fc1W8Wb2TkSXR+SQxJBBD9aZ+Z3a
vOUBNslaI7K1fhJMLaZv2WJ+uIn9rRlelN/Tb2iaf753x6MYIpwd4PWXtjB9XbSaYsQEGplRhNfs
qW1u+2ewWfK5mvqRVyh/HGUVwPR63kmJxChdABhrCFvZ6dN6VxPUOCaYrLqugUWrsDcj8Cz3exiu
pDOH9MgkL59gkE4Brbp0fCgfj0s+iVUvh8sn6HY77bOvqrL9fCmPX7plCFoilqKpAg57Wet3tqqs
yzyQSoZAtYgWFtAxO+0KmQs6c843sJwcTWcQrKOxGObVmlZmmcsoIGBLrloXaZiN4IU/OqjpFlix
sv98bidWD+Qj8G9G5LaZK3dsLKQxN4da8fSJ2LsUwtTVUxEpx7Y/ly89vmE8au+GWm0U2uNJQLc+
0ght/3WKZxqyfZiI/FBCvicIzjWHHZMf4H3oMLrTfS7qx9hOJZZbTWswkkmROvmEbA56b30zuoJS
v8lySMsndGvdIluOuKZdavmTTmIFXphLtc7RmUJ/6vPFPo4Ql0+yMKiUkxQ6klcHqbLiNhR8DlKO
tgZie06U+pdj2Xth0FxI8tZqpp2FhF37q0Ko7fPBF2P98cGFnUTkEIvLi0vX8MdDDAVURu9gw04n
oT2lKKzvKrTvqvAJJR1L2vjn6LWO7fjHAVdB97To68lppXiK/8360kbogd8ovyBpZcE/n9oxiRnr
Shc5QiY42YsP+HFuRTvnhiyUimfq7WY0vyn516nNNr047g3loI+XmrER8l9yeJ3p34p+QtvmTMB4
6h7B6A6ImAhOEdf9pMGk1jhxfEEpuf2jQYfb9zNzPDa1pqlBR0ZPG6gH+vQ/znGUE8kv/VDx/kl3
FTrRQdxPGzpetucas6AuODosHwdbmQVYGYcSmV7RG5TmDtVKJIKFLVTMzSYPqg0S1jiE01U0zjTU
S1Fhz1btu6NR/QwRi3ByK3baVoudPFR++pEv7UlGI4rqy7lTquIjwlq+N+RavOuqwhsq42WIxATh
ddjtY3Kd4ZSRsJYuG4TpIHIKt01UXZqx1u5Fq+zcXBMGnNbYfJ5MJF20Ktz5TVJ7PUFH4YsuSIHa
iQI1cAIB4fXSkuzUmg99FulOpOrNbhjIeSHC9WUuUUjNg0I6NHEJ8b6avxV1ehdGyTao+2+zqvuo
nCRoLVIYtntJFNCypos7T6AQKkTE3ZrZnYMWobIs1Ez61OrreKxaB0o9/2agoc5O2uHboKTBNvXF
7gWhGR3Fj6wDRdUJDSLSEPAhbFIj/h1FUvoShfn0kjftVdi2SeBUql7YbaO4QVGq10mOJo6+EGyp
dXLfWtF1bVj0eg/1bQbNMiarSrYimt92k8iPghK15c7Xk23ejRIdPUnsuw13/npSzPGykaL9lE/m
TVhItS1lwx601U1eICRb5Oh+2JaP2oAZRK4+6m6XC7kDo75XpHPytdca0Q0rcTdU6U2uSvW2gxJo
NsTvXZNsjJZOuShPdb5V9K/yQnsMCUFcU+ozt0WH/MXvS6TlUCLZGmG/m8PJ6UcUuQSqQzvUgt1m
CFq7jrNtIsJb2ZnINCWN/0QCyFMKWdsYXX1Z55bh1eUiKa+Stp2D0A2S9lIrK8udWuE606rmxkIa
NIvVnWZQTzeE2yQSOAKTgsLRQvenxjtDNCZ0MoSroa5QXKBhrM0r+Vpj60LAC3YpBQe6aLEp/kB/
VJKiDai5kmK9mFbxFFWTv7P4dQd5LtucoisIDJ9gszA2WWCi06jEHo418klm/mUImq8jR9lOlTFx
AtFiOL/f0bWPApokbEVRyF0tsRAVFfZSwGRb8iR6KfiS7aetdh0tEr560lbIbyGoLWRkclFldbRw
vk3mcPDMatHNbtrremq/xcX8VU9ZGkC9j5Gh8aZb2iEpoayLptRNpPit7PV+q6caPaWF9JQJQe6M
lVG6aZxBhICPbeYBSihDch9ntcPWGXhyM4Jsso4eqe7NBZnbxkesLamh+Ur7g9SJqMhpQogisloj
oFXtprzIbdyMizTLRhT9VO0WSWvjqwJhy9eca4x8tFLspAoVI6lEng8sibAZJRT3Qil1pi5BObBz
OrFwJxQ7dso0Rx3qQbK8H2ALRlwsVm/VHFoFrfwqTo20B37WOiLlkweRolTkdXGH0Jweh8NBrofC
KXuDDiopciDt3QRCcDPLaWBnBvRkjdSMg43emPlF8Ruka0RMnhw8ZBVBXK8iZEX5x8Z+vERq/RgI
9a3m19YB4QzSHwj1Di08HFNobv1ifsh1yrSZmrgINB6mVjzUgzFeEJHa/oieeSD3gt3X5q8OtDU2
6Q16xl1biQ2EBL7hdIrpZG3kIOSNXYx+GY1xk4/RVUe7qGd17abL9YeszwEiwD68GYT8QgtTsLky
QnCZLBO3G1Rz0G30RmN2tTH4hd2qfvZKYVwEcryPQmVbNJR0NOTK26B+zipj2nR99VVPmo0hqHTN
ZZ7Yk9MxegCfvoCQEAWpfSyZ9dUYWvGzoAm4EaElPstD7m/COLrshOwAw6T0mPndW2Ga08Gqm5sh
R+4vj5tnBBPLr3Oq2mMno3GKjFmcTvFL3g0XQjWWv6qpMl+m3Kh3YZUSP488DPAbiz8xmlVlG4Pf
OLAsC4GjVHl8JdGja5dRL9xQ3LBVXxBRxOvEiwJmnu2ApcShD6+XjK044XfVNSId5phtpTK8l8xO
2AGldspW+DWbmVPJtJSO0Dq2It1V+TiOLle1c5VOGzZ5FsJ61hSRI5TW3mpr5OHQWzJReUo6GoGV
dkS1XEXZPeIE1QKSrJnQOBPyjWQanwyU2IzJsBVcImdW+fvNnD1BTfMAd7OLCeT6j1dlwHSNOHPx
dOh8WvKE3OhOHDWnStVfraIdMmFE1TvAMmQSdASWRqcmLqVt0CXOxZ4k2zBy/aLpUy+iu9aRk/Qg
K+ldmqOsrKkRGR0UvSuUlMB2S5s0F6anOvNR3kQa1ZHqaldxhrU64LENO4cCfGpr9ZDyhuYuoR6K
vojX6KhmTj97lRRqn/vxrdr6GqrC8miXonowU9GzBGWyK0T1MlWrtrOaFZ6YaAgeL0ZcYlWt0LyF
DMFVeg2xhcEUqMrEscbNtCBhzKTcqYxYtdss+xJ0+g0yebsQ4W3WLadrOhTMbW4223KMNvE0DVd5
Nj0bJlMLMoisxsFwwg5tZpCoNi6K7rSSfGUUyg8fIsLMhHrZRBq5y1pcFREVaaWbrma9vCxKSn1S
w5Wrxap9DTUxuxIwHAagPDfH3Dv1JDuTQUeQOgx7Pexu4ee18Uu8qVMT1Bzi0Al8BEbHuh0hvoAS
oG8N5l09xU3gzan4S7WqnxS+HgOQBk1If6VRB15cCNDBWu29lLTPOSCPtLRyVA0t14h0iulaD3li
HDWeNQhP0iTOdt51XmiK/SXi14EntvG1ZYKXrkOYspGWmJI58uQp35sjgq2SdKsbxJPW+CCn4zeF
SdSmdql3IvYWLcS+bZWHLBRtM54lxEG5TYOOiHgy4VENncnFEINLKyxTxy+1eYP4fIhAUaKV7mj5
MWLmRstNTfqN2vVu0y51IFPuLuqGK541pVdaLdfX0n4pvezMi1Omib0t5MolrImuKGb1RhPSN0T4
lK3a64jAz9KOdjkEP4fx0pqR38vSZwFO/yJVStJr/Q+IRVV3Lgx0XcMGuy8hyb0tpsS8q+lE9w09
8Oh3cuUWMsogFA9TKe8pduzkNv2aDImFDGRnt33T8anZprFybRfo8lshYzeQdsczVF6rINyRCkIE
10DHPEZlLlembUt0EcTCDhdhvpPUefyimFXd2QLajEhr48xlQ3VbzSkSs8bUvOnlsKfXS9zCI2uX
qXnXD/pWHOFLzUimwca1bfsow5BVh1yfxYshCf0nZIlf666hMXEcjevOsB6lsUycfogPfYhobBQk
uEq0JHE4moNcRVeQbtviVN7hjV9FqPc63aDchJMODV8iPheDcK/6yNf24fexN+m69r8UcXEwtHzr
Q0ZgWdKAL0EvQdaXHjiPrd5J8UUvaBdFLdynnOIxxAMZdAW4JQ69lPbBLoMY0kzDWwH50ou6DIuN
nwcX4cJ3Y7CDsZKhsSkMojNCCBgk9U2Zjl7blG7poyMoaEDc1PQSeY87LVQuqFWgO6sIUEqS+IMr
QN3o8bBZCIyVAONVBKIj0MXmQa64VHB0roz2AjXRZV9ivurOsINgcmiVPgSqkDpFiArt2KoX0Ri9
9kmEpCJ7MuuCZ+UD8sml7OVaugNp/mpo405dyAlqfNMenBKFzOp2UtkkSYbQxtLgwY0fGlO2my4I
t22muyWI4DPB7HHi7mPotYplLRSKUzVAQVL5guwnDL/A2LoX8Rz26ThgRZaFtL6IsAn0AvKSrXmX
0zKKVke0MCY7gumHbWPn94qLG7M7E7aeiiTfj7NKeaT42bB2hqpXSY/ClyR6hTvF1fWRDXwq1BtE
s90W8ZnPRz05uQWrS3vl0mu7ipUnGuf0eGxlr8t+0Re1FYKrKTjXzHsiUccSvhtlFSQHWpuPgVHJ
HglpT3EjT3Cka4wXGhKkBe8/n9JvOomP+ZuPo63yN1JdlnBoiDLprJ4CX9zkz2FYF9uuNLdB7jc7
XxI8LQ0NR1WIraya+BkhvRsauPEXhGLcpH1o16rmu9IwH2KsHExer9WshZ7ZqaatoK8UaXR3h4k4
XvbqLCGcO6CsOgE0rNoac08uPK4if1fP6rTrQJndVpbe3aAGzt3IutkVdDngz9eJOw/lTzJwgCGM
ihC10C7kOsy2aqteR0IK1NQqn8eudHutQqVlKN1K9GcYkDGdeVXaKGbYM/y2KVK7Mvqam1BC+5LQ
YZB9lJHJXyXB5FWRZMcpoa3Vv4VBXVx2NcLY2dyMTqFVr3USuEFjbUQIjs7sxlF+xCKPhlQezc+L
RsVqM5qxVtGpb2Qv0y6sL1X+1N+d5VE+kS38OMg6gYagr5/IDDIGnlw4WRy4KEUIhBFP5XAQJc/S
vbB7/Hxmx+bn46Ar8+PnYVnpQsGhNvSnNr6fjOYlbmA6j1Ge1v96FfCjsVut49TVfULHqeIZI6BP
SghoMG16abxR52ukFs4k6U6s6MfhVisKErqMffiKvfhy3mib6OBfWneKE3u585eZTiitvjcOq6EI
upE7jn3Zk1QKI1En0wIDU5lJboVwRNxNg+99vnPnjN5q59ImFVM/MFRk490pSsi7bP38HDDmOKn7
cVqrZ2M2plwcwZd4gf+iLtoFyvQqZDTCxFpx1VUmg3c/P5/XuSFXL4gioZI9Lg/1VCmXulreMsRh
CPt5B6Z8H47qpgxJA34+6LI9K2uLQiWM/yTKdWT1VoMWWViNBN4gdKURd2XSJW+c/4vTj/WAjX1h
1aJ0tTojUO+0adUrqtda1gWy4LamR56IeI8u/1KHc6p9xwWAhYD3P6OtzkdXYyn7ZlC9oU1eSGlA
wQhmtbKH2YdLrNuO/Y3IN3y+jsfm5OOgq/PSZFy4uldVT22IgVCydog8v2iF8a3NaxwxpRvPXIPl
L653jtL4AgSBUwHyxY+ODaFqZ3QKI/oJr5WOZrukbawZUsL2jG9zciSJ3UPED/jdOudvqEnbyZKk
evHUOmY92aYybzNyhjRZnjmOJ/fu3VCrZRyKspCMVFe9MWm2ckQCsNcddfbgVkbcNNhEBM+c17vP
N+/kBCHPXeBSYJfWblRokMuhU0wi6Uoac9wFlXEITTcczuHSTp6SdwOt9gz2w6DstFT1NPGtjohg
7ZT0Snot/vh8QsfslWjBWu8GWr03SZaDLSD75Clhv0ET1CUnJeDYxOVXRWjtog/eRgOCpWEQN7KQ
jpu5l6LQLsP4spnpe4cbaZGHr+J9UvfyGRzTiTIWX7e042B3iDTWvVmVKHfgcaIZELLsVdn4FBJP
240+bes8N3etbz5MU/c8toot+4o3+Yu67RTlO59YKZCbc+Ds4/3HF5BE+oWprmENV2605qclsSKW
N8gbotZ5I841vP6HyD+HNDl+uxhJIxzRLM20lHVhFDRtFbXiBFqh3qm1fJmUj3pgnnn+jx8Sop1F
KA2xSCia1yCd2e+qOkkTIB7tVnwehH0J88Rl+E37q4K28HiSo9YVQ4G7jWTk6vFIW1TPLV9RvECB
y6VoIbZoul1QZKX7+Xk+tUHvB1pm/C6Im/u5UluRIE58NqOt9Ny90FD++RCndgYQGhz79IzDU7Ca
S55WpMQLFk3Mih/iEO6mQjxQhPt8lGMD8PtlgkYDaUUN7s6PExFIvUy+NhD0vmo/KmO05cumcP3m
7b8YZtHItaB8WkAdH4fxkS0JEp1huoREYj7S+2b6pEXzYr8oI7XiOWji763++BrxFuk0xKBSQ+V/
DeaI4qS0YtAr3tAXlComcl/NOKvf21RtuMXq0G98RSffVCpBmNqtMlwbTek0geFJpXBADmDni9FV
VRs3fqjZQ3+OyfTEynPtVDbXQqWVq/dxSdKOymuZU7gefsEtD9Xid+E2ONdueCJUhtXh3SirgxoH
8Hu0FaN01EwhFoXbdm88IWW5UXfBJnv5fJt/r+pq1aWlHel3iAYsb7XPQgC9PD/DZyshG5JSmhtJ
FJUzNcogJ4JOq2+ppu2sCsd1HM3CjfTiSUxJeNpKlBYbUxxQk9MhqCHLpUbodAjhRZ/1yb7VksGh
Tpycsf3HDzxISNBn/KdChbLeht63YklEt86TDFputERwi0h4bIzpoFpCfaNA7lIm3WOCAdt8vlgn
rCLAN7afBmq6p9YgP8oJllItQDFJ1140OXXCWb5K819DQdE1Cxy/OdctduLILV3hOBTLjUDW4OOR
69CxakIZgNNU28auGRwpfxZ+BeL3zyd26tB9GGd16ARVRuyItLYnbs2t7M07/zKHrylwakdwz3VQ
nTDFoJCBSoKkovr7+21/Z4pzCXoXpeYF40G24Sx1S32+jCzzEHWz9/nEjmMTgKbvhlqd7iEWBbOZ
RrDBqB0LeXbfq+dA8ie2iNBnwR8DZkE6Y2WPlbbFMy8ZArjrJqOfI0uD2yBRD5r6Ek7Ff7N4TAlL
SbxFxm7l/w0orIgT1P80B8c7KSUA6idPyyKq8+dElk/N7P1QKw9Q1yNqJKpE3lONHb5oa+SmR5WY
8jDokCLbfb5XJ+41AfN/ZrYK8fQJXymYZfYq7R25CujuF74G1kFNKqdO9HtVf231c8/ccgBW5g8v
R6KJywAReWRMpML356zi0QmmKnDHKL8OlUzfj1Fx5or9JtBaj2SBYlV0DT+RDsKPVzkhfa/OAqtp
xkN+EQTRg7ikpiz1Npe1zBlT7Tls6hsUR/oNDR+vAuQ2fdGLez8p4e7zFUeUqSeHubiT/eoCn6my
zVCAMx4aIPvzrTixKvgWtKkuQN8ToOkih6dTwdCN8ne1rPatqbnF2RbmY6ujLIAOmgRIPdNgsuam
SVupmPoSnJ3f6Xs/hCmmVm5EHWhDu08oqLVm/Bx3hqNFwPqzGOW5+OfnEz0yRXyBriCCDTOODOX6
6vIagShUWozdS7/OgnBoB3d66evuzIt1ZpS13Kts9L7WAU3yxiG5UevMkcP4URzvJTqy/ov5AGHQ
AYUvaZLVlW0tMQdWxEigKMocaENkK29K+1fJRJZVWxw1+jpOBLvaGCeFqQBPNZculVeKmTPO9PTw
+VyOzM/vUQgL6Eg4EeIh0wHWJGMUapFPtZxvo1a57kccQHLaocMqnHksjk79asDVI9hpVZYVJijM
1koOOjrlZf4mVNmZKOE4s7oaZnXmkglAhVozr3rB7pRcblpojWKXNCAdaq1zjGHYCsXPlNwFqq7n
1AxOzRIuC9igwM8Bj1x+/u71FQalN2YumlcG2Vsx3EWh/H06V4I5eneZ4/tBlhvxbpDYnwSjy6nA
wFn/wyiSH5R+Pj8dp+7U+xFWnlE8FFFtBJz0IDee1fDQCMYVLJpgceQzd+q4+2c1mdW5SJQp1uWW
c2GK0/DUB63kBPAyXsl+Z+5qAkKI6WWr3C/wpSTVv/dxGvwCMeORFAK3kcnJuSbdE3u43AmZPCh5
O9IfH5c3LQBH0rOgeGg48pRAxwY/SOG7ny/xiU1klEUdQiUHIK5jc2RVwdiQQfHSJnuaxeHOnzaf
j3BqHjI8CCoqbsCB12cxCwYiLahBvKCC27IV7VpPXb99+3yUZX8+vLyKSKJIRt7KlBW6uFarBb4U
YIzOiRfR9xVe/RjZ7W9G9WN6tNozS3YcxDIWaRlWjUfeOupIUEtJmmsxV7xCjcydbyGV1AzJzqeO
ceWr5kVaNvEh0enUb/QyusfcILza1tJFJswuShnd/azQ6SIHu4J2f8Me6uKcs3/i5ki/Nb6WxA7E
eitHpBx0q5Eqqub5kIIKTQ5NZt7HND7Gg/z6+cofDUXEQoTGEwsIG8rc5efvzAAkCQM1TXXyputC
s1yl3ghfdfNcRuxof3+PQjoQ2R5SVUe5t8zq/EyWJq+NwFIBL7kLK+2mv06yq3r66zzYq9FWDjgo
GU3ucMWo0peXVftN6ojKKL1WD13f2NbcUKAr70ZxX4PNkS8M/9zlP859mrRF4LPQ87K4kuvkXFDC
TrCENV41iPvm3uwHb4SnRJ30/fTdFPZmmFxE4DGGxgCONNqRODtq3f5Vhp3lK7hTJPCIsTD3H/d2
KAAj9ro4gbqNNnmuOMmFNDX7UOp35T26sbFVnXk5j3MVH4dcN2r1WdarA7p7XmZUW/F7qqS2Ti5q
NkyQwSD6Lsy2sAV13iUlCHlll6imF8WNF0amXR2UFvqYRN6rcu2l3xq48D4/7OtjiGFZSMlQgF7y
wNbamFHo7pNGKkQge2ChW0eQnjmxG92EyAXg6HyuwXbtHy3j0W5I1lQ1eAbWieCpm4QqUBLRkynr
T/rLoPZeI9xk4j1p+3Nv4HKq39vQZTDM2eIoQ4t9pD+DQMpgBVUuen2renX3KxH8fYDcq5VJdj3G
u0ibrlOQFXLwrVTHl1Qy95+v7qnZvv+AlSmhythEpsrqZtB+0EASO1082u0g967QZoMzDvK5muNR
Az51sUWYdSFcoZWEhqCPR1zRrEqbyUV5TeR/CbJkM4x0O4KCk5yw8i/ph98RPFxqhcy9z8842b/7
lj8sOaNrMglPjV4WvFnl4+hCZ/pppChk5tr4G+aV8qPfyuhcFU4u99WtjGBNjeTgbMtVcVEUoRjb
oy7tC7kAeF884CVYAqLSFrlbSkavvOYk9gL5MW20mh5iIyN+rF+HIuttM1ItmIdAIKczyHtxHh09
MScPRVyAtX3qIgyXOW0XWHZRxK4ADF+v1Wlb1CUt7CCd4Y2OEvNQ5VnmNUX/WPiWINnk2++RWgtQ
fo+UZCOUphI7DY1lmzgGHdzpY3bGLTy6hMuimUtn0+LgHj1u2dgXxEax5KllBFOxFF7Tt3LbTDKw
S9nELlT0EoyA5XefH8/1S7ccFQLJhWKRxBYZ1Y+bZQBezbIKUpxBhY4CccR+Tl/G8m2WhdvPR1r7
TP8ciaCceYjEziu7q7Sw4apRK3llErtx3lKt1Z0Fi/T5MEevDOPAvIVPRvi1RHmrw59ZUgfKWRe9
qp0uMKrucNXI+ZU2qS+B1DrSk5yGh24Gdm5CrFbp2/wahrUzH6Gc2E/FoDi9pAd4Z7Tl5+88iK6f
/TGqI8nTZst6iwPzSx0EP0N0ioBljoWdR0YWOqmet9sRcHiixZe+jhS3FG7zPuJzewC9VbkRzCTd
0l0BqjGtnaaV4NObYs0bacJwQrN1MjoQ7GaBkcuAQluA513Vb8QxeAhKoL1GnXtZiGJN3lzXJl2Y
MGk5ED/tOnNQ7KGRSrtQ/Mc0N98ok9pCJG1H6TUCH+kqhXrfUjU19fhO6dVy01v0RnVWDSY43fZd
BBtn/0WhFcoqp++1rEQbuG2VH+3YV66shT+HFJWhYNqU4uRAQDnadZfQRzaGVDKheg7admPV4oUp
zHRf6bn8IAvSLQ//VgPnbiNfs6Wfx/oZ4FDYtVLDCNNE6a9CCWOvHUhim1P61Jhd/H0o08CBCL7c
ybWZ70UCndzqQxfktOIEQQqBhSZY3zCX0fWQ5jBVWJEbZSDrdNmID3VoVbu2sdTrLPH7fTfkj74U
VFTek/lpMoN8C02dbqM0dVuNpnQw8qZ4VvIu3Wi41M4UGP1dIpRPVGddXaKvVNDz60hGxV0Tx5+5
Hv20CkoKfaBs4jR3i9kHdReal6mfI4kWgHrua90rKq3cC5nqb7IxdNUk3kEqsM/K2hbIZ3hahe8t
mvcDHF63VkezlR3U4YZN/qpHfbTLUhDen5/iE7ZBAflGsE0xFaDMyuEO6ioX1HaGwX+Wfoq5m9Tj
j/551M/UbE8M8/uSLGEOMLt1Ihpdsa6hXR5/oA9HJ4usq6mnQQw5JLoDuh+fz+noOUZ8UYaNQiYN
TblzTeDU1G1dzWGPv40Ue/8gmY9tVWzru7o+w9NywgDQwakwDABC5YgHEOhgFNAhInpJU2zFKy0M
X6DGvJTFy+Ah9Y1/Tut/Xsf/E7wVt/98Xpt//C//fi3Kid8N29U//3FTvuUPbf321l59L/93+dV/
/6//+PhPfvNff9n93n7/8I8Fut5Od91bPd2/NV3a/h6Tb1j+z//fH/7t7fdfeZzKtz//eC26vF3+
WhAV+R//+tH+559/yDKPzf+8//v/+uH194zfexiidn6r0+/5z6PfevvetH/+IYl/R8eKGFwxl6wh
eIo//ja8LT/R/g5fNEU2MC2QFsIJwk/yom7DP/9Qjb+bJIgpg1n4oEQBnJCm6H7/SPs7JxAyDJqk
EU8n7vvj/33dhx34z478Le+y2yKCRPLPP8A0YOPfOUKiREs6kAeYgcgV8+dWdE9K1ASVFMkyNeA5
/JKo0FyKchzAXq3GYWGLldg4VjLXTi+3dGeERgWuVjBuaUTz9+FciSjdWTQ7SUFzbZFkewiV8VvZ
dMW+9TuJft3CukiElJaNKe+vAoII/J0mLq7ySCjRcNDVq96qPcwnPRGBpdNO0jf9AXkOc28mQePp
QonvJffScKEpQrft6CQ9xDV2GTzA/HU0ENOCnM9s9qiTTxdB/3+ZO7clSXF0S7/KPMCmDXGSuJkL
wB33CI9zZEZE3mCRJyEQAiSEBE8/y3v3tumq6emybXMzN1HVXZmBH0D69f9rfStOb0nnX1Q+ijuP
v13HVMN/plbsJdxw/Q6LkD9cP69jNE1PGMDCgemVrqhcVwY3Y8trukFwLE0MZVpi4SDQG3wiuhVg
5EexhctWSP/UwWJUXIeLJc9RpS7JnNSonacbuiyullzFxwHt6R9OentEVf1LGxEdwlGESGtMro6o
vLvJJGY+LkCuCnAA6x0xHOZFOWMsoQihZ7dGdDi4lq0TSJ18wSjDtO+h2oLvkOWCAzHlfbEiqqBM
idhuvBmSpaDEBx873ALfB9vRE0aPHcRg2Zx/oLjob7TYphdjY15tySpPq+nlb8/RFenVevRNvAC0
Y7fTConoucUMh1Y4gdYLOi8nNkzTF6fNXlqdgpIV7xTOoXROi6Q362mE/QUVs5BwatCRlHbS+1n2
eXAfi1DkRTaMdT6GYA6MHZRiIh4UL/ZAZMUsR8RfbJOpbJr+Hvmc3WJU4AqgWPenfU3Sp0ih355N
AzuPMH/VbA50nefG3K67SAsb99lN1q/Alq1enagbWMHxpaKQChwEHKQ/op8U1bOCqsFz1lUpQ2Lq
HAfkFeFIMqqQ6Yk5CCLtshSJVZOn9aZbUpp4V0jgnGqz9PS7Q0xcEY1jio9OhhX19C2PBgQXLRlo
zLQxqMohTku4S+6UadISRTREZFQMFW2Q6oD+Bj0PoAGd22FeTlOOnLbM5fWwruFXRCUx8KObBSUK
IVdLdtMeZCbZYbEZ2Axjl7yPElgfvQR8LlIeqdsmVy3YrWazJdrr+1gmpiPvrWz3euvW9Qdfk61s
eBxhnoVDXGUmT87MpPBAhUq0NZe6wY90gQ+ewqaFuEpZwKTblNh7kBQdQXFjR4t/3fBdwpoO8uph
8Q5YiBT2rUjvIQq+1n9XUZu+rrv71gdEl5LI+J7o9VbydSgxtCN1HKTkIU90czByC2qXDethnNoQ
hkZ8RMB8kLt5hr9QqWE6ZQhpbtGfM6kvDLYlWkybtF9nl+990aB/c8DQ5z3IFoRkrBqoSvQujmZE
ppT340kFBrlmgQ7LjPTvIzPgByS0ecOjai9dx+TT0PqvtMnpySIS+JBF17txxzjkwSfdsxSyh0oa
hr5A9P1jYy1kIv3C5gL5OvZ+hnjBHnJgKhFXPM791yzy/hQzZx8WtP9/zTgB3W6wMqBQRsBGCfeB
gEm0cW0JTuJyGZLQBwfHg+gusgvOh+jUggblsxzz0X7ubtt2SGEu6HU9Jg28y3b/Hji93bXIBPk5
0xFJaskAMd40mbb0SeaPhsGzB5h6/os0Mqhy/L466LflBs40cM/6JSkkQY0r+y99kMAqBz+FpkUa
2MHdMBxz8wcxbjFQcLPt3+CxCO9HdKW6EuHM+9MYqDvGdVLFjEdnbGVtU0R+bmTpzIg7lCbq1Y9Q
RJ/DEHVo2/RwVXWRP2C/aQsxBDcR5XA/bZg0LimWO4iNp70SayTBLwu+Srtkt3s/dK+RzY5D7tiF
Ox3AjThG1RLh1u3Htqs9NLQAM3NTrUHOz/DT2gtfw6zgU5LU0bQkVd6vP1DrY8ey3XCGlTI/EhJB
krrhDmp92peSmhzQKNmVQnfweGTdeoDjrR4HMEnzRP3Iev2BlvyZ5us7lfI+CduXLBCQabW8s8dM
YXJfQG1rUSr76bT00+faxNtdsI38gqYwXmyMk0sopDnYeImnkntOTtOOlbLbzf0G4tI7nPT8wGUy
QMaqoiIGgOa1F3T7JuaBQcab+XLuLTTK6HqiA7CPH3Drvufrdt+7/IEtWKD0qn+iTNTHBfFwIxZG
JP227tj11N/vQZKUCI5ZzxJhXQuNWkiF2FMsCYea1H1XLmjeFjOBo90rUXG179i2c1UaJ7pKsBxd
kL61ybnpsDcGMcufeRPxBwmkY2VX+BqlRNfP2P5iew4fcYoNGMGIgRtOicjDFxjb+89hH7uukIzD
ridEc0ZCxgyCRuqx2ln5tjW9v9GM7DXLAC4P0QYC84aO73YaVVJ1BFaFiY7ZGWYJuGXJNB1JduVB
7EsMgtpm0p9jK6OHXA7hE/x+GBQFeKkPCe83WWYwIrJuu3GUN1/H1afdrRhn+egbkDQAebzRDTax
bPRPHMr7lyCOaO2AETlys6QF2AP0nPfCVWxJ2495E2leQDYWfACuPJ1V2nh1CFV6pjN2F6zLDD/S
tMaNGVbdmPrbNPLZQ79hplVySaYn7nf6qSL5uJIsxNF3DndStINRd/iKQYuGO1M9uh2qWjQd38yI
J8ozA6ftKkfI0z0SciyXR7SE+IEMNv4SNXC8c5y3gDlB6UmLPgmBlMMRFNlBeSCrVE7ZO5is2Aen
WN824dzcZZGc7lsYvZ81N/5MTD9XbTDv5TawbSrHuMPunfvgB14jrPFQgjHsKyuj95ghkVvesgCx
2MDwmmQpo1RHh5gP6NW1WVy3MohJ4SJ5hWTk6BvYudmPuW3rwEzqNK7DnWMdAeVf5ohpTOhYBmsb
wji1wcXdw7N8oEvbQ/use1BZEK/0DcoI1qOzFMC73CFYg2E0/1NFoBMwlWPqAWxTvXO238DSqV+7
lVlsIWSLQEhhvnTo6j2uczAtJ0mzFPqTrEtPbZfF85V3RL7BVdUvCEqD2zQKBlaPgvMjbVjwAtMM
Fq6xyQI0QbPp6667+UNDLh1eJHPNLxmjG/XSNsqnRYvQ7uMoedyUu6DfNHqGgKp7kURg1ADzYeA7
q9OsY1+S0fzWcfAblsf4xeXAQ7Kru7fFtj8U6TINn3k8LWEVym6u+3TJ73VCLSqQgX3dsz2AlgsJ
UTdw+9SEtRIVSQvid2J0fW2bHee135/TDrfKzMSOF76WnV00XGe6Y6i1gDIZhwiW/tQvsE2z7SEN
srcEteTRpyFO9Jy2h9377hcbdlBScGI8W2AsKnAe+lNoW3hxAz+f/LrvX5Tfl8M6fJuTKC1oo2C5
pt0vvg3dReWoxIa9u6puajJ8UAW7KxXikqT7C9fQNoJzsH52AIl0/aIfjez5GXXKkwa0UGbTvdbt
r2jMD2xTz+go/lJyfxY++RH3EUb3IT25cY8ucGi9OubOUtJHCMTRyd3I2e9wzVMFDqiZoaNP2uys
eYa9x3O4Z2gEjiRC3XsXVjJp62iT+3ffNS2WTbehRMuXrjtCK2OeNz+T/NSI0U3nDsiq4GmkS0qf
AjhHKSrYpwimmVd01mJbtDB5Fira+FPADfAbGMyVI41ktft4eMGspAOXyO+VnRd20xvJD253+0Oe
bltYZLleUeaKJrtlsANnVw8+r1IeuCcXWjSmchkGVZvp7plb/BFkjsJSud2FbgpOJu/EiU1IMixa
id11CJP2HHAZPNJ9zGCUQ3rPfSJX8StMALVVYhxLkerxvm34WsYIFnjEwEYf6ATTt/Jkh0IR58Xa
osrxwtdSGorPUwYY89h5aIvV6vYQJxKr8DC1p9416iBBR4KIGV9wKrD+YO9FCH23RJjcMe7vBkyG
NifeszHBB2GUD85qw1AlGrJaN9aXsR1ojxNWRx4nGH+LLmLP8urFV/ZdQfiJzcS+DAItHmr34ZTF
jT4yNsJfndIbNSzupo3jpXZarphNRheZzI/ZDLWjyfj8FgY6fp77DeblqDOV2qL2LkN35ZC4WQFx
IYdadxQ0ySho6jGEQWdDCf5ABYvuWuKj4zzAi50Cig4mFJ2fugG39x4BuWDNAFDC5u/WVDzRdCWX
ZIGY3027vGs2cAfCEACqQwaKVI/UvXV43hf/03YjOTkbQgxFgmgEcuaqtxY2UJcUjx2YL8akpWi9
+EIjh0eW8/yZADjzZr3sowMUxRzWKReaV81ygePDkCfXXzDQCxcJfvSCPwkgrnzpMzVB3JrvVUuw
IgQ7yUregqDTJuqdQ51+T4IEd9vKg/WSKsFMxafgXY+sOwyDxLfVyPCGkXG/gcQfB1aJsR+wgI/z
qimOkR1/3F2TH7DCDc9pui/HVmMcOmcTvbZ8/Xe9kr3qFtAWyy2c5p/TNIxv6ZJKVywe61DB0WJI
RjG2pUub+KufGanHLutf1nkD7oGm6XHZtTwDHNPfiS55xc2A4scuW3izB2YeMGMHGBYQcOjobCNA
Bd9G7M8dvt92BlAB54/k+l7aImi8f4D5ir1oPqEmjIRh7wNujFvj2IJ+xzTdIRImLKGe3V7Znk4l
tT743uzbVhplxG+yZOw9CzaYbkLjX/9jTId5XzDIhV2ZtNeny5Tt1MQnUMsIWDXhJ4Ec8fY/LO2A
tMqSFCxPaBbCGaysDQCM+6nL7jthm5IiqwLVgnjCsbO7J55s/znX+G+13l5H0MqGPzbZ/tis+593
4ocezfh7+bd/qv41Xrtf5s9/6A/dvP9P2ncJZq3/9/bdFyWWXz//xy3i5n6Owx86eNe/+I8O3t/w
8WM2m0MWj9MCIL7/1cEL2N+ulrQQzbOM5LBn5ug+/6OFl4V/A575yvWGwhxTxusE8r9aeDn+E+4k
jH2zEE6H9L/TwfuzjghZI9d2NK4OJQjKmD/NxgZQWkJQBoCW09UYhqdM87+Yvv3LK6C2ibGVJ+D9
XP/7P02JDIpEzERwhVkXeqenkHf/j1e4TuX+6Qpg1rh4mHCFAZUZ3gNd/ioT4V++B6hQKaDIV9Ht
n+ZtZOfIP0UDorAUqI/kNHf6L97DnyTIf1drhBgY4oiHbxuz5T81UvkUtnPcYXuWy5j4u9ZOIcKQ
BvYmAAAht6GeUQXTBS28qGfqDmPG5hBNVN6RlKdzxWLTZcfZ2+ENpUdCYb0Jt/1dkzUcTjM6WaRu
UgEgQhiE4DIR2U9/NZL/44wD7+BKwsYsEr4Phsk8/dMoZR57P2czJZi3k0u4/GRQaiYQBYwu+Yv5
5x/HrP95JUhb0OHGRBeu4z994UECL3UoMcOOtun1GrV0i2X9SbXDXv3T4/yPfvc/97f/9YXA5MXq
CpUaHrU/3Fm7VBlS6NuoSGxWDUKXsRu/ity9//vL/J+fHIVcEOoNzPuAxfzzQ+gzHNK268EjhMQu
XsOxxKzyw6vsFLj+L671x+HQ9bOjMax84fUHEJ9/jioRFN2cUKi4sMyfVYekI0TTguIfmduWHv/9
+/qTnPbvF8ObwrYE8T7++Xcf6z89mX2mTMI8SFV+iDEI/hqCAElv82DEGeOTXo+RN2y4xEYVf3Fh
PDf4av73YOLvl2Z4g0hTgt4H3o8/3Y0umbBPKx1D/plaVNprh8gCnUvYt5nlD8rlHrGXm6Q/0eKV
N3xR+3MMdxuYPn5OqgTd+vEkk008dCPUnmWfTUCCop+NxmIGev775JAqsaZTCMl4BGgdOg7Tly2P
cLfA/rG8NpsgH81u8m8NpsvgfbEBQJAonRtRkexaEAaD5QrJNZkDhAvKsaDsYC+8dNO+nEd2xYfM
mVu/y8mp7Eh55L5kE/O01DPJDmjNsOcUDTjzzBe00EoOFJe/AakyjG/55MLv8A6CwRhJkqAH08y2
dFmw34QTRcRajI7Uc2z5rxVwMSR0mgZ8Nu7zCcf9bUF3jaFR+wJyHQrf1CnGasumKAPojs8v8w7l
49mDwHjcpsD8FBtfHlPVjuchatVpoFwekmUgMwzJWzuiabxGGsP0LL6LE2fWch7yKSxbykZwutYR
oVMLZozh0Y9k+t6BqyKK3e5TVy1bP/iHaZ8NMEvRPNwNels/G2bH25nPMdidc/iUx4Y9Eh2N1Yjx
2QVnHNBF1kygh4X5RVfFaTg+RDk6CMd1XUL7wj066lB2z+YKlDKjvzOBQcADz8wKIB9pjM/KDg17
WxsgudNi6CndwKgc3cukKG9LyJ36j3zPbzqseqd09GAGMh0/rYnJX5zCSl4T3gCQCoxNaEFHRNeA
fg0y0lxgHYGaAFBBfoEqR7kbfKXR0cAsCrFGs97YEadgmC3Q9iuSqVOvDs/OIZh79GlhRsmTi0Wb
cixAfqbpZeFO1jvLgq9TtGPGk1trDmvWoXs8bpluH9FDouVsupkBQJWBTLKIUd/ZZcX5JkCIBaya
WpwjEHnH52tZPGGCgx7j7YCP8gFou/mMCh1biFKb21573EFx7fDroGlsydDbBd1YCARel0TIg434
fqsXlVXeTG47pWbEHV2IaGRHvo1oglIp0GhfQipvZreiK4uRv5NRMQZdux+7JsySKrXZ3H2smDuT
Q+ObJThtSLB2L5iCdp9mDPLxFh1PepZqVxih5yNylrYhT1+zXmlxWWJIF4pcbMCKzjj3fkOR3U1L
lViTg6KAHb5OEHXoy6VbgHYuiKY4UuowsxWo7vpN9blOjiIyrooxzDqqZMtf2gSHMMhroCIFu2j5
jHD+PyaBdadgc/oRqP/so02S6XdEXHLqoCs/ii5gp05r+8nm0B1SLsxWeC/ZWpFE5roSYsaECvX7
ejLAKyIds8McVbkhBJ6U2/bnaHP2TBvhLjzuMECc2ig6JZFkNQxAIBlSeNk/87YDVCdtkLRK3Zre
mGiCSMJjLT6iM7i8Z3HLPvEYE1VQb+MaQ4/lcbUdXlEAj34RIeroRmSaBJ/UtDGpcVQJwMFHYGGl
EuSSVlPkeXDI0Ml2ZYulb637XZpLsm9vo5raz0EP6kJUhxQFkTWsdsOQjweUtjMAZkDxudoHV5qg
BintyyY0j4vBYPqWDk2gK5isEtBCZDj8dsvMqn6KXf68okwGWS6fMAoMrfLRQ0uFIQcST2KDkgjo
xgsgkGEEJBTfwnJIPfQtgcA8qcjQV3tqAhzQ7zTpMPYZwL1sVDUDSDaLahFTUmF4BTqDxcJ9bLo2
9KXwkX/F61ZV28C7gC7xmsbvCx1ywBUTrCUqc212XNZuC27jjqrk1Aao0Qo9dGutZuLqqHFkrhGm
Mv5Es0JuBe0ifTPMOnAl9KD7AZ1LkQDJZoLnNqQDP4a5El8QJJR+Ado4BZtITTf5RFoY7S3O1TNb
tq9siuHAJEaEmBHs3r7OGkLZUgilHhc8NTWgnRgsWsJEYXPcIses3+FQDseWxV8kw/AIeK/pVmqu
6WlcEkbOaMY6DQDXtucZZujb5F4U8ir3GxkKAZvGskfJI/DHZsCwe3bzMRGRFU+QmoCjOgC1iPHI
SL5hlkhUxSBnTh4dysrLDJLeE+/cnpzIDMLVKXJXnPEa8XuSqOxZTTZKSuApQW1kpFmbrhCYRarD
vEEk/ZlpfLH3NLGbKkIH2nTZib2RD/kKw8+EHqBXF4Cx/C3VAPaNZsrBQ1sx1i59s+rzFgXjyzCt
OWbfbhHylqfg5VYMwbePkrsoh2NuG6abDXFQvMTmuHUFWbgdSttoMxtMyjrYHHLMRLPnIN0xxeuQ
6fe85nhGTmsPCf0JO4Q+pR6jwnudj6YWIU/fBh61Q9Flm3fHhqzLaXdkeEMLbn/fsQDQI4h/6ghZ
+AZ1ZtCt5xk5bng2stS0RR+1pOahto/LLlZ6QV/MkzJZN06OPXTLM8baefwMjRKAj867esLg5ZMv
AlqxZmvES9ybEMcDgDSyLmoOu2UYkW2oMGpEf8HECzEDShOYl9AbS9sUKxh4hmPd7rvwhdxpfNbh
SsilzzO3gBk6NkjIGwGBP/R2DcHSTANVmxxfdmFCndP7NN74M+YYWHHQrEq+7G37jGWadFU2eMiM
Uw5w61sotyG6GwKMyigAbvfzFCTsIjjyTyvAyeHjWxKvEAgZdLgbFhXjVcP6tGFLDVlWALgD4CzG
2jUxIJaOO8os30Mt9i3wUuJhW5lLig3+DXlQMQLrCoL0pAMa62r5HgQzOQxuD7OKx1N4StB/6y9D
49DAFywO+orojjhUoTyHiiTI500/tiQ1aJ81GLOg6EHV5LqvbgFytfJa5gzx8ns33GooKkHZQnd7
Qu6D4mfsWfgVGui49z0PYYBjfBnrFTL0Hius7smJGyXSM99tr25MD2Eom92CNuhgev5Mmv3KGVUj
jLSY6+tqCBQ/Qtazo46a0EhC62h9CdO0JEJ0N4zPulJm45Xj8WkO0/a+Tfa+blwOnRwwTGVDMn7k
eORBy7MQmEi05E8egFrYrFO9wyqasUtPZGh+z8FKoYzB8NjNkKYYGQQKe20P1TCkCMP6tIL+2R+a
FUqTk03pct/mKvwYZuA7sXrY6RDs63Y7R3t7Guka2SO6Fn47uswk8h0YNNoi82aITGHGjVyAEwKj
pu+D/NHEHV/ehUvTjw67KuqC60hW9QiuKCAjzG49wKKPHey/j8TyPvwZLpuJXuCgBGLc7HmHHSyj
Hw1HL7eNp/0gR/jy0jkIPwJgvViJXot58nGk+mIYTHYbDYSh88C68ZDnbgjKuWtZdGRNEJft1u7+
jIMT0/W0uHw4wwvcfIc1DLXgEKngA2cpC5uGmLbgRUKgFBey1YwX+NC3z6VrgBCOqGrm70SPRBwt
HQKLMYzQw0vat1g7wIwYIXnJIVKN/ECrsWdkqFIx5YcoHkFvNavHLD4y8avFDAQCIehJb7YNQv4A
uQQQgwMJzS7YH9ZStjkHDzqZ598q6VFAKwbBbdeft76/tRaN+E2BxYUxSmuqbdfBGU1K0OzHlsP3
0TUPXoTydTLHBZW8QXuoEDl4WkXo42V42NPFrHiW8m2Hldwi9xxUXVC8db/TJ0CBZwhqd8Pu2dyp
A44a6b0F76Yck8H+liKVX/CssZpOPbsFGjGCttcEvwnHI1ViId7OLswbd8PNRAHqD/xV4Tl1oANh
zec/oAGw9bzvU/AFgpzYF93ImqicsQfRywYs7vp1yhMI/MccI6neL/BIpYGB6XQ30Nun6fQaxt3U
HShlipRQPSKLRJAek2gG5Q6mU/2CuBaoW6CGMkNYD5gpr6WTYNGeg8xBQ6a7masLk9kYAx6sp3eR
hFyUHEOvDHR+O6pLb3d3O7ZRvJ2xILZnHK2gZYDaKxSHJKMIMFAxj976fUDqom/D6IbP19OXMENJ
jFraY4a41BOeAMx5wglBDlPHW/fMfELRIoOa5HHr5Px9pma9i9EhrBva59Au5PALRXPfgA8ZCPce
gqoC8oTyzkYYdmRLAKXOAnq32zEBvIDzzZubwHZcvC6KQX/cgo+CCIQV33MR42wMa3AzrM+wEMRP
AVbub8xgZHuADnjHrDZcbtdUJp9+iK4egWQI1d3uHBIkIwGK5nPWQHWPHTJBbkZsA+jQV765wwx5
yn1PF3UykPy66+EEE10IstJCTKv+MSlhH2y044ybWosoXp7MS7E21ZKqfDruG2n6O2Rh7B8pQWkO
6rHG3CcWAc6Em+neOgCwMXvCjiuRH9zob7LfcKcsK8ZjGH5EOeCdSGvKoFer1jnanhPpuv4I/BfS
LcINCKi6y68TFdgzX+BOk9Ume/zPHNZ+0a/LcfOdfJ4IYJVdMyVAiKjh06mQ1VBb828Ae6evHLkV
cykbiAZ9pOJKE5xbFcI1H1K0pQ7SZyYs0D9oPiI9UfTqyHzLIqHv233EBWH0mCcMGNz6lsOg9VuO
EpjQCP6VOk/a7R7UCBzRl0z7GhHcIHRDXr08bGMSYaybEQPgbLrdtKYV1Y4MsP2IBw/4dJkkWTm4
7EdmogBp1TPw4gMP1RPK0PHDrgSIfIG3fQWLouhJ4oZbLBZ82kDNBla/mIA9PcdpktbZ6s2lF728
4LYmlUPg5hEvfX6Ko5G8ukS+NEo9NypZUEKpDEVe01FoFyCU2N6x3JCbLnd5gjCe1p03FO0KLBGl
3oy2mLnjtyEEpI37qRo0BoQ4zsY/wGnuDwivGM9upxipq8k4DPc1DiANaEsfbB6C0+gntKsCb2xb
xibAxiFjZCQeaNLCq02W0VQIJ2Jfg6DPjxFSFt5T6OYlolaypRToBqQYU+7ipRU2fg3nea1bMcBk
sPKsfwoE8x+B5sNzNsM9lQbc30pkdVycbpCOHRNK7keWDad1i/tnjViRA7g6UJwB3P2wGJGfsj7H
KJNdwU8GB78B8aqZ+2ZtirwQGpns1GFqhV4PmZHgt/ex0EdsUSgFsMEESDjACyjBuwYyO/Os3kkU
wMnTkN/YYFB9zxG0XcLsJ976DqAnOCuLMY+Xyu02Py3WZV8xE+6eWiQLDYVLfYNYZHEV14N8sleg
F8YvFnCgeofJR2G6BxR8OYutP40Isjm2YzJjqbUmK0ZL3BEyXWxEwO42osD/vfYVsuUszIrhRku3
5R1O7ebvo1tJ/FMQMciBmllfErsuFZvAEWzaTdSpwzKXkm2KC8wh8JdMPgxfkZUQ9TUG6bC2klQi
EAxU4Mrhg2CYZkXrRRHELZTrotNf3PRg7qtJfbOILF8QzPkMQWa83iHZKq2uVfQXtvX0ZcCc3aJ+
pbb/sbN8ett0kKzHYGehfMTHgQcJGVXILiB+BL/CMomf+xA8kD3LutJdG4aoCzwL62sM53YSOA5s
F2SmpZ+jQDpModEsrXSMY8VRiEC7AoUsFLlbHyJ2kgDzX7a6wVrTrtijlnn9sTYZpH5J9piQjs+l
mXCOKkjg1otd8RDRABFlK56uR6NS9ivb0KhC1ezicona/T1HWPF7Yzb3jJ4YTpI55FS3TBJY3CBK
tKxQc48TdGujWFc7pjgHJ3BzN/neQS8s6CEnqhHHCWMmuM8kboKD3gwyFhiFCbeED4Ze0pUCLw5g
BH/KNIDTxYTZE8pg3HkFjmF+fWl2pBd+DS4o65FkE5IJvtYRY61jj5QJay6hnMQhH4Kfy2YbhCrg
OP4LzJCAHIJmgEmFuPaIcBE0hqhOwKfx+T7WTmnzSZMhqUM6JtVsR7GdtoXg0s7EG57xcNUQSUzk
wUt8cXmPzB7IglwVAuaM+ogszT0mv/lczDPMEGWozJ7eTcK8jpP9pAxaaHD7sfrDBnPZNzAmk5Z0
hb5J6/apx+132hoAu5EigcK8phpy0F0oSm/CZfBYd+HwvkOjfkO5OOL05CPenoe1TViJSVd075hy
hwh6zvXEYTD4OaG+XAogvBDNNuGuKAjUFxVDh6raGwK1Uwtx8dcFxfB3eQ2FxDaP4+OhX2Ik1bVs
zFFyhziX3SmQdfOT1pjrQhrkLeSdkZrvWsewBE9Z2JTosYZlhGSPpuj2TX2By7MllUBz/MG3a47g
BBtj9QBRb4TqK59Xeh/HVxjYulBTYnzbz4WaUvc9sk6IGhINe45aafK6QeX/2dsuq9tp7T8DOLqn
irqI3DR758MjjhKbq8WcP+DZfOpbNA9aqACKVPi0OefaJiCUwr6kCoXiOT9S1Eh3U79EvODNlFfd
xDUkZWtSamNgsZL50LxpHIDyMoJVyxcjvrevGRqzFDOkzsCfOFJa0RiO5YzOKJxCFwxNBT0SSink
L5itEgDjmwIYOrQJY5fpO5ix/hdp57UcOZKk6xdamEGLWwCpmEkmNVl1AysJrTWe/nyosbNNonIT
NjNmfdfd9IxACA/3X5g/KXJif5A+eEEMuLseTPmMIGUubXEX8pKND5j6CcpxuwsrOfytkEIU5A4Y
1gNRSlU7M/ICn5xxtNITDpTcGqgt+3OZXOO29/V8/OYXZio6PIKGV9UzUNr3zDg6SkqGOHnbJpJy
kKcCNdp2EtrOMfu6SjegbrGKbtW2iTeJn1bRFtHOMd5UEvREB2xW5z2Dz68arDL8qdsGmozNAa1C
D/ysBcilDgt0U+MsUU5C2MiKbaX+aO0DxIuGu4RiLddsCyKDXsMY/pAomHdOLKThKVKzUnM91R8N
fIfGSNjRqda/9ZMv4eNAMqW7lp+0O6CTU4wEeGk+F5hedRDO4v7UGi2/w5hNXQ5WH+P2VWnUWbAa
Cgo9uod+IoD36vKWdgBTBkinLvtvkIJ7cnelLL91lOqmnygG5QAYyYUPGQfhsJ/N7sACFrL8IPm5
HrtenEnPwpwB731Vkeq9BW/PaZos26iCkJ4rT6+fWinWqKWT0P2aQiXYDhl0BdvSMLZBk1ApWkfU
0TlNmPftoEA6Q9xWhMXWhrdq13jTLhH86qH25RYgmBbxtgLhcm6QJ7wnwevvMqXu8DvCo4Lygmjw
X+mD9zMbWxG9tUhDao8url/bVRaBRRXztFePipbNIKsa623FFN0qVqXw1uCHgWptqMw/tgDS5gzE
7F7TKeswTcIHnvxA8tPXqh3jcROXbQJ+rhN6FpBPDdVuBT96DSuKAxzQupAhIu+5k67WJ3QBOZ2N
uIRjmZj0hvLhG3ZI4B6RVCufhEmoXpK00Oi5cW39UtMouk/SyHRnrHyz63TThBigNzyOzTpIjzkV
w6cGTZHeSdDIlE+h1lq/kYCqYPBAwwEABKyo3yniNAJzNny0wHlDmZ3tN1ayH7K4jgHRGMEhS2NV
YGq6fBf7cfkl1Ubt1msFsN1W0z+JCqDwMko6TId+WUUhPOAtVG0j6yeWXKOlYa1BC1RNnIF8FBRu
JuYCLRpJ/FVLPZoF3RCZgZ3h1KMc4yAN3gDfFdUmbBOea2LFeqbbbL1QGDx3QQLDUYtzV9EDELK4
lhV8xRxV2mZoD6lURMc0QEy5hpR8qxpQII5jRlnkJHqq5W9VayyrG+oBTXFooyyjgcCnvlObMus2
WdsBdbW8GAZrJaNefBQN3Ng3aTY1J9XzKPfxxUOqabwtkrOYmaJdZDSL3NaPAo8fGbBLh5FOFvZs
FW71dBMfkTrrmVGTladbRVw5Jrv7Ky1ACWI2uFUUha1J3YQV8FCe/ZP8XKdRdu6MjHQQjcO5m8WD
bjtQHo13kZFwL2SlyYutD8HH3UhSZ7xLsRweQVrX47nKmxb7mkEpZSwOpRvfivrQTfu8lO2Y7sT3
WCqzcFtVU9K/FQUdDLu0+iDcVYXCjVuFBtWUqjNo/KRq/q0seQzjpjXEDxktO0ZmNn5yLzWa+RCG
cpPdJNGYC26aGcLLVBfiWfT9qbTFlCKSFpcpJExxwndtknWZbMfSQf8Vk/GmAGTEAQHDcgDD+PGd
WEvelmRK3Fpj02Y3QyOp30k7mSFNk4pqT//rBa3aie5OomD/V6e1Me3k1DQbN/L9SH4uycckR1Yk
KXe8cWqJ1wowM9naOp0C3SRTwcopthO9E15zD+BqZHClztSt8TsfTroNjTqKv8ZF383EH1l46ms9
ocHSxcFEGc8ApNuYwlyC9Gps6gDDOVpU9dHcieoOGA/58X7yi6La+bU2PUcaYG036YfhpRmV0C1G
XzmNVKwf6K9HX7OmrPawD9PqYKRNEe+DKlO+S4M264CyVu3Uw81poyZ19JRJuI/ZfRHnoEannvZV
NMhkuLovSm6hDmH31OSe4TupCVLSnvifcKUwSuMe5HiWbJKqtqgwZj7+V3Fj6L8FkDHJoemLht5N
ylHpKFaCnkhLOvG9oKczvsAHloLH2kvjntXrU7wfR5UCv2ZW/UvXRWnowhbPXup+sMiZa5PyOi14
QQD6ST0dhWpLCB4ar8FZKDEi4WsdKsW+EKktqkGugPOLkuk1rBX191AP8VNYmK18kCnX3SFEDYWB
KggyDPh6DJUzFH0hnqTEG/wzqKpBfgiCkbUescoA/3N5H9J0lMKbiB60dFMqMKRcoVD9L1Lcg2dX
akt/CPG1652+bNJ7SAj1k0IVQMUbsyswXGh0QPk+/l8naFEZKiK5/0UnG6rtbvCoQkZiqPDUqcdv
JZBHXPD8Ouwc2Mz+jBYPm+EoTH6IL5nqD7WbD214r/iJAt1N88r8rZyi/i4JdZEXuh8nb5kIQMEW
pbp5bjS9eh51Q6E/jKki9f8wvzEnNp87WYKc2pbSxpo9TrwmnLSMAdKSEqcnSn3JA79dkFx0/xr1
R4xtxbHLtOpe0slOZLWcXotyDG5zTTZhxkuFCyeou9Gpp0Ch1Ggm6FioCaO/G3WNXGNUErPK4N5F
xvAYRQ3NUEOs5Icoa+WfqlhYsNNDpdvGCWZDX0ISQaqiI7AJmx4kiqlsmkOlRe2J5pvxVSpa86iY
qkalvYKLYGWlF+/6SgxTnoShspXVSHzocrlDOV6HbYcBofri1QnHbNdyKhlNCbkNS6OB9mVaS3u5
VXluhRmKAZupnwny9Ct+c29JbjMVlel6WpR8q9uqukXLLrjPsQHD5MITMggxFAZzNxMiILUZ4Pr2
sZRL+b4O23Abpt1wJ1qi/C5VjXTSB0nblAV/qqSt7zlZWGvpJizpJSZyX2zHOh9ZJbPNRNeLMPGU
TojMG7pBw1tFO2RL+ow+aDoWGE8pgX9raIXxKrZ6ROdBbu+Knuc9Jlk0PhPa0rxcJJ+afmUMFGNb
K1Pf2UXepitq6z6qWizUEo8f5OuYQqaSeFZCaoDonjemm3KmvLUiGb7I0txUnoZrZeMFcvrbQ0OA
L9GbXn7jm3JNSSfhUN6TqSexE6DWekh6L32KpLrHmDj0YfboPaK6AIwr5T4IvaLeA/PLbqJG1feD
RbI7c/xyVrQopI8jwAfamlEZ/RJlb/oi1xrNEhEEerWnjjnONmGNeBvQCWQu1LTwDr3SqlA5rBCZ
RLbhzkMjrHKVBvaunQlx8uj7JvWWpiikRxiU9J8kKnGzaWyXbTHWU3gbIUE/65uYLylUUG2jd61R
buooBAOHZFHrphEEzUM1NT1OfhK6GlvSigIGIr3CfZbg9PA8hijmd9iHnmSSO8seY863bc69dgQW
2Eq7ZEqze80k0xk9yBiUZKHh8sYRPZKX+cNtvZrM+kz90/S/KrJCtSZq6L5NIv0F1087/7YNa1xT
W0xJlFd56P7wZOrB9kpBGw6US1XK0WbJ6rWEkjclWGzX8H0aGXWty3ZAa3dKmg7782LHeQHrcDDi
8Aan8vgxaDP683yKIyxpqBdmLpS35jDm2f2YK/6ePqj/XAgh+6pvoztf0qPZs1DygZqQrEdbIxN4
0fK8Z19MTFjrCKTQ7jDhdMnTSy9/5qHixdChmu6rFmkcWh6Wm1wmjTW4MS0vqH5Rlm9M+hXZY0vU
R3XM0qPHMXbHO0Y/t81QPcBABpAuixm9jC6tt5Yn8Ggxm7hD8KOw5sQ+UbdRXqvGJpC1dJ8GKhbN
qablj/TSKAjDrsZo2NdU7zByzXQ3jY6vUw/enK8EucDfVpqZxvZAjSG1IU3EMmCMNr9XIlW+HTI8
dY5A7/LhoOghxS6zEvN7ocniJ8R22Cp0/EMeHGV19nGgYm/02S4iyTlKXjB986q4f6qgh9OJn7T+
VFktimNF6ntwBg2yrG1hgQEFKp50Byra8qtO+v0myOFI6V5T6EeopfStzT0oQGw7L78figGPOC3u
TPK0Ub3p47Cy3hI8Mk6ZRjsD8sjYKttKTdHChNdbYLXWRvTDxCQ+Rx0yRVtyBcmkypTVupNTjc8e
UAQKxicQBUn1Tu5T1SDRMJ/WqiD+XYuiKexSS+mC+6pAJRLOtul/Fzt01+1Kzc10M/d04bjpJi59
HZicRw6AGDCTmHNzjAWEiKmRXwwJSxSP4taGuRa/gPkrOP9Qix1k15QUeKvwsOut1xcIyWKyHRT7
SaMuQSs14WhOO0yHtkJNqxfGt7lRhkbQnbLh+o8p+52iUFZPMWxpvj/YuRel8NVXFREgNzbk4Cci
fVa1r9ShqGlOQEjg2ShRp+K3DwHs2np4gwoc6tvQ0itUwQIawXbHhei/WWZl/vTHSY4PGUwhja1C
qrUhk8ftWMPA5HbEl5C6t9mP702mRt/BJSjfSrOrBZsEK/k1qfVkQtktoEqo+D8giZNZFsc8zRkK
qr1ROgKwa44voaKHFETpOWpGP99IYDTg5xhjgUxaZFoPFDSBhMi+GT51aSUWd7EHMIKtGGm8TtW+
6M6pGkw3CLsNP0Tu1l9KXs421DH8PorD8rzWcSZ+lwtJfRpLNORpvsOm3M/JmUEvkWrTluq2joiA
nEnRCaAajFIvNSXRDWWrgc0Re8doCOLqkNcdZP6Wwxo9wo4es9un8nxa+x1lhLTx6QAUKs7cDtYl
WryZJo9KeOwL9avSDur3ICPTd5QEhi8aXV3e4MDRwNCkpT48NLHQ5rv/aQZsUTOIHxQ7YiV3BbxZ
f5ttrTRYpUbhY9xm5k7S2+g0Dn7/TY6akoqsKH65DiD9G/hroHcNBgR5JaSc1AV6NO+lbhYxwNoA
LlcIjoHNaxnTv6Wb9gejSrtSNGmTQkVU1QXmW5xdvMYGc9gEiq0oPIZ4kVr5HZ3eQv0Xg+OTdso1
JLNMVRKJG8QA6SXomEZ8RjI3ZY2ehJA1zsQKk73HTH+PhhVY9hJa/CcGWmhISmqaJi4F8auq0r1q
JIYQNBXP+QyFM5pcdgfaFVfZ7I6rrz9d/1CSucD5LoPO//4DxLjD7hohKCT9kOl9icDHGEHrFhnA
OpBMMriJDmFR6JeFGB4jXFvj6VaVXiDF2YrR0RiiHaNMpwqZopUftgQgL3/YQgtM1P126ERmQxkq
uxbeqDd13S4Zf6jcD1SP/eLWSG+6dmVNLVfuv8KiOghe3cIfavGhKTIM2LvO84GOBZiNvWz6+zor
1oY3r82P+Op/xQFEbiqiIkFT+Tzv1tSmqLyljcNx4Hhd4kxaB0USQfDGQvxFfubV5sLjfhinYCX2
ZzaGCQWDtSz9E3rBKFF7cN9WR+hWx8SnLOlZruk3Xp7Ff0IsgP9ZL8dtEfPxrGagnqLuaiG2C3XN
JFWaF8G1WZyZAR9Wb0+FS45GhgI5pnHjfb1rf4d7wUlP1T7bZ6ZzLz+ZtsWT2Gn34+P1Jbo2yMVS
KbIZPewxyDAeXLig1ASxAB3TFYX1tTEudihQotao0ctxzPCA47KZP1qUFeJT1LqVuG/jh/9uVMt9
11hKlc9Tmkhu3d/qOg+0n9dDrCzApehRBE0HmCbdIyF/HpRzuGbJevHvy2j8o5c4a8kuVp9CglsD
BmMI2bmpnkprf/33XzwzVU3XZ/4YBhmLD490CmbTNWdEI8anPtbpbUdPgGfA3+xReT7S/f9+PeL8
F/9a5x8iLtYAJFhoizIR9fGA1M2I46oAbv6n16wstotr+kOgxdfvLdEH10qgwDy3MGFVCgDDmqHY
xdHM+lkmmYH2l5lU3EOmV2dRwLbnekuT4SCOSW4H4jv2H/SUxZXvteQH/TnwINDpKH3rpAuL9cAD
xfPytJoHBarmjfoFao5Nd7j+jS6uClOHuYVuORyuxdQJuZf6ps7U+bCQqqbHkhYDab12JH+fBUj0
5Sv0oIvT+E9Aa5H+BE0Ob5yaooM6nSnD2980+S/RfJb0lZGtBVpkcz5NEX8o55HhE6k3LoY9cfxd
lhwaP9fn8A99arnQFRYFeSOb11AWk5gaI77dARIy9GvI6W7QMnCGLel1uA9tBJwO2m2/vYtuvtx7
LtDy96f62LrJEWGwLaY+duQUztr5+8cq8spvWqaZhdhXlaLXtTOd34WNf6Psm2P+kLzRnD1Od9Fb
eJg2DyAJtfvyiKgXjQltJTOULp1oio5YLmYiaJMpiy8Q85RUqLDXzog5xI2yG9zA7dGodJoN5mX3
5Nm7YEWj9w9j8q9hf4gJI/fj3YpIAJKTPB2c7/7kSKfhTbwf78X30v0Ccd8dHRTZ3OBGPTLre21l
xf1htl0LvkiPEAmNLAspOme8yffqLt94oxPvBKff9vfIWtjhKbkzt2tuvRfziY/zPH+HD/mED9fY
K2LCCvvJLTeand/E1Nmd+sepfFbPpg2u49ZwRRcps5VDSl77xotTqhnLHigo862cabTbr8Z52H5/
1G1Uj1zpRrwXz5aDrbg72vHbU7slQ1/zX7r4GPg4/EU61SHS2OtAmBz5Ftha4DabR0Rjt4LzZ+tl
2/S92Bk3ysZyr2/7y/NuyDzhUMOUxGU2PHTqiPIe827YqNM56F3YrY1w7JZe/jZ0imM02hnNCSfd
elBzV+iOF2f+Q/TlV68TqzSoPzierNoojcvW+B9E4KVK+Uw08Ii1Fsu5gJLHch5qZ5a+mgqYGfLK
ZXBxCjGs4m3K9KF4uVg+UgZOE4Jy7dSVLbnlnkO6+c7KOf7IXgv7Fxovz6MdHFoneQV6ff37Xbpg
P8ZerBsVONkkecSGWufQofGhAWmigyra9Tj/xyBZISbgWMTLF/OodxXI0YlACoJxPyy7drRz+s23
qSw9JDRXHLCITv6Fcmtvj7vVU+lSdqSCU/z/4RcLBZh/mOrDPMfgSn4M7/FtVAEFdvzOBkjuxN9A
tjvp+efKqC+9FSHNM2IVIQB5qdUewZoCwq0wvdIrAohm/Es3Tl38HMuvkeYGMXJOKxN98c77GHKR
cBqh0gddREh6wvEDTh+2cUYS5lgc4n2v2bpiS3ca0pcOFKSn4RXbEe7rF8Qvrw99vu4X1wClHUys
pFmywVzee/CKkAosUzQj9RdUTKz0XKA1J2xMYAxteUas+nq8Cx8YmzadwpWBLjPlq8/nvyyPZqZL
ZeWIYH92A+JmNk1YCCZ9Eq1s2AuHjmnoioIKM/UrTZmTrg9XTRLOSC6xrhyY+lsTdexJFVeyqYuj
+RBi8RGzsCPVBoUPbB6JM5rZTX/uxt31Kbuw900KCsjDk13/S4Pj4ziQ+ongDxFkAmee+/GmZTjx
NvW+XI8jXdgFBKIwZvBmkCg9fZ4wX0qBLKOo5fTSzUB6SLGvQ/HVs3164KhqJrdF8HQ95qVvZKKv
B1hKxotoufygjc7kihZRdTPdZl5xSIxqZRn8xfHnccKw/okhfx7WpAV6lsTEiGmbgeHg+e3AC4VY
vAXJNo1AndwAaR9/xePk0uIwqXKxyEWkDP66kixAZJbZo8kw3nner3B4ytvf16fv4tJQNVPim2kI
Vy1Oa3HIxwwOWuU0xXMJAddXfhjIGqnd6/U4l4fyT5zFsRzAD0tTmqA06p1YuVPbO0T8r4dY+Pn9
KZrNms9YcnOLc4MvVp9gIDnsifPqS/OHCWrD3ovz12qim6eJqr8f/Wna0WLI4GkFh8pSvlj9CHJ+
Ag9//af8MVtZHIr8FNRt0J1B4mw5rVBBFQ+2HprQCSgvOl1G/dpDT7o3kqH4gSvtIDtRX+CBYela
7HZ1ZqJsGuhcmgK8Cw60bM8fz3cZapWJXZKXnFA77GlQWbqfw2id7n0LiB4S0cMuzJvyVAR+86JB
YAV12iOOYMPbDO8z4Pg/fTO23ppRbg5w14xZ3QPgQ6CGLSpYscQCrkD/DkC7Gzk65+1csvKK0YSJ
04XbPB7z330AJsKGEihufNVS7qWs5OVcokB5g7gmvNzr8yfPh/hi/lARQmPF5EKF/7N4Y/ZCM41m
NVZwkgXHzF+Y4k0+pNvJmva1KdnKqNyQS333td9i2TyZCIsEcvTGheGmmDPQ4Laz6msMLFet+z0d
rV0C4v76j7ywpHGJFjlQlXm9LZVTEvSOxBLMvYN67bGHqpnnww1yx9ejXLheP0WZN/CHOwiR76zF
f6ByLPQG7lSs+wJQZ7GCjrIeTgdA4fEj4PwdgN/UKYb+/nr4C+eDhS829/vsv8OS+xxelaRIzASO
vSYSoel2jto/KeZmrFfiXKhffIqzOIcEz1QgLXOrm5W/meUi4ebDzCv7JxTHV1bXhQ/H5sSekjoQ
ph7LDBWH5dwXTc4ikcppIlU7EWk5wCH/wdXO8jV16k2YNS+zB+CdKWoU6MIHrXEuxM4dLUTWNHXV
ufzCrYvaNfo6Bp1rg9LD5280wczvjHQ+w61R38D3anfdCDesNLoSKTcS4cnPZbTpaGHSjs82cpv5
z//dOlmc71lHw7+JK+Y0nUn6A8h+J0k3Zb1S/Ly4HiW0JnQOxtm99fNYcQBqFLlmnShN4AI/qmBE
qOBRpJWn/qX1KMnkMCCdcatcausE3lAk0bztqpzyp/IUFVDlrW3XvwwoTv77c/cx1nKPeQFv65FY
gnVjIRoRNLeif0rQ7PgP4tAv44FC+VNejgn1VzjXPusEz03zYZR5CkAtlX5bOsT3Sdeyl+vxLqRm
+DrQLOVe4OKZVeE+Hl3ZEIdTOl+CYPidXukf036t8HdhK38KsTgdcQMrrdHinujL3IkUaWtJo9t0
9X9w1Es0GvnHItNcvjn8EIXHcd7KavUdKRDEGJ4i4df12Vr4fP5JXxjLP0EWyyD1A62O5mVQGn/6
SICah/g9Ew+S9KIkuxnHBje6b+5aa4eFz/Xo8zvjrwsXYQw4iHj34nTx+VsB1U+yOGGEk456grrv
oZ/0/t1sGRC4sAVWjuBLt5rEO0GTqYVww8///sOtlnZoz47VvOSLHg1tdScNw1epAqfvdycVqSdx
Ug+a0r9eH+WlFSlLdBlUjM0wy1uclIXnC7FeM8poqHeNnN8hnPTvn/rc1/+EWByECTBgRZ+XiiaG
DyjTPUZoyjThvyvbRtJh8bUwDacYp2pLF01qcbDVQZE4EpjDKZ8w6pgOVjq61yfsT59suS540ZHd
aOrso7mYsdKgwiyreeUghAIXI0FMorcBVc4stbjStl2g6fCuyuHJbIvuDiZqDCQUKX8bZuJIfiri
UwPxK6hlOxoaaE/A4HJXnEG2jiXXuFv0YSmckkku0P3ofVhKIhp+HnJ3N2rkofU3YbYCKt8r3xrP
SjdmIKWo5OtNeIJyND1YYISe68iabrpOCdwOaS+0nFMdZYYcWSSf4k8RRQ5Pn1SzfQo1PxTYmDgr
YFKxFyBhuv4QePd4P5TckbLRbxNUO4BBqd1OKQcLuF5t0qoOQIt1mGOJUolkQeYd4lyQD4agbaRi
UrZZYYzbqYcDhpjSeEYTc9qpmqCeNHTq8dpKoG5uWmhHk90pfvUzMVNrN0719DpWugSZ1YiKe2Wi
12+D32qwVIyAqZta0EGYGqQd4sLxF8EPJWdsQ2z2fFImb2VXXnq/W6gNSnMDAybf8jEtWwJMHINs
D66HcQq9srhr+6o5qFRmX6FTgQmr0PFxC2Ew77AYjqBPRmO3soUu3/GUklAL5Xz48zj4cDiU3RiV
TTG/46gnde1v8Fm2ilea9/v64l6LszhwK5gGBc437CE52Vp6eRI17zVKzBs8NALnv4u12Ed+Wo41
zgocC5b3XecNBQsGzEyVQGLIjcfrwS4dcx8/42JgMKK0otf4jAzkNMTGY5y1KyWlSwc4AnmU/Oh0
KRhzfj7Ae96Ls/gBDzRTArqKwwqm0DxMsLpL8u85uHwvMg+wOf+DvAxTDEpyvEVEeYn9QdlE6JQ5
/8ukkxw6ueDbMnXNKIFHsVbKvrQ+PsZa1Obg0iNk0jGNhQHVB8pjuhV08RkJmuqxtgTlv1z2i5tj
VCSrrOljkgZCRPftSo83hfyMZ8XKNr/07bCK/d/9tfh2uTzGSasSKMa9FgXnTYcoh2i9TgptnTC+
T6uZF1iuFLMuHy4fPt3izg+5A8A/Mp2KAK3fi4VzPwonMwx/xUFyOxpB4VqiOLtG9AiDGX21st0v
5Yr8AV2zkAJCFnQ57HGQYQgQXyohdnK/zh3L/rsn1N3m+v67lEx9eDT/cen+cICpQ5nDEGCRWqr3
luGZ5VhlVGxA9tJ35iwTkbyqNPQWr4e99Gb5GHaxXqMcKS9lroyXlTH3yEIDUx6KIRn11257Pdal
I+ZjrMXHzKqq1qK5LhDWhp1kA8onKzv98uf6p/Iwv3o/TGJRobsZEccJEaYKGrvvj1X8/fooLu3w
D6NY3jRmi5q9B+uMbtjvED8dHkZ2LvpnhA1W3BEvdGtmwMSfepaiaqRTn4cj1SLiBH3cOIXr3ynn
1rae8m+q8xieulOzDx7bbSrY3j4+4WNq3wQv9Vrn+O/V8fkHzHPxYT4zT0BpMOYHoOTpDVusbQLr
S2fd4QuzctetjnX+KR9CVSXePqFGKAzUymgvknfZ6s9g+ys+/YAR/pZD5j/499COTmCXnovdt7Uj
bm2wi62A+cFgIJMCfCl1e6RuZzIzhCWoKdHr9SW0FmmxERIjH5tMZ6y4iHXesUxuxuSxHp+8sFw5
tv/ecp8+4BKSh1Mu1nkVkSr5VKlfm3hliV5oc9DoUpHQAZA3W50vhlKrheypKpi/cThr3tnCZjbZ
lsp2yo7j4DI4jBicCZH+6zOo/n1cajIZJ1Aimjj6X0j0wK/rIhlQkKC241bpAeqXI0awTixb7tF0
QwUixkBQ36cF5oW3QnCElDNqR12567V3vX8I8dWVR2oM/i72cBfqNlNt9+IxnrZ97hqTU0kKXIJD
ZHrHmeePCM2mAznXZJCLhtcO35YGwdN2l6S6Y6DSV8THsTobDXq9gWMliQ3xGAri9XFfWDnkthoo
NN7bOlC7z7uEMk2eC4iRYad9StGfyq3bOMbSblNq1crNcGmGP4aal9aHDYk8+QRLbA4VnlD7wxRN
gZkWCq7pu3qxMq6LwUjO5u7H3P9YnHT+1JMpKQRLOryu02kr4tnSSO9Cf8rbO3RqV66ivw9xbQ70
v/EWB1tbj/hySMSLhVcR801Ffoa0tp3af/tW/xxncapJpqcUtT6PC++5tE63pvwj13YK4O/CwIoT
RtP1BXJhIsn5IDRQrWN/LNt/ghwgDQe8izf+RvSLQzh9HZtbISvPGFKvGW5fmEUF2LlJmY6CJ/Sk
z0sExno5WT4MNBlnwxGZb29C0WXbZyur4+9rXfsUZ7EUC0kJ1FlzAmvn8xDfJtJzuNZrvHBQfgqx
WIDKpMCnLJm3xlPhv/eOrh6uf5mLg1AovVAfUiXcpT9PFh6Qup8FTBYOe2/IqqOIEzxm0UpP5OI4
PkSZ18eHXdtJUOtDkShY0Nmzoh0Fi/9uHIsTPxICi7oRETqZaknrQmNzJUCL/1UUZZHJqRoUTHZI
i+QFYtzaAaEfjt6VEu3KZC1LF2ZadoaKfiBi5No56GRXgd51fRx/8vbPxTDW7j8fRJE/f5AZ2NRo
BjHGbDZGPGljTI0ig6ymuEWYnaDi2lnQ73q0MJrJ2KBI7WB16QZdhsS8iITpUxPrK9f2/I2u/ajF
xs26KGssYXaha1/M/Kkc73z/mGD66t9K8aZrH65PwsVz4sMczN/hw6JEC7bLInlelGG/63CsFcK3
REZYaeU1vPY9F5u47SwT9eN5E8fRfVuVxzR7vj6StQiLeyNHGdccRCL0SJBlO7lZpb783Zj7vF4W
xwT8WuTbochyY4jPZoTXozn1Ju2x8R7+88aKze2AtGRTPyKUsbLpLjy3PwdfnB6IOdFgxyTQEcXn
FJPUoHXK9pxO97V+M0SW0wvHTJBXol5cjIBwuPstlfb94qvVlUltSwg6zK1CG+ezEBmdHsO3AZ+p
b/qj2Py6/g0vrUYU8wz6CBIu4ctyEHqidYERLipOVvc7reCq4FTaItktKqsTOu/u5Ub7GGsxoSid
yGhNIHEhnerUrUA0nopvxq339CI/Vj/ylUbnBXg1NYoPQ1uczaanJpEEPszpfoh34avxFN+Nv0rL
Lo4GDNONqx1etQffvT6fF1fNh6ja4qwuMOXz0ZugYvGUb/rfyDhpt+oB/7XAxqzierCVj/fH3+TD
UWJKRS5mKLU4YxW6sPqcKUPv9NFUd9fjXLqtP45pcWwHSGDETUScVLEO8OuPQR8i77hGLlkLsziI
WymolLSZw4CrNXuEV3Bv/3F9KBeahJ9WhTYfah/mbDRHY2znIMI+tnFJeI+eUT4A9Zm/q0/4v4Qr
x/DFO+/j5C12tAlcuovnj1Rnr/43w9a/Ni5s+k24g9mg2cKv4ig/d5VtPSSv18e6Np+L85lzM6lC
zEIdRfnRm6+yUtul+HI9xurwFkd0N8YSsv4E0W9xdfe+SnZzDG80dCpgqT/k7zin3scuVHR5Z65c
3Bfwap+/5eJA4dbWQc4SO8E6Fx2ns+qI6GIVQDQ3X0Q72xkrOdIFjooOfl/WTFM1aOn9ga19WD3e
mIZW0Ui1oxboNifnNLmJ4UQqrpzWbhhBn7/NvH2LQvXoCiXmoys78UKJYf4ByIGKqgxDdvmkmYbJ
t5JMBSbdQ1BCDAoJN4wPbb7tCIc5OoyBvpm8TVps1j70PJufj+/PoRc7JzeRGJAN4NKxfsRwuanQ
3DHx5zyE8a1gndP8VJXvubKrDDRm7U4OYYNtFPGXJH3TeaRgTYjqFzIQtuWjptBswv7WLL391MWO
AXYS8R7hPc0r18KBpi46u6m+ooyNtN/ZnzJ8bvZoEKJ0dMBAZ1tRv6hP9USB3/xqTsJGwAIUWXlJ
3qNsUaQHrbzBU3xT9odM2HnRQc+wq00Pk7nD1bzqnuLh1lPOGp0PP/KRG/vph0cf5I1OVpHmrjXd
J9E5k11d3gKOKAoE7M74fUfjVkRkqcleU9MRPfS+9qb1mhcPoGkcJTsm48Ns6iHFLh1Po3wym20a
K8AOTpp+E6Gfmp+E7iUw3ixlU02nuDrmqGCV8cHIH9MYX5VvXv+cc5hbT0a3z7FqHXexcs7YPyI1
dz38UaugDM/9tO0MeRN6tpq+i/WX3AidafCQoNnE+m1gOvDXs+hJyL8pY+0ipw72xml0n+nCVKJU
b2os3MMfcg770f8ijndpdBaK0EHcAtuEaJ+aW5afE+UvXrlPve3U/G5KJ7IQvjtTx+qQ042/98gE
BOWpQ+apyY7ahJ784MQdVhabWqwPQlviPQRDQT4nCtrxubkz43dF1LYpIhvWGrDpAm9CB0f//0i7
riW5cWT7RYygB/kKurLt1d3SC0PqVtN7z6+/BzWxqyqwthiaO6vRaFezSsIlEpl5ztFFkRXaGULk
0rNnGpj+tbBr4QMsaUu20C23Owf0zweQf6Kb80E5km+1gx32LAZ0Df1yzbyOZJSKNj+gZg3+ZFap
hsZPGebBK2nL1mAlVn7PBDjo27N+COx899FazVvjVCuBjszuRe5gXljmDiaoRnVS41JjbrCB4t+u
ovNbALY3hK7WE3HIsXSaw7QJt8Qu7diD1rVoB/baTXDFP1x8Bjf/YQ8un2DAZ8hWZxUw7du6B2c8
uMX7t5zihrPJIaHv5udtz7SMgvQLu9w110NHYBJJi7x8YIfZj1J2mrKk0C+/bebUbXVrmrmbTkyg
dAENXghz0exOtZR96ILR0gKFvNc6/r7ZdNZaTmnVJnfDZSEIHFoDc5q9Qiltm7uVSmsHCUj7Z3u8
Q0+TNazsJrZKt0bJRc2pUqd5w7YxMXcKZAXGO0XYrMwk25D/2wZKipcnNZxAIJ3UsBHroA3SNrOY
b8sYEiDDz1FHETMdf7aDTEkSJuDMra0JfZdD1D8mydoLU769eUy+Dcg0U7k0e3wKgsFHoC3Qh7KN
7eTOt38lQKDOT7jVgLPKaeMaQAINbmsN9g4UcM+352TxHYyHQ4ZqjQKYCRTMuMMzgOQ3BecZwqip
dmUDLOtwrg05gp76tqHF+sKQJsIKGkDhwvnkspnOaamr0YDMmwx2tpyWgqOsAvUWK8xZ4c6k3Ctz
OjawAmiVUUObnFa0iL184z8XWwVqU7RA9eqvmxk5q9wJzUGQSoIqHsC58NjGL6XmQiT59vSxP+Ji
63ImuAOJlKXQiB0GBvZGsN2BK/INMu167AAHUhzBq5V+CWh7eLht9dru0Jj2LlYNbUX8Qy9BY6bU
g2EV9UBPhHKdKL8O9V5W3m+bWT6ZT6P7Y4d76M2q3EPABhNoIq6zJYDSvWAnfxdMKzgYz/lTudeO
gKdbKFmvWF7cYcwyWO1UlHEYWoxbuoDMEIOIEpALb3HqtkSkbzUFDaLXbE+4u25lHZfvQM4gt5Bd
UHURNIeR2z62hwipYQ8EbI/kx+COXrgz7lbTEYtcFmeQc6yCNuUDCWGw0tzRRl8WlYEuR6Tm5uto
3yXK+dLaKU1x9lDp8rToJxHWRlu6N7z+owCIZnJkINrb/ezp9w0Co9BqIZZIp83avXXVyeAtAOAJ
OC5FvlY/SUWRy3M2gM1a8sR+M7AslqavbZqrx4IBJ1XVkIHz4jaN3hqkNDGtCLa6r84TLd0RDtWu
/OU/EKdGOuQuewhcaEv8m83KtKpFxiKCis/l/dUZcweFLNhFZelDfZTs1PXt9Jf8MluaVd13v1bs
sWO3cDpn9tjvny2mJshpG4bFYBGZzpsWeppUsSKvAUYfMKUOr7+VmV02ILDtc2aRHdcziyBzT3Wo
jA2W8SOYaIU8tZu7Qk9jhtOfaHM/2cQTtjEYAr5Gi/wod8IhXiFnuHqH6FA4F9GkK6oGt7p1WjZG
oTBnlB5UCQRvv29P6/VBnhngXACBDmcGkTx0F0PLNTMg9abGViwaT+jQhGxFaVoC+FQmAK3jSUUK
OqT+iCr3EG6gR2VJikbR0AkVguoecLFtYgAvPNTPhoZmb1Blrj0wlmE+W5Ozz+UcSJ8YSQUmKFw9
+lb/MfycaaG74XO5eSppszE+AO4a7Hin7EZLgiCdNdnPf90Cc/kJPBuLIqjQudMwY9m8rcQfQvdo
RJZpoEVrLQ9+dfGRYAEBHs41kLeXGzDutSqKG/ivGbWufC7vxlH0bq//9duOoEfWkCRwgBjcJh9z
SKVPzCPPYKGFMvxdd+dqe8i9Tt9bGrxou9arIwvk5u5tw1fd1pldNvazwwVBKsj6tLBrgtxYLecD
ytRWUExOGH7ctnR9Fv+MkIsqIUSqzW0AS4b5FkWvEFG9/eezE8I7JrS5oOcF3QMIWjlHSCAzGQxB
hS0ZQBsQSQ//wRyfQHgKpoa7bK3f49pozq1xbhBgsDlsUlibzLcO7LqgH7o9nDUD3IbQSaSNEjOg
G8+q9Nn2m9t/Ptu0i+lS8FrFexWdOjxoQ5InRQG9w2D15Fej2UXrNREEPB0zsG4bWuYpcVCRWf6P
JYN7YRWjgss5gaVIgUIHWu+RcU7iYxZ8BhAfCmTFqvK0tfPefBsg9A5pnPZV7LUeBMLFnZ82Kzt+
manF94AzCp3xuK0RxXIzO0HATelzfE/yJVEgBlp0FTW0ONyhSwkJkVZcecVeO2JoxAcmQZRNBiG+
PGJqhOkJ0QxsBX5nT+RQKkDjSA60v25PNL9jQJOJkJWg0x/dYwCycgdAhS5u2mSQRJqRqRRF/yUp
/JV6MR9LMRNE1HHK0HFroLPsciiaAqxAl8CEUj6W5CWfHahg3R4FP1uQrRRVEbQ0KujkGF7+0kQS
FlCVDZFaALDZrgSFRoknQnx+DtcCC95hMEuM2ADIBIKWogWirQIblh8VUGVl0kSQxBkikU7GRh8/
MmMXmfnKiV6U45hBIMNMqK0ClaXzwLOinJNaDCaVNuls9biZRWmX115kHuPoGAROD/lEfWW3L1fM
FDWQawK0h80O7O/ldMpBKY2moEL6q3+SC1B65q2rrDVTLVjEJN1kRG9AYqHHCS6YCwdGIhTgagH1
fGkPIBPSvd4ebYEKFMRRTmGBmx3kYdDsYQkqUGiNyFtIFiadQmbEEmzodznE1uy1h9XyROCz0AKF
axvvyEUBuzRSvKt0fJaE9qTutTVWSjCnHpFzJ3oaN2YWrX+42DR+RYU0gMKTAbrLymHj7u0e2VbZ
go4KRUT033ET0OQ0LApyB/ufUUOr3ApsH7xeBnqIb5+gRfaXEeYggwO2E5DnAurFORz0/EDqMZNG
akzbCNJegV2bNG4s/blxpTt/I2R7sFxhBb6F9PlzbdIXaSzePBfK9mLcF34M81DP9aEA+mgQK9/+
uC8sRDJQI8pptPXdcvOBWhmSWSW9m+gXo5JbixAX72rAIiQ4KkbPBCLCBbtMA8kqMta6Dt4A9EtI
otUXb7GmW/UEbU1ZDQFYBK1u/1NuXhtokUDOaRvFZOXpsHAzBF4MRBZAYuoGuij51SgyUw7NGXpB
inZfABfRie3TFOsNmjakB7mKbbHN1qqRCy/KjOIxiAcL6oPYppfHXk9NSN6HEnTJYvOurt7KAdzr
jTo8NkJxmHLZgfriXQ5pPkAXasjLq+3DaChWo6BlvQIrQxAcy2B8WtmYzHdfHJfTVwGMBgYeGWp0
nG+vmwlqgTWmwm9/FaW6F8F4r8UqWBuLo6F3VjCC8C3vvplyei9oTJZN+QVY9/vtz7i6IICNoC4C
JmuZf8sRGSqJwSgSlGnxatZQfDJBX1UFdm9ImwSqN1Bh/rhtkg+2sBFRH/1jkjsScj1BQjWHyRob
X4OyjBgyjCDt6mFThCsuf+H1OGPc2o9aYEKgFcZ68KOCGh0CkkRbewEu7hUYwclCrw5iOxmLebnB
IEM/xV2uECpOmgOdNq9MZCirKCu+bLmPQbXAqtvw36Zh6lxMExChbYWWcQ5pxsOUi1+6oUGJJmu+
zTMpXm+v0nJMpioiKERAoIPlhc97l5kCILNGfHTBQcYdtPSB0r9iF68kUJf7D2ZMcNqAZwR4X8LG
fPbkQmFK7tvZ9FGafW1jF5UxFTipSkTP3ztBBf32oJZbD5TtElDuIIdG2MaHbEDYha1ZMcomWKWg
idn2fu8kY/aYmLPT5/OKvSsrhphKxZZArgSbg3N3UWRAUkmSUQwufvW6dJeO7VM+pVTNg7+MqyEV
LGFPYFDAv4FBgjtUAhMGzGOd0LAhj/g3iw3oECB6GCsGCJzW+kXZqbnwXbjkQd7E4lIFqWGebVYE
vr2DIjqOcGc16rOkfQ1AQeciBBeJk/XveT84t1dusR2ZRZVgi4DdBNkW7ogBI5wlIMgkKFaolhbV
Tqf99qe1TrgrVtDEoWG/4ygzJo7L3QhRn0k2c/DL1ePdWH7Xah8KKCtX4GJPGIxp0sBaqQh+Adi7
tAHtwNJQA4JYnkEEQUhV70j6NnUr53fxssOOwEAgyocIFGhWvt+tb5XJkFJwSoK4TDqAB74F9LAa
t+moxPup0758ZWhpFQBlX/b5JplQdqohmOfIsT+u7M7FuUMWWEKTCgJDIFvRzXg55qGpUnMEsxqN
ZRUk/zUkTo1MVV4UtU+3M+gKaKB2a33TOF/LbcqQvDKgdrhkgfy+NFtBK7tXKvSO2ba9t+2jvT/i
Vy774brU3W4pxT+OruviV3RLvZZuPY8+efjpP3+hTp7/ok/Uw29v8c8n/Hv4dx32+/jJYj8s/GWz
nyyL2tbjo73Bj/0Gtmz2E/628IP9K+xfZf/F/ty/Pr7uP/clCv/4uD1+fO7Z/wXfuf/bewOPYJHg
gcqoUcAPxE2D2kFECCp7EHwF7iipPwDgd/3k4Osvt8/ocpUBc9JxdvAyZgUG7owGk1bNdQtd+QK7
rmeNQpG2zyD4i/6V0vy6bWx5jHAnsZOE1lgVdrlBZUo/RJIZEZqk5UMTitsRxNcthHt6ea0svtxG
IL0wdTSuAOcoGTzdURIocT8HOQFZeGIX/mtTVXbYQJ9Nbpy8/YAg5e2hLb0QutCxWjpo68BreEqP
nt2JoZQopRKHhM69Wu9FP0ttKFYW4B3M1vC8S0cOUwAygVIOYQuisssTEjVoataaBMS3vZFsJchO
0aifMnuc9CKk0MHTdwGZ+j1UWV8JRFlXsgDs3F/eI4qGncLcIXgWFjtmRJMiBHI7gneHiQ6vjIp/
jc3Gel2YYPvobDJLcDkQqe6xeJGUb4pemGxtKrptDdVxq5qg+6lI+Wci9JU15Om90omVdXs5r+xU
dvLwAgGJHN483Bdkqe+Hao8vkEDeZmW9dCjAoq/m03sKTNff2wKvE1pXQSSA5xUXIs6ZMkFBCuEu
6lK2JOxE85iBRTRfS69dG9O5HflyVmuh14oRkjW4XKD8Lh19KKpGjWFV6cpteW2HgCtDU8ChhvtD
5OKayk+ToJOgAloV0mNVBh8xEVbm7MpxA9077nsJz2IJ/vFyLEOYQGg9xfOwhho6bZTe0kABQUNt
Dea66BHFXrywxO2EUctDIywwa52K9rPoYcbGC3+3gkolLUNNC3m+7mfT2JUurBy0Rdn5H9MaLgDA
utAnyw0y7oKpbQYZD290fAb3gHyq4qZqHgbZE6HpqEaHot+Jo1fqbls/hTUoKPad6QLWNBc/b+/R
Re8U/y3cNKiQz/MjtnnwLVPhBe1dIf7w0QqpaIde2+maBz7Q1N+D+xbanI6euNO0kqy6sq0QGuky
kt8Mn8pfiVKvK4VeYzrKWgTnYlfiwkIr5O2BXjkkuqTixgBmBGkXPtnRtZ2hdAFkw9Cf9oWOTheM
lb+LaXYqfY116oop0KLoCtyMjOBf5c5jFQyVWiaKTgVSv/XR9Fg22h5a4x9+UnYrw1qeF4TIYIKG
5hVwOAtCLQF0QlUhsl2sCF5VGR9KIu+6wvz+t7MHM3gRgrQQfgykKJfHcuohUj1pMEPa/hCOGYRP
dSdCMQ7P8JUM0YkD7PIeYq4F7HGg7QLxssq2y9klYapCU5V9aODGm8SfQ9QOrySWBRtERdlOrU0I
kYNFfdyiPiMMb6DaqGJXiSHn50CkzXhTlXaMoT054wYT0CszWchsR9taGPTXFNTSgNLU5fA7FX2w
1lThPAaU6AWgNkWm4QXQoiUrdH2gU74mSOpBCnOOtFe5GqoHsU7NHbbR2CJIH/qXMqzLzhsVPUce
r8xTT1VA5YKbJaq/EVDgvTRRG3+Hpl67jfOx++2TuN02sjmuIVyWBwjBvAKpJpUQMAmK3OrIWg2Y
eZyYNC++K+o+1lec8rU/H49ZZMewnIhNuPCuNFOI6xaxASnc4lcLodB5IK9/vcGAQf5jglt0IRb6
OoCwOhV734bAI40HYpHObrO1E3OKELn9heZBbDG8XSF/ZXK3WK+FuTimGXQgaUGBxGD5cOUe8gJ0
Qh80ACcuGIbszPo9uJVlKI7/PO9Sb4C6RUdfS1ukX5+GFbgQvtit3X5XJhp1CqT+oAOGp4HMXQxz
JCAv3BTA7ikQPpDBYaOsDX/pnFgp5I8J9vtnp6ud+2HIhtygRiAAF5GMAfrXxWEzg0/MaQpxfLm9
sFcuGIhFghVAx+7B448PGiCDPSedkZsUMuRUV8pdCR0NpAEtoYc4sCDta7F6aSDiqEJGzwhHCuVs
8POFNtHRPiLHK4XC5bsIFXh0TCDxCQEGwhfjzXqO04gIPpVy9UlV0XHeAPZeNEBEhO/GLK08H5bP
lVMdD8VVvMQQVHPTrZXppFQRNMSz6lcEidXY+Kwi6McA9RJvibwSoC0HxzJcBqppMsHVw/ez4b2p
QFm7Ra7amDeK4j9C4ZVKXX9UEXgq81oD25W9hCZErC0qeMjlGdyhBQdSDZSPaSDPJQH46WjK4IIG
Q/Lzlah9eS6weyBkgXIh0gcL2aYgKXVB7qA0WOmRf4gb8jXM7bxy8SyvUladwlMZaSBWoGCTe3Yy
UH/0QQsJ9VK1/xkV4mMSEldQipXzsFwiWGHtqcihGbhKOV+aQL4nGqMwsMpG+mjL3AMF9ssoEJOi
5SG3pMbwbh/Aa8NScHUjxwWvh/DnclhzB+J1QUoCixQvednehRFB59PaCi3ahFiZkQD0xYo7QH3x
OcFUHuusENAsuX/PaEID5Ga8jzfLsR5X0leLrg1YQs0KPU8EPEcKbF0OKER050MGNrRkr7aRL/K8
Q2OnFKmc2xN3mpnLi+LSELe9B0UekynyQ3S9Z6f6cY0acoz2SUCVbAWDZH8D5kD37+/20XSO9y7d
jmzg3sOHSg8qrWzNKR3N+aAPKkWOGy2Jb57zbG0ePz/3a/nS5Wm8/Fzu8pCNMAnqAPMikD62oi6P
vBzYV0cOkieiDdJK1L7YV4AByBB0xfsFSlSgebtchnFQuzbWi8iqY7lydK1INnCjkRMMCERur8RC
gEqCLdaPj/5GHQ6A51QLYzR7940UWVPgzhKu51x08vnVT/tNk7x26WjHwaEnwj5Me8DUrAxa46On
Z7FbJiIgVne1/5uQrTaseHd54ZjYhxkqurp0EYRv/Gme62lIKlUHrCxHChiZoRi+z8wbBUlUSc+O
ILWPdEvX6wQEY4LetZuikLWHMIVyiYjOan+TRUYQ7mrs+InCYys2pOLlxwHkRL1d91MpupIwCntD
jHLVkpK0FaxiGBC0VlmlvHckgoI6CpWQgLw951eWVzOxoXQkLtjqsmTVmTeU/dBEAhpCzUNz0MDU
J8+JJUQrR+zK9OFRhphVwjN4SXhcJVUpKvkAaGPXbTRBYNT/m78eB4aADifm2NEXym3Tbg46Ja0x
jtnvX8NQdBuUfsSUrHil5XSBxhRvJLzEFIIAgwsqQUULmXi/B3wT6RHV/6xwI+ZdtjJfyzoCY0s9
M8OtimgUwE74kN0ZoCvxlM+SSJNp0PajBirg0jRb2hVzaiW+jDnNs9DpOr+jcRcPEA+PjDXU9sLl
sM/RweMK7UF4fb6fowevXZlLo0bT6jGT3bDeKiow/AAKENPuzHdSfBeVhpol+/unNhaOaH4f6kOS
vtxe5dPz/cJXc1/CzT+SeGA5aPAlTT9DHWzTIfDJk2pvyDvTl5HOsSVASAX5XmyeRNEN5rtx+qYK
vh3Em65KgAmeqNztahJD4cXJNKCuIoWCLQx55neiR3QqVoV/2c27/GZWz9VZoyP/qBaSdCCQBtEQ
Pr37skfId0EJad2o3oiz7vez1cIH4GkvrYkpXd2tWDLWMYcGMz4ZEhi9XvTRrNEuHQratU1hZ0L/
qbZCurJjr++QP5a4dQkM31eVGpYUdCgbAhJrodtq41bv1nAOa5a4oyFnWDQ/gaVAEW1fwIEHIaWS
Pqidu7LX2Dcv1+2/Y1oQDeWVQaYQdINR5dsGuhpl/DLdld1sZ9FjJ8SOPNfw/9Ys3EmiJys7wKZV
EwINr6n5rpSvxADpVfdjmI6JCMhnd5+bGZS1wRX92pZvk7ny5Fk+wdjhgA9n2X0UUvkahq6kPiFg
hsRzy78D67NNavIYSCS12lFxE1l1R3G2gonYmWn+SPyPuhYQoPqRN5s9GnDXCh3L3Cv3QVyoPYdq
NSKO1GiuQ4NjAhJZhCq9eWhC2QL1tzVH+0Z8GFogu6O/vtfw7gciBe01LCo+taid3WuZnAlDlMFR
5G3omLFwhOK206blSnR0bYiwA6koNDmh34CPDIQmwXOG4EIYNSFG5zfodeMJPVbZ1CJw9BvBxf/X
93wUlCyEbTnNkqmneW+kKwNexsuAwuHtaaDsqMFP88W5VPGnOMzgZuK6+TkGil2Y0qvS6rY8Qket
0J79YNga0C820QSdqeGjPkj3kaq6Wv/X3I+4KbAJ8fhGgh8POb78UoBqJi1THNI4kZt7OQazVVW0
H4qJxCh+IwG6JItegyDO9+E0R9ANFO+NsFujvDvNPneECSvDo9UKoQG6hS6jG9IVkq+Gkgaa+DJz
QsOsbFmpxYPko9LWo08JZLMD0J9m/BymWWbpA6i6k0iTsXQdUnzEf7rtVK7vl7NVYqHS2b7sEhPs
TRr2ZdfKVq55fb0V9WOBljQzuFcAERWzHdEOXbbiHK5cBRe7g/3+mV2/QtEoBwKCIlcJUbPBjebc
KdpsZReyz+cmXEPuEAPEtSMtVGpSiE5JwA1oNIl3uhSAg/PHv5nAMwvcTSNB3CQScwwkM+8C8jYq
2yYDPvNNGR+BsUAsrsoH0HSuWOXxitjQF+Pibh0/AVmpamBcGvkmzW++4HupuBPyhzr6SltPAJG/
uhY1X10yAKCBJkELATIjl0umtWqc6xNGqurwGL66yYSWFrm5QqF45ZpDg+ofM9yE1mIdggUIZqAw
ZJWDFyYOqLaU8alAaWPqVgLoa0fywhw3k9Pky61QwjUkxYMECvT4WOduFPxOQ8CiFSfLETNADu8T
UjCo4fxtkoQt43/HCoGjyylN4yyV2hQXktKEjmwID2WebfvU+DeH7cwMiwjPDtucJqjjMvdXak9N
ex/r7/OaI7l60M5McLWAAvznYjdi1ZJZoCJI0XphxVXd3n7o5bkcRFK0kNXwYaELQ08ZAZ4dg51Z
NM7to8V2Me8xkMhEuQ51IKT9uF0eVOiwMICahXqB4kRVDI6Do1S1qOnsQY+/EqZeez9cXEycGwxU
o9SaGCtTSbt++tJCeZO3m6oYLR18eqF5L85o1AbgsYbsqkA8kTSeMT6b3abTPk31TlQ+C/IpKLYq
P5htbjdFYavDXiA/DR0M+O0a8u/K7Fx8Lzc7RVqRXizwvWE15VTWWxGvnq7fJugsR+9fX0L4IV5r
NGBHkFuSC6OcRwgy2YhacAnTDCw2YJ0Y8onWUe6A79vqYpWKyjeDrIJT2KFYWGUYLdanJy/wYCpg
Wrk+YiNoA6QsdlDOwJ62zNA27lJI0U71l6pnT7W+plV07bEN9/pfwzw8LOiVNMUss9ftSzd8l+Sv
wBTt0ngp6m0LrmhhBtRoX3Uj7bQV33vljF3EJ9xMh3LXjH0H0zp6EbL++4DsS5+vHOSF/OEpGjuL
gjiXi7RW1fsTrMTw6H3SeNH0ipI4nLutGD9rA6XMnPrgqi5a7ClrTkJ7ziHBMT2XcWsnEG1s32Vz
U6FLfZ7fbx//awERpgDkjgjUGVEQ5yubPC+zckKIVnTfxmmfKlsldXultsd5E0yfjb/PVFDWbm+b
XcCd/5mTP2Y5/5nMsyKYOV50g9lbcuIkCAhBM++0yE7VjQ2xJKvwf/Yx2rBrlLGOeMNbAridpsBL
hadMtmVioVM/lkLaGvtm7fvYwi8OA/ibcPMD14QWXPz+2Q1SxAqpQgGzoquAMU+QZG57anYPPtk2
yfdpXtkiy1YVFrCf2eM2olAEaRE1mI44GjdIpkgR2Kwkt4QArrCLym+98axpx3bYhGNHBRX6GhCw
C37Hox1Jj3q52rXDpv/W+Lktq896JvUxWx7tPe/mbZ3OrgSX10XfZMFKutdJlZHVeKlA5DSu3EhL
mNzlZBAuSkBrOZCvqNpSAQFXqR1Sv3R1/+iLMc3wXCo/zRAtUSvphv9h1YSEJIBCEE3iDoKAS6gm
LXD0c/rdTEWq5e8B9DZI9U03thUkyAl5FlRhZbD8RpMhII97V0XGAG1yIt+U04uDMVSCQWggbrV4
sgb5EGgHRXqt+6diDbO8eKOiDI+avIkSMOoJeDJz1y96zMHcIhSh9e7+cre/Hz6cu+dgFXW32M3M
DLQxgDoiqIEvir+BUCpdOGeR9apRVI4oPaBWQy1nsxLMmnwyihky2QyiYYJBAFiUdnZMZV9OCyAc
Iwt9zkf3/fjPXy7am4/ocmY//ulYZl3LrHXZY43MW/zv7O/TX45DnZweDhb6lx83X48be/+ILuXP
181th7fA5OFTFVbtBOKDKTaK3InKqlZT/aIDVanVWOi+jk6t09ZmrStqUcQ5GQJCAX27cF3YV5dz
Ig5FlmSghrRYWzWavjFoh67EcddWWAGyUkUN10SRkH8b1YqZZai3R6jZ7feve/v4w/XeUIx7c1aW
eHE/nYZzZonzjGIeSL4ZwtL+eMSyodL5LxYGqpYMBgzJCrQgX85XVJhF3ERIgrBG+fej+5t62A7W
ZuUJewIPnbtUNpBzO9xApD4rwqSAneOPH79eXl4CdMS8oIzJ+mJm/Br/Daadg2Ntnr9K6/nrGTxj
+M/XBHrAkP3j8fbITwogyy8CiAvgdIAT+TaYGrCTHC0F2CnsuGzvgQ1Asz469jcbdOyvGONDrX+G
/8cYO8pnR3Ug6AbSKmYMOAQgEJ4AN8BQNwwpcNvUoqB8MoXmAnTkn0rXnCcXxwaNn2bDTB1PsIct
O/bs/DMswgmXsGbz+lye2eTimcBMxq6pWthEBwjFTwmK1xl9xWgTgH9/e2/ew+HhcHBWFnGRdOYH
yz0Tuwpk/2ICw/CABXXdF++7dbfmVK6ed+lseJyjJYEkl3XEhmcfkSqD93zwsFO/rW2TxWOAHw53
Q4FkvZYgMglD77a79ejdmoUFVP1kAbgchLsAGizA0Upc5EIy/bNSe0Lfe7dzbBetBKXzcXKV1oad
gZWXxvXjf2aWO/6J4mfZLMEs2x8gnuys99cGoHEQiFjgYAZ0HJ1x7hPFTcl6GBitEvXeUjqe4PIp
1YGUznE67ZWL6QR3WHiBsw/j7gsDEgczxIP/OS3YRPbx9BMODjs87EbFVckOK/sJP+OvA/55Okwn
FBBmC8d45QzzASi3SjySS6j8qkOL1dlXsS/DB/1ze7OvYN/C0EjO6SZd+wKFbWl+XqBmC14ItOIi
juHmpSiQKVZrqBIywyfAFMNMMTjUG0Z/Z+2Ym7Qf3bWgZhHTIBXIetZNFLmBaOCbMJS6CZXegN2+
m2ra6SiYmtAXSzRHSYOVd8cJG3ExSM4Y55XbOBfi0FBw+RX0PqABxTPY6ulv/GqmI34OWOTmYLwU
w/YOD9bT9snbOg6G//X1+InobuvCzwHZtQcA7PH1df+46ehXYA/0c63zhk/GsPiYTQoCKXCPLJCl
WjJkOUpNCfDZog+FpSkpKmeWlLxBygiIGm8mM5TI6jxdcbJXlkQHgxa6vw3oWqF99vLuMnyhmmYV
/RMjmvMoXo2djfr/uzZp8S7J6zUeUOYKuEXR0eqDJw56HNASwi2KmShKUvcYJzjMTSivtyo0SCyC
FAU4Coi50o/H9vEta1z8U5h5omm1iMHND8NAVfNO1w9j7kWlnbQ7lFdvn+wlRzvTdjobHecIK0HX
4k6APfSqzu/+V0OVzfwr/RVsi20M9rDaS14me/ilrbiURQACu4qINkoIZQCHKnLnWVeqtPYLM7HK
8jEafgYxypJr6cIVG3xjaCcnUjb0sFElPlpUEvQ6bAYUem5P4bXteDYS/qUqo7A/6BWsZKnyIg+K
07W22A8JlZSV6PuaJbzicDtohgoSFS6SqruC1P2Mrp5e+KFWIeNQV8XKkoyVEZ1K44tNSNA9xIqE
kMJmE3sWHQZg3lF8ZkiqNSrpViePVpRDxz44+IobCu+B/63J3TF/k4kHgrwC2enRMXTv9swuH8hs
c559B3f02mQ0xc7Hd+ixTw3Zd1PTJdkDkkBqeUR7sZ8fQG6eSU6V99SIDqawchqvnv2zD+BOYzND
13FCQyQ409G8OhgBhVo4zTUIy+Ri4mSB79SytjL9Vxzrxai5IwkltE6LQRCCPoXQictdDXhFGoJi
cSOM32/P8FVTyDcCxYoGwwUmq/HNTq5M+DZTKFCu90CQDV0IW+5t318JudieWewpoDSYOgEBzxe3
eY2kIGpQo0NrNO/ndpv1b/NaNfS6CYWdECAd0Pd7uW1jUe3zirXshVMFnUV7kr7S4P32jC1D4pPD
/GOEe1qEdejPtY4SvtgQsUHXm9g4ghJ071lvpo5uxOomSGbxOR/T2E3LcjhI5pQVDhmafJdAunPF
KVw/JOafD+KeHFUoz2WkwoOHsk1Eqw5VFI1szd+T/tkPH81oW5lu1Jm2To6RBrnGtQ9gBpYr++eC
5KZdbhN1Jhk+gIDUqJWsDKzR6lYXj1pjFVpEC1C61BZByaz6ULXtynrwteiTOOHZBcathzCpkzZV
2MKF6IXt3Qy+EDn6ZeDOGt5Ew01rt6lXRnx9n/0ZMDfjJrpfQViHASv+jzR5mspjpn7dHtbVg3k2
Ku6FV1TiLAEYiH6u6IdYfxjRLjPu+9nrwX5829LaYNjvn/l6NStEIy1YeBNPd0X3QzBFVw7zlev+
iiM1EEij9w5ZTXQMc450LKsJzO5DahH1SyZOX9ultu0LSGOTj95fQxRdmT2DZTqhrYOGKpMn0ZCb
sWhmIqZQC4IAUiS4ACa8qPq4gZvbZ4G+FiIuHidgZ0fGE/Eo4AYGyAAu53CW6rFTlDa1ZlF3Bt1w
/ODvVwnQCVD86CbAGosMX9406VQrfWqFwo8yuMumEbLsf7+tL2xw946aRiKB0h9GgZJjbvxIiHCQ
jNG9vd+uBDEXVrjAb4gSDYqF2Al1XKDxwEqrbaQ8M3z1/8cO2qC5NQl6xJ4zRoNbAbrT92G07eLS
Wo2gT7hlzv2Bcgl4VBCdAizIQwJkSQSBZT1h2mqQ1oJDaioTGgI9YPsSMC82mHDCwsm6ynR8oHC2
4TAO27GRajRIKvkGFECmlUCmI7VSAMHt2agGbw7D2IW17jfCDDGidVjlD0Zr+pmT1LGY7iOI/QDV
OyX+4LQ4dWQD9qcU0lhFozjgo5ApFLHHN3+Yxe9x0AQHE+TtP8YgJf5j0snKd7VD42MRCqjngZsq
8IxU0j/9KJkfSCqjoAfuW80hAulmqo/BEENCBo37Xu23pD9AqUeoXKVJpNCTgiB8q7V+eBPqSgF/
f1GE30sQv0DjJ/ABSzBaud/4pZy7Q1zH5r9wLKAuA24QbNvQLOAun7kESXAmqanl5y3IN7x6AGpF
3YzVoVSdzHi6vamuOEs00P2xJl9uqiDuogkEMnBjFYCRJULwNqQgHLRum7l2Rs7NcP6kSWZsnwlm
JOVTAjOU/9R3H9VqGxebG37nolgD8KyOPw+9QJejqX0tNJVQT62m+ij/j7QvWZJbV5b8IppxAKct
OORY8yTVhqYqqTjPJEji69tZZv2UieRLtk7fq9VZVCTAQCAQEe4+61RtNHKXRomjVQcp2ZjlnV3f
G8bD9cVd9hBmLYsTs/PqT26coYvCDBRjmcO03wyzomX+mLUpNZing2VWJnet5KHUJK2RmlwWZ+cC
EqQtED5nlhix32bVvJNs0uUOACSfpHznbPR16Pyxlz5t90Y4eVbf0jDVdyMSiVR/AD/KjkflftLM
zfVNWLihzn6KsAddY2VSp+CnkEExqFbqrqRXLlDcodOX6U4t10YR57AqfGssHDcU+KwxxC3yCwdG
UMQkH3InK42nMis9y6pSR8+D214qv0IgUdqpfaqI9fv6Qi9r1eipaiA/Aj4TZvHoP//aZqib7WgD
FGJMLzqAPZGSv9pDQVmSPdltRENLdjIJwo9tg8mL8T5mIe30+KlTn0if3ATK82iClFRbSxwvvwAw
OHjhAkEOTwD34Pnv0vU+huiCXDiSUm3a8ZeUA/VjGX4cAUGfjSsnetHazIEF2Ng8WyOEKd0ykyht
IFnbjaU7gchHNyQaT6Wrhq+FtHayL/ngMTumAvujgHgGiFgRx8TzoCRWjBFeP3nKb0Dp6WwPDwf3
y3a3axQT332pK54lDgzpuZKCOZOhUFnyXSDPBKdWDg04iXQ3xWjGULbqWugB8NYs92kkBQfZzGIU
VKs2+gomTZYgQ2soQEPl7F5Wp2Sb5JZSUgKoiIqpnKD7GaU6lOTDCcI/CYnqfTSApGOS5exeTpBx
FWF5v+K1C6HRxlgtcnwUqNAyF0JjEvK2i9iYO4rEmBNY/Y1sQdTerMlP9GBTD3LFz1YV3uvZhtdQ
cVPG/uv6T7jIKeeeMdjTwdcCIlt0Q8/9E8Vo4AKA2aZN9ZyBorqp3q8buLjLBAPCATDSbuJ5ORsY
n/C9FOVhdXZkbQ1CrtfpEygqOpiwotDX+4BysvZ8WTEh0keVSoKgNm9TG4GPInyV7ZUH5vI2QShe
BX3AjMc+/w7BqBoMExxYQ9JSTIo3zaNq/HtaAdAhSAVNYCYw8iLESBKZXNJiOUd2n79pWrSxW/PV
UNYAAPNPvTipNup584wA5tyEIMSHZDT0Gid1GpDVqT7DA72PNnn/7w3KuS3wTThpYLbCFEmgWmVQ
wIA55U6t/hwVpOA/WOk2ipvzPZNfAE4CPi+Ktlo90iyE5Jx2l8W7KNzKmqPiv/2joyMF/24bYeQf
qZtITClnCZcQKzJnHisso20/Fc5qgF8Ig/hySAgArsE43AXBoJTZeJRFgCGifX+HgYLn57mnjsbM
00QxVrL998YUxhd0YIRlDIeCn0SIUH3ETG2skUXNCphK7I76u6q+jms1tYvzhev71Izg/njyaHVb
wkyOUbeB3E72v/eRZgt4q4MaHCVnMdDp2RQruQ4LJYjQJ/ml4C5ogzYZx+D9ylleWsxM9IpJmZme
7Hts4CTzNAwewBWQi6R20t13Rdwehw4kEdf9bSHBRXsK+gIglJvJJsXLwyoCjYDfI3fCwgZkWQO2
JTb5HQhoKZA2XsUxtjx9jCz3s/YzqPWnFfuXJbFz+8I3S0JJZ8aswdqh8sdqRutJAs5aiW558NVA
V2KSCDqKeIOPa5yIC3mOBs7PGRirgMb4sk0bKBovWmR7GJmN2Y2au/ODAnSePOUr+3wZzrDMv7ZU
4YUfD+jXRTFsabxz+nlEdTxo8cFa65EtrgkMXdAgA9kQeLTObwCAeJKwMpCr55BXUuSSmpnfT7dZ
9w792JVPd5l3YE0ntmYPPvHQEQK2fWrCFgo+eMf+kRW8Y7dGALY+84OH2FPil5rP1ghrFtaI8oVt
zRzIGD0Se6oQSYhbk5SFM+RfYSFRtUCyg9n2ZG/aiXd9kYu2vmWvEbkw2SlcQ9LQ5EXSV6AMUMHM
TzYqCODAsxy1Pe3WRCUWfATMP5gXQBqngiZYiJJVN9VqONWw1W4M5YaDpaEdwX7UP19f00IVHg25
E0PCmau0qTGyEYb6/JBGN7wCRdZv1fLGzCnMnrLiMLSOrL6W5c5qvT59uG7/8nkH8zO7LW5dAKTE
+mqh25CWn9rCCfTBlXLU4cHAAPkWgPaeirZyVO13qq846+LentgUEkgN0VTNCWxykvl24it5sDW1
vQ4mnv+/xQlpZIVhzaQam8LRtIQCGoZFTbRPPxU9cDvCnFj2Y+vndZvzjz/Plc42lAjBBew/E2gZ
sLjCRJ1637UuJ++8Ja5kOWPSrFxMS9ZOH6PzkTk59tMos4YBJor6Xexp6F6lzVFCdTytR7+GWvpY
rTFiYbLkYoXzGxEvHNQsdUB1hc/H0y7iSq/MqguFMmxYVgU/eNj2UHYsG9PyhylrgbSrJFvaTGlm
HwCPBmQ+bSLlVcG4qW9JFdmBUc6Mb/kQWl9FqagffSMFeyk2wt2UTaY/5mb8bIVD5Y1tmTVPnPNx
YxZ1dS9LlnEwJpX8KIa62ZR2RVKqd1UQoGk0ye/x2MXvhpKgwTtUkvGG8noxA88LVabqONbMrbO0
gQBdbDFtYwwSeRrSpLfvUrsoIdOKVIzvQw0kwDs7zA0FYtuJ9UPtLakAuFtl4O/OJt5jlD23/1Rl
YAzbLtTD0gsCiWiePcnKuGlSOTGdqUVFG42zdii8gtVV7Yc1wNQ7ySTMelTtqI3BpamM446A3h/q
IqzN071sShk2DmqS7pBr4yaJiN3dgecz7HZGVofbzjbA19LYY/4zAn/F3VCj8k+nwUKnt7Ay8GWp
1hQAeiNBLx2oEHaT61aQOAMPs9TJ8mw0N7lGAi9QmyhyiiE0j0lZmyWYjmaY+xgwJPk6rhT0dzMy
/e64rAcUGq+TvqkYhgnuoyFQut2UyB1a6oVpN6AEn7KncrCNO1WtxtgbizKF0qwE5RA9ykbFR78Y
Yn9GTIqfTNNjtKftaoDOPOeK37aT9oGqlmE9ZOB4gMp2lOAH623beZmNRfrxmBeQBE+j6s7kpOif
eTmWvZPbVVF7tgnp711XdfKHrPTTxmZTAQ4K1MpQVgZH3HBoksb6GYG7HNwVAHBvZN5OITi/gMHC
FZJWTmlE6SMbKiBm+tKIn+3OxECQqUrF51Dpw28WGRCinwb5hqAIsa310Dz0UppLtA+ZabrAv1g5
jWSD7+yskp5Tu80f7ZHVvTtMselqeVQfSA9heOBjTPWpyvLGD2oVlJrdVEL7tx3C9LVUmvq+gXy7
QQN7gABfwiyZtmEyAKbGWfBLz+Pxs6wl8NXaVss3fVnK4G0wm5y5yWgbtdcngLw4da4Ejt1rJpoB
ihZSANinpzo0EIe0ngx/wIUS245NAga22DLnaP8O5q8w0lXugDCqfIgbvdpgxBKC7Tm8/WsCWc8I
7obMcBtUbhLKYhu1ll4OzdDDyGkfOqgepr8sSVH7TdPDQeHjiOip0ReDz60YMhnJEEzHoNXtgeIB
MnSUyyHaeQaeCTcS2KNkv8CR/TAmEHDRFHTD1Uo17SJconQBwSuIlsyvWKz8PFwGgzqwvlckgLIc
qXVmwFZkqNBnvLGSB5Qxr18FF6+G2ZqBXBbFUzQUxfwvivWizQJYk+xfbY4xELJSifnOVM8uG8GC
kPWBnLmrS7B9UmPDP+NttvP59o+2kfbVa+x8MIoBGMiyo3joRyvceRd5w3cRaB6WAFUQXkbzJXFy
8bCyNeM6Q/mkgO49Gpisu23L12RKaDqONG+3FVREr2/nmknh42X5gPKdioJKOL1nyTYEGUiJY5H5
lfKLWbpjByuX63IF5+8ahd1Ve96xAs1MOo63lupr4PpX4n/NhYR9FPLMgIc8NyPYiJBzBaFvDwCG
jW5NVtZyARiHDjIK+DPhPNRyLjW0BiMyJAOkX9R4UTc/mJu+Zrth2CibdFds2m29vf6xLkfBBHtC
XlsXei+rFewxX3lSfrAfqvOYOkHrqvfH4ageTVfemO6K0YvURDAqpEOkA+jSMuaaW5i6YY2hlcbl
9oH1TkJMaph3kdTQugcOEDq39cqnXDruM38JYGc6GiYi2FAJUyMFVYxEzeCmzu+sdqXNfpE2fy/u
798X8q6QMZb0Of6+NBkO0Zg3gf+V32RrE5Zr65jP4cnRrg0t1MEwjyAJldpc2QZytxKG/xfn+J+l
iNDAhoD2B1mHRFFcM0P3PX7gR7b9bDGm8FUcMCXv5371Uq9s4KpZ4QEZB3bMxwFmbdWZHh/yL9lB
goRnwGH4+Ta5+e7FdnN9JWxdQsbm74Z/0JUDOBfDA+f72csYk0XTXfpWrN/rn+pm2lg39VfnPt8n
GZ3uIpwFaLvR5EU+GCtv5gs85Pe5P7EuBOrabnlNAhwJUBDwyCtfAUpo6Bh40kZ9i1aOwOVU8Pda
9e/CH5hORZnCEkoFyEix1uRYf9WvKsbQs4OxUzbgwfgx7huaOfUhBSpz7eRflK5g2MTAPRSm8L8L
SKSV8JEPI5Y5ghXH0N0K/djkttEcbdpVupsEt/XaoMjiYgG4QlAFsA1lOyF2t2Cw6ysJi81zr/fA
sdhD1bo46I+QITtOvuXbD8MW+bu3Joi3FAlODQux1QBCqWZ4JtDUvgWVAbjoCdjua30lhi8FglMz
QjTFt0Sqq8KMrP40MZdssD/X4/Vi/nJqQQhpkhkEakBgAeXvmqr7yif3HaXhsQ1dg1r0pd0Wmwdt
p9+vnYuFLQR+EyM2IAFH9coU1qaOVQQSwAkcue2LgqZ27U5kN9qv1xc4e4CQn8EKLoN5psxAKnh+
9LUkB4FJwxHniFegCRk1KeZ8opVwuvCdUECCPANkARQVsebcCkAUpgaZHBw6+8U2H+RoZZj5gmNe
RdkbZFg69AZAK0FsIfNiSq23eCWArXaEzmW4te80am0SN/Br2vnxIfW6Q/5AnBCKoJ3DX++HjX5r
IPsET9d9e4dYcwg8cnvLN4VT7lQaui9rzHkXOy38xHmPTi6taKbagAhK5BDpNh0OKWhng389DjCB
bzjDDmT8X0TkshDMjiAdjpwqOcrZI9FW/v7scmfOMv99lP6huvAtkyfsssTkMM4HoLo77UtpnoZu
P0R4ELlRvGLowvcFQ8JehXaAcxFWoAQuOR2CfWy+k8yTmxW3VOfTKy7oOxcCjHnmohbOWMZRi9bK
HgtyjdeRml51TD3t9r0CRA49jk13jPfgUNtBredWf8ge7V3uIgPYSM+ltza1cXFGwOcG1IiGVhEk
xdH6OvcPLS/kvCmGCBzpX13s9mxtlHNhU88MzJtx4oB5lyjGFMOAbt7xAIoKu6pCeWtlTxd8BK1e
+B6A8uCO1oWjngZ41+vdbKW+yYIWYoDbjpUOaPDGtSt14USdmjLEQuZol5oywhQARaTc9O2eWSsJ
2dJq8EIGfb8GgTy0WM/3LCsjMvSdho9CPklFreIQtDWdZ3rSFZdf+vynluavd/J1CtVACcuApVLH
AFGBaRCyluZdvD3gYacmBA+zC9AvQQwV++WbKhSFqOqhBue14WZSqYS4yX9fv1wun3SCRcHlQhvD
oNkIi43kx6+STYlTO8UhPNZItcin/v8gSby2j4L/gc4IVwSByX5fSDcV+vTOH9sZHflHnDv6RJXc
ldxpc32hC56I9gT8HePfmMITO9bdMLCUtDoEqFC1SV+gpZI099dNXAK/IeQFP1Sh5wkWD0StcwfR
JIOzYjQiB+XhW2icUGtv3uWPI0UV2U++DDcEvr+jkNW9/dK8gd5iPphatzn9NdDw4/qPuXwxCD9G
8FaryVu9K80ImGIUQSnIm8hEO5cfiRN9dF7gF3SsnRK60yo1Shqs3PcLoexsLwRPBuonsLoAe5Fp
fwCURIkOYpyPZbs2m345+iCsU3DgJC3VuuUwNIEkPqftbeMDR/QMebrHbqts+eaFOcTPqOYRt7u1
N9CT2aIjt0I+urhcaMXOM57I5EWGfMsa7NKsZiZ4qOZoToLU07rj7Up8WDg5GFEAoyNaJipYGoTb
vY81NTY4iENAlqxIz3H+suI0C8H0zMD8A05CXBNi8ivuYKD7bBHkwMm5iw+hZ+2iD34r3+mb0AHD
tWfv1kQ7vscShHv+zPLF2YlrtWaw3HplRtkP8tVv+B0Ky4qj30jv9bGNca+vZfBrGyocEqb2RZQr
sFqlfpvfd9XX9Q29dAvM8GHOEz6KAudFuhdHg621TYjx/ETttnbQ3VqEo8tQAnFQj9HanO1lkENl
eh4yhgPOXCzCU4HlSWNbdTXPo99zTLLUD/1aAXUhrsAGCF9mdUZ9ViI5dxGzq6WKyaiyGO/jHVAU
NdR7kMKzbbgxbSjbc88b3AkK7rm71jZcto23EIZKQWGvio8U8PqNSmyhUpxuk56OT4UPimcHROtO
1DmSU7v2H244/Cb0R07bw5qa/YKTYu1/7YslJzmJK42MsN87wYO5MxrclpbLnXIzeDvuDNAcdJ6u
e9BlgQB1/1ObwjeNRxTsIjJXtUqa7FB13Js/pJJ+AFj8OWLxbuSNXvBW3awVCC7BhvO4CQIaYOcE
ZJBiLbJSy76yphDgtvjNDBwZWD62HcONDiRqKd2zPnVBDlkYIMRvV27ry0c9Vo3bGkRYyHhwYQte
Jk/MSCQegdXtqLnJLvcGz/ZwgaFwT7VN8hU+mzfMciZquuNn7/RrdO0Ld/n5DxAiQ2wbuRaY+AHg
6PClLY+pcrS+uuOP35Y/7Uc3PIwHoMk8YG4Axz2kzyBBSxx5f9txpw4oZoJWYv9iKDnZEeFCxZtv
5HYSo8YxeQbUV83Gj5Gxh9I/vw4wMm/Oit3QPp/l4M7Pd5tx6Bf0AZhqxjslagHP8Ifqvldbvxp+
XfftOdE7j/kwBXZ0A+OnwLWI0/lprWOgmsAUNBbshxSsQA9D1h74lDZQKgVpjzoNH1o7jYcUHcvr
ti8jP2KIDFYyiOyB61AUzxlCbZQaC9upg4A/MAuvVVZWNyce4uogqwcjMys5YAjnGxkmtZEVRoLR
Qr0HmAkpmNkd0ip+68zJYZgaM9Ff/g+LQpsQBxcJKJZ2bjLR+jiqOtTD4/o+sSrarSFHFs/l3Ij8
vxaEY5FlvEp7BguRhrirzWgFvMyHX5xaEI7zGjr5CX1Nn1GTDp3fMmZHVpa45DMYFkMSNN8AQI6f
LxHEz1IK+A6ahTGy2TmdJnfhPRgSVyLQ5UwVlnlqSFhpTZIsU2MY0p+yIwYaICaPobhDvMudN/VT
9S2brol7Ld4vpzaFs5fmBddbAzYBI3uW97JDfvbYzz/WHTR/wP+Vf6yJSC1tJ0oZMlBJMx2g6DHM
VPPEBEM8agEgt07AMeuO9j3ASHKCQZUBEwTudRe9DGPnl4qQrlfdCOIjDZeKao67UfGAQPJG9si7
FTsLD9tzQ+IrM1YhisZhqDpqvxuf/4CS5U67afAY8oiPRmm/vb6yhbNxZlHMDpKuhc/IsChPDnkv
t5BIuptuwke2RQvsZnSQyTrFA8bFXhTcW/tVcZPZO84Dzrl9IVMoEiWAYDXsRzvpzn4K0ZytXzGM
dLSep9DjW/CEFk79rN6ilnx96fOhu2ZZPT+UStYNEFiPABi30HdL36Ki8ru18dRLVz1fnhBPmyAe
knnAxeGKCqGflrZq9djaIwU79muoQDamGTABY6/ch5cNv/M0yJxvkpM30Yh1pcHssfKGHeVkC250
J/4z2RSjcerd4I579YA2jas9/4dNnct0UJADsFt87FVDm8qcYFODLKRqsmnK1+CfpyjntQFYYuMf
kD5iQq3WIZPYbKO2DbYddPtPypW7TpqqLUKw/x8W9NeYeD6YraWon8FYpP3RZY/j+gvJWti+6OGd
r0gEf5iRjuaeBiNEOgbEZcYxMZlX5JrfqPtW8Xj1qUo/ri9sMaadLExw/yjh9qQEsGnHauE2WXKj
s4mgsVZKXqmBz+S6ucXTdmJOOAi5HADZVoINW9YeouC+ZkBt/itfirCLgs9HdhJxM4zxqawPVG8w
VU/NcCVeLh+smSwFEJ0ZqC5c5ToHE+4AEV1Ht28kSPfUNyXo7vCu07ZBttPjZxOSOKFMtdCv9TuS
uYlB1W6lTvXdOb+IXSe/Qrjn7UKrJnPArxgh/6FRFXKoKqi10l/ReJf3YD0OXAOyNWztIb3oNCd2
hbs+akCaW7WwOyVPqgHe6y2YVFxMDV53lsvePT4lzNhAEMzoTxFn3fI+0YsAdiSCmRWCdShGsw0C
oD8DEDlEM05KVlyp1fbRWkV06UZC6QOtUYjr4hkp3MF1HOgT9GRTJ62tPVq0boYxkGHU3o3S3IVr
F/Dip/xrjoisC6Np1eWkghk/w7vF/FONihsGlLSPlZXQpmjcqPTzYtjhnX59ky+upnlts9wTFDkx
16wKPiQbcaQHpG2cOtkPGQjrjWOdpOipOyNSZK3yoy73r5u82FrBpOA+cgT4cMZgkjDVrUqFxkr/
lBa1K+uAtJbZ5rq5C28VzAlpW9w3DFIBMJehQK8FO4M91O3kaGsE+Yt2VGwiAWk08MrCsoapLJRp
6hvHsMtDFJiOznJPAqeFUdQrF/viDp6YEpaUG6nNdNY1AH87hfULBC1xOjpkLJzGiP7L10J7Co9q
A6BvEfvVq9ZQ5UXdOLrWQ9O7/IXKwr5WVYhex9W2IeNabJ1zvbOoNn+vvwZFwTTdlPqCyVXjIPDu
5Irsjbg9tCAWL/ofXVTfoboHwDvcNJep2We7695ycUPN1lEdVMBkPwuJCl+xHrMyyGp8xUyq3KQG
8ox/BMBLXLey6CsnVoQPWOYoUHUJrMhR7EpQ4pDBW9JjdCfT1+7Dyyj6vSJQPqISBk1ksepptdUA
sXTYkjpPZZmbYio+yQCgd6uGYFIQhRiNktK7vsLFfUTCArlCoPnw7zz1VHujzrNhQFyZAn80hooq
WuIaUrfSvViMX3/tiAyrUyQNAdQIwaOZ2mjYvLeFN2AQiWE+I2CO3nwCmraytPnjXDjoiUnhsTJa
AHlJGkzOCmRoTmH2CNjgtn4HEIXKxko+s2ZNyNC4Vc009dhIgpw9eAqlR8O+ichTVHgh+dep5tlV
TlYmpGeDURikkGHLYKAkRSez8DtOifxaMKfGlZRiDv+6m6x9PiFbSytJwZgkLCpT4nc6pvjt0Bs4
bj+c7GDMXzLU8oy++n3d7Pxnr33C2XtPHkZKocTMKmE2bFCxqDM3Iqtzj4sfDtrdcxJjkIsimlpg
vMCMp1nK9xix16b+0bUHLXQVdYveQ1NsoQLBeUaD5MGSIwqVolE/mP1Oq5wm/FcVMExeAmz/98cI
+9zEecumDAtmxmPeT16Vgk3CXLmWFnf1xIiwq5k2JPpQY8Vputea0auntdLIYtwE+golNEjIozx5
/t1As5VlHYN6rYQtVNjvloCgtKBWvaYPOv+hCwc5MTT/kBMHSYkWVEkNQ0MFtTQoZIfaq2KsxK5L
I0j0gKcGfACcvGhInRtpMkXNTHsOJGRwJBZvyh4oVXsNh3v5Wc7NCBFEMuNQSzV8e6Cx8J605MCb
4m5NOfLy05xbEWKHBOKijnVYjMVVN09emyymdfAx6Cugj2U74LIGbBRZgsgZZ42VnmRAaTukMzYg
Mt42tllRbeg2g6GyFY++DE9Y1EwfB2fDA0RkyVKtlFcjGRunhxtE05OWOJbpRhLokxOvxSANOkj/
GpnOLQofK480Iw0zDKOVBr8124Z2dvhw3cSi26FvgGkSvFxROjl3O2aOgLBNWJSkZR9FMZC3lJgQ
FwW4f2X7LvNUPN/I3PPETB86cUIyBSAYH5WJNA5GHfZqtGWddktaldY/1bVhissnOSRLAWmaBwy+
sdjCYerbUk2t3EDaODnKD19+wmP4oXSqg+GCegFYwh+giPpQ1or635RA55Hi3K7wwZQ2Tq3J0EHU
SZ+tfXbk963H75j/oDgY7qc9LTY9/rMZQm/gWceEKHtrN5IHplGv8bpt8qp8g5RspzyWbudBgvL3
9c/9jUW69guFk2mVZdNX2vwL76JN9Fy9mV6E3q/t4RccKrS8AUTbW1R9LOgeGn2U6StucHkTnm+R
cPlwuW77fsQPiJV907wpxrOS7Eh+P2m4KVaceyHdPTcmXBGxrIYlVOfgB5mrkBtN90IppmA0ZQAc
Vk9NgDraSkhadPMT1xMO1DRgpC6O4Xp6xigaWZSbnoHckAHXvXYDLu0lxpyhFazj/F6MVIeyFbBS
MnGkSjpKEB23Azqx2uEhc/vmkL9dd57LwgSO1ak9wb2L2CRVYsJekb50hGbybV6BMCWCFvANyDHG
0bd6p11rtSzFXQC1LAgiEShZicI8YzVKUZqBHR/ZX5DspBjjPMBZQtwzrbaq/GKt4cOWYiLEpNC4
x2iSiUnm85hoxy1PpxoGu9QfmnezfB2DlXN42dbBVp7Y+G7CnOQUta5WatdIuLkaALpB19L3v1ga
v5M8pM2k3CsVOVR65srWsKmN0Ev5G/Q0V87i5WiE8CuEOJlk6LOqHVY6DJVT6R91UDzkY+mj5eTE
6isQ6XjKHCUp3jSsp3zM7q571NJhOd0FwaHSUtFzu8AugB7Kq6sK3FZvXDnqyb05rkw1LnnRqSkh
8JUFq2qzxVLlxqRNBZV1AJH731rrI9lO263J/kvwObUoRLpS1xKz5bCYTs9JvQEPWlii0WxWbsde
WkCFIyCNZeZf39L5r4oB/tSqEPLGBgkJn62O5ktJMAe7lnOtbaQQ4KxcARS9goG24GAeJC2VBkbb
Ij4yrfQ0LQAXX0F5oT9eX9hSsDtdmJA/SG1QVRbQ9U6sMaqPTyTtqNmZThX9STBQ9O9VmfmAokYC
LipQzoqpJe/qpM1kuGaYfw0dQzGGFkDEKS/XV7Uca/6aEZxErQOmmPMJ6HiyDdrphnTEk9V65XUx
f5RLr/hrRvAKPe5CudVgRm4fi2G+lDS/qEA2bmyvr+d/CSl/LQnuodXQjA8lWGog8zFmnafHbwZ3
oXEAKXKug7wARTuHRy54guiK7TlcXa5ynvSaSQehFn4euC3MgJechK0zZPrwJ0/JuDFSnuyKyrR6
2ucBewTdRvvGGaldBimIPdGrwWuSXFo5hYuBTcH0ka0QaCHKszOfhHeQFvSx2aB8nzPiRslzlXIH
rwRCPBB9XF/15eTwHMRPbAnXVTDqLE5brNpsejceOGzCGE9e6tRwGvtnrk0ulnno9HRTq8ZPE5S7
IEZ02DgcZfYlWbkP9wcJyacNIhOoBm0wU7RJ4uCxbpJDhxmtzFZ313/0kttj7tKGn8xPArEOCSOh
bOtd69ioJ8WNF8sgcA3ZijOufQUh5ktRlaZWip2R5D9jsRsav5IOJUrFwOlfX8+aJeEYQ5xFS6Ic
liw7dErTK6rnUv4R1gCZgiH2uq3FAHzyvYWzHKJMRkCbjGp/5nfNkwR1aTI5hVHRXJ8Zf9+U+PW6
xcU8+tTFhEONHEkyuYFDrZubBJwtQHgSKiWGEzQu6x/sCVWstUHB5RTpZJ1CwLfrIO47E3uqVQ8m
6BVl/ZC1bxlXMOMW+kXT0X4uTD4A+t3Y+3RaOcLfPngRTRQwh2JKHVMFIiKn1qbAbLu4dXTliGvV
GYyekmjLk1sEk6p5t8KWsvFRgdD38DzYe0N+MzFEeX3r1WXP+vsrhK0n6dRXg4pfYd7dGT8nQMIa
DJK2tJExtNshR6SDK+9K57OaFRUbAFT91JX8zLNd/vP6b1m8gU82RPggSs1Zg7jWOqNkQAdoeEep
JKZaMbm9XO900rpjr68hixdfrOTEqhBKszAEN5ACqw2gcoUfRfTPu30LsqDfER6rIC3BBnTUoA2a
7D58c7s6q7cUrE5/gRBgYzVPywwkeSCUohoIZdB3Las1gk1NXbq8/q7zgoQVZfYk02FF3rTAUG/V
TUyN3Ufj5h861X5PQJRWbwHoHNx4V+yZ10FHb/ipPX4qDuS0dxlGqNP1UfXvDtuVUyBWvfq20yw2
/6w27HLsc5yrILUz+DZIgWkow2Z8kZilPCrRUAwQKIm6fYvxzZYmedz/IcqMLkuDyf7A7F5yYK1i
38hdbnUUvI5keuAjqIlLltbHUJPjBKJwRnjMQHjd+eqQ2tjoPLVoCCkP04miOgjBR5/V+zDRu21u
Mu1QmhhTlmtJeRjlHqzcTQ9dIcU0yTaIKustbwHqTJtwwqz3EPQuThNK6trAb8HUlG2KPJ2248At
p5YklQ5WXxzzpAWHUaI37pQ33UsjgeGdTmSo9nbVFvclacxfQGZZN3nPQSnWmpaauDzK0W3qKrN+
662obJ24S/v7Eo6bu/YYQvGs5IXLuzx6lhJmQIsot+67jE0mTQHHQdVlCrRNV1l64ajdZHzK2JlD
VIdFhyojqIWcwa4w11HbEdS0bbSuMfBrDgjCdbfvbbt5tTibnnXLqu+tcYzuql4LDyFAG05SEAli
40z+AjaFPaACJP9knWrvWBHhLwaAWPmYHaknh08gsmrQ0NqHKZEf5ADjxS46XNYLk1l3E9WTUbl1
LRe/A25KfhAZfeCEgHtvFSuvclyrWUP2fTIpmHCJOrvwUQ4jPW2CQM/RsEoheI+WkjqBB1hVHieo
mj6QQI1Q4Kyy4La1DfUej/1Io0Zt5e9mEwLWWYI4MsYuNxIIlGrT3sqkIPdyACW3KNekG9voss6p
ZCvxGiOYvrSK2IDGTYO2uR7+vkvw147CfIJPkjrCUW2EkETrqDfxI/LJ98S9T/eB+1nQeKPelbvY
fRsO5m7yoWmwVlu8HMv8TvP+5yIQged51JY2m+OgtfnoUZjbRk8DaAMfCqr+5J7lJQ+scMyjeRfc
mnNUXKOYXUw7AAsj4FhGI1ecA58ynFcSplh9N883TfWNQThUWvrhV55Yn2nTH80CH00vp931jb+c
YcbST7NF4Q4c/w9pV7YbOa4sv0gAtVOvkmp1ed/9InS329S+719/gz73TFexhCJ6DmYGmCdnkUpm
kpmREa2TDBaQ9B5VfgFYVdkH0MC5NKjAO4+3oO7W9qNV+yReaeEHA/exWdiSzis3IX77458g5L5R
D9M0DvET7CrzSWiuE+NhMsa7upOVDRYfMRCSQLsCxJ5ng8BRpdtZOYJ9MlWbdQB9EK+gzo8krIw1
xGuQ5CwFt3QFdWySVtAHUVF5K4pcUplZWi+qbf/8CmHL7bYuKEGj0EMT7yZQwGCm7OZsU8WDf/nj
Lt5vjgwJG9tjDFFBNxIk2lXXufqU/ijH5MskynsXUbefZedo8S4LUhbdgdA3GIrER6KSJo45Glxl
a7jSkTsn6sN9VHvVtgxPQb8fr2N79feLNDmADBoh+E9EcxrtpIEoETZJ/TO3cWMxX63adGn3asqQ
R8vrQ+USBKYU3FZi4YKFNmmbGhtqkSc2evp4BUa5Uel8mqSuDch45UeqKlng0hUJ5G4YNdB1oErE
5k7vRKzsW6iWIsu5ZhdfhW20KlHOuLyPi2b4kDymC2BIxBKzboK2UoAnQTFva9DQWsq11n5dtrFU
QOPE0/+1ITzlUCvQHV2DDWaDpFKt235XJdAovGxl6XwdW+ErPcolwTTpXaXCSg+dqDKpXMx1e4Pm
1yOTPBeXHQKsE8AxAaGKXsGpqcjKy1gB7SiOcr2aBzwYkC+h4+KBk3xnVi1kmFGXBJATgpC67Lgt
fTELG+bALUD+IiKzQTWZ5CZv9xTKoRmhwnOdM0l6WPpgRyZEPDbr8qroOpiocqjKo7w6pJXkFSZZ
hXh+QTQxQM4EJsyYuHVS+Gy6CsPfl11iKcEiLP3znYSQO6tO0lUD3vWJckDE8PUpeTNByhkr6Yca
IFKlhlu2srbssnuAAlIDhpA3TPnPOvJEM8HjrbQQm0rAaaHjrW56Z21oIE71rHl0KzB/Stndl/YT
0CKoHhPcJKzvR++RTehmKTmnfPUc/cGE02eTa+kSt1i0AZSixcmAMBMkFH/GrJqdosS6UotdVdpG
68ttWUq+2WJLDGJ8/1gRokXc0hpTI7ASFVCamkKk4uShCsbbxqCeGtTgdAHvntEP/lCbT06d/7VM
H+5Gxz+Ab8PRVgYlyNZANYZ0lkxv1oia6xz9UnQMPnSVW7eyesRi3Dpar+CkoDvthz7AevNw0/Yv
0fjaRi+9FAK9VGoAXhAlXK5rrJ8pLWUYZy8gKOXNXfI5E/qZadPKxOSPDhm23vjVV2DZ7YBA6/Ro
b2iZS7MkcvOqGVzHCmO3HD9Lql5HEaDirexuJPlxolhPblttxAJsORRAquhqpqCe9RzogMSYNgPD
9uWwsOzHNjqRGIWntjhdqjltEzC+FTmdXLBM+7VS7Iw8l3QIFqOP9ceM4MijoQ4mNWAm7l/b8rab
Y7CArWmK4eRiG89cl3T1vy1M8NypVYMq7GGRZLPXUpa6FEjzoh3/TfQGi9Q/Oyj4LAut0lAbvoP2
c2LeQInPLWMZSf7i/gFRS4CgB+BbTHSGjZFYtcGFOQDWqUleh/iGTbHfBD/maIMs6zZ4O1/ewMWz
CGlOSKVYYNEQb7Jp2XVWoPFag7mmFd0MzcZwrqfurweeeIgBBBqzzQB+I0GdhhhoHGlzkcCOCaj8
DPFFlGDB9yxxh6WHwLEV4StlFHWVeMYGVmZ5yJspXbNWebdbOrua1t0XLJaxZiymPihOcqYbXrAR
r8qEqWmkUKT1NAnf8f8btabb2i5XcTBf56YOFNl9DpI5VGsKSddGtlrh2VPogdaPJS7MKKGsi+4d
M+ReA2qCvGN7TJpIcuFixDr6gkINFdLVsdVVsNZXO0V9juu9OYT3cz34BWiDdSpj8pWtjh+Wo6SU
Z3MfRzXspc24zmz9rrSg8kzTVdTGN2Oh/bUo06mHihEZ6pipbUfw0F5toZPyVDdflf05Kg+XD9yi
wxz5KBUajC0NorjMYad1tI8miUM3Y31xpUJP1AN1PVTU6Fh4pAQJZquhtdaWyb868/+cRSrUoJoI
MVLlKwXPlUb90ta8LgX6x5ahbhY/IeetgLIB+Mi+uzNHnxBSW5nmTPiEIZSZq/WY3Kt8fKV+DWVc
govOeWRJyDyDYjv5PMKSo720GOsa18Dsz3kNdQpUfodJcpdfjJrAH2pgZKVQmhKimaHg+ROBs9tr
oQuRR9DTysHaPWvXVjpION1kpoSQFtdJSUodpkpbfaTa8B6baNQN1q6W9r75rxbrUxxV+d9VCfGk
iZU81/gD3GDOvQHye3fsfhpS3uXl++6RHSGSxAbLgyEskUvZSp/9HCVILSz9HL5RpU8thb7PHarp
pgzqJttKIaIkdjh2RY2trHQUHzUH0zF15yZD4Q+5KQsni60/k2u8gYAIhJ8itWCVFSUIZWDNjMff
aQnxNY3d0pHt2ix6C3JgtLSm+4pNFcOx+SGELkEYN5gQCvzMSl8NoP8uBx7xcqFSnDf0EfBWsjTA
G4SvmwYK8mAVhJhjhcJB8NbN0DBuhu3cjVud10HMVHWt8G9pD9H2xJAxaoDQywaVikjZWo1t3sW6
jfHZ1vHVbj+3YIODKvzlxYmfVrQihLTJmSExHcNKP9Vuzfn0wJwKNlr1r2Xavy1hjsvCAcBYnqjo
WZJMnWgJshTbSnaKM/rGHK+DVpb9xID2HzMgoQVTFiCL4stTr8Hj27bg3AmMWncbSFMDIrKfnM6B
NovjQ4oHaL+vy5sohmvRQ4RzOUK5SR0wvO3F3bindb4e23avO8V9qU8rNEwkrwUx3MCciSoYROdA
L43Lp2Cu7LQ8j7oQBGtjt2/QEXLRcLkqNUWC2luwA3wrnzRETZGnodOLhBGYTaVyn4gphG24IAk5
JOnb5b07+15c3vXIiOCAWVlPU1qBem+MhsRTWbnrwFNlDHh96somDb7CsX68bPIsjmIDoXGvgY+K
ywmDiex0YX1UDujsj6DA06L7cNDWhh1jdJv8UlV2PyY9shJ5VaEqUkH6JjJkGJIzd8EpQFUE6CTb
RI4XT0LXOWnahwYIHUkP3uLB/uXktvmj0jsVjHxm7qcopj1fXvPZNvNoAqIinRPA65ilPl0yYKbB
xDgVlRNNq6g/ZMOuVO/rAhEtuwMP+mVrC1EFlxY0lS2QFnGNplNrKb9fKwT3snLO9ENV0dkvh6D0
yNyTrRoxGfBt0R6mtuFHIKQFA/upvaSee7WxqthzMBKrte8s0tYsXxPZWN7ZiUA8wVezbD6/xce0
T+1EadJrLGqwrqm6gaP8aoNqwxT69Pfbh9EqJB1OMmqIBZga6wnNQY29NP5QTUiMry39swwlJ29p
08DcC4Y0PoKCsVRhMRFRwy7SMFFFdu38OXeZy7h69eflxSztGWbEoKLKC46IJadm4rRFAoXggadW
TNk4JTSWs8pAbciJYtnD7qxLjOgPYJttIzCiEKCLTPjxZFaFHSUx7kUDeYF2lwMBsDBW78eJ5IU7
KVWuuUTRyM8G2tnrvJ06DDayGechJvZdPaagku3nKGQbg9qkcm3SBJ9ALo9PM0Tff9l2Y25tmjfM
CzH4/dqyIP8X+4WK+nfdFM0cke646gz0+UgQeZ0x+UHIXMMpwPooe2Isff1jM8KRyQEI0E0bZvC8
Xk/jlrXEM5PEn4OXy99/0RBSsYn7HKa3xDlux6i0cjYUrCezMV2Zj4bxqtKketDnQP8F0lVLNmJ5
Ht+BGEP/FqwgKAjx7HLqcrUZkGTKweEQ19tYV30gK2drB6X0fl7bYFeputJ16lWYSy5TC64OuxxU
ibAHbjFhT+cqzAOlhLQZQz7RE9MvGsVntqzft+TloIPjs1wYVQTtiXCkrGZ0TJCI49KG1yf4010l
unfos1FjUmFVYwoa/b8q2Ots0xcvIFcb6WNN4LA/yvIK8+XUWI3d7SgjDjWwq8evIJw9cNIT0Job
qqNbIn2tlfSVGQ1AXCbFJgBEQEUOv+xKZyUA0QT/CUfv4m6sEJQbmCh/xYZnYE4Csz376W34Ob6n
knbnQpZGaZ/Af767ueJj35mrsUo5gJQiME7dYWhuW81wi8ZvEompJb/BNR/1dgLIAeRZTpfFMF7E
IqcCKxUrt20w+ywxd7Qgku1bNmNh0hD3D90Us9eMcQGdjjDDihmlL4A3Emhb6BLwwsK+cY4YS0Nn
BJlFPHyNE2PiOB1jL58TDLmSXrlG6PyJGkPrxgkBKwAb/hZhj43DTCPKJSpKzfaZso0SUKVCfw18
sYN+iKvBywh0Zmi2DYZMcileCGcnpoT7Kp31GFuIAc2keClp6EJS0bOKt9D4+1hyYkeIYREhrann
sAMtSZ81zcpuo203G3/vE7gD4x8NVB+4jAo3GhKR2qhVSBxmA/U7tb4JitIDKHx9+eQuxAbDQSyG
eoeBh5kIUQBHQxHHHYfTxK8DKG9N/fGygSXfBmid4pUCzlGU6E6PUBmUUDlG08qzwuErAlNOAaXV
ONAkJ3XBudFegNQcIFgg5BQvmsRsaKhwejw7LQ5zZIJen+y7/NNsEjeKJsnHWbBmYZwCt1r+4oPo
yemiMMFkWoWepB7AJlckIbust32rw/rAlWzLhpcWthDWkLagsMLZ3ITsVQV0yDQz43rsdM91NjFK
vNIaSe194fyA/BhYFbC68EelsKbOHBLosYIskhTWhr+X46x0BwDs3HyQfKzFBR2Z4j/lKFtEhhIj
vMOUXjtPaV3q4N4058mvramWDJ4u+DdWhTWhUYi8LFJgoqQZYdHfFJjKjk727aTKelwyE8JqJjPs
WRnARF2OzsPMaigcTow9XD5Hy5/nz0KEeBBO0CqaHVihA8SQELqNtT0/6IoslS+6NqIO5rtQ2jrr
2A21TeZ8Ast4VBmPfW+DJz7YzloIqorkWleo7M299P7lUe7/7Yk4lYkCQ8gCwAQAIx7dpg4Lr+iZ
7TKteg8CumYR24RFsr68m4tWMYfES4d4DYtXoiFlZsMgT+nNRbp3qFumvzV1dEvjLgP6raMSc0v3
I9TW/tjjPnTk8dqQ241SwR7rISwHbWEFDPyqQTw2PQ7mbYYCpjmtpHroZ3NnyL8ndoVDbaglIySE
XTWYN3q4Nqr7SX8ajE2L1U7FpuC9yyhfd83Okt2GFz3paM3CubACJesY6Egw/ePAcyzTJaNyN6Xs
WjUHdzYzyf1mMaoc2RNOiDE6iFYFX6t2YGoG3a5wbUnpeBbP4ZEV7llHX3IuY9bV3HMmx1mNZvsx
NB3oTxjQFdHsX/bSM8aG78+HahjEwXCDh5jLqbG0TVnfcHr41gR0OuwAiqvsX3mWPk1R8BRvMV5k
TIe8xrwJiMDMTRj/CCzL69lbX0jiz+LuUgfSSPgXhH+CJ/Wa2tqg+MCbJWp+ZzTa49bA3JQySW5Y
3N8jO4LX6LSyUYfDkhVN9QfArZRWw431I8JD9fLuLsZtcKOiZIsyPijNTjeXVbiZlmMH/1TA96oX
TuVmTiExsrRtvDYFLgJAxM8qmqjFjRno/CAqAPU1ysqDmQaHrqUvl9eytGuoH/KOPRCFZ3Sydtkr
oQrqbi+JrfzJIlO6q4GPOYRo8r+YWfJ62dzSQx5CFEA+wBVAhyU+jMI+Qn04mlJwwCV+3+5QrCr6
dwvF/WnfKSnA6JitAMxjfdnuWccH4QzPMX73wjcDS+rpJyuG3Oo7RpCclOhA29LYJM2EwcXCbO4o
Jh/SF94Pc+3ix2W76nm+oAQwD1zFUfjBvU8wXDnzBGJrEIayxkGJYm7tgxKOb+DV1FZJmGpu1tFX
QKuHXevYHUCDHebZ48nwmiR6YLr+MajsRad1cqNY07xJehK7DIqfktbquUvjR2J7DHQgOF2S8DNT
hTSKhieZW+lPbfk65G+X92FhG07+vhD88qwJjSxU8diGKrDyYmtPY3qfZhCN8EsmE+Q4PzqnixEe
3wYmdOYSlUs3AOEDC90UVLGg0pOMMCykSHgxQhoaX5yBRxTC0Jq2R0sABQTw0buG/WImH7r+rOQA
eZqHRHuuhqumX5PgWktkILazEQ4If/NyPAgx8UDmletTf87tvkgrvTVdTX1XEz8NcHL6lW182aYX
dqu6GTzThDjG8BwkGHtwrqVFgW+WwdPiEP8JIPRAzwqgBtFlFKuw6NjDs+2pXKmlnwQV4Ht7zNuH
GpRzlNsuBHkfh2xZ3lipXl6sR201dytl9gfjTiu9JtxWuPdOgZtog9fGm95+ysfHofZ1EnpEAf+0
Ga4HanhTEGBw6dGotxPooUdau3nzw8iZnyjXbfmRGb+b+tGht4aziSeyYQyTc/Y6zR47e5/nspfp
wqXsdOmCN0eRHcx5iqVX0IIOrdQd8W5kQEsbt2MHGozSn+IHE8Ncf32ITnZc+OjxOCpKOsBsP627
Ae0t7OMjGrNwNnZA31XS8jmPmSerFMlC52FIaMNgrphyDChNGJDZcwX2tgd9KEj1pk9CZRi8haN7
vESxQRmVbW8peW+CkcLyWAmsmpK50SybLz+bgv3P+YFcBC65oOChQgrHvEBgQbHCdKd5xDx+hpm6
xzz97Zh7tbu3bS5/68+JX06vQ534lrrW9E/UWjBpglG8DHOCqIaW+vUwbhqSuIpSri5/6u/Ri/PT
9ecHCvf+IGOGWajYfJNh8+k+nuHzRgZzOPM2kAq/00l161Rb2exujj6K8irJM7cluZ+PjjdByYA4
953eYJjzlvZgwbFvtMaSpbfF78XhjGh62ihDCnkDJQsyTQ32kYGZTrE9J3mOwh2GejXw+oFv0jfs
B4q6PJoeDkY5S7cbP42CSnbru+NwvFuIsAAh4JXEURV4tAufcwx76NInUPo1S+OhzoHWmQo/iULX
tKmv258dIJ1h/tBZ/Spx3scIgmzda0HyJ4AGIUAHCSVjeL78BcWLlfiThA+oYMbULBl+Uh8PQHk8
luW6Th9qmfyBmLi5Ga7/q+OqqAJcI8SErGyzvmhxf2o1P5oAj59nSdQ5y3OCCZEGNjcjRosQWifs
JlmN4JVwA4hVzJtunXxiRhKtucs7JzUolK2sghFGchiMD91Xvgv2/RWQMmPtzl/EBbudjF1k6VMd
7aEpFIAdllh1FlHsYf86En+071X7DS/Ny8uSWRF8NIjhDnqFVU3p7xGUcAxNnfGjdb4umxFP5PfX
AqsiiC+5nLAInLaGokE5G4vJKg+cnq4JJtS/R2dzr/tjRKy9UK0koVbDSJVB5Z49OtBYA9Vq7Tbx
VVPEfonJzsvLEi+QwrLERhwAY86QarBoVWsDbIMazrjmTvlh+AS9ucSYZA9twSGo0/XQmIIxpXhK
On/sn/X3y8s5e6B/rwcPL4ROB9gNEQ/atopRTx1exWbdPNlW1WzHSVvb1fzmFGoCJB6IysamnvwI
hZ89tdK3oagqMMmvnIjzLh/MbFjr49xKHgI8YIuR1NIwJIKfhogq7rOjdUZICrwHaa8g4USYjw2g
5vQDIgutbIxzaZuPbQnbXLOCKODOTb2yGgBPw4xU/csYJNCqpWN3bEQ4ds1AGJ34AzfHNNHAVL9I
+5tMSdxZ19aXP+pSLP4ev9KhqmCid3p6KQejKg0bNqI2qPrmmLhhLkm3ix+Hz3f9vwG+1qMSEokp
c+wMBhiQTIOme5wQMehfCmOlIvn//Wo4pApMgRhBhbr1qbGOGhOJRgNCZeNHOfyqBsluLX39478v
LKYKO8NmgY767RyCArjxQ/upBavb5VUsbdmxFeGCkoM7Oshivop415ubgKwMtfdSemcaj5ctLa7H
hDIilOsAlCJCJk6HrKC0QCaejBizoGsdkwiaLYkbSy4GAoj/Gvl+mRx5QG4GvdYQGAkqUDPbmxDX
rMvL4NsuBgDbxJ2Co2OpLSKV8poMxRgjTenVdgaIPAe+4yH+N0flyIo4YQBwHFMHDevQ2DpTv8Yg
lHjv2QuZB1hU6DgyFYyeZx14PsHKigkWrCZFINupFfpst9G4SYhPg11Zv+KEJu2mZJE74Lxms+QX
LG/kPz9ARP1gRhjTuoYJ/wZYpaZuYD0XzdvY7y5/r2W3+2NGuCwxEqkFkHIoXuNNRpEb0kdHdnVZ
PETg3MIlH/hbKorFBJPe4D6vIoZqL2b9aEZA3uyKZhXLLvJLWd4+MiTGBK2YWBxqQItOnjZcD8Pz
pGyN9q3Otka+vbxxZ2/Abw85MiaEBqNwutqpYKzFfMTafnTcyJ1i4L7du4P7+jp77uqwWlnuVjrF
vXiKjywL9YOhiPN0smE5dlJ3zsCkHEnSuCYzIUSjGOg3h40wod92md88KJ5yAyncDbu2V5Vf7Upv
5Y4r9jj4+bNxYNCQv7y7i0+yo08pun9OIZcyK/AZ+qE+spviRfVLwEUefysfzZ16v+98oNOvZTNo
EgeyhNNQaKPRTBRWtQxADhD0QeauOwAhbiQfqSUBjiwZw8PXoijx4vEr4mJm5hhpx4PxmBTrSMPo
kG3uurnegpUJfMyolNSlpFW1GNYokOIYowCMCepJp1lZb4MoClJcTYvIC3QCrgNX16F5qdwG4Ayj
bhT8xl3ZjaubRDvYid+OG8mHJQsJ4vgXcM87SkEKrUGb0+MXsOJGG/2Z+eawLtPrkF3X8K/4IcCD
99/YBOIQ7RAUGs+6rqYTtm0EkLWXBat6MLwsv4vKO6W+Ci1MiFpo2RUJZyyTmOWbKeZCh+uQmZjk
tzAvfLrUlNI8yy2YhRyY8gnSyWYbo1l4hZZMtsubuAKX1JxuKrscMdAb63iQaAMeqXQm+GUt3fTd
kEhO9lK8h4gOCDs0DC874hBJF2N2tNZYBq7Ah0Z/TTESEQV/PZaO5HlsRDtduJaja5EFYQa5vBUN
9xCtx3UpHiT7uxSjjq0IvpxOs90rBEvBO8O1K921ZbNwSzn42ILgqwFRM5KrsGAm90O2GUvYQOUu
jP3LnrKUIFGFR7cV4rOQzhCibUJJUZXgPfUUVr/EtnNXq8qNbo1X1Oo2DTTeL5tb3Lg/5sTYmmRR
bM5BBFyz2W1GdbyfEXgum1h0MxT00KfjIpDfgNWjU26pgdmzDCaa8pcOTYYkBMrv/V/YQFcYwRPX
cMDJT72s6jgJ1gw0q0Uglt2+VfSrrGQqOIt79ceIeGMe0Ws0BidAHmo6rwZwArfzy8s46/HxiwRY
ckFxjkY7FyE+XUfBhgBjfFhHCFmOzM2+lNsIOuDlOr/CGy062KsBGW9eWTfhXvadzhqq38aBhESf
GFEKulqnxlXUe2jVwMWL0OsdF3n2kFxXw2OyS/x408kq54ue/if8iPVGMwExDWvhF1MKcg72q1Mq
1Mo/8/Kuqv/HSMcT0ZELqsZEhyjCykaW+lE8H6Ix9LVxkPTxzpngOMoLJQLVQlpFVBWiPEYM655U
VeaBUHntHAyP7dnvehu+svvyJwqP+gMtXe0TneqAYZDWK/KdrC2+cNpOfoJwIeyshpmVgkEF0kyB
4U4BIXeA2sW2D2aKNFpJHJaHbyGvUfUbt4mKOYo9gsMSPQ10cDYjvGeAVCpIXuYhyEO3s1cJiOvn
BFRa4VZN7/S6XccYIr5sf+HedGJeyC6kx0S+ldSILcZaCdbGiGKT76SVp5NbIutsfx/wS4sVskzT
ZEWSRLCm6w8tyg1zi/YoBi/Dl05HYkcBDr2zf5HaTpYoJB5zwkxBq2GHw/K2BEHGLH1eLj1fTkxw
nzo6HkynRaakWJei3AfmuqErPUS/hVybwVuirKJccetPHVTccbgKo9cw7jARukJVB0hX14yuBpBi
svepeqK9jI1rec8tExNPDp/XENtCepRkVTTit3XlS5Z8Nf0Pc14PJd1k9ZMx+3A+nxajJAmfjxkb
gD1jLAl05YDEU5FSUY9M8MpSbPq0J7+N9wqQ2m3lm17yZHrdlbqrVgNxpWtdiIh4xoN4ybYxcgWM
/Ol3CGOlzRUNZ3dcTyvtR/CBJvcvx82KNfud31jr7NaBZ+/ie1neWQgaMIy5IvTgUewX0w6ZjKBS
rQY3wdGN9ReruI7b9eWTurg2PG24TiymC0SkE2Ah+qjbHU6qpm/s8ZeWricwn435Zow3l00tXNVA
jPDHlHBiKmBhKODeODGqnyo+6bZOvplsyYIWbgMnVoSPVY5V60AxJ/Noshm124bmkti2+FGOlsGX
eXQqwXNbaGUEAzH4vthz1K9DGUP9Usp3gFlHAwaoLT4cd2ojDCF0EvUp5q4jsuonRGt1lSU/kwBM
hAfIAgD0mkZg3wUb7eVvtHSuTywLeQqiVhA70mE5rO672C3A3Rn/RHEQEOyo9Gs06WTlrUWTFsat
LXx+BBPxDaY6cZDqPRolqNKkzVMBEGiH9nwLREIHUuTOVcAB8bejGrhUYUroj1FxnWC/nRKOWczn
u8K6I+qXNf66vJcLSfDEhHBvA8hu1sEIgGc09ciE9jzYqdkBKrBU8tG+gThCAjy2JDbrmr41B5XA
kl4OT2ZX7eNgcmPgW5tywkbqfqt/1embpT7iGl5Zh2wMVyr9iDLqkiR2qRnuot5ag73ZZ9azFhAv
035Fmu0aYO/rzfxuBBA5hhDU5Q1aCAgnP1u8pER9CGkU/GwM6LpasR7UFweCrvnqspnF76ABuYDZ
D8LpgE8PEzPCAMSagI1O1my8RI6TfTC4Ye1mhh7i/m4isre5VRfYDAigSxZ5Ho/AncqJcEGiQMkZ
WyCoFbO8ZaBQSNLHglzlqWR15+EIf9/mrIBcHALLPF1d1pdRHcT4+w0atU4F9mqSrB3ydnkPvx8Z
py4GM/S7UoI+HWydmkmMbjYLE2MtafRQQ8s7WRN9MzLfYsxtgltz9qvetZ1D61VPJghHPE9zzXI9
y0Lj0nLBQAWUNZasgXHk9He0YanGk4blVsXvIrEO4L3YTJ0mGQ1ZqG2amL23LJtPDWFATTST5mqV
toByF5NrPpFN75OXbB8c7GuQX0FG5zr7zL3sKt3bkivOwqUPliFuypGsQB6LoLuZkE4pCQIwGguO
5oVZW99NhdZz9uK2vanbau4xQqk398WYgohnztRa99UoKu5UVKVuQSneRKAHdxrL14dAWw1N3Y9u
ZnVZ7ipaygq3rZLwKbC75mmYC3w2nSR0qwXx36dijFtxfLPBRylwvzj9VllQaNA64zHWttaOEfhV
LUGEn99eTi0IuXiq0MIvE1gYi/s+uJqHRxJfOUnjOjJEIPdv0f/RLEOKslGWBZvA6VqqLkstI64B
GDAYSkyl3a1SJ1U9W6HUrbTsMNUpXhppHGxxXZTJ4Z5ND2MUG/BmdGk5Cws1xUKKGqQO4ASIYfFO
+wh+6G55UFBqdzxjF/jFW49K+3YYIO6wz26Nm/D33wNoTux/5/CjS4+ijk5NOPS+SL+YdRVEmz54
NTPJDXHxcP9Z5fe16MiKmZR9bPawQpsHjLWrdeoaMv2oRZcBBR3gZAamnkWh+a4BL2Op9yg0o6Kh
deZ16OgbK5hx0yhcqshUsZbCP6IyAWMcMIhURIE0la4wlbOj1Dn1nFoDzf+Py6H5PL3xoUbO/IkK
Ecfcn3pmF0BjBOhauMZ8U41bUkHHYZUPrkm9UEY5+P1zxWNwZEzU3KhwqalzFcbqys+062HaZNWK
JiuVbS1jPeqYnr/NIr8ItlSX8el/c+RcMi4EZQwNgb/bgPHqprkno6s8Awa5Gjaf6bXpX7ehG/r2
5lXdumwHwXTILZbe5OYe9YYV6JplP2fJWY+3Qjvdd4jDAuzF951UhxrNTGfLQslbZinoHJsQChtl
6ASBOsNEl/rduNOAdgSyukVTca1Qrym2lz1pofXEXQnpHaUqOJNYNRpBv2DkEUeflOumvSPzmxZv
aXM7hZ7d/qaQvDI+SmUAKAtDweRHY0oKdUuHBQEO9xgQEuAtICSMALqNcadjvZkD3QB09XtNEmEW
LdgcRAp6MHAcCxbIXJaJZgGzGeqNq2bXJDIk970FbCNOO3YR8/ogN9XF81hXCqmCBIMoIA4PrKts
elCdrZJcs3ZVWD7jcrogsazwr6RzuBQIjgyLZzOxe9b2PQxPINdVNqr+M25v1Om5KfeqjF1uyfmP
bQlHMZ4Qikq+yJIV62b6Uc7aXgkjyWVItiLxiFV5ak0xrIQ6FE7m2zS/wiMksH6SdhvEspE62ZqE
09YBsdckhK8JsCv7o2n38fB++YQtJR9Mk2GeQrf5DK0Qq8vSrOuq5XNlAQT1rDr6HfWa4g7FPK3C
kYEIxGo077LNpU3kFTr0VoGcPpvOgzyMHjkcg5clj23rZRTibs+F6k7OfkieLtta2EKVj6wYmJux
OBX1aUw0ul4tFAu2Wgc1X82wnsrWmtepHclIKRdCIya2DbT+8KYDiF6wxEiANy9FqIowLqJO0Q0r
7oy0uFHUcl/qN9DpWUMZSNYbWWgEmcdmRaS0OnbI8ibiRzQ62yJPXWe0fRa96JO2VRRr35RPNQuv
+rDxceH1AsC5vakx3BgqD639bMTh1ujAgqJKag36wlfGD4NbYcQPV20Ry1ezuC/sHM5LC6XxlY4l
+9AsiIbRhyh+wZN+fqdO6uwwqTZsY2NK/LprcWMstRbcIu0cuNWchK95XZK7PNDiwCdDa6ZQ2Ew6
zHQNY7vPR32MMCpi6b4NCsvPLu7Z4GN8Y/xM89j4HQZ1tG6McRrdIbK0n3Zfm7t8mJKriVFQFOLq
MD90Tq3CKUjyHjRVtGOQfFwDYtxkByXvnOuE9IUEw3FeZeATXIaJIX+wcqGgfuqTrCNGn3H4VJZA
8k4fevNL11HXmigmq6fC6CVJbOmOhMEtzCrwJACSLiE2YvwRZxFaWZ52372gTLwCaiCE5Ny8L9ZF
75KnZnv51C0ktRODQpjEuxwdoG8QQ3Ovo71qyzA3S1t4vCIhMrYGa6kC9/FUfYWKUIGB4yAiXvz3
RTkIQuGtCJZZqN7j5Xj6qZSqr7qIN/OpVa26LrnJdahG9bUkUZ7FDk5+/IesVGyu94qdl0P3Tcma
uyqpPWpArja0VmaxViw/dVZlI1PtOdtC2ERE5DxnxEIo5pnh6GmjFKmpj3kNGlhSDC5mH1ZGMflz
Wft4OUhexecVVcEYDxZHxtJeKWg/4pqRVVd6f0Usz4gOQ+YX9nMEbm7nNUQt97IPnheIBJvCt4N4
RGvj5gM+XXWfR7dZi43kg66PCVJ35xvFNSPbJF41tRu01xPdqsM+bB/sCDnvCmI4kmvYWSY6/TmG
0FpWlEkP9RQ/pzHZx5A0n5aWbMoxkBz2s6P3bQbAMCBpwTAjljjAoVDoUQEzsQ2chpW/owZzf3ln
z+4MggnuWUcf02G6FWAYAhsbN25jXDVgBZ+VOzV5CciP/82U4KSW01K7VXEw6kZ1w+wevBTr0r6a
k+j/SPuyHblxptknIqCd1K2WWrp6X23fCG7bo30XtT39H+qDb6xm6RRhDzDwXBTQIZLJZDKZGeFO
sqr97QX6PXOCjXZtFOQZ6hpcdGW7yuiFUBOc/pR1FRT12HUMzg9pE2RghQGlo83ilmDXpTiDwT7u
5mFwqvRCskRnh68AI4ylibMyqOcW9KfFzdg8W6T90ha3ZdbtLFxTIb0mvWQsZ8inq7CAKOy2WTcK
JemAyIvRjcA1+AuD02+nyrmKiTtPLu+L3V8YhwZ+sIWtE7GGeAiAoL7jI+ZSCbvrBGUnhA5+1t3a
6nOnSwiHzptnlvGtwJZ9tzL6sUr1HEq2IFOHhoeiQXEyhkGivLVq3KDa9aHqqD0K/V9L+6FuIN3y
ylUnU3d6J/OlmzO9+hIxfCjmDLkvDNuyHDv4NhqPUQrObt8gILmu/ABqVMy4a+nXy7N9/gQozICw
7StKI4rULfYiijWQDlYgRNkg07irarSjZrlTWZWDV3YV5OGXoTd35mrEwqYp8p4kxQTkCjlOpb+a
rXHfyyifNx0n+AYYYngUIopBEhlmpSQhhzjirHhtZ0JUoeNfLg/kPBL7mMPfIEJgNNhNR+0Rotmq
fRdUYEF/s+19Q65z47aPC7d+s7V9292y8kdnSyZx0yWsxifsFlKnBumhROPq0A7jpuLM8TNuYpUD
UkfLPlSEynLEW1ENWIJBW40CCVQqCC7BrIpECWcgkup56m8626HxLqgGkCPUDu8OrPQl03tWJ7xM
729E8YztmZa1UwHEnu47zbfK+ymd0a1UekXUQeYYzYIVXi3+uIVggV2JkAi+YW7yfMZzJURI1Ndq
jBw763Hh4EcefNWHb209Hy6Pc3NiV3iCB6jxSJng1gAtMxtESfO41wbFr0oQe9j9XVhb+0U4Ks5U
7zLspgWtYAUHkI/9qCsLrGaTVxK891kdOZ0+gSXvm9rn/qBVknK8ba+LZ7WPfmOUhQpGy8HgYXcz
ZjbWpp2mjS/qXN3EarVnbL5N1JdYnQ4Vo646WJCW7YZjAAlIxyZvCij1WRvsS0vWQ7bpJ8DCBebU
hSf6LKOA6k6emKxxQe25zzT+OEYy3bPNAOtfCBAFfj5r+gp6CHMECFw2BvMW4XGS7pmB3ktJsLis
2NmhvQJajprVoUag9Z0jX4ATzArcGDU9HDlr1JwfCmmiftOHr6AEz4c22jJWlpXsu0NvPbDhrVNl
Dmf7mrECEcylsLpZmTqMh+YhhGR0Z0DVXZpdxQFS1NB2pr4GagO1ldWuS4EFD4BKXF5FKoB7pfOD
pWZT9yvj0KNcvwF3mXXQ69uaSoI82ZQKboD1ZcoSAtBC8yjqpYNwT9v+b64taMXUFwEZKE8KIHqR
5SNb1q3Ak+wYV3tjsnyq6pLTadPkVzCCb6k1a2KJBRgk1xxevTdorghLlKlA3SEYJWCbZr8CE+IJ
1e5o2UwAq8EyMmW3VQ+6l/B7W8oSuDKgxaOu9pcVqg2icADFxX0y7FUMikKNLZakDzYNYTWes4MW
Z0CawBAUiht2mD9FyrTL6/bpsv/fhkFlJZry0AciEqXUVQmF9BluSUX3z6BPyKk+jZr6Vwb3G0Vw
FEVaNSGjQBk786Da0fNUx/uksCU92puHGXpO/zcYwVXwmGYhZzZ8LG6Wc7Q3gsI340OHC0sderPs
fiSbO8FBsCYYDF4CDh1MkeZWWu8ksewBUDYmYa8iHRDZFpiK8FrFIDIIec4ERDb59zhjs48MJ67r
NbiNfT2b+fNl29i+HeCoUiBzg3hPzJQZnETI3gaN23S+2ZzAudRFJojqbqvyyu68hDq8biANIBvz
5nH8G/ej0n61xYpwrqc+xZhnVXMyVJgFoywI2YwqVxDCKTn1pMsyFRCsQDEYRlHRgwVHi+r8dEzd
ie+saZeFf1yntUSVK1hhI9CiQNVND5MxCT2OFX+dm2x/edU2rXIFIWwC04p5C2kCeN3ypskXIvRn
Cuu8DLIZra5ABNOneHwi04RxIMnpQIO8XfrmNKjqYMGs8bFLr2ZyuAwpMwphI2SDkhdcA2QRoBiF
ZldBWXy7DLHp2lejEg4sSw8gV8fgc2vUhBTNTRGUe27dxGBH+BsgMCojybF04QtrlICKOjB00rgG
RUtPnoSuVjC/HwunZMbbZazNU9j6jSUsVVO3WWfZsIfcPOH+NKqgRes8HcRo6p/qYX0kwlZQwhK1
GXpFigpQqs6v9XBC7v5xzPF0pvDwvW+yo47Hx6EKNMl0bpv87yEK62Yo6dgnKaZTg4/nIBdCxXQ4
ykijNz3xanRChAFBryHQl9Exw+uyxwqkJioewTtzVzW2Ly3L2DbG34NaPmflBGfec1vNMags9Hs8
GPTVXm+/GRaXTJ4MRwg01GzoWa1gWFrdOeNy/atjPFKkT7xMZF53M8317xSCyfHzmApG8iBmwLKj
l3g4RqWjg9Mw4u48BE6WPs32P6PyXBqyRsfzSssPv/u/yYT+x2fgkViZNecAjluGWvN/2sAOd2xU
nA4BSZ2SfV6Ba3py7J55Q1w5VQ/SjT52ND1ytJ4+jkZ9P+WKLZn7yyaFR+3Pn1V01MCbOda4S166
/mSyh66MrpLs1bK+pY0lQdt22mgzh8YUninFPnNdnaqqyXDmNZnixJXbl6MT66BXV49j8X2CQK4d
Sc6JTeP66KRRoSNwJnI/poGmxQ2cNlI4aJXy2+5rq/+qLcmddzsHt8IRPADhU5K0AYZGQUlQHPPY
bcmPrDnk/cOk7lUNZ+3Phr/U2QO6XbzLDnZzEVfYgl8wWK111nKmg+kks1A5kr62EEAEhzcP0X8i
awmTTangF6yqVRO1A1yY/6rjW6Nya3ZXmJJBbZ62q0EJXgFaHRZ6NIDSp/PRNPlPlWuSaP3yQPCw
9dn4MyWxqyIGRFw3YL9EB4buNOQ+q3eX12fzdGBLol9V0I8haiUwu9e6JEe7kTaWN8TQb6xcebUa
+ngZZjtaXuEINoii8ZQHOnyMPrzhsWR5xY53uup0ZugrDaolDqDAirisC3Lb9le4gv1pE2lbPgMX
ZT1O09dXwaw7uDx6AShkixSsifb3toh+VEm3sHc7BW+vKQWL1eXxby7n6jMEu9RBZaoP3eLLMn5V
GdWphZ5wDp5PjcgocTZDmhWUYJy5bVYDbl8NhKN+mjCcJsHlDsWEwxt4Gg//aVgie2napkGB8jts
t2YXQlkRWPbkKoYk9Nx0IsshBZIhsGKIaiuGMVoJHWCk9bQ32l8Qiq1QPRIrntm9NEor2d2bJ8EK
TVgrm9O0oyPWShm+ac2L1Z80+3WATGVBT0W1mzou2YMyQGHF0jYgRlkuwyvAO225BblRUabclLe5
7puWr8vSQZv+6/cIxTJFM4ogY6JF2PQMfdDINMxJ93zZMraLEVYYQlARtFqLh1EMSsmUBzsebKfN
UHpT5lrvqdl4Ww/JndK1Pxp9mF1qzC9tMB8JC5A/jO/iZqFzarLELzM9cIsefBLDVOZOYgdEcgqf
V4viK9FkAkWwpXr7rDoPQrWdktMYwt86Ho7bcI8uD7QRlNVBS9CGVaOMq+/2xiKfBV9MkuE4dvbf
JIHWHyH4R6i9WXhRxUeo5cNAUJqKR828kKXnNt3wGkZwh0aXEz1PsfI4uBq2a9vreXi1iOXG2Zc2
eVHKg1kf61ni/bcPmX/3r619PswCNBKZUQ1bSJT5iuCtKKuM27BOa4mXleEIN0fKlKRKKHYu0rYH
PSj9mqLE2JBl3bfdEThMqIKnPkvsBEEXSgkZZQyHWi+9NTtt7vEOrVeTD5YQxZJ1u24u2tKWqYOL
HM8v4oU4HOgYpAYWDRJ5GZ2ckl/neFAco+cxuhmKg10mDunA7mFKtsamn1gBL7+vblkQVyNZacIo
J1rvyTjsB+JddhOb5+IKYVnRFUIW5SZiJ0zlyJBUmHeVFXgpPZQGlZjG5qkINjAU1dugdRdLJ0Ac
ZI/lANMookez9mO83isIQw2IusrO+k0rXEEJsxaMWq8UxQJVPxjq4FitAvrWRHJoyFCEmcvDCHKC
y7UeWgs2Xpkh6ZdJ6Sk3Tybwzn+I8KDGVwCJBpQf6S2WRwVdahhfTxCSUEDW0d7ZmZ+k4MPXJUf9
5gPoR+H+oncGnV/hMKyyPs1T1J2gH9RJb8zH6d56bm+1+2CneMqXxkEXb38M/0EUd9kStzb1ClcM
ZbQmLRL1I+s0Hxn1TQi1J/daeOIqeOYfLmOd95J9HDnoTvh/gxQfFuICqo+IfHE47m0nBLu4A71S
d3as+/wq31cne3beFCd7qXdg3+8clDETyf1iaz+shyu65K7TY8uA+czjjienhXieP7MGLOzfL491
86VwjSQ4ZTO3C20IgaQlJ7hkPoG8XzmZJsoU9ENjofTYcmtZ2855lbgww8ImZGBj13qCGW6d8mZG
XI+2RGcMHbx2RG/dS/B46nQHNeTe98APZc/Z56XgArqwbzSU6yl9Ao8NGqxd8GzdJ2+tR/3Yx7Pb
PsSCPiQe8wy3OZqPtUe+dehL37dfKlg3FBsOiJNskAUmx4P+tdkpD+QUyy5Gy/jFh/ClZZlCKAaq
cmIPHpo65jTJE5xh420Qj2jMlh1bWw5qHWoI694UeZcpEw6PYlHPQsFUvg8GWQ/C5v1ujSKsc5OZ
sTEvR1QOh85Gh2Y36CU3op86R/1ERna26tfKy6zsB3tnTop/2bq3zq81vHBXINWIKlvUzrtGTa7S
mZ6G7B/wMb61E/l5GUk2nYJfbHqlLApQH7t0ujfVl6l/6oJ//hOEeC1IeMYLCp1uV0tnV4s1cB/O
uzmTyf1uxjOrSRMVE2dmRyYflkkDNRFu5DiLOTs22l1v+oP6M1FPpeopVn78b8MTXF4Yjb2qRIAN
zS8N3s169cHU3i5jbJ8i/94lxFDNZOhszSusUjygeK8HJ81AvjA2nBpTe0/YU8viw2XE7Y38G1HY
AJOdNpkRALGpbwIFUWAOnn3J2biJsXRwsIUe5KwoqWhZqw7LJtN4dFvaA9IjtlHyH5dHsjl3aCNa
dFUhsC7OnYIKILDPLyi15U0QolVugmxCd4vu1dZdiNe6/4YnzFwezlMKhg7cherHxrgL0l06XSfs
ax48jKCmuAy2uX1Xg1t+XwW6VIkh4msBbOpnlCMfm7RFP6ykZnfTG61Alt9XIGnYD3jyBkgw1D5Y
XlwltnH/Znco9JCYnWyxhIukFRaJliqAAiOebqNkxe/m92l80rUTkRUAb86dBtlUC+wh5llqnnYt
FC8DnOUUNKjTcKUyL65lnbfbMdkKRTCHwtAqki1XY3YT3TWH+YDXq2N+UxV49nbwcFs6sacfC5fc
5Dsld7Ib5muS9TsTpFneCKHD/O9IBSvpuAGKgRRboP9xBwmQEL1L7OeXZ810mVd7vWvuqTu70xvz
uatfzabb7QzJN3zE9GeRweobBCNCbnTM2xDzwNG57eXQuHocT+2+PyTv9Y/oQQd7nY9nMJke5XbE
tsIVLCortMlqa+BCKYYRp3TGU3fQfgY/uQ6VHUfZaU79jlfSuwqFytTPZc9vm5tnhb9Y/GrzBIaR
pnYMfPPpBlpF0VtwPSQ+1l7ZTQ575KfgUbsFSUH4ftkzyHCFgz2x2sq0Cqw5GH1jpBCMm5n4rewR
SILyEaWvRkdT1H+POkYXN+9JcAJjepr0zlxLrm/Lx14wno+jfwWjmW2gJ/YyiWghyyL6S0eYDW52
R9H/mSMFkb+CvK2sanbTGf1euo8M3wrVKOYm6ieg8uonCQwvS0HAkIHl6dlC3jBud5dX7Jwg5vM2
/QhKV3hhlduEL/nTyYX+CziaXPoF/4sqj96ardP5X5X3zlUeyXWx79Bx6mYP5HraX/4KiVf8YBJY
fUSng2azIrCbGjoV46DuSsO1dFneRIYieKQS7Nh9tNhN3RRo+65dU3/rUllIKFvAxXpXY8maYilT
AIqS/GhVv+VeHf0wU39CijCR8Qhvx58rcxE8jUlAmkgXL0v61pmoa4JngXpxzz0OgQxkhcCaRLtX
dMT5/23JBBej8VohJjS7QbO2x214hEZR9Fd5jNXgBHeC6vRSzRc3aoOcbv4y5Md83jPU+jUUFHKW
JI0g2e9iMZo5NTHvl4XLmU+4H3NPKbAFk+Os9dDgPY0yKS7ZMf3x+8pUKgabjxssXnZE+bZ2lUOd
/Lo72X7mxDftDoRruvs47V6yfX8FBhZHxg61GQv/nt8P37DCRwNCgLdMjJiknR9SijyVxL0s5nfu
Q9EwDO7xhbZJuDj3nECtVkNoxcpXHh2pferq1yjzqe5dNkcZkBDxmCOpyzwAUDXtIkjGjbfoZIMw
LP+rMhpQ8Pw7JMGLWD20n0c0T0K9/gd6bxGZZnhrLUtJpcP22iwUUWAJBUe0sLGnRFfUzEpxlKLE
NYcYOjOOl6ds21H9RhB28ARFrplZsL5ZTZwprnG6lG5Ajeu+JA5ky712oJIj9YNs/twefmMKOxrU
gJFdK8CMi/ot1SiueFlR+4qd5QfaVgYO2DDXTAc3jOlrzA30bqNm85Tn6L11ipjo7xqf2x98LMl1
Y7DxWhnG6pvRRdkj2syMGyhtGqqDSoD4kM8tKlcrq/FqqCD/g7LC4JVPyvRuoNYHz1+j4YV6FAde
M9baMdKq7Aer7PQGvCf9DZ2m8Bgr1viadN1N28Um2klLY/RqW49/9Gyqjiy1zcNMWzAVKHUC9RFQ
2LoWMf1EH5+Uiub7tDaf9JHYB6PUTL8h8X1px0SyipuGv3C6WmC6QVZbOG5IodGGawUyAepXo3Ym
MJpQ3THS61GmvrWd/VxBCSZpNYPNCAS4XDvRjhZJnIgdKvsrQVCg0lMaoTvL8DNLcrXdcsu4QWug
8TEMRfmgcVo5qZoPCSkMbIRphOpmC0JZ0AUNJT82ZrGPwuQw5S1a/pS3y7tja15B8o3GCapSxEiC
5yr6nvKJZbh/ttjh9KE3E/CmVi0iTvtGwRPCZbit2GQNJ/ivIKImUUbApcrDkLV+y16S7k/1YJcr
2RpEcF20YfYMqTbYSvmrwB0QgtoZ+l3R6lqetMCSuOTNx2j0GuDpA/QLuAgKcHE2D9Voo//bSqGp
HHwfmIMCSk+HfO/wzFEE1HaOXaAWb+qcQJVcRTYnFJTOCzraQsUMTEaMKmElugmp9hOCAm48v3Wy
G8KWBwX3zr8YwqLVuak36dLDnEYaavX3Q4hengRhw1eN/zRaya1ue0QWqkYWhXfU2H0OLMGAVobm
gJ0OjTJHiUD58D6apSQI2jp2kBn7H4ios5UOhmKQtESMXLavUWHuCpS8/oWpryCEagqrmsHNQjCO
tor9CNfjeupcq/95GWVz/y46FDb4syB1IBifrXd2HCdYm159BSeNZiUwAbxUVAij+kxi6puGsAIT
nDAuhrMGlRV4xv4psMCcWXmD+Y6uOc+kx6j7i44hOHwb9bUgBIPm8mdDCHhR0QAsgC4uTfuQNk4y
mn6RSjbQ2Zi0pRsXTIMQ29BA+y84QMgYG40dQVMbSsEoicrVu3j6wmMwqJinIdhfXq0z2xbAhJ2k
ZqaFjDbAhmDwrfABlEJe00tGtKzCp+BDABFMIpgMJCxHgNCpht7wTW7tMiixK4HkSD5POy1AOjQ6
F4mN83Ya1qGxZWo1FNmYllP+GHtw3Jm5Z6p+U2vQx3nKdMVTyw9xCN54k34Xjd8bLvmMzeH+/grx
PgMp9D4mFb6iSK7z4ftoXunZU/DHVQ8YK9UtkPkuFHhoq/1sjLadzoqVluDomm+N1LPZLRk9pkiC
gC37ANeSpVCEOcZZ365VgQJryMF7CblMp7e/tiRzUHR12Qg/CkRFA2EQ5KHgkUbDpC4YyDSoiWIv
KKpCErAk1pnh6FnJDqlWD+BzZhkesMs5a/wwZfwGbcyVryQo5roZLdqiHpSBguTXQMDlByH7MgTh
7pxE3GNhpv1S0DWRQDYcImt+aRZKDaK7qax8g+Vdd933+qjss9wcFRSLGZXhGXoRKhI/tWUScIZw
GwthHDQPPi8W8pIq4TEIbmtV84rAz1VnNJjDpz89RWAUSPwyHYRqqql8VOmvYraqUvWagHERmZaQ
71DH9E9Wgcb58nItPuFstaCkZoMcDmeieMIHEJ4lYElNXatsTx24xChEKi5DbM6XDZ5qMC9S8A4L
ntbqI17PM+ih405LvXH81qgN2p7MyRvrSbI2W8MBtwTIMtGXDj6U5UBbzVkAGc16muCd0il3GAiI
s/vLg9kEAKMrHlVQd4q3r88AuBSZJMswGLODJDw/Jt2PvwGAkq2ykOhBpPgzgB0mIxTuIiimDPSn
nSkuayLpI/nyR8RVh3YSVDoXZjpQC3wGKRstr5skAUczCALU2LfRjMlyD30zuvkaJoNXI1PJFNAI
/IW5rYGX6V2tT1+FPUiZQVlO6+I7bgeuEf5xoTy2zRpC2J5qm7FciTC2UPuKhjJPH33CzN1kSk7b
syvVgmOAdxo1E6oGHrHPQwmMiLJkzkG7S9UA0gw/RkjhDcNb0yf39oiqXaPIrpVU1mqwtZvsRScB
fBuwkY/kwGoGc3xTF/SAnXorctVa99D3/J6V+mvxxxUGiwOC8DG67sDXxEQHVEeGVk6LFgCp7dsB
z//qoF93oYzAeGtEaxghhZK1aAvuoBfrTtBHcvRhdHOkNGI7vEMBwuHy7pJhCeG/gVcPDUleyBsU
X1l2KtKbrLrlxZfLKOeX/I+ZA8GVbTAQM4m3DEi4Ta2Os8q1zOQXb6FMrHBUokDryTKcPGru0yLz
yvo9bmRv2Oe57MUscbYvb4YLw7vgAZUgh3hiCZb8vtJdC+z45d0ECbT4qOm/yvpgmg9Ee6a9ZF6X
v3rmUBCuIazA3Qb61Z83gxGXEwI5WKXVRPcauG6Ln+AGaaH3Yvwx+8gyQKgAwL2rKAsQ9x3IISMK
cncci53eua3aHIIwyf7GT61AtM/jSRRawPYBEg8pSv2VZ4q08mUj2ZwynFXIlC3x5Rnb0gQapJng
JJkI/1WH8bEaJjDZ2wc2fKubfncZbdlEZwu0QhMGpEMqEWcjvCIHeTUqKbgfzKMTDt9ZRN6C3r5V
zbfLiOfM1ctCgVsRqwQ5c3RqfJ5D8A6QPCaALKPqYZhzV63iF4ocdgHllSHIPLNQva6oQFypf9Ft
FHZwA31glU8h+3H5W7bn+venLLOzcppBn0xZVuPYsc3BrQmcy20HNkuz87NRArUx0ShuXKQPcTJA
G0A4FtpGm+scNHpuODKvavdQk4vMg0VzL2TfiKy9TYYmLGvMWdfPeYF9lwZgY36pwy9jqDl2iiuT
fWUVh8vzuOE+wWNlYWDQ3ULgILjPtmrMWRvAlUxNug+Yx8lPs3tkcy0J4zbOVtSD6bhAgJcT7fFC
fGKMyPM2OTiLU/NLgR6M4WCSq8KAOB56tjTcnivJQ8HWPKLfTVtIWSk903JgOVfwjgOvmc33Y+1G
xXjS/CNP/L5rJex1G7ZIF/sAnQxbmCKEsSnEakJlUTlqOTuNiCuckaewkTxELyS9t9AofXnRNq59
AFz0e3UL3fMi+fkclugWIDiMkkHbc8Kczhi8AfvsMsyWbaxgxGLBptUqE2zdmRvgWpS0N0hZBpW2
G2Ui9lsnHFL0tqZA/g2NuR+/rzZzbZu8qxYGfjC1aq4dokjH6QqtPkFz9IGMbfzA4kn/Aeb6Dmlu
yHJFicUjx4isopZM7dZBj8w25JFxg0LnBxUWk0RMy7tF+XpOrivWOiaUAOZgid0hEL0jChwaEu52
/f3yXG+a6wpWCKMjDkqiPoLO+DiSh7rERoys1zJie2LP9zVNnKEo/2JLrkcq+DWF5CqdBkDG47dY
+TZouwz82Q2/MhU3tFsnViVzKxuj4NrmNqjj0gJgidI/nr3V80sOWimtTNwh/6ZGEtd2Xji8aMiu
5lS4N5jBGOhtoYNqXvs1Vv7Y7zXjGNrX1D5S487uXni+q02IOCbHIZBckTd9ArNQeo3bPkMq/PP5
xIduLsMSZtShmYK0h47qux7UT30I/i5ZPddik0IoAHIaHayhlMHViSdUGo5BT2JMrG5VitsZcesP
wxT7XW6g7lYNfhhhUvlpNGhXmqI+kUDVvYF2lqvXmY1DPJLV4W6NHroPeNqmyHScienaA/SHzcLA
zAfMp2Z1MpJ90u4YgZI8ahUub53zWh2s8wpNzOiViR52VYx6J7W44yr0l+pm4WJ8gPMCa6vhDXni
FY12gxaESvU0lx6t+LlKruGkSf6oUCe5Hz3iqTIpxmXPisuCTwMXjAV5e1O8kxO9JUipYRbGSvPT
urrD0XC8PPYtF61p1IZykYbnGkswcTsNIGLYLd4qjaFSD9agCP0zdDhqzVzHO/Dnd09/jghiWh10
VQufgVjZ3ddkMlgBHeg5bpI7HrbIkykzpJKhZu8FYddKoq+tEdpQKzKwlyCsIL5zTnlvc6hNwpSK
wnbUkHybs/kqVrW7LAokWJvOfz2dy8esDiKDd6mGsBoxtY02qPp7z18sMLaoO4TUo3aTR4jnv16e
z00jgX+AIWCvgPb3M2SukDBNGqxghv7ZIG+vh0Am+LI1hZoBDli8hjN2Lv0YqOmM51xopbTXSnai
4yPR9vbwcHkgm3sea2RC/lm1VSoMhJV6U1vlsufD4j7VyVUd1U8Ti/2Q89sobCSn1+a8UQR3BjLS
SzH553lTunDo0AgPn8fr9tRapX1tzez18piWP3K2g1cggj3gqRRFET1ATHP0bFSqkST1ak1y9m+b
HfhBFAjSUQ2G8HksGWLKAlLOuOEb+UMzqJAeqo7xEB0KU/Maoux4ZZ8G8xeFAu7lAf5/oHGnQ/CF
BChbjpaVxVtmAfmjGKIDlEPAMv6qEsuJGm3XR4E78nyfm9+GctyH6l88bS1FBOh2hfgunuwEYKRN
TDLUBMm2lngBP844iaJfktEtIYy4fmuQxYhWozPGuVWGCCA9sW1nrBJooBMfIgGgzB+csh/3MzKk
RWI/jNSOwR788z9+gGClJV4SwSKNDwhJvjOKPZ2/hsGtMe27NvR586Apz0z/x1Z2l3G3Nsd63ILd
tk2ns1yHkzYTiC3oe2bJRKK3YjmdLolE5AIU3LI+z2wTqqHethO231C4uuqr/UtC9gY58BS1sLGs
5HH5YHEhkYiybMgh2aBFF2JVc4bGC4vgwlT1WrUHN+kMt02+lUSm6b41c2sgIUZFoXYRthQngFEV
T3wunvVCxt6x5VTw+okDFBoc2PSC5ccGhHhZj2gt6r4wvDfU98XfJBHWEILdm1CpBSniEtoPLzi9
aAyCWAPi3aHb1fe1rP9zc3FWAxKM3E5tpY4DLM6UXqlN7xJaOQNDL6YsoJIBCWY9kkTjfYphJQE6
RF767KZpH2kkiam21gfPCHgj0ygI28Qs15jM4IYNGPZsxkqnJ1+rqj4MoUzOYMvSQCyAbYoDE0os
gkkHkWLOBoVrYGlinBRULjhhpyYvlz3BVs4OdVqoVNDxLypNhcVRuoQWfEA+KebkG6/1PZqtHAJd
mclMnWGMrof2XR/QezI1O5uHfogtxarQzbhMQHnzmg+VCDBMM9UyFbF0Qq+sAfn1HC5/7gyULUIw
NR3x9muUTgkiuYHYbol6S7uKnTaZ3XKWEYCdl17hVo/al4WBjS2TLkxGhAdANWGL9B1G2oCKZbAr
x6ozhxv/0IwcDT3VnAIlASHvj4GmuuDElsSYi2MUPdl6EoStadl1loMGE/k9hBIF36VgnOl3KPRw
wlzxeVnifig55Le2zRpSGLUZDEkICRXkSptxF3fvbbwvB92bu3eJrS3O8dLYhP1pFvYUUxVjm0y8
Oxegc6wG6lm0uQo7UImCbsOj3bs+p/thKPxEi8GaL+tJllqZEEwZaa+xYZngNgennobnitwx2K/Z
/FFb71N0043cTY19y/8i4cjQ2qhDA2spJBBmmelTlKI4AW5dTQ4htR27DK615KljXmK9J713ebK3
wu01nDDXdYlIjeBB0g2j+a2Yar83rKuKI5u65B1V+5/LcJs2ZOp4vUblIoJ78dDq4sRmbYX8LWfe
VHtldYuG62SSKRxtDmthYkZ9hGYitv8cV0TxXHIjBk6dPy2boq/3oxp6rL5hsrTJJpSNJ1fIYMIp
iDFF1eSR1SQ13JECkZHwoBMvL3dT8D3WJSUGW8HS8nxnLnqYSAgIJhlPbOw4XsldtfM7EwQMD316
p1iDS9XrtpPs9sXOxE24Bls+ZhXzqnFahREFWNG3xb5PVMUhzOiOGgft6WWjkEEJQWCazrUBYewl
CLyl04+MQMw0lWBsGR446xBlLpIbeLMWhtPi7b9MYBAV9B9SXrp43YaeHnFAwPwXo1khCaFfgmTJ
bJdACrsOXHy5owa3ff/1MsiW+18PR7DvpO4NdPkDxDRiUKs8Qp7PUc29qj7nU+20411d+5cRNydw
lUARjA+HTciLCQmUMbo1yl2lHOPsGTTPl1HOTHyhSVJtkPmi4mgRsP+8TAUEwHqIolcuGCfuoU/p
hKZ6R8rGTXt078xonetNItlWZyNbMKFOD6nu5XVOxGRJzapBASbHf5bikuAF1u9NsvbNzbGtcATD
CMy67RMdOCwYvJvCK4vQtet7ku6YJlmsTSgdbhYByvKOLEwjJTzlullUqC6FHcY56liduvO6Rj2Y
xollkoK0TTgI2Syi2Sh9E2muArMCOdNYYvqUMD7Us6WiMgRP71NeTrd2bqteFgc3VTbIJD7PPMey
dAtPPd6vTARdglFC0hkyllNduVV+B1IsR80OSr3/C5NcYSyDXznCJC10VI8BY0Q5Tden0FOPXc6C
J9W2jhR5Up3IOse25vPjwUFFZybK1YTd3edDzWYeVe6gPhOCl6yvdD62wzPuYvAoEn915kowh2sw
4/P4Sq6hPSIBjy3FlTvqfxpJ4uQffbjfMxI5wXCKTUkp6NayobwMR5i6FLaK5llFca8kCyRR592o
dldzF+/4YO0ur9x5nI6hMYhjoRwPE8lEieyZ11NbW0mF9iHuWPpTGLs920XTzjA9LfwB0fMq/0WY
Z+Yy3sStSQX/JEpqQf2G3hrBMBMloaZZYa8r4+gSZC/z+EWhr9y6CuljAY2IMnm+PNgtL7bUaUKg
C0XRKAT7vIwWD8OkJZhTNdLAOa1e8VzzI3OElr2sVu8827fM628sUViXjVFvFCnm1Uh/RlPh5kFQ
ILdpvTRh7MdFedS6sXaUyr5jSvh6eZzLzH2KSz6wQZqmLbV8aF3+PM6CR33LlbRyoSQFT/r4f6R9
15LcOLDlFzECJGhfacp1tXdSvzCk7hG9Bf3X3wPt3lEViluI0UbMvMxEdBbARCKRefIcB+k/pHSB
SIy8spYENpkx4Wwsy2BMqQpjA/10oq3W5X6evuNunaiMkZD/qWvr4mfmJMy0C8uy1uKm1Dct/xHJ
7u/Vv48CNy/dQ8v5AnmGSjcfwANplFM8q/HwUytkYPV1E46FMSidoP8uuGBNWuoAYIawlfk5WKJI
LePB/t2Du9gl0Cn+XxNijw6yDwXJswLB6r5KvPo47bPt/NB80zfms+n+qH+pQRhUAQvQ8R5dGVvX
atwCek4FbslC8UG4VpewG8YUwCTPIuD9hD4Oc/xShphbC/4cove/RoQ0oR1Q1mtHGKHOa2Pti9zH
ICmGUahXTPfF5/XTtPrJTowJpwkAkLkxoKYBUmfFVfG212VsHat7hrcKEC2ABaHqeu7XSlkmltbW
NVSEVNNt0jBBQexVTVlwfSXrdlBKRlD4jRA6t1OMDIe1Rw5i2/G4JUbJgmyIS19VmYzqf/ULgetQ
R6BF0iiCnRQCPkNmIPw5pA0685AmoBf+x6gzSAW/0PDp+sLWPhFCnW4SCiQ+6tbnC3OWOKalBZev
5/eO5a7SS3BHazv3x8AFgfjcLDbEXWHAHH9YWERjHWLZlSGzIXhBDCJUVqawMZsbJ32kxh0S7ev7
tHYBni5DODc16QnqFjAxDsc49XS2r6FkLOsjyxYiHBijxARoT2GlpQw6UhlInqEa3rXB9cWsXTx4
3yGFRx/PMMQqkKVoDiSD+LlsNp3txs5rNtZuZn6WsorM6oJOLPFtPbl3UgdT24YGS3UIbsEm9Apz
mzNJwndZPsatfboeIR9qtDmb6xHbNiTLo4GpxBEP1jJWfVPPXge182Onw4ebvSQxfX0BR25ZJZs8
T+/aZpL9GNnmChl9TnJW6pQ/Vw7KvfM8P4Jn2s10V7VcZ0v24W72UVZ8td9tiYuuJk6n2yCc5Vk3
mDan2OzJBlF4W9yjTrXJm9KzoFcxYVoOwWu7jJofF7Kmx1rQOjEtjp7GeOP2gO3XeA7eTtNP1Kvo
GEwxpgX8RX2+7r0rtgAAwuMFVyTBu1BY5mCHMa3aDraqGIfjc4Ra3QhOqnGrD4dUFlvWdhXmgOzg
fRYEf+7iJy6cgyDcMVO83gFZvtNVpKVGd5t0idcpYIYdxq8ZcvEzYS6ZZWMDK6fnzLRwenK97Vib
Y6WFegtsVN68leHu+maueCtMACZNDYCGoXV0vrrSrMG6qTCURJrHtPcVPUjBojaAlVRSeV5dCwqY
FOUXFeUQIbQNc6YaiYVtHMydNh/i6i0dX/5iLScm+F13+qUUM8rCBCbKJEj72waUCsoULNPOGfbX
La3cBhqvxv7vYoRdW8CmMGU1PkyXbYrkMNcfU/Q4pD+vW+GOLKSjADwgneYzvAamGoX1FBgZAQUm
7pwcEteu45U/aNAfNVfGLbD2lNVAOw90BSAWzkWjPEtMM69i7tu38yF6mu+S7fyp7KN9AWu9BHW4
Fq5PrYkUx1bl1CRWSO3lx3gLAOsx3iS39pFsou2yNbbttvt+fSNXkhxMt2J2jo9OWRcTqFZWtvFi
YXkOpjiHLHK7UXKM1rz7jwWok51/qkxLnEntYYEoD8N0tNm+kCnYrH+kf1dxMfllK4s1hgNszI+L
P9/lpWt+tcG8Cd/jD2XzF88tTeMj5DCkG6qYhgIUow0LbWoQbbUhGh3p7CELLtzrX2btIJ1YsYR9
s+qeknpE/t7r34CWKLSbMn3vZODLtRvj1IpwkPSwgEhigrWkDsjJdbeabvJ0o6TvDr0rl8frS1pz
BcwhAw7lYL4fXEPnrmD3VltkTVt78QyceDyYDPxXdRxYiy0TAFjza40ipzZgyQIw69yU0uPB0zYI
Q1M0+mzpbmbibK+vZm3rwLuOZz0an8A2Cqsx7HgotBCv7rihSOImwKKrrYaKVlo5j3r806b/GZZr
4JVF0FkzOHHMxYBShwR4jPhTq0FrthsaSNM8GXkE7mYM0BiS18na9XdqTEjrG9r0fa7yTLgMqr4H
T82BLelmVoPe2lzfybVofmpKuAArpbZtyNTgApzuCOi/mVa5YRoUhc8gkozhPAWp+HWTa654alK4
ENsxG+ahQ15cltUhK51vnandUj2WKQ2sOQl8BMV5wDcBEhGcBKNAXRspOMVTp7pa9tZYb47ujtZe
TUCAKEmw1/fxX2NikabqirmyNBhDB3E35uUxnvud04X7RAeq2lr+0cypB3MnGSW7uRarTlYpMr7F
YAsAHAJRpDIAJ25e+cTTkkB/UtZ3uKQg/X0E/ixR8Mo+7NJ84EuEsPuPWNVblzDDq0ALbNVTUBDq
pyS+n+zvBDIVlf2KuxTIdc3tzPFeq1+iSUeriQs6yvr5qw7Fx9ABmEd9QoSmlFTJaW3hbEK8cccY
AnbS/WqWVhJ0Vk8lnxMHmO43Tvc8rqmMxB0kEFAzIC8sfO7ofVtul69ofv+L86EhF1F11JvBdHRu
Z3SaQWkWxE+Am7wZz0LHSiGC9/O6ldXV8NFYjCSirCemcU3OirjRYQVcG4/4LV6Wp08hpL+KvDp0
ci12/qvFtBGkSf/aE7xnqRbAE3qkwXjcQr2JfC3xRzUVHun1DbpBt4s6v4TklZNemLkMq7t6SE6M
C1Eum5QhB/8zAipA3LbxXJDwOYuXjYWdvb6tq754YkkIbjVVF4y3YlurbJeb2zn96GU676uL4aOk
KPtxkjYhrtXTOOisxGKS+Kulvl1uEraF3LIksFyigfh5/2NHzIIiHHdtzPHFOO/uJgoY1KNfyYMR
BnmgHGvZsPbqzp2YE9y+zpLCaDMsi7DMXerKm0YIV/t/8XlOjAhe6HRQ9Eta/hgbn5txl7OnNNr/
/5kQfE2p8shOUqxDxXgtR8VosWdako+ztllcFwpMBIDlYXbyPEZEBdcLrGCkao6FBRKgI9i7rq9j
tcSAzhoCHoZWHJBDndtIIDedWRNBkmV/9vMLkDHuZKBdqt/1iEtAHwKhZRd/0RPCu/KPVR63Tp7L
eODOjhXDKrr4VUc8U0q7sXJ+/s8UDuRzQAkgwjoboAcQCxDH9Ul7zSgeXwmNfvaT4aYLFAKu7+JK
mMVAO2BfmIjEu0XE4IyzuZgdQzxQ1C9MMPjmnO2VcvZtg7k0/bxubMUrzowJ3m1NEXTrRhgr8kM/
tch13HGUtAdXd+9kQYJ75/WyUHVAaWZRKm/RXrX8KWOjG8v4NlYSqrO1CIEU2kqE1fjHS7TptW8M
cA7Pu8JpfFAO3s49fY2AgzRTmfvJtpD//xP3MxfNAR0r/17osZrAcxSgjJD11PhvF+7Cs7UJJ8u2
+0itW6wtUqp9YYMnteslg42ydQjHqE/0asojrCOd6M3QTe7EHCwkl1x3Kzn22Ur4/z/Zrhiw1cqa
YGaxtmZ3tLvN1IK4EOz8Rld41dd1/17fNwC+MRiJZ5h483WFWhgOQ/Su58qn7AbQecl6frfSLz/N
vybESy+vFVZOCkwYG7obvRmaRFBCvVFe78j9+D06Uk97Afzltt6GQda62c/iVyb7EWs3L3b1z48Q
rkKDtXbZ8OKuA5KUEQzxxwkaB5VnARU8ZRhL9dAZNWVm10PVH6tC9IidAeOQFazmjQGe6Mei+F5P
xyEGM8YkCSKSDylOitMpyVjDy66miXmHeWsrsuxlPXz8WQz/BSeOWSlDVTOHW8CD1h4hbhWM6bbI
gK6r/VTdQhjwum/Kdk8IHAm6iNNSwCD4H5bQX5YHsKV4feKPMhG49aP9Z2lC9BhLp2gLAkuMbOce
VT0VMtyyaigvcV07B0L8aPSSdX3CszHMbS6+mby35Uen6u5APsrUn0FHN22v76DMKYRYwnlmQaeD
dVH1rQ8/pKVK2b4JOZPaDGACnPD3Oyf+oczjjhTle1cbm+vLWMubTk+v2HXqzDoeFu7cdaQDP7yx
0x3DUAglaP7dmqVfagdDxoq+Vr0+MyqEjKQ1p6I3EYjh6PY+CUjtqrvyJtkjfuia19wrL4ghpQz4
u5oNaHyqDCQUazVsZD6hBrP2GPlJQfYU9TBL+QS9kyQyr3rHv5YuatmtmpCiB9eFN7eZa4IUp2Yy
KvE1lz+xIGxhZVl9T/hd1toZGF0/jWgDVZ3rzrF6X57YEGOs3bC0pdw3iu+N87xEd0AGTHnnW/Q9
6yXGVkOSBjisxZknHbFHqCqj1ZjNiDOsPVIV3Rrbn9ixT+5rme7A6tE6sSSEJOKkfZ/pPFqwJ2L4
BgkcmYrJuoef2BAiEo20pFpGrAYCwO44BArtglIL1LpzG9Wr2hGc9m5EgXZ8y4rv1eCNMiXqdRf8
s59CgJrrBrl1h1Wy6sukn2XvX3eO1TvrZIVCgMIY7xIWE19h+RaNT9DmY8pD2OPg+gVLoSwkm3eQ
OIjIUmMsZaiXMRYEznO0tL1w8cboM9Jjb5C1omSmhMMFwWZt6VXui6hPKvx7fQP575AdDFlbTWZJ
OGLgtO5Gi3FLowKc8k2igBmQueb0OcmwDavRD7SugCvbgK6JiJVmmbsm5BUSYr8rnQZ18p+d8cBk
aOzV03ViRjxdWpKziBcEF+uH6eDbHM1QUr5ede0TE8Lh6uxB7S3+chzt57j7NcuUIWRLEI6OkTYm
jULslIbJQZJFPum39D8rNGL0FO3Ofz+HcH5mvbHHge+TNmAynRZel2xp9O36IZWsRLzdi7ZNO9QJ
8C7FPZRqwaKA/jv5z+T950sRywbtQFOd8Wqpar3G+kcSbfNJAn245H4RbAgHBRoFTZ7xlViq6+ww
6mfcf2gP6b39oN41fvpO9szPocbqs+MrVFnLxm1ulM313Vw9rH8+mcih0NgAANs854OohWcMbwlE
IdvqmCUYVZ/c67bWWtWn/mHzQ3DyJgDNT5xZDYxF9Y9Qm/2wG/2l/hVOL6B+2ZCU+v1Igs5x/KYp
NoZZfL/+A6Q7zn3r5AfEYVWquCmRgW4wi78JUefcaMH4qwAbmW/ul211DG/aoHwjm8foJzu8Xbe/
mnycbLYQR7pONfOFP5+j8UOvXxW67AZIDOcqiH8603bLLEske87/5MUz4sSkEFeqeAhHm+c7Xe02
mKxwwmDAYVEGSaojO5VCfLHMslUnvjRt3tsTdPneFV1yO8tMCNGlaxed4PqHqzob8MCU+U/pkMFv
ZtAr2yVeyDO16spZsIz0CO3IrfqUuACsPSAfbRc/ujW2perV79omfErfTWhgjzvtrvcc/5VuC7+Q
FQQkKxZhzE1pK3Mf/f54L3n/4LAnPZHcO+smMLvBG+t4Rgj+0eV0BBssTMxL78bpLgtfNRmaYz3G
/LEh+EZvauGk2rCR5PNrUnRuMumbbArduq6+l7oMorJ6yoBNIZoDQvSL2dimNVqtoMg/LAwUgdbH
dfrN0CZ+Ux/idE9kHY31YhGgFjqA0hi/Egd+CrNkxVTMKPo+sTdgpeEiyREjdoZbPOh3TNYGXj3R
J+aEW6MNl8wBSxZ2k3zX54Pd7OMK+mb766HqUuieX04nZuh5qATlfGmPFVal7OzHOSC3yYFWfv5e
f7Suugcl2iF7MLwwuG521R1PrAo3hJHl6LmVsNrRI6CNZHqPZepKPExcHHHM76noBXBmCf4TTu6A
sQVlUQHOSy9nh57s1CxgfeFqk8+irW5N7pK9/8WaTgwKUR9STgoopbCm3J61o4ns2At7A61JMg+S
aL+SRZpoJut4bf4eORZCpBoWSktVVnhQvRtcAvHObVdXTJK4rH6kkwUJMWOx6yydFgAQeyd7XMrY
SyLrJp8kBfRVPz+xIkQNDQGCRT2smPnWpodRfyjInSEbfLkU9uB+fmJG2LLODKsMw9NIvJfIh4JN
TiAHEN814Fys3obKs5MbjNEl4c3AnubUo8bG+avHO2eT4mS26IwJ+znqaayPJu+4oRVGp6Mxf5iy
GLzq9Sc2hN2kgODoBpoevEAQU78oflrdj24J1PCr0QOpXPHqxzsxJ+wqU6KOtCGWpOvfjPlT1SB1
eiOt9K24O6eg4TIlIF7FfNn5Ubbn3KhK/u3YPHlD8zMOJT646uknBoRdG/UYfA4WDLTdNisOBf0n
knF+rN1WqEdRG9Rp4M8XucQwlg7a1gjhHMqY5VMddwfHAM5s6VPj0GFs7i4iegbyT1bsroeltU8E
+CsXR8HIBzQ9zjdPm8AV45QTwpL5ZFmPgD1O2k0mK9ms7SCIwsApYnI+YxEDNmqdUjcx5cdL88OE
7CNj8ZWSbq8vZsUTAKzEMDbcAXU2sZ/BEA6VxAbZHcG0u0fikLh53cgyUO5PwtVxZkW4nQansabe
hBXFmB/qugD6Md9YdvLM0Bsy0Ry6vqiVvQPOCQSBaDVAM1JcVNzlOfQQLc5vFwdVyz5pN0GOkEh6
QatmICCjg0vEsMFvdO4IEEpRSTGBM2pI62/lgDEZtX1wYllDY+0TgT4bQ4xwNvic4G9WYhYG5F3A
yGyXRmA3Wfo05dm3sRshzEr7YxHWd1lqvldAF7vDYt6GUQFRtG5p3ClsnH3GDEPyaFn7nhSE9/hN
kJTDrPD5ygujVpOliQtM2sbuGKduttwZnadmh8J5uf4tV04bBAkAGUKsUiF5KKy+xOB5zLK08DAR
g6mNPgq9sEQmoM5ZiHyAKeDtuG5x7bGLuIhCPWY4MKSiCd6K3LiM02goUChxm8ByQQEJJovv36pt
4UYAiVdbyMNiJAfufFy8g/E172QUr2vf3AJHAubOMbGALT7f4D4NK0Q8/IR2gV5gD7XytE/fr69z
zX1PbQgfMSqUadAN2AhtIA4hNqnuNRb/tArGJEHm4hsivGDUhxMXcA4Bh7vTSeYIJSidAQ2EqfOC
3KjkkzTNjk0YA08NJbi+qMtSCbflAOhIuRYhsQVbIDqrIemS8cz+LhxfJ2NxSQzG+QyIJnCTvJr9
TW8ciuE1NiV33sWFJFgW7ryh1NokbvMKjcdbq7lVyz0UpgD3v7PiV3WRXEKXjydY4yqgyH0wznKB
tUz1OCpmUlVe7ehHiKo+zcOLM9RBFIHuJe3cjo63hGRHW7EPTA2/X9/mtbWCJwFIBgvyRs7vr3Dy
RZO+M3rgydHY15y32YjB500xKmoDd02+tYl200WyO2R9xYDKmpppExMU2+depEwzjcMIK54y42XS
yEGZVR98FFCJMqOjqUIPI3MOBHopRvhV6KbMsy7OJHacjw6B+BIvoIvRXhrGqjV0ZulV7GjXbsf2
NljbGnt203FnO4HtbJ1wkyNHBOOosckq2Se/6GzzH4DBOagV8UEIkfqmdZKQ9ZiV9sZ0rxa92xmJ
qyu/4kRzTWWXz3s9vAX08L9/6d985kBs8oE24TyB8DlqYhv5PBg70mPWtQWwdF19C6KY56VP7qw0
/DFkTid5Kq2FDAezWiA3RwjEbNj5x1ZpW+aJ1lWe3kDBty9dy5zvk2l0iRpJrnG+grPkBB0QxCY8
IPD4gxSYEGvDWm+JVZHKG4xPYHS2yDj9rmLgmmr3cg2TyyY7NwcJSQemcKn/rh+cHJ0+D9FxdAo8
kNr2+fcUqQa8EckC1W62I3sYHOINfbiJoER9/VOu7OmZZeFTKhVAZ6MCyyx8GMMUCuetq+TRBnQA
/nVLa1EYpgxw4AM3DXcV9lSZF0N1CsSHbqEHPQENYF0dYyXyad0GWQH1pDreVPbTYsY3y2huGZH1
IVYXC+E1jKhRzL2IrDzlkjRaXGKxi/LRGbdMYW7dPbFUBv5diYSgezehjuOggwPy0HNH7e0iZDiT
lVeq/aG1hwCh2jMb9VMpu51STPs8lMFNfhMlXXisjQtVt6HnS0S+PL22LFQ4YTNL9ka1S4yDGm3b
fKeToLR38eIX1rsB6Tdno6WvwGzy+TzDuu//c8GQuzISXwBtQSKCgSZh7dSZYgXaHF4a+wU0ouiL
ZdzaGG/L4hsnl8FTVr/oH2sij80wzU2SNoj/JVrk0LhuWAwZQh10k5KQtxYQNJB8Y2NREELSfb6s
MNfmse8XyF+BOKRWEoy59U+lWt/ENHuanPbxLw4Lgo+mofQKfmAxrjMykUTX1cpTndlFqQEAkU3W
E1evb0s0WOogTJ7C8i2xE48kL9eNr1xqKOP8sa2drxXz1ippC0h9qeA3W8L0qMbd9roJfgJEb9XB
EIcKL5/7FqfqgLitYzvEQy9X7MBOe88gM7LAZH/dzCXMAt4ITke8mUGxDBIpwRuNHsms3oFTlrVO
tU2iWHcXvYgeCztyfFAD5du4r25Ty4RxGvls1qHaHs1IDCPjFS22bj9UhUzJcsWXsLkE/0KsAtFe
SFrymunFbOkVpipYb3qRnoVHO86W0ne0vIlcq6XZjaGEqYxTk69W2HUujI0LDR0KaMUKk6Bmkpng
lQJZQRsFWns3mg2YaUzPAnY3t39AJr6TDXGvBf0zk8K5SfrSGYeJ8yOgkdXUr05LwKhVBBDRfrBo
61ZxF7vIbCYwtELf1XGgcKxJXsu/EwNh3ThH+AewLqJjlPPcoYsZSVra4zC14O0actUdMZ/cGF8D
7W50gsdOhgtP/+Ekplsb7VbvWw9dxF1SPLS2ucsMyK8nlZuayU1om9sYnJNTLatPrLsqpKPAi4Xy
Dij/zn8kOLHSaHZw6krIw4zpoc++paFrUR+V29dUr/d68k1l1NXM8QUaeZs0bTF4pEni3NrBxHFE
/wXs6nhMCFuFAwDmxAWJT0KVzkt0ddqBRxbM7qyVPI3WLaHLY6PEhDeg4BmqxZq8V3EKUl3b2RD9
YUMemLkliTRrNwSGaw1Q1UJa84LJYiJUSY0W85l2DLpQtkuyr6SqNtDDkYQaHhVFJwOOG4LWmH/H
YJiwc+WcGMBS8NHFJgxB3AaE38YgbYfETRleB3u23tVeVXdFbNVHZjH1aJuteqOX9QC5YSeS3CBr
Zx1tC3BHclG3iwuk6mrVXLKh9Mz43cwf7PCXNu2hB7TkD3HxbA7/XF/+yjaD1+CPOeHOSLtEIwk3
F4e3NtggqmBp33RZD3c1UYaeMTILcOgiuxA2GQO+ECLgyBvWukNyDKuvXvmldYGFyri2bcptLgvW
l4RluEJOTfKVn+TmSdpXg5Xxpq6n+u07RJyefqL6g1c0WBtit3QfDvE/ykPvWX4hCVwrm3pmml8k
J6bnuG6Zw4ev0vJ7Q7xcy912vh+prLq1ciGd2eH57ImdsAhJxXrYUbR8ozSKlzngPJzYHiPiAJ3F
kpfAWnp8uqPCpTzSOJmSETuad9+WFk3C+nlMnojiVyEI4J3Ndc9UjbWTiXcjOlOajg62eN8uYKK1
SookEbNhVu8V7TS124JpgF2yXHN2bac1NIigcrSZMWX9RiA+h46zM9NDZxUDUAu1Om3MjAIj1c/W
HG30ZZ4ftbkilkcXSvMHhPNmW4+lbu2SMJt+ZCBTNT1jjmgQLxHulciOshvWgBPK19oY08aNOVRx
MBlKe8hJpYB0EXGAllqogJOeqF9OR9hOY2M2+6RwlMQf4rS0PDaF9p0BblbDxQxx/UAjnbw0mpp/
M0hhEwxm2QueqYxExNMTNdTcuOrSfV+MFA+v2cl8FYyn+A12fzdYITXcHMJDP9Q2qX3wLbTPtEG3
35/7Zgz6tCMf6HcgeOokMSu/K6LY3Bhxox0iiMEUbleP4BMu2GjEW1Yoxb5GIFtcXc11P2ML2TmN
NhK3y3ttAZ3/5KC8N5UNYj3atYcxi53ea6LU/qoA5vHm3nJ+ZVGt7gvqJFuUuWbfycPYPBBHrcAY
Pw/Ytwqb7EYsnVMfQxe9RzK0Hb2e6MU/TT33tya4mxnKzmnYb5Kwj3sXIDfjV+GE3Q816WbbyyLW
fvZMLZ8rgHBD12hm2x9airr1kuFOerIqK7oDBIekXjRDf9kd9eWoo3geDG0G1IOKxLUcHXs7lKE2
eXHd7YuuTw8A9Jb7fm60Pekm+0cz1WPiamWMucmWwcWUdqLlwTBmWtyWRmUHECxOIr/N+/IG84/h
LdFqpd3NpWpFfqYR5bbo4bzuXGnVN62dw9INOXuo185L00C5zXCqx3pK4xuznanuNfXSLKDbbxoO
+a6YEUxZHG3SGEpzigGSKL2dksVtGrAJuBqtNPWhNoayDvpR7aNbpWvpcRo1FtCeOj8HZ262kOst
DbeGaxSSTGMtNQSoBPQTeC/Ci0Tq37bt4D4FRmNTYnqhto2bW238niV3YHUt0x2tfgEmNNOjacuE
V9ZM412OKiXXkkefUAis1dA5DYPCFzCVxpENw50RfWWA6hhZvdVgbh6HTaWNN00BBYq8gqxmJYlK
KzEQiBAV7VaLz4EYQgwsFbKAdR4s5r0COgdvaxz7UcexJF6cyMYpVsI7hToo+vIGuI4upJ1UJTeY
2mHAEZwNpnlXF6aXsN0cvoRUJki6tiyU5wgGWwEGQbQ9v0nqeUTcbKIaTRgdBdlGrw4qmfrcRWvI
gPwCSXp/idSsdJfeHP8zewSKkeCwRlvIQZXwoi6J+vPQpguEt3OgsZM8CRylve0UsreZTEFk5Wo+
MyVcmbkyaBRyryUYVJqd3Ri+gm/ZTZkX/WfNAL4otC/Qt1BxBYmPFzrNTmvPEFdKhzII0WbzNaV6
VqYxSK0isHMlmKZKkpuvVADObPLVnyQEVpSa8ZDCZo6Bm7KleIY8X7+VuSMI2fJpvigOP4a1k+hs
ZiVgGqEL9QoIwLRuaEuGYFbc8dSK+OBFy64flrEvvaV3cIErb0nm3CWlCWUi9JojfTtE/xl/wrsR
xAYLPVwQjWDhBHR0Zsky4gTomC5npEdSE+7zRDbStuJ/UBmGyJ6O+gaAB6IZ9FXsOq6RGkJKojV2
QL0ge3uxZHWvtbczBIO41JbO82AxUM3mVNM6SsAxgPP6rZkyC52FeSkNrxtyBfOOZoRfEafZvLjm
qIemOyPh+QiHHrRCeRRlxzJSrZuYDc4ujsw4cJAZ3WjtSANVzwdUYBkErv2sG6uHKTcxPqy1Q5xJ
LptVhz55ntBzh04M1Lgpd4TWQj1tTFHmyWIqSddX4uyZt/EfcXJqoCI3q6MDIzr6z9q0U/uvVn80
kk/TCK6fnpWvD+JakOMRXtWCSMq5pT7tO0ut8NoC5R+uz86nyc4E7j18u25n9fyc2BFWlGLmFC0S
rIjy89JnnzZkZUc13WS5890I9UOdZQ/XTa498eDXqFBBsJsHPMGmMySlQXoQGtQmitTx4sZ5GeTL
Bzh0XTX+GAtPy/1CV/3rdlcC0plZ4UBlrCy0NoXZ3hiDunih87zNZTNR/LeLUQ8qM4AVEi7xKD5f
ARBm80BQIxjQHo1ofJ9FvWT/ZCaE0K1WLdKACCaKAkrxcxg/al0iuR5W9gqBjcui2VzXWAS5tA2x
hpzTQNikfiqZ8iMK8w0gJ39Rwjg1I9QU+iRvzc6GGZBn1Pk9WKmQHN1yfjknoMM7aG6vu8Da+QXN
Gziu0YFzAHY+P1VFg6ZVYaAY2s2xX1XdfbpYQTfpB60LfauYN39hzsbfBCYOCmRiCE8XszF7Fa/u
EE0+dckDozF9rW7Rpo9vaxlSd+0oY+j4X2uCXzQD9MTTGdZa5X4ZmatpXyy77QxIqGMaRnZtrFWf
wHUNcTecYFBsC8U9PUu0JQYln9ea/+hW4FjbafyVpy/OGPpN/zWBNvS/b6aBxh4nKwL6T8SN63RC
uzbKGtAPT4FRhbW75PrkchHKObZmcHX1P69bXDsEJirpKtRa+SNG9JZ4qpzKAnFQVUFmazLvo8jY
anjT/sXK8KbjksCo5JmiLrA9z1aCs1Z64EMflhsWtq4zBXGLF536V6b+7Q+ISRkNUUBfciS1Vvut
IsStktfZjN0afMp/0SY8u8GE3bPK0UiXBTdL0aGoFfpx/MTmyAOmIDM+40FGXMO9Wwy8gMrhcJtA
iVyggmeoU+eaxZPoSHHz4a4eQVKaPBqZrH6+FkPwzAIejFPwOmLfbgmHWSMFDLH83ShulXzTgpWr
dIIGpYDrDrh2ok9NaefhqkQ5xZq46uqsHAnkCrWiD/L8EOFZm2VHQ9bUXrtYTs0JOQdNaEwcyBog
32g2WRzeRKNsrPaSlI+/dU52j/+GkwyqSJwi0SFSCQzyR2k+zZisBWGHPR+69NAum2wETwiwqLsu
3QE16pnJ6+g8md3DbGYuU16u7+9aleDs1wg+Co3RqiI6fg2kTPv2Bq1E13J6d8AUSm3eODiIGtlA
czougz6WXA6/2x8XHmtRQIqhIEiAlzjfCsVssshmkGYJbe17RlEkaMY7pUezTIVghlO5S9n6U/tR
OnmCEyoDNK/bx0PeQD8K4CpH+NwDGrJjoiyl16vmntLBbRVM4/SvxBxcvaA7RY/doQh/6Gb7TSeS
JGatGYbRCwCQASIAC67YHKpoP5iY8ECCO76PpemHWuvPNhrfqHy6DLVwlOgCzh5jz1MQGUC+gj8p
BGdPW1Syztxa7Dj9LcI5M0KDgtMAOwHZefBhBsT5Bxc0aaKdxN/4JxU/+akhYcs7CNzVyQhDjYXa
ePZG7a0G5gtWvZgDaMPLbYPnUoqar5wdj3d+L00DRMa5RdGX52Ht5OAB1JANjYP9jmjl0hqAlS9K
Hgs1SCcjyNL7eL6DGNH19a6FSpz3f23y+HZic9FxtKDvhOeSYlSqh4Qsh/ydTTLfTIsR2JVk+j44
9fh03ezF58SLGeIzSF7RebQBPzg3ayaEzVqUZV6ZMr+h5j5K2o2lhU9DJLu6LyMIt8XrUbz3gMtb
2Na8Z1NfJrBlM2hxDnRx7R4FWiP3ZxwjA0Sj/L+3jN5lED7Db/UXW8K+e3mQhd8gbHPTj12Zj/gN
CmB5L62ljDeYslP8dAFkpiS16o9KtGyjCWG2TrT2vkB3pLNtGdXa/2MzuIQMKiS8HX++8WqcF2B7
xw8hZuqFnT/0u9T6VLpNZmzALVNBmhzycqiwg95IcrQu7i6+BxSULnhWAjgufvOGpgk0Z6rMA7bj
jipNkOWy1uSqWwGViHk7iFOi4Xy+OvD8OQUAFdjm5MPOthn9crjAvHfdeflfOTunfCHYQmgkABqE
NZ1bSZWJKlXdZl6YG4ferHZxD+1iGZvqZfiFGaAA0C6zcP1ckF5beZ2odhpl4B7A/YuW01tpKSiP
d3j+h32uvYaUbtIOM7rh/5B2JUuS20ryi2jGncSVZDL3rMraqy+wrm4VCe4ruHz9OGtsXmeiOElr
vYOkg6SOBBgIBCI83O3uoy/yt7q2zqVOiauk2jNt9KUq6PeywPSTCI7AhBlHvi0cJdSaMA8A1m83
rtMVhUYPs8YNWjKu1DUeJAnOepuuDCBLguTt9p5/h9Z9mZ6UGOG6sC9+2jjtOFh5Ybq4BzPRmlX6
RzLE0MV4GCF8ogThPzaouCLyzKFSx4v3BuXTFThCtrURbzoDBTPyfvs3TYdW9AN8F8QvIKjQ8hGC
2ADwRAlYU+yyHrOj/JxqqFYYmkNpf8ohI03xErptcc6/Ly0Kt2DBSTIMIywWEYZINAoiBTl5Z5jw
MKTcu21rzssvbQlerkjN2KsdbMXgJCdInK3ipVhKNr9dP/iql0aEXLPCqFitEBgZEIIjUC+ClkIi
O4qmLF/dXs+317BgSnCgPGnaMA+L2K0b1a2zFdqgFkqkIA5RrdgZgtYpliSh5k0idwPXKaKRNv37
i8s16gqgMUysTqYlLEVuFavbgchOa5ITBV++kd7F0rgwAP8lK/HNLwHDB8gWE0DfSijAMZvAECA+
6Wv2Cl5VB628Q37UnMTdS6vBpVty6D3dbbz0WHijQ5/eSlff9jv2RN/K3/q/iPsAiUxyy6o+NRmv
d0FKK2MIFQRlDbUAQPFOLFgCS35Vhb4tedKIVKFQiTtGCEx5lo6GkdQIyWf9QfHzXbDixOtd1TfW
gR97RedgKui2Q8357vRRMR+PSiIIsa7XlRdTO77GlENmWkNxnw5g+UTDmGiGxxJgX6OgMR7qOreW
ROvnTiaGnwxYBRYWKKdrw1WRIp2QOfCRw12s+U2GUa9/c5MCJI57FDqYaJAKrovWeZehYA+6wfan
NJ6C8JmRZ9P2b2/h7ErQC8UnA2oJf7teyWj1Q4LrFAcEI4dty1+iCm+rblw4+rNZD3RL0YqHaiNY
lQQ7DaE0kHuU6RNyNMKVGe+7zB+qddXey8YqV1aa6ajmQeELr9fZ9V3YFeJ12Ctt2IXjFEMznwC1
oJUPebrEeDN3D12uTnDEKGBjkHbYxdDSUezTrH8moxs09zJXLTLLZ0WreGWW/W1jDxEV5xkDvajo
4E4WfMToslKrG6xuZBjJS+09t0xvGKU7CsGoTJF80/y87S9zKeSFRX16QV0EVNqkjGuZjFCSB64d
nUirObctzKY4lyYEV6EDyqJmABO2Td2ixclahcF90L0WppupGxUD9VB4u2107p5AAXPizUet49s9
AeFnA2IcBtyE5yvbeO+A3O/jztN4c2JVv2v09CB3w/a/sipuJqA0fcw5rNr93VjcRe29Gr5U0n2t
b6rSLfUFb5k7CxeLFIvDGAZpY0mDuS56zBNA9nVnsWAzdxIubQjnLe+r3AxU2NDj2pF0B+O5DoZc
MJiwG5rVqPyL8HVpTjh4Q2rHQynDnBX+TMBClvWrql34Sl/XiHC1YUQb9zgOGjCkYptRi4OmrJFI
uO2QJMxXVB68A/lh/mKgTfFJDgRVn9vxCZzJ1Qgqy0C6SzPZDCEfG3QHzHMn+8awu2Hh9pv5nLjO
oaKFNhpKY+LQn50RVjR4woOcdkuDXQ2eEZvThYMxdxpNPLbQmkFFEhm2EGKqZKxybepEd11pHCS7
VO+D1NjHJSDRsdzuBq52HnK4Y8+jAWw/+fgvlmlA8QX5m4IgJ4IXKgu4/DTBe5naj7Z+n9sbZalN
873gCuDWpQ0h5Gi8GDMSwkYDV43jcaWDM37kj0WR7Cjvn9TGciCv5DCldGONuHEKJpQMWotRD5ha
4vUaFFHkHxY4EG9HiJnnxtUPE46TbcUlrfMonkYViPaCsfZR2QVLQ8gzQR2+jX4RqEKmSZHJ0y6C
uokuJgoVeFSq1WdcPYXV879YxZRiyBg9hscK6VJtyDUdaqTDKRoApdNUiTOU0LiQFnZr7kRAKA9Z
LgQGgQrQrtfRqRFOaYwHhkZ3qvRPydd2slBHWjIhPJdkYyijroeJ1n5Ej95pK08eFqYul2xM//7i
c+RxxSERgUeLnX+W8SrO7/ri4fYXmfviAN4BH4Y2EEYCBIc3cxRVTAtffITnTqgqZGC3LcwGDvR+
gAKCQxnfcuRgLGljBNgp4FxIs+khZY05J+tdD6H/YKARijLbAvJkrmCDGuMfm9PtdLFzVYgJQ04y
OMAjUZxhDXSwo7/na3IaMYr8Uh+Ip/8tCAChA60Bi5igIsFuCh8rMbUUsMjp/SwdoA0j4RW9SMg8
k51c2ZiixOWyFJnKTTMtq/QUGXVBb0yPFLotIGCAaOLSm2A2HGKaG7NiGMPF/ItwjiIaWkrd473Y
utyTn3tMC4ExEir1juyzg30ne4Mj7Rs/WS9BF+dcH3OFwITg+OLJLkYKND/NFgBzlyk7PdwV/Q97
iZ1u9jq/tCE4SZ7FGJoO8FKV15bDNpgBe6eH1ifr0DEfAk9ZaOLML8nEFYpCovVtEjQtdRaGI5Zk
K7imf3XpcWgWTPwvSFhMUaYCx4QywPtbBBo0UV8NMZMiDBKy8hmDscaHIcf8RYcc9qYtqPoDUsFk
S1kknawsanZpqeSrdOyKDc3lcBtEVfOu91T+WUY53WCSfPQjCQAaBy9sbZ3zgPoQIWt3sjlyDA9a
2fgeD5BRNIMejTfe6+jQSKVdeekAPdSGJfCR2gShXN2qx3qwpLuqpH3jyPYwrkulDH6qkZIcTZDr
n2lR9wc9Ys19IoHZDFRZgEU6cUp6n7V14AWy+mGPcRutMr0GlF9F3vPUtozhmubslAPbmHp9Fkwj
qZhQr0DJbtW2M+ZD/dKYsb7GxnUPuOODrWKUyopQPM6ctrX1TVj002zHWFYHpmnTL6PRlgMu7all
m2XOoIeRl5G880vTAJ0o4O4p/qO094FFlUHZm7LAlccQyiXJaO86s54UWgrVilbIp9ICPUJZP6iF
TDcBhFwjwPzkunZabKLfpSBEMKpReu8VM5U2vE2Y21oGJ35kcrZOR2K+pU2Y7jDLJz1FSDp+jNSm
d3XR6StJCbUWfH26BlRxYw26pyWBziEPHCuvGhRPvD7ozX2StsrPNqnUf/ScyfedlUSg/VEYHvkU
43Nop+XJKyBSXekGJE9+Z9Tod5EmpS+RwvkW3KajW3VDesT/3h5DG0wlTWJpRwqGiX9wA4dg5lSj
o8oMiLjkIwMjKKX5KwYezHOXBSQCU2KlYW5Xt5POp2kQJOu2CNVtrtbNOY600gdcB5rZkaYNO6nL
uh8WD+UVrAEVazCarTt06yo8IgyMbyVBfUpoGRUYkJnyTtIHj0GcZg95NmIyIwIWFNM6Zfke6GZI
wCFedT91HkmVkygYvN+pIYZtotiS/GhMih1tZe0pawuNbvUuZps2Vsez0mmZn8aD4UpUss6GVdJt
oyCJWXOdasGqbEuqOGaGhpmrA/DJITNe9+ekgAKi0yeEHjpDSjcmldoNZQWA7VZf5h9Z1IZPGvYF
BJJhJT0GilFDNwAQsqc80vtHNWiUH6QgGLZI0IhEhzPKnjKNlz+NBKVgDFAABeaEcVi+5l1CzpQE
gHNnhaatW0lP93YHlYARJH1+kteYjSwHtXICqco/e971K0iYqU+qyVLQ0dkklxxMNvfFCliD8FGL
Md2cMiPsnAAFhSd1UCU/py0mQeRchvprSPvuRauCbkuTtCIASpnmHm5OT4HW4ADnMiZXtREM02Fa
8H3XxfL7kE/d+hhydA7SNZp6A8+tU1qhEuko8LJtSZmE0GFW8bBmxVjt9ArTsEM0tqDX1MNyW9pm
7GfQnFlRYwwrlI2N/iAhG/4Nlb3uuQAKAUI7CQH9E7o3dxnqSlkwlKFXVHn1M4B49wnREC3jKh3A
3QMF+lHXJLzpsz50aquIkOMPQ7BnnOG5TQaTrks9Sh97hGswB9cqd2Ao2EJEuPRtzY6PepFHDxId
wo0ZagaOQ1zgIJlhswq0DEqvw4iBidGM31NSQzKBj+0KqHVr0wEp2DtmYHCvqgYL3RpFrUtASTUM
UQ2Wfcd1DBqxKNNXOY8hL16YZkVcO9XB0UM0pSZOl7Oy8dSwTkIUkipFRd/UAgiZ6xpwFxZrNNcK
rHhlKnHyZEcaattZ3UsY4tCNanDHWgcMjUCG7TM0MxI4fV42L2UO7t5Bq4p3S6fNhodJ7A96Ur9r
gdRsStDcACfXAlltVYUHveDuOcyk8ZWmifErz9XAt0AndDY02ToEDan3lm2PWwWO+NymUvjX6KXp
lXaR3n9Lg+wWoQ8ZZQHHLI1XO/9BU7erlqq7c8nxpR0hCWHQ2wpMA3aydmdozxH/+zrM1TqEBEQq
cRVQHSljma7KMHFr40WxX26n33NZx+UahGd7FKsaTwqsoal3UftakceYnm+bWNimrwfARVZKaAbu
jwomVP0tTEo8hXa3DcyuAYRVFsob+PJiS2GQ23iQU6ShqbIDnFHCFJJMl54MUy4rZk7AFP7HiPAx
uJZ0ltzAiHlOf5an4DRuJNf0Wr/jTusWP+XN7UXNvlEuDQpfJk4MO1CnVYGoDZH0ftzc873uxPfa
+pl48mEppZ689dsCcQRlkEGiSSr2ymVbUjFvifxzwAhd1d3b0rk1joF9B8qD20tbsiS8jUvEwDAL
J0vyWg83QWU7unke43W+SKLzDagzhQJj4gfQkWSgBXP9IoqS1DB5ClP0HN1ZysoAYmKHQX11pf2m
C2/lWTf8Y0v0c1UpaJlFsMUVz9ZPo+7z7t8cJQv0XZjOnQbxhOVUvakmCkVrHexRGGZ0mnRhDepc
IenygSAUkjQ96asuxgMBU4wHza/emu1dtwps11xH96ZnuWHidG/NznTIuvjEPJJLnnXF2XSoea1u
u8kcFAccyX8eK8LzMmTSEGs2WJa49jAyXwYWSLHeVfIq800Hr8Q4TTz4Ovdv252LVxrBUQcie5o7
EMxWbRZivhaVTKlel5jaTapq4QBMn0k8apcWhAMQtIUaEA0WSDv8KJTfyZg5RKaOqaEXyX6RBBPS
UO27vazZQgvmEMD1C6yKAbDg9Vmoo1qrlejr06puAjwVKhAbGxxobnDHPv5LY0K4LGsransJxmIb
ZU9wLHG/RVy2DZ+Fm569Uv13VH4uGJ2cU9zXyxUKxyOvIrRlUhgNmaNtqt/pDgV/V/8le9GqX2fP
C+amNXw3h1fHxHGJDqywoTo4GAMqTbCfc3XQvGT7wdzg2DhW6jBXvad+vUV7yD4Fd0t9xDkHAijv
P5aF3SXVGAZ0ctEq8Ytt8hkc5F/VS7S2FiqM38fZED8vDQk7mpGY0SqEId1wyGP+4o9r5kwUnjpI
PNOj8RB+4N13AjOxeaqelyR25qBEoO7FcCBoQgBHEHWqa0uqVL3ABz3mDw20SfTCsdclyrYucQM3
+pHfD/tuaxIvff033/bCshAHDRLmJJxcqXmzDecO+bGyNj3NcvJfdugMfuUwr96zjwhD7e4Sdelc
F/xq3UIIYpIm4YqE9fKlw+Nsc6dYTvLSecVOWjP/r6XCpo8MGh1MGKDnjnLadWBgdQhaeoqPnNMT
A32D6TcFaPSOdAmlPXdDXhoS4h4fqoHwAA0yqXpqqzct2LbyQmidC96XJqafcJFsRiXcFdB7FKyt
bZ8CUqJo/yLbBAACnT5NIzZG4q8t5GDy1NUJpEq6PdQrLbIixkKteO4SvmgziYMlINGvZYWjmyON
9qGzk13DQESRM1eLVO+2o8+a+pNRiIxwSdbkph1OLR3+nHU+uARzuja1hWR27sODyRA4TGAk8Zfw
VSyZZWXdToVpa90F4EyBetJSc25uJdBDt8HkisD4DbyUF6MdBh2QI2GYOSmgRJiHTPKVEq1u79js
4bw0JHixLEWVnjaTIcwZHVB+jHcZyl8rq6nre6uyKAYg2hIFC/NHLyu1Z46Gn5hMc1udLV3qc6k0
mnFfSS4AWV/x+8Ldk0Yb81HFI8GKfRncGkr4EMj7pk7cXlkAq82drEtTQkTMCrXEjQRTFChDpp27
cAnJNG8BpFPANU8ErcJ9qiVJakVTUb+p10V+0vhC9jzrIehP/9+fL96aGQYZqx5/fpn9Bhe0F2So
qxFrpYHM5baPfGdBQkhF9qhMwyjAqHyjTw8A8uEVTNlQIwsNAymP5BtB6hSobjajBTS35agBWwVx
fmik4TTY3RbyTKihcifSUhTJZId1ZNMqp5YSlEgX9mIug7j8gYITNzxvR6iEo3UjvdrmPUhj0nAV
5m7Z7Mpioy3hK2e3/mI/hACA6jRuVIZeSgy4R80axywGV803AUqJt7d+LtRcLmz6JRcnIiMgxE4g
E+pGlYdyeyOdZHkhAsz6KUj2LOR8aOaJftpJGRReMALiRuohjBX03BexTfP79ceE4KqDmUOfPsJ+
tS6gyWCJb0+ZH6ysVemZd+1W8rJP9tQ+2gsXz2zRAbRO/1macLlBujaUiuk7Zcxhp+Z+4u7bRc5v
+aB6kgf9KXeJZHY2gv2xKKpesSwhOcCZAPwxUHbVT7XlZ8lbUh+klC+cytl+5cXqRBAj7WgDDiX4
RrIdD9pe81DNPRG3WLFt/Uv+pTrWYdgYyDEfxoXO24LLECF4goao6koVLhOyYpNH7GDqyb+4Yy8X
J2RxtaYOfUSxkcRs17nWoc6dOYmVLDj/0vcSAkfJ40pXKPZw6CVgWxwr404Zezp/7KJk4YPNn+X/
eKM4yzsUsjpwE7umNrpn5s8p5hZNe2Hf5hDJiNV/rAgRI6o7vZbRXXDjF3LQz71HfLrVjt17swcX
+Y4/DM6SO8xH3z8mhZuOygqzSI1vBe1VGRM8VX0cumNpovAG8UplTTT/dlScNwj8PhKjL0GP66io
tCbrjaRFWvzWnYBNOsT3405z2ettM/O5EUhDdRCtgK1WRAgV0RB3ug47FjuwdEf7u8SO0B15NbtN
C1CADrIzF0A5B/iifxP4J/Q+2nya/Y0sIuvHGK0wmA7rXdaGroyeYhitFxY46/4XVgRn4ZEVG6DJ
wWzCChirRwMijmxXvIIULDDdaj9sy0fwRUN2+2HpUTh7GC4sCz7D9WyQzOnWAZFaZK2rFKQESwCB
2TB1YUO4dsqMjcZowEafBgDLI/j/NaXHlBhdWBAuGIgNFUySYAGf0aEg2eJLM19fzK9iWQa0vQA/
aBYq2V/n/SIDSClRx2zilgL3ypo9JJ7hl+64MV980FG7/Gi+MT/EpWb70DYdnHqz8AT9Ll/3tcY/
P0Dwkd5gNsCt+AG9d6Qe+cX21faf+GBuo5PmSJ6ZObt8ISrPnu+LNQvOkQP9beYphgAyO3qKkAM5
adrVhzEEraKlDcDSJcMDmuI/MYywXTgS03Ju7bfgNJrK+gZK4+iMHEOMfAceuYt8c83O2atxtEJX
AjWho6yYby1cD7PRxoKMhAZg1ReXxXVUK+OujuzpSzNj4qjW3JI8dXWJBmlx4LXlZr18rvqPsXkp
7AgcyslCyJlbuQWa80kATAXiVLhyQZLUqZWClacRCBR92Rrkjc4l4zdJChCe2rnyvLDX34PAF8E5
ck5MGk46e9crLnQaET2HChQ4wMG742eb/KBFbrEHbkRFSR7JS7ZWHoPX23a/L/TarJC+JBEU3MIC
ZpV6N3JX0n4P+TEBa8htMzP1PtSlITiAkVcsDmTH18uz0P5uylBPXMKrDNx+YciP5Rh3n6yV6o2s
tzbEg+Ki/7AzHRkx5NKh0sRj0Lsr+riTB705J3EOwoFGGtPniunxfZlI7UdBpKUr/HuonDgYdTTV
EWNkAL6vf2qWcgA8Y9ArtXbnMSn2qn4hjkx/wvW5mgg4ALdF3+prGvfaQheij86rAAROg1spKzVb
cYCeauRblaIt2Jr5wFOVFcw6EwvHt+IJl/Ui4RQCWWjG8+xH1d81+SpaJKuaXdKFmWlTL0IzBza8
jwYK7tI1eQwSMDnmD5BvvKP3zG0+s8CBBrHqRwiS5UL/9rsiFebaMCKFncS9APYgwbV0LW5oHGOF
yqPxqO8AjFpFH/r5wzhx9ATdeGtnTrsZUsdlW80dNhEKVQvuPeMyVz9BOEWxQZhqD9MmZ++mfYwW
eTqnNXzzmIs1CvEokhk3GIEB4xeY2xvq/C8gE+I2crhqP5bUmmbeU9d7KnzOkCWgPYSIkhtu22MO
kJFHDyP44J1xB/Kxs7QeXlsncl+0p+Z9IVIs7eUUKC88SZISLdFVLLV6i7bZloGR9lUH262jTI7k
Ng+xv/BOWLI4HaELi+HAR54wLNbuM0eWVkH/15QxgosKISWCZmqTTmvK1Hhr8miTFwtrmD/mfw6B
cFWXBfAX44A1lFngEw284P2rCaGrpXGbWTtgd0ebUcWcgDhyYnClCHkKO6lyHgH5CuyfjXYiUbgQ
tmauQxAI/LEjOKBJ4nogCsojgXQ/8GMN5e92ydNmD9WFDcHTYpOqdc9hYwweIqi2A2aWWZETdBin
P6rVmWXQdf45LGllLW2h4G4m6txQlZyChQ6OvdotxsQt6VFb+lRLWyg6XZgPDWmxPIzNGMVdFQCg
F3u3T+uSDcHtBrBGpyoAqqiUPYz2Ju9QCg8XgutM6QrBiIBjD7Rm+KcIsG9tlQV6jQ0rSYAd8wjb
0MGpEtBzyc/DAGDoS5U81hMptJI7bfK0KBI/02GffgKevdClMjHPIMTfvC7Tmudw+7aEItSZp36m
BH5fujQljkygvNUfkiVq5Jn6BcYmMEcGHg209jGlfx2YGiMEnTUDuhEERx7dFh9gqwbjPnETJ7gz
3OIoP6BUs1TinoHHX5sVPmokaRF2AdKd5try+ab3A8ep9r3bvpWP5X6pEz13HC4XOT2ALqKvZcbj
UCnQI2XpptCPtAJHjFctMQ9Mv1m8QC+smBOc6MJKRVI7bCYrRvWWgeF9PNocIJMacRKY5Lfbp2I2
Jbm0JqQkilT2Y6nCWu0E694Dd4MLkNIJKVDkpGtk1+pb4BVe+PCo7So3ibyugk7q0rlZWrOQleR9
WzQ0hPuMdz+Apj+Om9oNH8nqH/Bx+NSp1gUge/t9vxBX52ICTisIjQDwAbG54LVjocS5LSMVTCpg
XcHiaLmW9HB7h/8fH/1jRPDRblTsGD3nxG187hmb9pS60s/0AEC4w9eoSC1leDOQpelQ/DEouGlb
QSi4VmBQXSuJT9f9U3DO3/rRVUxHdpYaZrN7CNJktMomukORp6cbcp2UU77HMiTPB9C8ddVC12/e
BF4EGMf7gmJdn4i8q6KO9QhpOlCBwKD2qN3VfOEan0utQFHzf0Zs4dj1dmiB3RBGmuKJZhK6i0td
hoVliHMvHd5wQ5TiBpIg8MuUg9nu6NLXmDz2W/AAiTUKXPjjMDpzvVXQqMK91EFmt1EOcu+1/J1b
vhZvh+5lwa1nV4MZIZBkAdWIysO1pVaLrGCgODut2/9qECJSx/IR8h31kW1Htzj3br3wfpq9XqHU
8x+bwlGyM7XhZgBf6339E6wMK9sb1/khOZVbAMh8Y7v0yaaj8n07/xgUjlJiNJVpcRiU18FD+swO
8bZfQUN+IUbMhr8/6/rq5F6EfKNgodmBrM/lvuWDHar2DSyHL0S7JStCqI+ycFC0ctq9X6MXnOlB
zfHI1ba3HWNhy74unIu1AC9Mm6SDlehA17kbvtYen+puC6iw2TznwhfEPKdV9CaIetjRzwqu/mZf
ragzvGHM73x7QQuOLspIj6oF5mpwSbmmvBmpF1Rbqj7fNjEXspE0YegOJCoWoHyCn7V5wyH0DV4M
JXkvpB0NKi/HeJT5QC0ferSx+mnJfm4tzAfP5DOwqgEuPJ1fIrK7GWFLzQnw4FLCXRUNcUYxRwG8
4NK5nXm+TDkhgKyTxDHYwK5jhZK0SY2R7dStzXYFfXOoBrzm8hv0aByLKiswAWDGRWrXNWbjgjH+
uL27M5H9yrqQXPA4liWbwXoO6Etmn5Slus7sPpqo6iAWEuQSwvISi9cNEFJYHtLrWPrs+wcpPIZL
yskzjggDf8wI62hCrWEVgRktOATRgYcbg/r/YqsuTAiPh1EFZwJG1FK3V0evq2WQZz7dtrC0iOlj
XYQHqQoq4K2xCCsDWTH5DHmD4aCFoZW5nMsEcY8JDlYMURpi+2Ws7RiyY7ASBRAWxaAfBWQ805ws
O6GkC3u94Y31qsif+/aZys7tNc6EwCvrk79crBG8JZjik+FwKY/WNbEeZV7uBysDfby5qurEi4Do
zuwlZoSZu//KrHAjsyQKUFfFokftoaaHxDj2yrtW/dD+nuUCJWFLB4ZOB38BZAev1wftqNKsZXAk
M4zjOnFbnlK06RI5XIhP3/cRirQEY2sTZM/4JoJjNG3ZZOAJdtOsdvT2WPSPXTm4nbaVmzW37rPu
r2GVQO1NttCixikQYZU9ZHYwh2QBm5Fg6u05Dh+k+v22b3z3/ysTItTEaDHQRnOYKIx2XelvWmtC
wtS7bWQmUZqsgOFcBQswyHinX3HhgVQhDYpfNlrtipN+2lAW+AQR7h5SlE3lWD+ko/kYe0vC5t/j
7LVRwe0HqbC6rofR0upWJphau6Ucfea1ChOTtAkq6BBtEVtPZdMEISspTKyyJ+5Dx8yP1hkI6pIt
5kuh8LXRshdrXbjnziGHaE0Oxvb21n6P9de/QAjCqS6ZmQy9ONfiDgj/DXXFNY7XyMtfm0HvVgHa
3EYuj1B2/QFxvFJOoKYAYblng+y13rfkp3aJseWLEOc6v7WBt4YwOFSmoB70VVy/8BO5VkmZJilq
DU76EL8o3AlWkeKCQcFhO7amXuJowLgf+Srw00eAGW6v8isO37IvRJIyGdWaIAVx293oK17i6+/K
afBVJ3m2j7+t9c/fCwanC+yGQTHTbuWxSiMbBukPUPF3MvA2fA8VlpVxbHtf+QQz69Iav4dlNEoJ
2EtkjLtMAwTXnzKSB6kyenhM5UmP0X154o+R5ZkHswBTxbgmPxQ39krqasbiu2LGWVGK1KHUCtYU
9PCEMGBIAyZsaQAvSmjigOTkIZHbUzdK9RY0HdLm9ubOLfTSmnD+YwvyABgamHB7wFbrxc8+S57U
4N0e1c3QfN42NhNHgTSGVCouiIlUV9xVTM/TEmxVLgG3Wy//7AcIpRWPt43MRDRwOSHSmLIJ5R5R
H7ZX+ibH4DZeTCCbMhzk6NYZKaC94JVzZkwN2YoF8nh0WsXPxGyoXUodiqdo4QKeVIBL7vZCZm5S
gC+g76ZBQO/7+2IISaqUHLqPFvXj8S2sOidi2wKvDMXHoB/arYvaul/AA+GoIVKjbwxcG5g8xT56
OEopCYMscbXCrkdH1ungQrWU3veaBf+wQvQWnNAodOhMgyuddIDhJmpkBi4GQDMwdKANVbt6J6EH
ysa623adpL+ktEYWz2RebKJCi0eoUMTxhuOh3oIxNNOh94ik5FBXXXtAe786lQrIWveFxfR7czQR
scdh9FXIxexNNZV/QBHU3vfMhnAqHJi5ipIip9FHHexZJnq1UK8MiPmZynmPiXx7+MBAoHHOa5o+
hlIdvxax3e51Evc+RtzZubADc19kmRp6aU/4Tk9M842XYblW44lMIDVYNno1L6VjzmzujXJSB6Bh
k/lP5KtR7auBkm9bc0TGU3VWet9lVTPuQazW0Xsiydpd1BObux0I8hqnx5Tg1jLC4aVoq9C3GMew
fK40qgdYAFSvmTYyvLXyYvCCdog6Z1RD6S5RM/ktLkd6zpuagQ/aMsptyqXI09NKMXd1lLVguE3D
bJ8Vcb7DZwSThEbi4R+1VPPUGbs4fWKtWqChAHptP6tr9lk3ZaL6klVlKItbEJ5CAyJo3wLQ9H6o
1lh88tCOPpSg0lZV0ILbNc8S7aCHNdqMUAOVFsLuXHyw8NzEmxrM5ei3X0ddRhj8J5ZRUc5qUPa+
EEDVQsO7faxmjQCVglQRtqB+cG1EtxJWdDYgKZJ95rUP7SlDWzAxE8JRWP1jQsg3SJphcyIordb9
j9gwvagtvAraPxIIK/67xQgRVc6hHAwpSFgaNkq1q5Fs/7XSysQQi9FubBdgmRhuvd4vBqEVjtwb
91EM1hIj99O1+RiOkJanyvr2ar4Xu9CTnUgyMR2FFpBYCGUwE0pljiJ4Orp6jz6G1KzHSF4ziFNR
nv4TSUuF969KkBjxoAYP7AreRfA6IY7ztCzDoMF1IT2iY5Md3nLXGh3Q0Tw9BSe+Z675aJxiwOfb
+/QjXNnIXlWgUBe+49xtgg4gJrNlMikrCb/CoIGlZ5DoAcTVNzEV0ILJ5/bezoALsbkXJoSbXuso
OCQbmCDUN1pHPQ7uBxqrmCa5J5mnncstO0DyaLtUJ11amnCoiyyx8maSL54kLzBh4UC79/bSlixM
bnWREDeD0urD10WJ8FqzU6+ebxuYKU3YyMSQjk38wriLhZS3wbMtz5oBKXeuSuAPsqz3DDNjlVva
IM1xyFhPumwEwhZ6avIRcnqUqV4DqdvfmPGI4L+s3kNzhJcLkWZu6ZdZiHD+kwC8OYGOLKRrnyW8
BMxwoY0zF8ouDUw/4GJv7aqJc7Xs0Rzv1JdYhTYKqV1jKHaZumBpJhO9ijNC0OxzGZRI0At1acE2
XbDNEjQHGq+Rj2H490nvlSlh13rIPvOYogOd99RrTOaB3CrJXzCX7WXSEmnFXFCzbENDzQVjbphQ
u97BMsh5WxPEz24iK4OGUIicZ0MqzQFFURct3QhzH+zSnPDBaiXWh0yCuSEFjIt7g/xJucOTl4Uj
MbcsG20kAAdQdzFEyRVOjCrsCo5XIPDs1oY8/gNw0C+EzgogAkzRr+VNtyeb4q0j3lKHZ+4KR46P
qi0mZpHrC8fRbPvWSAzYDkFbBXVjGwBAZVyCRi9YEZ+dA/jeTDbgZogwF2qH96b+YLb+7W2c+1oX
KxFrI+lYjSUIvhBYCsNcd1pcAfmhHEcFmQJkP6LH/86ccMbYoJdJncCcpv1KrF8ZEv2C9ph2eL1t
Z65GYF+uS3D6qExtRZoeYewneZJRanTGw/+QdmU9cuNM8hcJoG7qVUfdVX23u/tFcLfbuqmLEiX9
+g1591tXqbQlzCwGmAFsYLKSSpLJzMgI1MxwCRxMD0iF1qYnuvoX5BGQGsL1iescIjRgV7jcaxWO
kMpvZPTkcBNkumPpj43yJPeo4kZumK84lE6XcFCzGwG4an0sFGCqb+KqFcqhCHINa5ozSGgO6j5v
mqdGFJknV6cW6CHJWhgKmzsqLdBnwkXoPgJ7e+kmEnqhmkJBziK0xpPUez1pfJtGjGwLWr4Z1FwC
Sc1aRBt/xEhpFu7CS4tGw7W6TJBn5n0KGmhVjoZNIiL5Q0l8KQSTeOmn66xrsoWmwMz9NnL6QkAe
hV316uLFJ2agDkTDmoX6Nm+Opl+ub4fqzC6HCi5aeNDHAgBjyl4koe1JtQZdPJIkELYZSOgaVd3Z
fmR+37Y00/0E1ALNJoQmFJ5BT3G5iFHWYhCnhRAX52tQ49jST6t1mQ1ScWfpkTOzAS9tjQfP2b0t
YaZJCSvYwjxmdsqO9Fe4GkmnlJVy54Q2dNU+ycK3milgX9qchKWcgxFQYLM5uRc+k3Vu4/XmYsbC
UY/hids7YPAXVvT6411aHPfmuZdEBil4AyU3E9DhL/KaoA5h91vM5riW5z/JTrprtkvTI9d74dLo
5PYRtZJreT+6aT0N0h56DMJwVI7uUB87Cw6O++rydXJh648OzJmDedbqBu9gC3ILtUfg2MhL88T2
sXtvPtRPgXvb4OyCmthw6NKjJ6pNHntUaxnaOwRSjA0o/XDCxNpz2S19t2srOKRRBAQVBnhDsCEu
P9tQWAbau8hR4hwNB+WhQfVfKb3brvzZTpdrh9cOxnvQuyaQbpqCDZAlBGGmAv2Kkk3vacfQVbaq
y/b9KnWBQXGoG0I+BiUNR+QuW7s/dw71FppTc8X6ix8xSccis9ArjeDl0K8xeYNq9ae19936GG3z
rXWkdvkr+T4odnJXuPTx9gLMnZ3n/o9f4Sx2ZNBaVEkF/3UQWnREtdUlaac/S3hriSenjFpWtKUy
vMPzLklt7eMDA1zvX/oO5G+b2jYe+CH6yB7yZ34aPo3IDjRH9vyft/283o+X33ly7JhDEMI7/IgK
GWh8H5OVrG6y7JD3i2/opSWdnDdBShjwBDAFVp131EONzi4+s5dD+yr9phvtkSeeuXDXz5qEtiGY
LSHYCtL5y6+YsI71tEdNLJQD22wwdB5+3V6/P+z4V1/xzMT0K0YRAekmTOSpK9+BkTlbcxfsonfP
sWl/ETv8bTz/qGzJcioP5MSuwKB7aDdI34xTs4+XqoAzOTEeFUD1KQr4rCFOP/FYxGahFipAQvJO
ETtQlvb0d64vFbv/6Btduj2irfF6GHs8+GdyCulgLu6jsbCVYnlXBS7tDWvBkIXJdN0IXNMK6TEi
WXgKrLDJQT6clSch0vQpGtRol2ZKlq/9SpZiuywbzQMTUvo0YjEOStx1va1oXbkBRbJZHvKisNa4
HgtQWAhR+3acx1LkGVHUK6i0R/pTaoEcBiwGCmY967rEYoOSl7m3P/To0JXD4J6wKOac8XaaJHF+
nwR+BTAKikw68UDK7ztaXUtbwUeD0LnzFEVoa71voAralkukXFf7lEK7C1U2VF5NFPemWkJRV3aS
oLis8fZ1SJHvifYZRd9BW7thWi+c/lfb5o8xPEFA4QgOsD8VnfPDT6pJWbeg2FIjdi9l6sEsF46d
ceNdrObEwvgLziyUBDosmQULZgx9zwBtQZk/akm6uv3RZh2BsBpSVIwMXjE38oj1WUtGqWYaPBCz
e1IXRQ2ukozREwtPGFRc8d9pWw603TpiGULWfuc/+jmEU/NnMxvckTTtiTFPaR9M7Wh+k7BwUKRc
33bwarvDOhpO6LaO1TWMxF6uIxjXS18f06mY3sVG5TDxFTWeT5YAMFfvtNGOTjEcijoMupCTg7TS
MyErkQw7qnkcaOF2GDzDnrBRm1njFsOx1y3hHedCXjUwXYEPiCHrKYtoOgjGQGsA6V1d/aEF3Rb0
2M2Hmar7gutH1tSGM2jhs1GZj5Ho0N+zwN7TSEbtDqkJLuys3Opapa4KXoI7T1Zfbi/91YGAJaH6
CAVGqjc2ZC+Xvip0WUQ9KI4rIdtq7YDSOShXRfbt65HdW8+L4k1z33ocSzV1wIGBc5lc1UHa6JFR
BXiVoIbuN58mOFuKwQGx279w7MzO5J6mJdhoaC4BJNm+8O6+xaSV3rmZvimso1ysin+MQRoXEhvU
GpsWwIROYgvoFl0C5z8UpWmM7ifQ4mByqKsl6MfckXNuZlzesyNH4zyuZYrlMywQ7YPFdQhcaj3f
Xru5fUItlCrVMWhxD18aoVGdZUCxgJywO/nhMas0GwTjFoEIoRf2C/nxrEdnxiYfKiRVXmdpjKNH
I7hG90q0rtNiIRrmduG5R5OLPqkD3HI4SNGyRa+zcZgMwnmwZ0UvyhIF7GyA//VnKrjWDhoRaQBT
gfxe0A1Lnlnxqyy2tz/RkpXJkWlYIulqNKXB6LG1ih99cddKdivWt63Mng6Yr0EcQG7ZmtZ8tCBt
4whNPzRuQM3QfBMlcmDNrHOAqKBSphKH9uW/CAg81vC50Ay7ZkaI4lzJKhMB0RUh9FtLO4YwFTUf
brt2zRcwXgagYCQqxA1HlM9lkCdpTkWp4sorS0i0hiq4K0FMCuI1W3TxVsnRIhPamBQ1tg46RZl9
ZTo7Jp21avvCaUsBevjferlUjJpbctTTMdYE7I96pZOF298XqDbjfOSmy4scZ/7vpKjX4INggyPl
xyJzb6/E3AYcOWiBn7RA8TNloihMiZcDx6yjXGbxpiSp5iRq2B1zNTX+jSmsO5r7SLmRCF6uuYaT
xWcWnMur4Wj1PpaaPBumeLrt0XUZCjZMWFEI8iU0dCeHcWYVeq+BBgIVPbYyk/Cl5dGxbr97/5cq
xBaDeqGtgz9U18STDNp3XYH2gKQQe1ykhQrVH2joNEs8j+cxvTs7srlcxo1kIZ4lvO5emkQHBgZo
GB57SRg13x1QBMEKuqkMSlKK2WRuIVvtT0SmcDGgHBQjziaVnCSU5fyRoh/+2jVyBKIDHxhlt5Qq
nGl9KPK9VeXmZ9YP1mNrVCk62aVMn2KwfjyA+1t1WmBw3kv8X2I7hiDTW1rSbs3DPEhWgaQBzw0J
mQwz93mvx3aqFRyXJmv7NbNSjo3Y+3XnABWSUwd6tclKhB1UIYQfi3RTV2ZxDwpzTI9GcQrpNcwF
Yiav04tVyYGnDriESQEN0BG7CxvgT/pSlCer4jIARtw0nkVSSO99mTagjotKoF8gh4P6qMHi3mE1
AClQQSkUA/rbpgpYSECAKG67+Iiur3GPIW6r83hbCLDcdUp6lyhR4yqFGhh2qBnpWksxbGqXEvFf
IfvTmccww3SIE6OEfidXWbUNg8pcdXGL9MCnAbZ+WdOMuFYfmy8iLgMOJZ82XcsVB/ZBowVbxRav
cwxfaGLfBnX30ydgdnJEJxVeqCvFEpvZ3HF/HkOTgK4GMVQgdWUOFFXs2gev46MZKjZNFm7+6wI1
dg4ehzJyGVNBmW9iqI6JFso6dmjf3TFo3pseiil9+UJpYhfx3je36hL+cO78OTc5SWk6CrodJmUo
OGLGDkXA0G7D4iEohvfbp8LsGlpANgFKp+HJPzl8rLocWpbCDu+qjQi1dV7GLxAxeSwasXDOzS/j
X1t//v5sz6Nci85ID1uDsZHpJ+kfuBY5Pf2pFd4weHXyEFfNwkFzDe+gwBsBzgQR0fHimMKaoJQZ
VFFdslH/OCjvc3Gsuq8g/NnnTqyv+hpAMwyut7aceErB7Vxxo+SNp5+3l/n6Arv8FcrlcSfkivo8
xK9oEwhY+k8QDXMZ6Rw/RNXoRxihA74wp3QdQLCojs03vPMBW5zc5EyHRGYUcuYkOkbWS2mlRXQr
/CUz19Ne4/qO88aoGQHbPVXL9kVrFOmAYrEljCfNah+iNqw2PLR2hhrlEDtKhBMCzAiFz2ob5WXp
QSOALoTWdSYrY2yTjJKHVEGzcZKbDzSxCvCqMyxjfUTqEq79jDYu79EHt6COZGt6qCycCnMLDIEU
Gf03WMQqX37SooVkVETS3AmMLkV3P62doIRkclPI37eDZ2bjjGts4DMCByXD1UtTvtylmZzAvax8
jazvJOxttULMSO9S9rMF161y6IclZeY5/86NapdGSQZa4kpDyHb6sIll442HzSqvtIVset45oGoB
bQOUEpWpiR0oc/m5Bs2x2EpBsnaqrOcMGXR2RwGYRWG1PmagmLi9otenHhaUGhgrx5Limp9sDojA
NFBHw+aos+8KrJFxfvLBbcGkhS83u4Zndibb3ressS8M36p6l6efYDqRxULKPn6Gy0Tq0pXJ8lWx
1ehyBld49TCQ3O76JRKxpcWaBAJVaqByGZxICrRkpWybRPTBTPdUaZYALLPH5Nl6jet5dkNkYJUz
eA5nGL2TzF9SDXxEt1WRE/vyQci+XXPlX4QCdtTYRVchzzid/7LUsukEbSAXD0rUMLvroxNro5Xa
/eMHHNLHv3bMyUi+CGu1JyHshDLbGzLzuJGimvWPG5U4js/NTCO7S1utITDTSC2OZOqFWeUWWb3g
zXUffbQj43wAARcwCNOHoihFERGKKi/QewNmANvyGTJ8EqTPJCLcsg1Sdas3VO7cuoojL1EaVOto
KZ0icGp5KjrwH1Rk7V6pGZi1RNUvEbnPhZIpo80po3QLEdxJKEkMgxCWlIGhMlbbN9IPorJ9IZu1
TWqN/syNvr7To0BwR8LALXI6HL/e7VNmbvefr9Fk95tqpeHlgjWifvuU+/Kv2tRcM1941805em5l
cgDIrB6K3scXN8UPTMrZci47fvkwqKeQDEiGQZbxb/wCXZKCp/iYzk0sBtB6hpAkSu9RRP1VDBn4
Xa62iR0a6dI7ce50+zPsgyIx6DKmhVHw7vMgH001jXqo/Pw+Yks4xNkLSAG6GvEMsQN1Wu0N/STm
A0H/pewaO6gctd8oZMPblco92bofdSN5swDqnDtTsXxgsv9TfJ+2YSTJIn3RoeiuA0RgytxJh36b
aZpnML7wta7rlhCIQPsASmSjtO80NzITq6yGSEE3v8W0g+QOLUCBxnulHDFyyqqX2zE/69iZtUnh
0swEH7IM1kJUsilbq4Sjpljb+aKa8Lh7phcfbm7k9uiK4hwa98XZXSENFZR1R796nbhU5yvVylyI
l9q8lpzYlF3R/7CAAO7L7uin5srHq/mf+4ofgMq2avyJnstfkGV5EXQCF2Oogdgn+2ooBmVIuSVW
tPAN5/Y4BfcbtJjwDRE4l5aiwaAsiySEaH/XUrEiqW3xe52CqnQroBJtmktSjHNRg54QpegRIq+e
doUo6HblOo1yp6M/Bxmp5n1Wa3Yth7YJYqV6iXduJoHHQo7TVWOwkumwslLmRdbzEsWDhpb7stfo
DtqxGKLqIE+McZ2Krzmn6BDf/oIzxwvGUlUUFkfeCCSfl+tqdG3e5ePjRI/1NbRhVgWkZf+FCfil
ov4DGJ2hX5poDaC3TczLOwIqyKWCOhH6urdNzOw56GKANpWO++A6g2760hoaHXdxlm2UEgC67lCB
o9IK/YU4nLOEKgHm34ANhFDDdL3yOE0UFKCcCGozsQjc3Nrp+UOgLNiZfVWOcCsglAhklKbphR6B
GqdLsGo5821VBe20/FRamBH70Pu7CKgg7c4w1kPJV7eXcvwa00NlFDRBxGMkGxTIl18LCNpGCwQc
5NJPSVP2DEUsFiw8zWcqsUBWotmKbQUBGMwVXloxKrD36Rk2l6mEdtWv8/y+ix+MzGv1dWhsSH1Q
lNUQaY5AIiq/o+h228vruQ2KjAGlZsx3/sEDT87OPFaaNMuw3Vi/6rQ7gXFQq7FRCkJ9wibN0dKd
hv6mKPujY+nKermw72aWGSuAWMW7mY4J2uUC+BJTJQHJFFTudiL60sqHMPi14OPM/XBmA1i3Sxu9
qfu6UcFGbWkPitLYWaNhuPYr1pODFSubymi/5YG8oQ5tK428LRK+sPVnztCLXzDJxVFtQ45P8Qty
jG5ZHV4v9akI+R7IRVcXsd1Hi1JKY+RM4he1ffCRYmlxT0yhLGWqJs0gazmkHIPBWEu6qN6aIfCR
9faCP4Yosz+URNIxrKUXuCt93QyCgxxoycYs8lZdNalGdrFFBV+IuWtMHOZ1cZdoAFJgANmawop6
IQ9d1qKbDrVxO/IU/Ltey3v1pOysFceo5xqMDgTppB3uzG3karWzjxZpi68vGvwKaozHCrAVZIo1
RjIRZxiLghY31GwGFxrhWbEK8/ui+rgdf9chfmloPErP0hNBgxDlSLjbqV8BRL9b16w/b5u4RnKO
S3rmzKTsZbSEcimBMwSAQoz4bulKXYPAYQ3y502zCtYhpFiSNbMxgAzFRn1L1hSAT+Xx9u+YeQyq
SIIQdAT8KeN5femr1g++IB3qNcFr9WV4MkDHd8Ya99C36bFNDNZ6edcvYUiuQ/3S6CTTjHSri5TR
KP/qncI17WFTHSJbA8mi9FGd+s1tJ+e+57mPkyMLvIcklFqYi/tDLf822i+gAm+bWFrHqXZcUyhK
WQ+w8Vps6dG0swfJlsFyePhh7aInfpSPC8WjBaf0yQnVWU3CldGg0m9jfauStUS9205dp64Xn0kf
j+mzfdBnuQliPZgwn9QfkKlyQRf4zJaFNcfj/PLku7QzuVM7MvC46cfvs61AWn1o0Z1egYPjGXvB
y7f9qtm8UA8DL+sUMwyrJRCfcn3YX9rXLv0MjMDX6jEchec74UE78VX8nnnRju+7R1C6YQ+a2Itk
G21Pv7t75U5xBy/69BGoS/KTfyawbq3F+NnP1jwnLFZ9pMvYj42nuuEhXmHcga0sLznEn/Vb8Sqt
49NTeEQSt15izpnBEFyuxOTks/Re15PxS/Q7w/PXFG+Vfe/JG9keEd30K3mXHujGWtg84/pOfUY5
frxd9JEhbXIGFVLZEy7TCkI5ZJ3ybF8F+QKF09xuOTcxOXEwsEq6oYcJIbWbwtf3JPWdsmELtbW5
KwqXEzR/wGcDYPMkkk015aiBgpA3F/rPBFB9u85MIA9CiMOihAkwqrVU4p3bpBjxAZYajwhwa0wO
N633qVL6WoXiZGinkGK3jHXbeuGwDYEBAc1SliycPNcvCVy/fy1OBzj8Uid90+qVk+SvQV56XRl9
tAxs90a79Lac25mgc8WsAwi4MM8+iQy8KKG5awBBKevGPgn4I55kESAsxnMn/MeGtC6KgS+3T73Z
TXBudBIrQNmWVUZMhGMw3KMJ7xoZ/aLx4FjmR2+aThJEq77C3sh76QFybSeoEKyJ+YKQci2t3UER
b1UkwcJNPRvBZ0sx+c6QI6p9P8Ovkvmw8pvqBMEPJw/LBe9nVxw5lgGwHOqm03FDIFqahnbYKFn3
YXB03/rAITE4J++HbgMNYvv2Ys9uGNR68fgFcz20uC+PO06qgcQUXqXZO1fZisrlQzb8Zi3gpPrS
QT/r25mxyX1WWkZgli2M+XXmUZZskhoFHwc6rzXfyqgA3fZt9oudmZscBmAYjPSqwlIOPoBBrfBi
nTjQvlx4ki55Nbm9AK0lUutjj3TcsiX1Zxi5Evkpxz9aujelX7d9mt37Zz6NPp9dT21nVVZUYwnz
VLGRxLkl/wXxh20KMO//z9LkKqolVkVkgFsG+50nXiNhoqh+ZnSp2TD/lQDfBwMpXrPTEjJGujQz
li3wHqiajVb5iaMlDDaYzW13Zu84HGD/MTP5SiV2m24WuBkKnhDXzyN504tA9W5bmY+Fv1Ymn4dF
GqlpA2eM+gCq8ZVqvrViW/C1IQHH+37b2HwsAGYNghNUyaZ7V+/YYPkS4ptTyZEavJIAtlZL0w6Z
snB9z/qFKipKmujzgVP6MuxKo5NV38DqKcCJVcajWv4wweM/5I8Jkx156U6dO5WAGwI2AuNJqGRN
l1FF0RbKdrXDKt1OqlPVhHZePPTtW6UtqIzOLSKFfPYIUQJ4fArigXRTT2MGAEIeyPoGEkfILpU4
WrNCv0+DmD/f/mZzYUihyArOD3R/QPV1uZAty3PoNQe1o1axlynBqQ+61W0TM4uHsjOcUQCwQJlq
8q1yPajoEEe1Y0kAlBxj1ZbNwjVUx6BLtfWZWiOKzuiOgP0TZVQMq1+6U+W4yfICHyqMfScevqwC
wqxtAarVfhVZxDXVXLaJ6MEQOjwyfalm899og0nqKo/z6paGooShT8kO4pxmvQ4dXweKG2Knx3H4
DjryxJO5QAcvVRKgpX1JeEQN8q0UqdkXz6nhtKqfPxU6wKJRkQ2noGe1lzCJr2gcQR9Zp9JBqFV7
argsoB6kQyV1DZax8qujWf2WpJ3q6LVcvClEpyHkrQsJkiV590kkSX+sS2qeqtTygTnJwo3cBt13
1BjZKDpjals6+IBWpwMxfhvglatdNQ2VbTF0kieCAWqwJDQzl1uJ7u+1JIwPemGEmp1BQZ7YesuV
3u273jBdImkMPMNGbilr9HkwWuMPmRaCuLFQMdpLzBrvCLCpeSkxWg9PyfZ323QWJqjNGLApK24s
1fHFwLbgA+/2sSxlhzrNxDNNhuK1lsoXEGXcwxQENXKG+f+eDEMLcQQLxcdQyYDc8RV1FbUi/WhM
TkEyWqSPTS7qTVBbMuBpShvarJOh+0fzqCo8zUjABdpnxFhreqqCHJTEWzllipfKtekZamfusGkk
j7VVvZUwMLbT25Zue4z8gt4h7UKgMqWGfyVgZAhAqoZJVPzqgu4qUK7kXqlVproDkFRxsgFLbmMn
+DgaGSlBfVglhc3VvnjSqih+VBi6y+pQt89ZUYHDQbKsVdf6eWKXptHYVKvJRwe8ZgN5lrw3XM0K
utqRAX9doS4dF05ZtMFTM9ScPqVph9nmVmfKDyb4KArSFbJjDBlQrbLc/yJmkLjgVCsKL5OS9qW3
8M1cmflGjkK8BptKpYc/NCkp6U4LoByIzDsDWWJTK74d6Eb0UgD7ClYSNO0xAiA3/NAphcl2NcTm
NLfHn3usJBBMyy3q67YKZqEWY8gWyFOaqECJRxV5u2oY016jLEh8p04Z20kZIZsSy7XiyLV/AeOr
4cWUKKAoxlzfs96qstt2hB8blXerEMf1rg5ZufElbh1UkUYKrAZJ7JqEBxvQvcePAOsNW1VAkhXw
k0j2cp9Ha60bArsqrLaHMzp6HwW4srdtlaAt10Wd7JaDKv9WozYA530bIYdqFdR80cfwDyrktZ6I
mYtvNGoir7eG5KEXOd+AmUr+DqUOy9LFdNgnLPbdLNDVh7KWJWizAHxmq/B2pUMomKB/G1QfGK9D
d8fMiuBdiUEAegIpNBX3PmPZrvJTKbEp4emDJmrriaMfdJ+prH8Xfd2bK5Ko1noQis82gynVh1BO
TdzyQEJ4GU+Mh7YAq6YroJMkHzhJi0dd4myvSEaMUVNkiLYYLKY6mlYLDxM3jQX5QNqKJy7AmQIg
NN8Zg9m7epYByQ10Yr+QnMzgOfEmxrwfqMlQawTE8fK0FpaZ6bTOcCpgR7jSgA5lBwLuPIQEEhgH
o/hFL7+1tMIoC87Nxk52n32AOfb8qJPu8/Ytda2XiX7l+Y+ZJGQ1IUUdJOPFmwa2hl3IMjc2P7pO
dYcm+J2XX2WgH0IfOScHI/1i23T27jr/AZO7C8OwKWUdfkAp4h2oDt2mZC6rFcx8a8DCyxtN456R
oi/dpB4GtX4sLMB41U+vLnyMkXgX7KXqVRNeKmPFhGiYY1SfCUjiwzpcqaz+aFJw4mNwD/0XAJ3y
wE2L0LaKbiETmUl80O4A+HQcnMNY1sR9cDWoXWqWMM/LOx2Dc9gqu5btmKEsJCQzKJFxauKvqfGn
nD1acqkZTN5UNTorpRtZHolLD6VNuyJO374a0boLd42ykPDPpKyAMI1PaEAMRgHoS6OgfIQ+aY0r
kOEG1AfximGJzTAQalvMdIoqeZT6n7c/6VzmhXkODfUStBbA7XZpMgwkaUgbmAQnlyO00g4UKM5K
W3DN8CXx55lEUlaR+SvjvLmpTtE9LQtrrVB7ZF7qFw+EbS41nebi49zAuL5nHw3HIJAFFAYaXkYO
BjqyExP+WxonPZ6E6RLr3Bhu090AyDVkIZBIgmF38rk0PcblrQ/4XO1TJV5BHxUYC8XB2SX7a2Iq
qBX2Ul9IAiY6tXONrga8bn07ABacmGb3zB80YSiw0FSftN005kvRL5gY1+F6nXTk9+PZhXG2y8+i
DpLeJ4mMB0QUZjZtcMtj3EyS5TemQGg45A9DGNpFCbLc277N7SfMOgPYQhB1oE66NJyooDQoiFI7
bS3bfvZJMg/ZmhRi+CB97shCUWX2esA9BQmj8SWDXvulOSnregmwUhxPH8wFcjW9q37IJ+RP2/xX
CUKeBXtz0Q5A86igC1Q6dtSlOdaUTa2OV2MiP5e5lw6fkrlHXnR7DeesAPMH8NrId4XCxqWVJsSr
liDndGJ2V1dOD560UkUKsYQFXrIz2bt6YXERJQTeZKFNcnNTD+khR4qasiWGprlNhWnvkQd03LlT
DHAnVUKPQ4QF0o1DSodDnyyd5HO7ykBXQgfM/c+r+XLV+haCwHWAUJAaE/K4BsOQWge+YqaU8eb2
B/rzXpxuL/D6YF9BZGyE60xsWUqJDj/4KHOve8OTB8CSPV+XnuYM+2I1Mrf6K7DNvaD1bve5Xe3Y
QqVl1tmzHzCJe2FVSZqa4w9Iazvqdox9g9z6tpdzFXYgHf7jJQCcl15amFPtkgFGpA1w6aV3zDz+
WTv+Ol0Z2/zLf67vxY/q459TTyHnM0BcAK2hUYp1WtzWTa2pmIT2Vl3ZH8PGxHTfRyg7wfapJLay
yRJHWthx/4erf01OPqgaDGCp9uEqcdqtvAka17hvMdniyY70boBfJ94pJ+mebJaat7PZ9jh1jAKm
BfDotBcFkEgfqtzHJMa6OygvqJPFLqQUNoAUrBUbWI3oqVqL/evtbzu7H8+sjn9/dm330FgqrRiE
6VJ3nxDd9pc4VecuoHO3xgA+MzDQFq/iAAaqA8Nk3T7+zV6jFdpq8q/bnsxeAeeWxlPuzBJjRp1E
GhYwq+zkxN/YIYJQNvjX9bW14+vkx2178zvv7/eaHM5BGEQtx1CqE7DKBemqrWEkOxXPt63MANjG
PfDXzCQg8T4uTLmFGe5mJ90mkDB5A7qYbP0nsvpZb6IFt2az73ODkxNFM7qobU0YVL/A0ZwdB+Io
wm7e6udgcNUl92awBBixB/cLTs8Z2VlNz+XYLBEeferyt3qtvAPJcqR3+k5fio+5Ww6sP1jNMcHH
I+YyPuq4BnYTo8BQ/A4e1afWTZnND/Eb3YaPgIM3e7riP6H9snBHzG7sc7uTuASMXk0CNEMd+Svx
wlfmjkIE6MY8moarO8pJ+wB/FVmD52IhSZmNHUhDAPaIyhu4fychCnKnMswTA/llTMpNzRJU5HXe
964UxtI2zAXch7qHbxeqnuFcpVr8NJSkfskFQN1+JnebXB3YsagKskRtq2G1pzfn+W+bxDUfaMUw
UIlzgUFEDrw0uSRWC3tnNrhG5k48ezAuOc1BSxJHqqAm8ppBQ/VPfZLLd6GEmyRrnYIBWJB9FwV5
aPVwoVox79z/Gp6qNSHcaR31WHg/llfCDMGom64XnJsN57/OWdPXo4Ga3zjx5ohdccDAC8ovuCbJ
C3jRgu+DdBx+pr+JrS51gOfOc5TO/7OmlnK5i/iQh3JhQNR7YOSVF8oGiMf1YAL+ZmoBtJsDh5bG
fV1o77f9nTtuz+1OilGpWgH0Q7CkmXRfpp+ltDOLl9smZlcU8mRIdADaBUXQpWus7Dtq+ljRDFgC
1C/1O8Pc6uTttpXZ2DizMgn8JpK0JO/H7xb9osW2KZYCY1yJq50FIDceJ5gquBqzY3EpSBQga1Lv
4AToRWzzRO5L1/gqV9a22UDU4F94hCcm8nrUT7B0l+s2QJqM6DlujFZ5lcQhIQv7ePbTgzFLHcUy
IEk0+fSVhFS/U+BQUwFiLHVgb3howVJ124t5K6aJiQi86VBKu/RCiBAnIaa2nb5+zIVX9vdVsnAg
z5pA1wvvElQuyDTAApnylgtcdmX/5y1+8mNix6L+N3F8ZmYSYXQAazcZb/AyBndXYmf+RjNeSbbw
9JjdLmdmJgtmpQSl+fE+7ftNVhwSc9tIbrL0CBh/7FU0/7UypTMSFoRv0gBWFNMZ4gOpPlLTteQt
7Ty5XwiB+Qvzj/AHhlRVdTqKI4HRXRNlyJ3mJ228svW6HWUgkk93kUs96JeDx3VsAy2cbTNDAigk
nNkdl/osdZVZhanvarS7E2vzTnrEe+6YNw4/co87/L3Z3I712U+HWdJx6AjTCVMeRI00RqeCAsaJ
5UM06JjJSbZx9Qvilwvt8tmkfJxa/R9L08+no71DcQ/j8/VOU6yosdeLH3L/I2TbhOUoNmx5/JAV
dh0swXnm864z05NjSa1kYZIGTlpfoCWwfoRP8mN2hAY423SY0HMSyQmPZJ+7xFyIo9mYPbOsXH7O
Fr2JgDMMOSQhkIWPGT+oDUhzTll86MrFCZPZUwVjt8jvIBFCp2RDJA5rUZXwszbB6kt2Pppku8Hr
70FpvEGz8agWdnanPN4Oodl+CHRIZHDAAwQKQqVLJ0E1Dzb2ATHL3fYHzn7bfwq27+HR2gz3C6Zm
1/OvqWkQxYJagT/Aw+Kt8Yx1edI/k+/82N91ld2vtJV+n6zIR/Ae2ov1gNnL9Mz0NIh6oebN6GXr
Qu7Pztbp3jyxzfuL74A9dClw5mP2zNwkcuQWRFjVn0VdWba8uW+d6NjapqM+pnbgmIf0mH0uYZjH
tObqhD2zOble05EPg+VwkVl3lbRPyH0lbMkA6Mm7/R3nAxWVTAWJHBpY49+fnXJ4H8dZ7OMzRlbq
1hp0FK3PNtzeNjKbXo3l0v8xMjlKE6PijRXjwJF035a7R3QpbxuYW64R2iRDUxmElf9F2ncsya0r
234RI2hAN6Up296ppQmjJW2B3oCeX38X9N45YqEZhdA+A2lSEZ1MIJFIpFlLTNpn9VAUDsXhBima
Dz44f6H5bTW5PgVKWmkzSRViy1WvxQkWQTujdhgfmOrTCKhYdNezW6XeFbPsPMv0EsxAZ1NKEx0L
N+2MY1p5zcH0pmA6A5eTndFBaH7rz8ph9MrHSXa+ZaL5nq4Mo57cHBl1iAby7w/0CFTeEmShG5J7
VvvuI9nle3pcwigsZa8ZmWTBJFWQCxl9gdV1nY8iPuX2y5yj7eHQp7vrVrNl++ttFMzS7Udz7DoI
MtGD2ZReFe91zKVdF7I11YJx0d/8I+jsIGJnPnAze6fjMWxThlSp0AJzpvkXRo555PXpWQUxMfEm
kACRm1R/AZxXJCNr2lrQ9RdwV77aShUQpPbIs5hdcZ/Pz+gg8NDFgqKr56aJRN2tNUUnD046L/yA
3+hSlg2q7MWZEBom872u/GyKHXiurq+oTIRgmQprB13hIuZKeyxTJMCsaAekN/+6mM3LdK2KYIcZ
iDTrvoSczt27+UevhEwPafXLMG/RZh3EoMB076dBEgZu3KswE6A5AUxK43f55QIu05jjrQKpGms8
TfsOlijAAnlEe55Aupn8NdMQoIfW4gRXNlRJnqNrDA9TytAs2QSYDzwMAwvwuJMs6MYtcCFKMI0F
r0VntPhLayhCEIidaGuF1/dswzFfiBBMgw2KbcwdRAzF/aJ9mbVnZ3ku/8WTEVJAIAH6aBNbJURZ
zQhIhooHBNP4jCYcMzmWskHsrYzvWoY4IKIpXVR2Ne7l2ckDVwHSKi08jJV+7QDwq9Mm7JIlWJLp
0CTz4/VF3HpxXcgWTHDW9ck1R8hWyXtah2N2yutDlbwtTdjGr9Q8dMbz3BzHOiDqo2FJPMiGt7qQ
LlgkYEYJaSasbgFaiFj9yVzw0sfAha7Ut6oeJBYjkyYapZvHecZfXb37oBn/kCH1nRIYdcUZvZyS
deVfLgR1yHkidCMWml0t8SYwgFY5OBE0M2eEy41yAxYBb+zoQ5PGKPNGX6sSraad9oRq171DEo5e
c/0TuMu69gXCTVAVjuJqGbQFYlEVOs6oocGNab6tNTKqoc2FXSkrHBLLAG6oWkLZPjHPsUJ3NTFP
hjt4Gehj4uLnv1EMzSe4YYEaL6ajVLrEealBMdDfkikA6VsVSa6dbYX+iBB8S54MTaRMEKGhI3Sy
vTpbkG+9yYZ9mr1d12b7BAJh+T/q8H1c3diaHo/6pCH4mk8onEW32q4FVRMqMQ9ASzVP5JA/ym7V
z4yn/CbgXdgWyKvRYCicelebMm1IILN76cM0AIz4AQ2wCgibfZR5Q2NfBFNY7GovPll3+OEGtns2
HlpZk8pnbhzhQwQH0GQwyzHHh5j3uf+WnfPYKyxf7wLnBl3p/nz4yIK68ZSX8tU4xpLQfvP6Xa2C
4A9U9PomzMQuz/mBjb5qnDvQYehhUj7VlgwHYis2vFhzwaaqiWXuWPE139XBEsz7d+DpDoc0cJ+0
py4E2sy8l/GHbxsX5/rQMcDAIZEvjQurC9JONcf1ZVlo1R3DyuKd0IuXzsNtbgL4GvN4ukVBREL9
XNMBCpoFvfkDowqSd+HmkVp9ibDTcaxN7TLwdxQG5cZb4gIrjGBImgVjLIn1t61qJUvY2MSpsxqU
RHjPnMqb25Z5w0P60B2sFzykwNjjGX6y638qwWOKsd3rx1mmprDLqj66nRVDtGKja8HCsE2XBQxY
r+nwTzwS77q07dBhpangPOq0TByzhrhZ+TLFptc3R2Yfigi4V+TFtR6SFF0pMlqtzcjLAWEEMF1Q
bhCnSJRFt/qKQWgEVMQZ6XrHqh8BLKFVMvDKzTtsJYl/yco3mmbTEkYgiaLwlAC9ApMYqi1xA9tC
gIsEBg4AtYghXuK0Hchwis4fO4TCTr1LW2cXq38PXQSfC1Dl/y9GjPKydgIjnw0xU75LlaCMHjIw
n7mSEsf23vyRIh54cyLxlJdYsexgzr869yEtA+ouEsOTiRFOs4NZhlnTsDEIc7qj2iY/lKFsvpRZ
+o82GLHkUMmkCee5yDvHzSIsXZT9subQTV6s9gRu4OuHiR/NTwETqCZRLAMfANg8BWOzW8eNZzjo
nMZGSGoQQJE5kTmITV1WUvjvK5NOJjfG4AH8YDI7aFV39oB1KyLFNzF8cl2fzesNSNcY9uLpOLF7
q8qLxNC4x7XsGtca2vH8qPjoYBruvYKp1/9NmhBuLqSPUYeARUysOxvR0HrgugLV8aBhSssAbaE1
gv2tAEzsvzHFlZpC8NlnBB37PB/I5ue6AIcPBjXKZZ8D8f66hvwPifYB5DbAoyPsxHQ9d/2rnSP2
0HdlgqNVOph16eywqkCRoythhkKYurRB4bj+aOSH62K3thFYQsRAnzpg2yzB+JuE0Awg9Ygbpju3
8GP2TLUjBRF9PXsstSVKbt4oa3HCBQaOc31QB4izYxVjLXd2mXqVeoiMB3N8TZJdAfKU7F/Yzlqm
cPIGkEGSPIdM2gEojBxLMAhM5h3CEtV+dGRd31vJHh14rpgexR1mwVdebuQ0ETz3zQpJx+QVI+ZG
twcDWgYC6dS40fTCd5GjcwKgRUksdTMuWQsWz/7YRJZSQ/AQlbySmgKctX7l3VdKvgROg/NhKMe5
y7zeqjEjyILK7PdDYexbjIq5br+L6jQAAeHOUohk47nSF9bNR0/R6maDYJBj0YmLkoxaFw9T5uMJ
rmHyzirvFyor8H6KjgQhwgJA9pRg2C7jUxCJvcurQ27WXs9e2v7t+qnhf+maOsJhnaZmpkM/Z349
IeTEUGgMQAq9QO6r+3pdkmzhBMdXGaOVswKSOveD0oOdPdt2eF3EZ4v9vW5gwwHoCXc/go8jFjVb
BSiBfmMHyw2gU4PiRvnHPI0v/TneXxf2yc39luWYYOkDKiEGpS5PB3CZmhZAx5lfRh92sstweWAi
0UPH7+h+GMquod+vC9xewP8KFKuLTt7X6dJCoF5hxHRSvcnqdkUi65L5XAq/VEwc98kAv6DNDZdz
YoP/0qaB/pM5/rAfPdp5Whqw3XXFtm3wj2JCkFRXpsb0kttgtrPKEIOfZf5sEInz5A75s6X/kSLc
DxhirYq+gRSDvRfpfpC1EMj+Pv99de3ZibVMtFAzUAP6KcDrxlST+MVNi8McFpwyLBxUU5cShrTN
+XBohgL6M+tmJKzemIqOAeJR5ZjMX9RBVrnY9ENoijDRaIsKujiGjmvGjkgFiS76LyJwNwI1CkNZ
Y695bSKxgs31W8kSrEB3csU0GdYv/l3WfSyMt+tm9vmRzw17JUGwgNKZS8ImSGisYE5PNXuu6BMj
ftns+/QGjaUsPWl0NwIBULN8cLtI5HMNPlkgpgOA/WHoeEEJV0c0FpbWg0bRV2INNbXCHuZXkijM
RXziVAEAnkAGYkzNU25bxb1Fs6zy0Z0V32rmQhheqlR28rbWnI8+ASMLwa8uthpb7lJajcv95VRy
iNih+nld5y2fhTIfLkywTJlAm7402UxH2lo1oLIdLXuzxhFX1B2lsjLKlhgbnbOY11GBTSCKsXU6
Nm1kYGWH51QP2/HUueHfa7IWwZ3Y6ngbhTs3SU4yoBbZd1lfelGZ3pVMBk+zecZXmgj3MS7JwUkW
iGmHvDub9lh5kaKdQNxiBa2Znhwk5z2S0jNpqlHiXz53dfADshIuXNEjQzYI7QqZ/5S7nnmvh9FX
YGeXB/VsPBYBC/UnXALStplNJ7OSKlykY4ds+FBzlQ00Wuk7lj2j6ozp7aWRnMAtc1/p9xskb7WH
adoODghM4GI60wPXuNfJJuEkhig6TOCCAHe7goSctJ5e73R0/hBZQ6NMDcFTusDlsGIX2zRob7YD
Gc/XTX1zQ5Bw5jE/rhkxxC3TtJzMBlx+CUbYVROQXUGa3yrRQzpJ3myfGwphcciMAcUcfpnz3V2e
qizX0tywKvgFZ/Yi4zwMv9ACUKV3CsNwcRWOBqapvs7RLWBrNJk5fB6i4tL5baoTA9PiYghXAoZk
Af9Q5o+P7g48V0/LAZgV5NiFN3NgoyPAu2F+j1eHBKh0a4E5zjFxOAQdil+XWuNxU6ZKBG+IK/2D
xcrOmr6BcO1+Ml+MTEbvvOVR0CaMDkrDMYCRILjgqgJIq7MwhHMEMGHLuUi/T4aDhLYfl+chC9ru
n+vmsymQgzehQx1j6p+aU2uEWnXUZX7mVOe5/do6IEee7mJnBGIZfVmKOQC2huRobx08BD8Y4tUI
YCDEEQo7rVO7RBbHz4jjqdlRH87zIAvANoVYJuje8O7DbI5xuW+uM/WpwcmBGHAlWgCCNLG6b6ks
9bX5jEFeDdxyKspOplh2YqOeWZk9Zn6R5Lczu1/mBlFRe2dYFiA5yC5u4geAdT3NKdCQ8o/r27cV
ja+vbOGiU43cqWweh+k2CJZ13euLXZ8+E1nfq0yOcAjASTIOvYNnRoQYNpkKLys+GtBemDI2j017
XMUgwq0GQhKrrxfEIJWOLnYX1HIeyZ87ct/bwABJDq3zt4ly7lYw1YDhEyQUDXF2uB57V2UN3ArN
TvPyroLa7q+hpCECePsGWqcwA4pJkEtLVIy0sVKlR2CeppgBCUskvDpDEg9s3TNrIYJztrIlJXEJ
IYXlPKhW/+iWT9dtTSZBOFCGURYVONsRf5qg25vuzVyyFZuPWTQMmbzzCmCeIpNqps4g9GGIcFvn
i1rduf151p+V/jWNH0G1Et8qt6AzX2Rv6C3bXkkVX2oxYtTc5PmbEQXxyHnrGGrjTlAq++vrx01X
fFGs5QhmQJk6TuAMBK5xY5X7RJ8fh+kLW9wHa/lRgK3Bs7Pv1yVuucC1RNEmysyoMBYEP4uMoNUW
vtE/ZX9dOOPW/WfTxIa5Qm91yiKoNQCYKIu9xQJ4lWfEkqZ/2S5x61yFg5XdjkDmgpgaL858mlFS
/96Nh1oK+vBpvk/Qhy/qShDB9LKtjxBkFtSn8wfAu7TmNqqfGKcXymoffeuIgGRV7Y3ThWYTYNQA
/N/l+EiXYt2Upq3Or5F8UE9dad8N/ct1a9g6XhABNi384+5OcOKRWY0TiJghwm7uGp4WQM08iTGP
C3y+eWyQDjvZaAwczfeJvus1lQSQG1vIWSYdoPAgnEJ//6WK1tBrRaLjElGBZj1W+5S8x+o3M5Gc
sw2rvxDDP2O1gUAJBB2CDTFd1x+ibrrvSPOrQ5/b9eXcOM4XYoTV7PqlGZIOYvI2vSV96tmJlz1O
tnvLqshzkR64Lm/jZsSoGmdtQSss/hfkocdRbdIWV31qNW9Er8K4/xVHdK+MzzApb6q+u4mMKn1T
x5VM/vtqKRWijGbT6dxlBWx5Ztmj5xl14qWdhE9rc88QXyMeBIKH5grK1S0raMIFjXO17514NyzF
qVmoJJaXiRH0MSZG7VGFmAl4GtZD2u7y+HB9m/iXCl4e034gqtWR+oMiwjnuoqYuM8eCOxxRsktC
lyFr5Q0ImaTwS5vauBzsidPdoMRxuTsggceR4qKmeAx662BMvZ/L8gzbQszflPIIIsUCYQvsOXsw
HWRrwOKW66+zoXsmldz8W3aGVjHO34ZIXRN5iSiddIX2SgZCbG0fxahspCQLGjIH7uD6XT4hcZrI
gO63NMNMrg2oHYR+yKtdLl86WnhQ1hTNfJ2j+i4rmsB2h3GXGItEvS3Ht5YkeKRlsa3FyqBe7BK/
7slNObhHWsYBbprjdfPbUgpVcdQAeV3l0wMSnOpR7mZIAteTFY5qumepFc7MldzGW1aOURWsHmiA
8PoRrLyxezevEqRO3Kz0khlk5H7snC3bm2UzDltrt5Yk3PuxUizRPEGhUtktk+5Z9vfBDQfj+fq6
bV2/azGCMWiKrlKoCzHmcm+PLjidZP3425oAoB8HE2dWdOB5kWNO2EAmqCh/zROSnl/sPhzNf2MA
mJ77jxTBxSWZZjQxz6729UPVH+c4nKb99bXStzQBTQMyIugExuYLi1VPQ5Gp4GHyCw8e52d9kzzN
pxfFz8/Twdyxc3K0T9mNc6975R3dKedHNUC89uX6V2xZ+vojhEOVFAXmX/hHdPPdZL4pfeIDbOp/
k8GPwer+Y9PIcONChkN2hL6P2gRUSu+6jC3fB3Y5zmFnAJtCTPlMwAeebAd3UpIu3+sivhmM4pwZ
6S7Pc3QDO56jxa1E5lYsgXYPh2e10BckRmJmxVK0bUOvZKgDTb1LcW00ReW1jPpWHfY6CmKSpdzy
GGuRwnYNtZ7TWoXHaAr7jmgR8F+KH0OthYXr7Aa7kFzDMg2FnQMGLyhULKzqXNWV3xHwwNVKe8yH
9r0a1K+qS6swStw74Bk7ksXd3tA/iyucQEXtsymvsbgLOgP2ao20EwZihqCwlY+pir6qlXYbm7J5
1s0zSVCq4hlCF5XFS1OlS6EDWZB75PGMxwuwtbwl8Vn067q1bqW7AC0M6m30qQPPQOyTJFNTTVYF
7QrdulUzC33GVgBskn2jpOci+9o5xRGkqKFJ5wM1+x/XxW9aES9NIf+J+RWRbNwaMNkDnhA8Iaof
XVbAcJKdTgdcrB+FIpt821zSlTDh6jFMNYna1kZqSI/QPP2WLdnRbQHlC8Tg62ptWutKkuBQzarp
UotBrTkmoNkAZ0NpIzq1D/1U3aedGmCM3wOgenhd7FYNCU36f5ZTOJQlfsIMBeTGaX3Qc+anQGcy
Ae4xuPntNM9+nGkPFOAEeopuqb57Lmrr3k7GzlO6fA8Wdk8bZJAZm1tsgYlMhTGjD1dYi2wecjb2
/Pgg75zHO5cGFgkiFIHm79fV3zyoK0mC9qPN3EqLoT2ZvhHDK/JDjhoKeiYiWnogCLsubfO+WkkT
PFI1g13P4HolBgGb33uEbK0GrOn/TYrgfOIxMxUz55ZkeskYEhN94rlswHXTXFeq8N9X16LRmX2s
AfLeX/ru3XC7m7i3giF6i1gMePUkTOKPsiwl7+2tjgCMeP/XMETo1HSI06bmUicz3xlJctQs3deG
Mhzs7oAYHsWRNADy1NMAHsRYqYFv/aEq9CGXTYNLdlIc1u4axYoAhM+T4XpAYt0HLtO+VmT0k1sh
KTojORIoeCE+jTnYeVubboaXF7XN3Zhah3SR4T1ta/JHhH65kQNjyUQVeLh2oKfUjm8sEr9Fy7K/
bpSbjnSliXEppjLAd9DN0AREQkfW1rfa8KSVDppvZLN3WzVKG2EUyAwxw4tuL+EaJC7Yo43YRVRI
e2+avMV8AoalabzZBETquz66NzFtTgav7zELuLuup1S6sJ4x4mX09kNRHRmuijxa8Sl2/LE+6yzM
++8WvoR5dQ5MI/TujeF16ZvubKW6sMqtPTY94y910Bzg2eeDP5QmfUCL19L1iCK5sj731ALubr3S
wu1IaVzHBd6afrzcmUNYWymIIfZLwhBXPRnKU64HU/q36EC/ZQIPih8IdH9ze145HsXNR3B9QGYd
xWioHQBe34alo+x7qHh9NTevIfC7azrIC5AzFQxpmM1ijnS82c0YeBmIU5We7HO8MBbyjmvreF3a
1gnBqx0Ga6uW+v8oRlaKzRUlpkJAM4s3QusBfvVn17gcwg7t5Ytuvl6XtpkJxuwUiJKBco0BLsFU
KAgaWqBr5ahZ1mTfZvVN1zZVYHaAzBvS2dr3FhC9E4A6T05fBcbkUK+OlufCqk2Jb9hyQXDq6CoA
uhigL4RP0YvOmBBlgXwgd0+kb3zS2Le59JW1Ya6ov/FHMe8dAFmMcGd1KR0AgD8glZk8OeVHPTxW
EyjmBx/dY3EZtorCyxbX1/nzrkImEnSg2jEwkSh2OimOHidVBJlp4Wvtc+IwrwK27SijQZfJ4b+v
rMfW+5SqJRL7s+13/fNc7uzlnpEv/5s2/MSspNTpaFqxA23MfPBiQFgV2jNRUdd+uS7ns0XwVYN5
onMa432icTZJXHVqx7XJn8fhsVTvGyIxOv6pl0naSxGC74rNenEBT41Qwv5O7aPGAlqhGeHXIqtF
fL7DAV8PJAR0OQCbGlB2l2vWtZ2pzLwBfaofKXOfVKeXZM43JXAwdGT7cJDFthhDS+MoiVAW6MHB
lX4hxl+7XGiA/Cj4C/GyRAL4UoMeExnt9LsEYL+2xg6cRR6Gu8uk+xdnZS1HCFz1qUTH4IgEnFUE
NAcwkf1Kc5SkiESfrfVCAQwlKGSvQDco+PW+Q+BWAzzVZ+69Xv2Tj7rkYvyd/RKMC42eQAvCKCHg
3j6xwyt2rU4DQvAavK3W8ZtOPYCFh9G3dj+HANn13m71k7Ezw+hoLN6XAh3bw4kGeOB5eMKi1/Qj
Cimq3fNeFu5t9FDhtYdNJBpocnDfCPcnU920nEtErr0JdLTpRe0jD0RPILlBi11167q/iJU+Ar1m
l6WP6tAeUAF66XUjUDXQyVEw+1iN7MWycRZBHWe44FjjUIzicWd9HrW2jhg0svJztPRnlmh7ozF3
M47lvEhGCTeXQOPILrj9cO+IIQSo3LNstGFnrF3qr7MdZY4HxBdbB9h53uaYIdYIaHX7xjyUSgFg
N0IGcFNP9niiDR1Ct19yB4RXM+ZCO7BkAh01HdrXCPmtB7MayF/DEKDbDYUkwBibALTRxf6+aAEd
VEKwPDOeOl4E3kBlAYBgUt1MSvezTGTAXVsXJQTCdMGljiMn9jPNdmxP1OExrMJAx92qwWj0N3xu
x17mgDUuMkzFTmnGPZozZbvDT594doD6BkYaA1heAOa89DbTkrUgakHUNQ1uwEb1oKjuzlbRWm2a
O6U3XpdkRDSG/mr9ZaipBDNqwzdgUhbDhfgCdEGLadESbhAwlwgvTfp9jB1Pb2Xvk42bGh1ivysz
DvpbxCxdDhq2xhgiJJSjkMTHRjtPZdiX79dv0M09XIsR3iGu1SuqwrCM6lsNyJ9X47v6dQ6QsAOa
rowMZOO6vlBJCOCmMtY6k0LWYB/ZBLSF5t6V4tjzPyLahYHisAGaPdRIRMfVsiVZWItaXWlOuwzD
NR6lLmA/Om3eg6Uu80pzzIK8yigeHZgpRA89kljaaJ6AXvU4dIuMx2rLa+FgovZBeOJerFgaSTSC
fy3Nfab/Ql3HK5y7SFUeendE5WgKJPu5dSxwHjAriZctWAuENTaGFk0G/GlXa5HhYeLrxo0MO4yb
qvk6JFa6Q8R039HFvtMN9TZ1FDtIl0xyOrZslyAsg7e2sBVi1+aYx0WdTGj1zTGMOpBjUmPW792y
d9eV3VpZNIdgvBdwfujLE1zAWDGAp/VN7hNnDPUpP1puBl4q4uXGVzrJJgQ3b2tYlQ5HB4+HNsBL
jxOZTgzGvThHhGaNne9gMFHFZH5BXhQ31YMu6xn1MHVRxme0CeLYJmmGSrhWasvRtlP2MhlZv4C6
zyYfzkCNIFOMpUfcUmQntZnLOMwW/CWv7az2pXITLaijOmZ+C3a8kC5W8apbnRmSrtJe1I4ovyIG
rpS8N9VXM4qaQ97N4CSLyXITJ6RAmSuKgMVdOPlDT5kUdXnrMK8XX3Acy6APacqw+N0CQjwdnIj2
QzP9dRcGTg0A89FtzBtZxCtNj7OJ2m6CJS/GH+NkTQ+OPbwCRaSSVKk3ihWQ9Js0HE1dKnrHLzc3
RQcQG/mzuopAUll8b2c05pwX16MTSnqhbp+GovVqTWLCn/OjEOuCewthIOpAYk8pIEDsyCqwipiF
TZLnqT7R9KZTvEx5VdlBkz0yNp7z6PxHW76OY4NZJbGy3Fd9DRpXnEzSvRZDMBm+mgVREmLm1k7f
jdynkGrdOTJU8K37ci1XiNlTPS6V0YGeQJvYJ/Z0GGdZF/eWN+CPGywmCk6fkqCsGzs9L7GDND3U
7bEZD3NT8LbjylokL5At21+LEmw/qyia5hAf+g7A60ZqgdwxB45WLjEOmUaCL6cpxjVZDDFgzfTq
6WHK3t2i8qP5Z9zLYAQ+pwRhGHh4uoaLRygRR8Z4mr4FGShOGkYz3Cc3dT3XfGTRc69yTm3JNfUZ
gQmxqoW42kVPgAUQU8GXao0yNMzgtzTaQDtA29bP+oKdC5XmsY3eXGevkNuefszgbnUORvarre9i
G6wt6d4Zzir5yZTGK+rnfDmUVpCUxdPfXy3r7xPs1WpaIzMpfH2CIS3VG+Ydsx+N9nuXSK7K38NJ
YryCRjYOkwYwbHTjXDoegzmtFptYCaaDfTbZ5zPKEF4TM6/LHhtrDmLN8NxCORHltjbOVeTnzQ/T
OGXTG2c3tyZftR4n6l/Xf8sc4JTA+cVTEp8IxrKJ414OIPp0dPpY6PZDaf4A7mQAKAavd4zdJJso
3HbAgKDhjy3e2CdYRDpYZOxtGHsPhBPn0aBB2X8p7Zd4+OjdR1DHE8SkUgSurZOMxxJau8DcDfJT
/vsqUzXm+mzaOfLsY9wdJi3CKya7txiR3GMb6X7Y+2qXBY/R66A4mbg9NcV5VgvYcYj0GEsDw31J
i52VBkN2qJQgp0VQ/v30GoQDbAlVUtPSP/VwNMDci5CNy/0lVkEcTryI+KOsGLt1k62F8JhwtZJZ
W7slRluxkgBu7Dyz29sARI1fRhN4TPe6rEmE/7lPx2alk2AuTTObNJkhzjIBY2h5xLibMGfoyp5h
Wz4YOQXVtCxkv1HlvlSrnxXsa4WLy8gGzIge2fIUN1lItI88lzjFjTOHyON3Rzf6DJHXvBSFkey0
SAhEJemzRRkGiZlHq3uqeZnhY5bu+gnf2K8LacJ+jalOc2WCtCw9Lk0FdIMYHd7Es3SvIN8MzEtj
2P26yI3DdiFS2LMUI/ClOUCkzoxQ7UA+XN2qMsPY2LALIYLnXsY0jRiPS+lYeE1+QtEVy+o5LBga
yanWN3cM54lzaag2Ck2XO1aUKcnJzNcwf06m45jcdWBM7lAeoSEpX5IUqJ7Dz7b8mVg3EZAFDaC9
EeCvqTun91GW7ugOLM6B1oeYDQMwVu/Fww7BWUYA0Hw/un8fT6Bi9OdzhaXBVdOXeoK/z9Cn4aKB
S2N7u/k+Kk5o/7y+1ZpsaYQiCnMwLQXqBcQuzffKDFrlS4KUsNsB3/SoziFLdrVx42qhXj101qmY
S7/Rn1zzPS/ifS27zbfc70rzTwyCrZpHo6ria1wsM4rL9NYcfBMs2+1wtIB8E43vPZv2pvkAWucR
XN7XV2PDWUE8Bv8soBgh/hYWQ8EzvZ14lB81DxPY0he0yVSnKZbEEpvn648YcQ5aWSLFbROIKdv3
hI0BrQ8lsL6v6yITIjhEkyjxhNYuLKXyrXUp+NpDS/0Xvon3pvEJFxvzC8K50nogQ2e8NB9b3/Po
uOTBiG4AOw+m7FxVX6a3v1cJI9F4/iFhhKZyYXvUTkWnNZ1x7uZQcQ6m87z8iyuYT13/R4S4NbU+
ouJTQwRrbnP6tbFCpZSc7q2NsTFgBTwGsI2ZYp5pBlVaZygjro/lMJMvanrDZHN9myJQPbJU5CMx
KyvsC2juNQbOd3QlTM/oR5+zG1Ser+/FVkISQEx/ZAhOaja1hrYtZLjsfflGkNzHoLb5j55864fH
HNei2RcSmdtq/aaZ549xMWXY1F1PKjST+SY7UvorQY7F+Liu1pY7RMmNM9n/FsE9xCo6ijTVKZDz
z/02CkflgPeMGaTl3eKGeitJZci0ETbJnWkekx6iXAe1Me0wJt/QqH5dHf43hOgLm/RHHWGTsn4e
W02FDEBye0nuEfttdgrP1c6GrEi25TvXooTDqdkNi7Qaosbqh6ac8vZXDfocur+u0FZiBA8PTeeN
6giSxffvko4Ax+xhdjOiO/SNemjJ9aJ+ONuN5Uc6w6O4vgM+3X42o9vYpo9x8+36J3BFPq3p6gsE
E6nRCQwcC3yB4RyH+R9reAGE32yfADhVObtElWnMHbUgDzN+YM7h5EhIPxmXJjm4SzyNmokHF0v8
Pvby5NUGlXR0msjiTe4XA+njDs9wyf3xGQUOyRkVA/044wBoQFf5pVy7UGYWVRY6Srz2rf8oQuO7
EcQ/KzQ/ecmRZR79GXvVl+7WOcvw1zaOBkRjdgIIBkCHEMerM9Y1kY17hLtIB/CT3X6Ywr/eRYxX
cT5mDjAN7ItL7erCrqcmUfAuAQ195+wsMGsaHkqMnpkECPJSWeZy43ysBf72pyvPYukl0+opgtmQ
1MvTGr3cx6W/SQ1JwW1r7VaKidXwQQW8DylcZAQUcCzayDFPXvsvgosLZfTL1bPr3ixLhMR+jJE4
N/IN98soY7TZ8F0AX0A2mbf3wBL476sFyyxlKYwM9ofa700LljOjSc8gIA8rPsU7pJJ12/D8F+IE
VwkcKIMqKmwu139mgDgECpuXK2HjnByspWw2WCZNMD9m9ohCSkjTrYClH+iE9Qg7TFlg6o9Z/+u6
rW+8f4CdjtwJek/5oRYrIraZu03X0cw/o4FhP+zyl2o/n9ixDZ2j6yuviU/u6Q1G9O6Ub2hoCut9
ehPA4XhtSCWP58/mefkpwjKramSVva0ANaFtkBQ7dWTwymp3XeHPZw1C0HigohjB00Vi7LsUKDlP
0FdH+Z/0QaMAstJ+spXjdTmfrwLIMdBSiOo6wkbxXZkutFLrBHI07VcGPHqKZuUvOpBIB+uxsEc/
NiUvB4MfrMvL4FKisHzI/aZaFEGicf8t8Y33NnxOj8m+D19+uN7ynjz9KNow8cE2AkzbziNBAoD6
/FQ9090SGiHyg3tZJffzOb38JMGUc3WstLngix2FrDwM7qntvrpmUHYS09kIOdeSDJFfHv1M9Vhy
M16AjIoXTRQlO7uL6K1mpOkucQsTT1JW/SSxRZ9izYn3Vu9mL9f3fGPC4vIrBONSZ42OI9Dh/NFn
SMeEse+G3fdc9R7mAPiTQYJjAwYsW6L95jITDG84wD01P6PXMZcZhZqgDbq5bdGKn+uPjv11MoOG
STzhplWvJPHTtXK8hZmq4FyGpAx0KqC4VxrLU9F4XZFDPH4ZyCPpJKHw5nldSRRcvUMiYDQYkGjY
e3CqLrqNRu/7qP4XVXfsHZLXKAtznGKxtY5McTnNOQSptp9Yvqm13jAAK1L1WP8rIk9q8jK5d5gX
uW4z23v3X7FEvVzRiKoptUqunwYoL+ANKg+WG5ZuqI6SVNeme/2joNhto1EGUJAKkhQSmvntuDxo
8/t1ZbaP4UqGcPlrilLbfRxjxICjxlRhgYJrt7ShGyXoF38F/akyHwcZiodMMyEMVhNbHWYNmg36
EihouJ2mbyB7lES9MilE2Cm3LMBTACmJcY7T534EAsQsecZuWjuuDECPOchVE8Haa1ZU0eJCRmMC
ARxksWjFBnRHjAzo9Z3aNLuVIOGyyNyyizR+kCeUrIjygza3rhEuzGuG3XVJGy7D0gCEZIAgDA3f
YsefEv0fZ9e147iubL9IgHJ4lWTLqdud04vQE1pZonL4+rs4OHePTRMmenD2wX7YQJdJFYvFqlVr
9bmzWBES9nFllMch8TvrcahugWPJKt8qvu/lpoIQCCw/6J0u5q7TWIsGO0tQQEsPlnKXG2/F97NP
dDtPTDB7l4BzOB1nNIKy8q5T75rhua68BQJyveBK57RYzy0x9+dUo4QDFAlKTm/Zpw6dezd3h5fI
G9fRQbt169HT3fhzh/z32O601P36kj9ygaf8wa0zeQWauwiLyJmAFmFLKzMoSim7GpJtxdV6Vw/s
nfxZ5272UkHKtAQZ5G76mtq1KjhvHBc9s8vcNXWPpqo1wK4d3uXyY1p7tu3puNzTeXPdRXlh68wU
c+yA+bQtYmKf7fyrk95M6Jx4Fcjp2/5GqV+U9CYKe8HqOCf9zCTjRLmk66WdYnXo2YzK2yIHjXMo
RdgU+leufTvGgYY5a5fZxsIc5dc8fGqSHzoPdfyQJ5tQFZw87opAZ0iLl7RRyUbhfmzjcUQ7T0c1
fkCbN2m9KIduseBrceIwwNZ/7TBxOBsHVcs62ImWo2r4IXkaRHkr/RPstsHhEUFox9dgk/eys+NK
DTGmEqpAQctfmqiWzDcAskJwMaJizZYYNBuVImvByH+kgDA8Ux8XoxLQkHBNoIRMkTRAE7PI3ixW
jBGLplHqV0UeTEzIXT81vO9Na9T/b0A9vw/jTlGnpSxQci3uZdxTana08odYlNrzPvepGcatmhT6
i1T20Yvb7VK+WLWbhgKP4kWaUxOMR8URpMOnDCuxqxcpeXegNSehyzVnbi4iNuV+FRPaU7YGmgeF
lcKwM31UWhkQCSM56B3x2kKk0iWywCwmQ+JaVRQF1+FKQE2QGIKMnPtBTpZA//vJG6DpCBplDnAl
Uvyc6E/aDFL1UfBFuDYAGKSDneissaVcSHVDGnwCpqOajpLk29VBK76uuy8vLwGY4j8T1L1PlpE3
UZvpBCbIfNvZbu/4OkDE5KaWNj2p/dISzRjyYjH4xcFloDjoFLH3KOAyCjoX6LrF87o2W1+t8Pye
fck8ID5D2FpwPLlOfWKOWV9nOJDRpf1SuzmMyiaxXizNn5sNEcH4+d/q77qYy3McbFCjLTBEZdHS
oEavQhe4HHctQIrQ8UyKbGOuMbt2CgyQoeutkaeRPCfxVo+A/35MU0HGJTBkMa+xuh/7oqgR+OV5
MxRPeMHkxBsA3TUFg0ncTfu7IoupFESqDTQ7gN6eGb9KeeViNnvliFhCuRHaQbcK/FCYSGM9TsaU
SgrOF7i45uro8za2L/eY2xdkiNyIc2KG8TSlS1MljmBGle8l6a2W/OsnlZueYQwAn5hqRCCxPz+q
VWqmZUiBjfVSrGop3ttp5muJulHicS+Pt1NZAvuqlrVbOq2gTcbBHaBiBGlL9BxoaYBtmKalllh2
tyAU3Sr7IkD535clF+ioQJvccIVH2iQwycETnpukkeQkNCFSQMq8hUk1KLfJw1O5jVpXeXW82idf
qCQF8a1yr3xonuQ3kiv9ur7dPK/RkPZQHmX6D7PbHfj0tQX6Rd5kH6sMAp7pZpQAItxeN8M7AcCN
0vwBVXqbpX+Nu0FbWhsnoFICNfw9zMfZEvUiOIhE7ORfIyzbK0RtejAQwUhPPEB+fdW+Ca133Qoc
w1MAmiofUidoc8Hh5h2IU6vs4Z41IKOo1bbcJ13lku8P52JZFg4CzjboPdlaVaMOC1kIDkQ3SWbv
6VbaBhoG2Guo62QmiJp72SkEp5B3X0KEE/ommBClctLnTjlpC3ShTNgMO72cXcxrpAM4RaXas5LO
DoxRVX3SkuQGWtCo886FElx3GP6xcDAuj6EtsG+zQ/pNadd6vozAQB7l2IseysGjz9BbZ7XcJl6y
jZ6cAOxSoz/68Sq8rbaijJf7XU9+AJPxQm9cUiOIvYLTLXbp9T2IqoGcziq+7IkJZpctSS6kKUWr
fFora+Mxfopjf/D1XR2QPYYxl9izdl70Lr81Lkbm1td3mHf7waUsAyNOyFLYCmFRkFQzYxjX0y9t
kdxldDXDdcpnQ8TCzD38fx2YrXoCcddmNnXguvosrG1tv/ciqXj+rXFigzmF9TiAnXOBDcXcxq3i
jo0BtO5d3t0taP20oV9JK1ld/cMW4paiXHl4CGt0i09Cd55LttbnMKojLc61VY0AGjq5K+UvailI
krmBmnb+0blD906mm3xiSy60foCiGiprTeIvabkiIzQS6qz1CKRuBOkk94udGGMu+aUq83Cq4Rsy
uZt1vxufM/uf3O+/882OnElRbOVljuOl1CXopiTXsj9RJPEME1PoUIa9/qW48ezkpLGpnll3AA1j
QXOiP8b2+9K8QWT0vijlvVzayPswZqh/f8CFHu+/J4yJIGgjT3FLd7GXMavYuqbjacn9MABn8H59
efyzDPgdTVloleHcOTrMI2idOaHyA4ik1d02tTfYTxhIGsJGsJM81/gzjgSMj0L5Qc9NmZk9J1pB
4zKYYTIyruoe1QD15fqCOPAeHVQwmHr6nxnGA5NYSiu1gRlpE95UnxLoSh70ZpUdRt+4wxhFIYIh
0z/IVoFAPIdxdRRQaAH7fF2VbJSgl57xVrc+U+1rwiBLHR5bU1Co4X0pTCFjQg6jpSDFZeJU3/Zj
1EDx1oukQx9tZfU2H/dqdd+bAnQSNxs6tcR4nwz4Wh931CcUEiyNs087oHm1UgOlH+l9ZcDYZVUH
KkYwp7b9RYy365+Qu6FYIbCNqHzhdJ1vaN/Yy9I5dEPB6u5Iuh/Vqw7nO/q6bofrkCd2mPzZlqQc
SBoZO2rvU2Ovp2tJJIXMYRaAN57YYM5XocwL8HPI0eV7817ZxoOr3re/Uc2BSPdjZ/nScxi5i5f4
qF6sri+PF7lOTF/IME8m0eIE2zgNr7ODls20SUGRH2lfM7re6nwra/9w02AqD7BniOIA0MC4qGXP
6qiE2NACHXR99kzlK4ZUjJp411fGPQpo20DXlOLaDMZOMSe9mhpw0GzZAPpCkidpXLXkaIjq4lxP
pEUYrAcpNJvp5H3UVlGq4iTk0tZsvmxn+Onk4JRtasHpFllizlyTh8kcNrA0qvfgPtWLV621PIzZ
CJyCmznqJ0tiMkdUejDjECpYUm3fLEPlambjDWX6TFr9ocn6QyITcIc/qeSlTOI7A3eblCyr0X7X
UX+YSbNazMSz6nSrDyIOPdEm0MT6JFPpc6M29Rq/DczyrbMi+o0c4+n6cN176LG+iNcmxnCRpkCC
ha14R7UzqsoANKQ9feT91zB4S7qV691MvPHXdVPcphh6c//ZYj5rDN0VEJfBFhjJ3vBMP2Lqo/Vs
P+p8PEN8jMSEqVf9EPF18F4goGOF9AuSPsNmm6n6nCqjDcJZL5uOlXIE4ZB7fWHcL3VigPlSmSaR
OathoDZzH2LCc+fntbYe/qWqf7oQJmew1GoozB52jOQjKRbXQEEj+3F9LdxocrIWutYTrwObDQYC
qI25L9w0e5tI5GVKDLqXB1sEjOHuG+YPdShQ2TrwZee2xmhAnWGGrYaANPptal0Zkl4ioAPXw0+s
MBcbhKZGNJMQ+WMcWTNddaELvG8v39nhWrefrm8f95o5McbccHKUj5pC4dSJfBNivKjFhNPaUZ7i
yGubTZ28Xzcn2EG2VFPi6asa85/k4K2vgglVLu0pEul48O9tpMUUHw4WOraUrJNZW2KN3tvF3loP
b/IKQnrQB0/d+a502zsjMB97/3N2vy+EiYThr2G2tKyQCtKUFQy3kh0sCgQPzO4m7Kzt9W3kRogT
M8wVaiToLIbgDvXivsYwYOmqr9cNcN/VpwthQl+taUWmgxfJW9QvvZfdutmMzouuP6j1awxkLDQx
7Upwu9FwcB7aQe6JjBFpDx66F2hKACbHJCNR4SWqWq87K4ve7FkjEHhuvj+DA1OULRGYQYvSkpyf
5MlJlbRM4wLEJ8PsWkqZbGNi2m4zTN9X28BwFF4WlF5FU0E7eW4qJZpUjTmUmuKZtPvKNsm9mnb2
D5toQGZf/2wq/SzMFprgpIP8NoA4mBlgItSUdGjQk7oENrF8co7VZvINxe9zN3Hb1M0O3SpcZ4co
sH1jla+kL/u1DEQNCc5nPPsNTPxSsr4boxG/YUgPhvESW+9Z+Q+bemaD2dQ5k6O+smFjKY9hf2zi
dZo8Xt/LyzOG6ZG/W8km4M20tJ20wIS+zGtFyTdzLHpf8EzgRaiDch0dD0wtn7uGNeplrYcwIaXW
OjGtu7HMBKvgdDYwynRig7kfh67Jy06CjXqVx6v0rni2D/JWjVbKzgliV8EcgujjiJbFOGGbWDFE
TWEyB9TMwUzvIHrj0r/AuvnpohgXi8AoXUnUQnOwHmOMKbu6ZzzovukW69Fv/cGzj9au9GRBi5Iz
LXu+m4zfSbmVOFPclJ59n98NPpJd+93Yq3eJZ2+tVQ7zzovyMtyEnog07jIrgGVIXpq4X0A+yk7j
mMbQgb0Vls0KFG7lU/pWWZlrTD5IU+RJkFTRZVzsLzS9bExCIk6yE+4IL07eN12Jts1xHqg0YOTL
kTeZvh0Gc2gG4Bq5ftp4QQMLRFEVTVGkvExA7tO4ckiFcecS9LjytCvSTwi/XrdxmXzAwokN6rcn
qWKjNZKDYiCOGwRuvob2VY5AwyQ6cLSkyOwd2BjxOkGVDFNibB+zNTpbhfZg6YXP8o48mtQt1DVE
P5Cifhuo7ZyZYhYUj2o4NVTEqTD2Esiai/jRbMDw77iKuUchvF6+jf7CXQZQJAho0CC6IF/KjcEx
2wFznYQcaw38SxhlGiAVRERU1JxPhYli0NwASmpqKlvYjFSztspsKDw9JO6cgHdmScArgzqBXj9c
9wpOtDo19ScTOvGKkOiVvHQwNZu1O7Xlce7J+3UTHOeGR6CkaZg26KPYLiiIw8Y2JDAxDpFfhNpd
BoBjnIlo+3ixHkqDmoxOAeoqWNW5g/eJI41RPhfeMq775SHJ91L6EqlbQ/ftBKjser9gJDO9Jfld
nT9dX+OfmTzG7/Fexbei4hOUi/fcOBjPrCwO9cJT78fZrdzpYG9XWZAFrRvP7rx27qVttR1dMKk9
S4Fonor3FdHOorN8dFiM5WWWJckakswAKTOGw4oeRyJZX18g7yNCwxns4Q602S5klY3eqEKopCA7
JS/A8S3qvTBV5OghOBR+i045Hv9UgvN8D/VkmM1CMQsgw/fZ6ENtbj24031ys9x3uVtL6091U2+u
r4sj/QSjSHRsBC0AAdiKykKMqjNqLAxznm6/w0hRhwHFxO3ppyrc4+CrgXNLNtptuGlmTIwVXuZB
nRtDeGvRj+FdsGc/hia4J6cxW4qG5C1+DFRLFMdF9zn0Ij9zu7t0HdS+/GY9JF4Uumni3f4SbAQn
eT6zzd5BdpkoWQnbw1v2Ne98JVrVrn7Xv/+0fy3BtGm9bjMeoIiW3mNMpXIVj/jXfwKn4nT+Laib
nyy/r8FA2dBvUa2cR+1tcGtPuzECOJ03raSbe/WeCGAMnJceHpLgLUWNFCA8mT23PS57tCYAJVS6
YI69edXelPv52Lar7G4SGOOcIQQG+BnGt8HHekF9EGVVszQEgTDboAfuLssmQdX0+iZyQgFYdUGJ
RZVFgCJgPqMN6Z2E2ApcaFa8PluhxiawwPtM6OJQAngbKQtK5uefKQzLuC0rq/Da2zaIX/XRDQ9q
78qPd9lbvAKvHVrDIoEv3tE4M8pk8qoUF6VdwOjotUG0UVwb+e+mfSev1o26UY9G6jbr+KbYK4h+
gkyDU3h2ML4k40am4wHI/85XbDnLRMLCLrzOD4P6Jt3aO/BTTT/UO6SF9+VL4hvb5D17TR7TQNTl
5CQDJjpzCvjNwPyBf85tF7XSaHEYIzcsb8L4NqlvLOdrVAVxkOM2lJEZ/R4A2zEKwcRejJOUXVZm
eDpjGEB/M0V4IY7vo86AsVQb+myXJYey7bs508sSapG1C2ZbtTyChPm66/PydiDB4fng2NdwF57v
lJqHujkO9LGnBErxNNpBZb3q5lY2HkIwH0rmt7vClHsc70sblGWUYZnJODDNKy9IzVA+BDGlAtSa
UkI0N7i+qoudY4wwr72aKE4XTjBihJ3bga1eK/8BzgUj4PUDKAaaHZcqM7JCWUsnDBykKhIWDUQ2
3xaL/GMBNmSTgsLZdlTXE5IMKjDuU+34Ze3bzoOSO54seLtxdgtxD5NlGPyi7OtsbKoaguwZQM22
7gBtn9xxfo2+nQyBMRijE8hS8NWRdjGHRWqr2GgorqKMtXsgVHyjBMAvErzzeUs5tcIkA3M+hn0a
UitatjVlOVCS/gg1le/7F1W+M4A6wKfHc/f81AwTSpHmgrL+kBuHbtJuLAuN3qL/BzNgpwOjAQDO
GNZgzMyLpJqNQbtJjeYijFu15kqZIIO4KBNQKmecRcu0MA2COHO+FrWqS9QxTUq3B4UpB2QJyxyA
+dRv8/RhkgCaA8vF9eN5EXQYk0wMSG1SW1NnUeUZ3avkVUI+o7Dzswl1inytN4GRCG4j+hfPnhqo
laFsi8tXU6gwLuPi1lJBtKYD/sq2W6QSSMhGsoIGRGAu9sMQioQnLyEV1B7ueTznAcHCm/58U6G9
2oc9xb6MYR30OYSRdgXkZNH7s56z7EVR7uP4zREpKPNWiRESjCmjdGxcsGbjLhmTokGJSWt2UYwh
ic5tk307OW41COpaFzcsFoh5BcqZoGLsymG9psxyUAvCFK7+baGFhz6HEKBUf/VOd3/dW3imVFyD
UN7FrQHe0vO91MuqHY0B3mKYA2jdFNLf2PHcHUhbA3Adzf8QqcCkAc5mgFEoUSxjb1RB2xqqOBCN
aq7ANePaVurWoucn71sBCYi7HU9QQLGYnNNxshne41Ccc2b5mRVBXyIv7xMlB0Mg6C3mUiQIwLeI
eVvIkgDEyXYwaquBqGJt4wwMxu98noJ4nt3MMNAEtbN1a4pQ1iJ7zMukndqusmLYq9vqfTHMVVtO
O0pn04IJ2IQ22XU34YR+SsL/3/KYIz4ju67zDBtql+OaSE8YfVhXyeofjCDngzIRZDEuZF3Kanbs
iq5hytRtrd13g7EyoSNy3QrX40+sMDsXFX2TpdA5Ay5DXctN+NaDwUFbfkZJc3fdEm/T0GJCUMT9
ArV6xte1ZU7TJZ0RiYeHfHSANZPcWBR8OTcManKU/QfXCzpNTDDUUx20UBJebams+LH8KievIXpL
Zdje1wlwvoJ4wTUHkQjQUJmQuWHxefMUQ8SI0FtzITsrO+Tar2asV+ZvAqrB72uGIxBqloUkAIkN
dpFZXCOPvdwOyDgyx/kp5fZKKxPBG5jnDkjPwF+IqTSEXcazcYgwD9ci1uLxupX70u/H+QOVXBc8
foJ7kucPyJ8sFNRpo5Mt4ydKrcylBURXam1Ap+fm8qZVc8H1f1m0wp6dWmEuD1NPitKhuJ8u14tf
EmLDLpy05q5Sh/lZkRZrg5oyCbIxzVGStNp9StAhdC2jH2/raUqfzWKljsP2+lm4eM7RX4VJPLxY
wQMEssXze6bPyVKCXw9lDSe80xJyN9XP1y1wPyQUD4AbxTVmsiM0amSUztxQC0mdJbtBLkB6PmlK
HbspMcLPLgYP9/dN/tEnwdUJ0RSdSYjDTtPC1kAQTvLibZRfl0y7J+gieigur6+b4vkOmjEojuA2
A2UUc6NZ9VCGUQpTWW1kmC/Vv5yu2KHI/e1hWXwotMexfyBvxruICVpJpwEwMYGIrejn96rGpLw2
iwRILotcjI8yRpwEbICxiZMg1ZswH8ELtDJBY2/EANj4Va15ehy0oqSAF7ow2oq8w0TRX/2TVp4U
8xQpaqzF0DCZ13RbEEpsl6Q/hPm0mRGXw6bfZXojcBCRScZBhsqcwzKCSTAru51uQuzxZxeCrTxc
9VZQJv8QnPFYNiByDzwFKuPnh2yY50GPIE7sdSDE7y35rZTJriJoq1nqTTcDF1tYq+t+yT11tI5i
I++HojQToeN6mYzUQf5ooYeiL/J6Lsq9XqFUbhuCago370fwoJcBDOL/58tTrTQDmBpnIET1XctG
V0euYEXrNPs5Wa6k3dbho6Wu9W+PYVBvhcfAZ/7olDLbCv1qecl0fEW9tVylLO6aLluHvYjrhpfS
nZhhuW5be47Unvqn3ESrqHuRUHeuq3U8L5h5ElxFvM9mQMiEqo9jRpV9Y0eGpACJSxPkKcREWWj/
curR8qRuit3ZyYLrTsI976eBkvGSyBlsYG7wtcxeu02ah8q2MF5SjUFuRGt1yd+nxXhrimNqxv9w
vRuQzMAjClcufsO5z6Q9FHAAuEDNwppdyBYAdJbiqgdZu2ikgLtIvPVR4sHJu6RCtSsJ8PQFICaz
62xlN5v52N9YXa3KULgbHTOIh7S1XXNUs1u9M+IHNVb7vd03saBOc/lx8ZzDYcQvQQnFZlMaQxvB
QoEswEP9djWa7hxWwMiC3EjEa3zpsTBko+YOtgvcGqwhbRiNXnNQ3wzbQ2l+TEXk5uUGT1XgaARp
zeX9d26KrvkkeIMbnGiTDlPK3LiAMzsV0ihRCiEywlxLg2G0tUIBQAX0IdsfjjTgCSdIhHg26Nw2
riD4JELZ+UISe2jkKQJIICONb+bDprCgtS6JiiQcM4qC1i/iMtpIF5DLWcENSxQZRfrW+gSKILBC
HLmIRIJAIrDDIiwBXa4AWQUxu1nMbkykdStNq9AQzaFyzQBeTuMvbhp2GEJyhllqaxO7NofQk7Ar
G5IVf/QhQ8HsAOcYY3AfiSoVrtDx4GWcIKobnOHcKUFIRyA6t7ItSD3c2FXi282HSeK1rdQeBjWv
h8jLTIE2OfCSQxEXXOSswJSZtHEaJrBq5/kTaZoXleBik9GZl0tomkP8r4ic1XWbnDiBsRJkQ1il
iSokc68NWpTm/ZJAGcmS14P2I5/HYEF6Mhvj+rol+pfOK4RwxL+WWC8JkypqpwmWOvsZ/PW4dVZS
aKyW6cNQcZuvalF3R2SQuXDyrgqjsIFBTP651oic4DYd16b6Cl4BKFG/Wea3qwpYIXi6MANBUQns
hdpbem9MbVZh8BXoivh+UmdfDt3BEiRBPD/5awdF9vPw0VREJqGJhaUKhPCmV91Z6NSDBMo159WW
RPJWl+cOEA6ALNC6ABXDBVrWSEhvO+h0euCAfkZphrihmvqlRkZBpsw5drCAWRo0YyhuhAVfpoYS
53aNRBIVlZ1mp5GbYVItbOOPcBh/LY76Ehca5B/KOwWcMdfd8/JxquDDUaliwNEwc8V4i7XEYxw1
CJa1uVdn4mpRJLBwuY8KJkfAfItwTBvtTFCB7gMKDT3iF8G0vzvLY7rKusKBIDopBaeatxjUjqE1
8CeasC9tdNRyKVctwD0j4kKZQ/h6u+QEwE0PskQgzoCfwmuKLvbkLu4bOcuaELFqMsBkTUJjbxVG
t5bm9BjL0rFodWMXquMBzJQ72262klo91/VyQ9Qo8qUSsaaN79BD0pH+DbtK7TahhIwskjURD+Ll
/Cr9qdAEAoaH8tOzwLWxGQAdyuLKayRzTZRiI8fA/ZmyTwbHS6bYq9PQk6ef0QJdASXynOHbSEra
KtBUVJdAHoGHO+NbLQnRgZwlit3cRdA5jpoHsC8F1x2Y416UPAT03KCAg7wAE8mLvKgLMkNhPcbh
CVs5MCGJrYtm3/9grJkwDl1SsHaBxxkdebY20Ob6kqoOgs+0hlbw7Y/JLz5bt/FtVKHdYP7ZvD5Q
qG+5P2THxs1fHqWneEc+LF8IrbtAddJdxXMTbzJI2F+k9X1al4qWYcHVlK3K/tmamwUT19NmqRu/
aXof838PCmls12hFoYq72XioUevI4VgKAKTdtZYYsK2nzuc8ddA1VfZ5LAJ3cs4xlvjXDJvxlo0D
lWGYSSp0mnLztotF4z+cW5I2JzEer+KtALny84Nsg6ohKyR8T7N50MPboXzTAO2aHuz2Tdc3fSjI
FTkPeOXMHr3cTgJHN3d2OCcpiDtrv2puM6qB4U2KPy5Q6fsAFRMYDqRhc/1scAqisEprBgaFkTgs
sWA2EKcmTV55zkbqAvteXlWe+o73kOnrfrEdguznr+smeR5yapFZp4acqiAAV3mkkI+zBsmiyDgm
0tv3raBxB1giEJ6oazGRxawdAExzCFsaOYShunlbN62P0RlBxsGLoXAQaHWjI0MlZphw3zljNtlT
ha92jA/Teti2ABwqH9VB/5m6Qki/Ch9gY8ypNcbtITEbokoOa92686WNGSSBsm/2y20OKU+AIK/v
Ie+QaVCNA94SKKOLBsOY2nGNfB6HbC5drf2Nt+t1A5fYNESqUwt0vSc+b1kExEAFLGjQL9h2b6qH
AQHKZWUqfnYYdov3ifrx9/t1QLTgxoHcJF7oqJWdW1VTZbEHs0WMkp8UY6epqzEX+QX1YvZLAdSA
wSbQIaFExkSP0GjUsJnGyiu36dG+eTJ/qVvndtnJj5nv2W7rYxrIkxL/+obyzhYgVRA/RWuIhq7z
lYXZHFcAACBmFY1fNiZG8FHhEFaoOW8jitz6zwx1nJPPNpeRFTdkQNA4VrM7+MgIK89+AqowC6yb
6tC8mJt672wXQej4U6O93NW/hpnTZhAMEJAC61ODjwmGl2N5GBG11tojSma/yaF2wU4UgfJAPaJz
/irtVn3v5Z+zP7vGVggA5l0Rp/vAHEdTSs1INvFzunZlbKxHKBnsTZ+s1EdS+e16WoHCcVMfkmP2
6mWd4PBwjQMEhsYmvAwvyPOPEJl25aBKiNNp7vs8KFpo/o33WeyX4W/otBUi+laORwNthjERPHgg
7MMWC/OhaXQnA0Oolsie1U+uOt531V1iJ1CISQD4FlyIHF+2MIgAiIeM8SkUHc7XJ82DUaMaVIEu
doDAuf1ziJCqauq3J8Bw86FvBAwafRY4LIlXqSkkjBOZPr8babeMaoeWtDEJnsCXoFSYocwtYAFA
0APg93w5KeSdzGKccTSf7Q/r0PmW23rhnZO4a9OfvN5fdnRU9cZeRyI4BC/MntlmzmudNnPd17Ct
eu1X8dIc8jttD2YQG07qEG/xtNolz/Lr9WBE/ypzWM+sMofVzmo4TA6rbbGfhpdKxBjPOQAQ10Il
CjRvgPuyGEW1t7IKcJzKk5oVkdFTyQAneVLaQ5yt1CiAxNv19fBypTODzG1FsszpCKEG92bQHZSD
tV/2zkr63fqzj7kfed9urpvkLpECS1A5gcguC5IAptAYOxm+aVXTrnemAA0zUDR9adYPvDNdEOYH
oLYRsD1yvxtohix0pClxNvPdxqGsxwzPUqTw3caKxtsCxDjX18X1SCwLfNYAMuKtwgQvvdfiysD/
vAhlcUl/yZMthvo71Gp6CIk+q5h2X+6grBEln3kfDEiuRJkvb5Wnv4D5mJkxDVNd6jgT4SLtNKtX
j3pt/Ly+zsuYCc0E4KxUHWy0QP/RH3FyURaSEUYgLiKA9j/KJfq3u27ad/pRkne6/vu6LZpRnB+3
c1vMZwNkQaoKGp/n/tPSgxJzJ9NBSW4cESWgaFHMrUcrwJA2hKEOA2L2bRo+Q1RrTB+q8jCp3y84
oyeNXjuqzQ5qBDr9MSc76MiY0sqAE/XixN5W8ausGZDeBeGPFQOVbgTz9BO8EI+hI3JRul3n2wks
yomHMvG60TIFZwAemmbySsK/26HbglhScItzUqk/iBeMwAEjimTxfH2zI8/J5NDbB2/ljtieAl0t
JTnWlUhnircgiq35n6U/NcaTnTSaJUniQqlAArhsCh2z9U66Wkbz4bob8hbkIFRBAw1kFvho5wvK
M6VOezTVvAgtS8uJfkxNciOjwIRxLkGGcKluRJMftPQBx4C+O4hHz22ZGJzJtQi21JTs+z66W2Yz
sJrCRZFmnWXdRtbuFEwe57XqOtOtqjyaZnOIWsOttR9NlgmWznvCn/4edoshBJhUbY/fsxjhazUo
K71RdgYpd2kW37Vol+QYO7BQlAFIIXan8tvRBtuBoRDUKlS8PdjbAjIEcwaBbZBQtI5bKNtJAbMM
JOISr5BQuni//qE5/gSFQRScAd8G7RibNy1QE58LksDaMrkdTmL+uQyCq0hkgwnSRgi6XyeMidck
pbuEQTlHfj2LiMk5Lnu2EsZlo5pMstJiJXoW2N27hOnd3I/T1fX9Ellh7oKYOH2n91iLOYNtC9jA
Laqsqogjh79jVEcVZE/oFjBHwlaW1IIbEi9XQJigb8AhBszC+l+W8p8RlhknnvpRXhr66aWbUj8W
1iadvakXoBMu7xm4M8r0GA8Gx8oFDWFdWmE6WdgwqdWQl3dbotWHXidQnMlVD/RvgTqKOki87aN9
Dkw+4TEAQb7ziJKnVtY4Ba4b207RTnUOclEGTqc8X99ATvJh4zmA+TSQM6FUypipszpVZlLDF0z1
Zl4woRn+uG7hMhugxTzkjQ5qU+qF6lA8tr3aaHg9WXYC9fEBvDtZPBYriPJ9jHPaIy5GIkX0Sw+n
dzUwjGiLWYApMzUPw2yNfsEDHSr08naSnH3taPdpY94McSzqSl2uTwX7Eup6AFcAXcgiBSCaaHSO
jly8S/zBede1VdjvRv2jF8mGcw2hpE/H1BBc2TsmCRWtbytkw6R/m8z3EGrO/Uuj7hYRzc+lT2BF
fw2xl0dbZZC+HHE/K80bptMhGRZcdwl69M8zGhWFPCCaUMwDAznb+2r1Yam6zkRGM+2X7s4sAyl+
baJNPe6Juo9awZwGb+NOzVFvOck3qqhM+6aHuZzM3ixvl7kJwuRDmjZdKsL1cm1hmB4DBkApA2xz
bmtYbCAWgI/3Fvmls9ONbiz3ldaspKZ3AY0R5B2XQULF4BLF4EPNAv+mv+ZkZYbUpVFFb6VxLFzL
Wo/2c0hW1z8W7ywhpcH1ih6irhtMHK9SqDZXY4aXQ/XbmB/q9AB+y1QU7ng+h+ErMFcgCQWqg9k3
RamLUrOoFeXehCJeN95fX8ZlDMejBAH8j+AaohCzVb1ck5LUKfGq0jfJsxr+jPSjlm4LSNlkorou
zwtOjTFvBdSR477PcS3Zi+4m2daw7g0QhVvythXVAnguYKE2hdFVpJ8Xg+jdaI+lEWPjanCg503g
ZMChxKLEhGsFXL/gyUA+hxvj3NHipjLQEYbghyPdzw5xVedBsmT3+ifieRrShf+MMLtm1yPluYOR
BYez2rbJz0XZyUomMMP9OJSyFdsGxBUrxlUS0lpQwcPHyYx9AQ6MDSoYratH04fVmzdqFBaCI8S1
aKADinAnY0SCOUKxEZfgH8V1FBa/6HUOltNa2krQCe2q4B/28D9TgGicf6hBL7s2rSq4w7xps209
EheisnEqMMP1hxMzzHE1Q6Pu+xFmwnxlDu99/ECSl+sr4W4aejIWmmeWdYGSdtJYbwDYJ56q3g/p
ujN2shMCF+qZIjw2dzEIPpAbAwoT8ojnexaDLWfUCixmbJM1SBC9FHMCE7h8ry+I694nZuh/PwnW
eTHaZkrNZODczFNvSlazYrpdJej48EIp0p7/lkM39sQOGNFyVclgpzHirdbbL+US/cvnPzHBnFQU
qqMSzR3o/0QPRnJMnOMyCeot/M//dxXMmWn/j7TrWJIcV5JfRDNqEleKVKVFl7rQulpQaxIk8fXr
qH07k4nkJqz7HcrmMGYdCTAQCER4uJtkbC3uyL2Wb5L4asy3bQw6QLP2qPT5zt1VTEiOtkx8RnSk
mPrWhLGxSkAPNvWo37KtYn3YowtNzjKkzAQp5ZhB4J7uckb+u/0Uswbbwbx2G8M+wuuoP1NzG/Wy
7oLEyy3hBasXYPpxG9goOhI4yZ06EM+R4X8lPi5O97R2PWkq5D98LQ7IEFJ3Y+kHR1ZAWvUNLrkJ
bgAApUSAi6EuSaLNsDI1P6LKa5eQFg9FFPsOJCUuH9qV+jDyhiNbgqsn2pTODoUtfattxkN6W9/W
39BR2znMA5UHkof7cec8X7a6+q34IBY2CxeUeEUlptOjBtkgvKrPBigIy1+OLILz333m8kcmeBQ5
ihJZXAyGG2FddvXiVp+z9j0nPnWf3En3gEO+vJ6VehTfxX8XJITYKBkKrWixoAYEQKmnv1dXnefc
KNs0IFvj52Vr6+7xrzEh0DoUqmGTiTdtpxiekY5BMs8+8u/J+qytl8u2zgm88PQ7Xhn/MUf7mA9z
b/UJjEEWrQxVP30x/Th0bumh2+V78k3xSEjD4aBsjW33mAaNLDWTfUjBQfs4pmpbY2uTztoBwEDn
VwsIYc1415sbqv/Fi+N4uUJYBtQw72IT1vTK/CycJfUAtNosnba/vK8yj/kCuR3tK+aUGoAXsa9D
HHbRs1UFDlBPLNvNY1DbuzrFHZrsIlU2RcQXcOFciCBTps2J1YAJxI+6/IWSbE/mZyviNjHaTzLw
PWV+2/3N4+Tf42EIsRnC1n0S5zA6Tt2mBF0V5IvBlaD371NZe+UkKc9KwosIO8GYVJurPLxUEMFc
QKrRDc1joTiSVcm2UggxujJYjJYwo9Y/rMxvhoMzRqgB7iAhvBCvl70fZMsSgkxcNIkyG7AXLRjo
ua3rZ719uuyW/Cdf8g4htNC2aFBKggk2Pc3Lp7FIsp4VfPVJODlDILtRbGcUBtx5eGGL8qiRzGu0
5AEMheFiW1dpddcUGBUsbdmJOwdrnpoWAknn6q2apTBtm/WLUY7XWRFfOc5yKMz00BHVZ03l1Zod
WrMquR/WYxiyfEhbYGL9KxgcHfYKPCGjMeAyyhTTL9QfapZsk5JtNBYFZZfdgLpEUhNa9RUkEBiL
wqMZ9CSnYdvApOBcZPzEWVNot1NYaSb4pf6mOAjKlX/MCAfbHN2OZAv2dEjppoRIdzel0HnXg9L4
lRAZJc9KGwqf8KjLK6zKxssvNUs0RKMPJfHSj/LB3rc33S4GM88eN9Ahmz3tPdvL0AGr3+/IrrBM
uxsMqiawqw2aN5S5T8btUAedyqAF95pTSVK2esEfmRPaJKaVsV5X0MyOIEoM7LD72tcB6zeG7G5d
i2DHdWThSGhKVdVqBb+c9XybxMEE6SG2Q6UlJIoXJ8j/MCl4OcKsre3YJP9JR0fBLOOmLVLUCvri
d+leKePvefgGilA/UYzgsqm1r8YfvBrA2RglF4VWu5FC8Aj8Wj7LN04EzosP3b2OlnoDuUI3llEx
r4a2Y3OCk5S1YzRjD3MtshTH3BeJ7inugwuUESPX4MVvyl+jbUsWufYiObYq+kpSDE5j8E8IRNO8
pZCBywFYsWVEeGsB5diOcNkZNcaeB9SW/Hr6yFVfTe5zGXHx2uXDa+aQZkZDDYR4p66B9skY2y1i
Vu3Wt7SJHnGHSy4BmQnhfqtqpXHrocOV3UTXAEOE4K3ZXPa61Y3ik6igvOUcMoKDo9DTppWLw2uA
IUFL3nt19jIZ1+Tqwf3HyNn8FYpTqdvPCEjOsnyw4TklyT5FEXb+7JWnLNUeXFAWXl7X6tYBEIp2
p0MwyiJ8nQpgAzfq8XXy5aMj9+afs1igp3X07wufZlarhSo8aUtte+eS9C7J0UuPodQYLbJ6xOqh
QaMT3XtgESEvfOppELpMJ/Cg4BuB/QHywf39Mo27zky3bSJra637wz+2RL3L0ZkLPbdgS22Q6Tev
/zsyLImqkgWJ172KdMZJ8QAFCB9z9IXngnpnhFi25HW0gq3ERwIbML4UUCcgQTjdOLSDdZcCkewv
D2DJiB6C+Ud9AMd4tCn31Wu8nQ/VdgnyfeQVBxkIeDWcH9kW4mul9MPiGlgjBKtcLy4SPylTzJbN
qc/I7DV5sZvwiLns9SvXFQgNMSANbnMg889ANpWVJRhxA+i6CFOosVKwd3ldHSjk5bKhtQchQOzg
AAIClzNLCOcrBxmYXdoEYEBrDM2l3CoF20Q5Ztk7thvMX+iY31qoa2WLfZ1ZMgjA2jqBJQLcmJMx
4L+nH9Zm6lRNGQA15tiOgVHoVahNOfHGvB58nKMqUBOwRl5e88rR0MDBA3pwdCoQ8wVvqpLIHQA1
htc6yb6KQYNSoZgx/vn0qH5iRnAcW6sWVjtIOYCy7PTSM8fYm2QDdl8tIuHpdGJFuIhZTlgc84vY
uitvi7thQ7w0vK82IOhjsQdsVH7ff9IbMLBYMq7FldCM2T4MWgDmgMFOEUeqV2O1RBp6f0UEURfC
PqcFhDmXv9UKJheqBRDNQxeWq+OIXQTKrN4uRzTi7MW8LymwX7A2XLmaWx2UZUH1YFbuUXZzrjSk
cr7Osu/g9gBKzKa5l8acgu7PuRD5T8JcAIiWwDMh9tmbRVfL2cC6qfXDap/yOA+gFATvXbzIJpL7
b81Zj40J99OILrfa2DA2xzPwUYq1+LrdWZ6SLJ+Xt3rlcsey0CjGww37LMacqkUthvTw126huV8k
eN0UaaoE2qLs2yW1Nl1BNA/ce7+GuX6+bHslyJ54MXe1o/S8onZrp7xTYC33mu7r9GHoH/X8ukT1
Twv/O1tCxCtoq7G5h614nq6r0fa6rPdN2oc0S+4zSraNTiUfceWePNlaYXlDtYxgzERvVGG2j0lr
B8LlgxGaMtGqtXB6/AmFpS0ZSrN9g+ZevPS3DpdmhqJS0/kKuLKnend5H9f8BarOmIIG/S5wOoKx
ZGAQmYT2lz/2PXTRDR0Uq6o9v9QVpgtVs/qZFlCVqDuafVO7sZRUGta2FChKF8ONGFkn4sT8MIMi
e5wVwFBZ03kZ64Z7a+jbILWq3mdsHiX21rYW9BQWJ1gDMb1IFwFmCBqbOVbbguqDji+kP4zRTotv
0kHiLGsvOsz3/mNK5ItgdWlaqYmQZ85W5GkW9Zc6ebMG2zcq6w2osi3gtj+WRt8v0JG7/FFXjXMG
DjARgNcNQff0JHbtUC8tb2AAkhXti8UoN7i43pwy3mdQafSgxWP5uZU91YQc1HZpNpd/wMo+Q8Yc
ui4A5wFzKkYhSvW2py04Fwgo5CdSM68abM1zqk7zMSwBOjtbVt9ZNckff3BkUMyJZbJkdmIMVJel
P88bMh4w2oe/jwXkHI2sPbS2vRgC/teWkBSYqU0z24StBX21MtlVNAORrq+y24EFhvGw4NB2iiTi
fd1IQpJwYlVIEmyQ59X9XCAIlDnP1Gcnu9G1uv+IIne5aWwrM/1omt1mEw8jWA0KW432sapRqKcU
VcCYrmHwTpnVPdFoR0Ea3buYKDJGDUQLCtF+JH1sh1qruKNf11GP8XfdaHZRnsbfkspciqBVhmST
RtT6uOwuZzkIijpIkOEvwOiAeIp/26OLQ0OHJi3jGitTjVdn6R96kGj8uQkdFEsgyDR0nAvBhDpP
4wxKXTTJmxFHsMX8mBLLBBXOfBDrMOEXoO3F0xCEpqfr6FKnbgCThWRMoXru9GxUAxgBHxXT8Jkh
CWVfkVl0B+jSODx2gkT6LJYtGbWMEW1/Y4PCcLTXAiTg3hz+0AJIsW3Ghzg0DmAMUyAW5XrZIdtj
1jIsd0gI9vPVElbb0RvDJ/26fap82dNnJRXgojn/9+PE6Gdo9aQoHJPALAwdGk8j2eNHJuZ2cm4q
KoEg8zvqwk6ItTpwkVtE4TsBbStd9yalU39pU+s+jkpavF/2o7MbC58Yc4gY77bArIRyxuknTqOS
QokcmkST+2RHvxUtKNn9OL/8uRUMzXE+JTCBgtfl1ArYiwC34cpAajw/ZManWc83TeUCZsFkVwWP
GiebxwuqOg/TKI9rgH6dmmpNDDxWDkx1uHfn8UANnPgdqXeKeaVZ/sxC28aQ0vSeOVflH8/VwDiq
AbgiIAUC6KdgnIzQNgDRKGT1KhB/OFvH3XNC7RTFm8sbuvYCOXFIIWQ3JXPskjuk/dAloXalhy40
/UCACCbtTXUbhWrw+7JJmVcKa1uwiLrN+fmMHwdz32jbSMYDvUJjg5N/dMyElNS0QFvfT7DhPL2l
IdvTIP/Q/eTuWvPv2e4+gn6bZ16nGyOMJTe8dEMFF7UYgcPoMD3+dp7ZG737RPtki4bD4b7czqCG
k3zB9e1ERoVxRxw7MbbqjYFqwIiUorB+z9U9aAelU16rJkD7zQmcHEwXCGd7JHWWTh2IFlVrAbmw
6uG1HOaNjJ52hY0CXw3Afzg+6iXgUzo9cnox5vr45RkpFNQX8zOufpRjca33iMhL8bPTHF8zM98q
8x3DIEWcp/eXffNc1w09jS+eHYB9LS6/d/oT8kIdtM7gzgmQbIhxilcVSm8bi0x4BBQZONss80nt
3AJ61OnVbKXKuwOy5VIbkSGAbNa//HvOoir/OSgcIdZBYALju6c/RwUle27kWelnxq9BCycQsbZs
Z8tk0GVmhCAA6Y920hqYyevbKAua6GbM8AUsyTzU+gfGqCB4pSDQA3XN0+WMU5GnfZuXfpw72YYC
15OR7DpblmcyviZVcdMVo9+C5ny0lU1VsL2lv13e0HNpJ76jRz+BX9DHKZWWJXFp4ic4cZA8u42X
JV7xewnb8E5XvNcpiJ+0xev3ZE8nL5NcyGd5EDfOby+QC0ELWRz7oHFfUtNCfjyYwPS+wNm8ud52
6c9ykuA5ZZaEAAieAUyE8Uy8G6yA5G8qjk7v1Id0nPZNNEk+7FmeytfFJbpQLwPGTFwXdOEppnWQ
gWOucvbKfF6CbjRlJM9rYcjkFzI4V1DBOTsMS2pimrzC7rVBln+bUZJXWSDxjxVAAwYWVIzmuCCL
ABH+qX+0bHDMVoFuGkRYJ7D7LC+ju+nYtYuOE3DEmhM40aPE5lpSeGyTH88jn4zTCEh5Aps6Bmdq
DNAizDTfqXFrRJtWD5h9l7T+giikvLW6D+pZr1aDodzb9Z6AKPPyr1m9O1H843UyXm0RDympej4g
xZXj6quYeJb5K5ofgEBTIm/Skduh8hpqmIfo7qz8yqiDyPWS9jCOYTO9F1DBySQ36lpwMvF8QLaH
r35WIyVzHblVMUJkTv3F+rfGdtCscH1Tk6G4zFVLkNYyeU/CPiudOySKk86GpT4sgnpnbpE6bLSg
uKa6R3fW5m3ytI1zl3rkVvH67Ug9YFv89yQ0/BKsOPOVFub76tZFy9/bDW8LEgz6wraR99AE0U0S
vlz+UmvnAS8qjD5wHpWzp9uY9/1smRNSN7xc4TksvXf/otGGex85MOc6QEYqXEB96tZj2sIZqgUU
MRb04Gptp2i9JDCuVNug1oTzBkJbzJGJzD9TXtRxAdZ7oOkrcIowAILvKHonh05ty8DoBvWBjvp4
KJdBtf2lTKrXy3u51mmwLQws4b2NHwF1ntMzqLI+6uoFv6BJtrp6oF2YkJtK8ct2GxeB2xbbTj3Y
KMb15o/IDRPzPen20XifygBpa+3Ak18iRKA8i9M4m+GF+QsI+FjQfbYBWGn9X+M2B/hhn1xb90no
huPOvpWhBdZOAMpTHFPlcFVb4XNbLQP/iwvbCmrymrUDEVAavxAmqWuseS4SGrS4wEyH1FXIA8hU
tIsGNCaInrRtN2sbt0/CJTJCyUddC+YYddNA+o0pmjMukNiyaT99iWAupKBhOSXWb4V2Yw7ebD2L
NiQdI/CQtsNj0Uyj41MwD2pIK8tk+Jt7BTOYOEN8yBSNuVP/QhKndKWFg6TsgLMaoecIiW+r2ygb
SGQbkjR2bX8xFwdcHErYgH0I+ZyWDaMTcU1n6hwSlDFK0JLJGoBrl9axDSFZz9WxaRPGw3IcMMfL
oYtZoB1Vb8CxDQGGy19ybUEWlGk4/zpUY0SEI8b8UmaPOJ1Ku4/puxptS1n0X1vPsQkhMWwbYwGw
ASZavA2V6JrZYcoC4KQxcOqiOy3xzdUVHcUb4aQZbW70bsfNUd03S3KTzFa4pEySW6yu6siM4Alj
29rt0OIroXMIvJvTdV6lvNr9M1H2jUwwYjW/Pw6igk/ocaozc4I1lCmH4o1BmyspvyG9T5rXwQ3r
GtW/X2q7R9tdkrWs5bsOVA84PwiPKUJEAdOCo8QV7sLiua9v7eFuZjdqdpc+XfbDte08NiM4SelO
bd+oWGCUP8W96YF5sjcDTAMyc4vEXrKotVsRDUuAaXRgnkzCo/VRXmjSudJjOiOJfwMVpJt4+nt2
iB6X2Iv+whvRgUbgh5IlAgf/JUeWOrRfMGwBS6p15WbbQofO2F88ZY9MfPUOjkzoi9G1U8u/0PTK
pp86+Cw7v+y2lz/Q2kvk2IpwrPRUz41xwkIGkNLoY+8tVBLJ1w4uCoOgdgMBAq+Zn24VtA/RxLGg
eVwZ19ZceSULbEOyirUPjzYVT0UgqHQ2ykNmYFp6HeLk/YJOzZah51kmowfeeG9utkOVB9kk8YDV
3s2xTSEBsqtcs3FhIsTGGFKqroe48wZ6pZabafH7+Bbgjm6SODjfq5MaK04s56kAy6+KKVcx3VCG
OOuSCn0BXceEHlBjpPyVLbPHuk8j2l32jLU2EYx9qUqCiQlPidMPh35tPKZdhOaUb/r0aTK9svQW
CAS/pFfD3tiU4OusHknhoQ/Y3pM92Y6VRwLby0Kz92WlgLU64fHPsXnucnQe7DrKq07B2qtrd2v7
1XMc5jfRDhx6yZVxSJ/Ux8vrlxoUjkY8LW1TZ1h/anvuPgV9XvwAhjSYml8iv9g3258Sizzcn3/e
f3bc1k+XyKYyMmgOixOg7J7i5f58yDb3DP2XCqNxMkHWtZfryZYK108yTpNbtrA3BMO1cc2oT7zc
q73qzvTV7/Vt7L3aXXCLT5yAvhDhdCNZ8Er0OfkBwhmqMPIOYtavH9Df9PoGPmZvfsSHVzSaIsdD
uQeIHgl8cMWv0XFBOY2rJyEkiZmlFRdj5VBA+EaL4zyjwHapt+QhdWwMQP90M3Sa0VhHVYtA29TU
Nuj2eTlY+DJ2U6LQOvY7c74mztOg7m33MR4rEE8UgdNvShnvwPl55z8VAqGgHsA1LcZONSVLw0r8
1KIP0+lRK99RZaEqignzr8uf4uxLAOfDCSiQC4Ds4qxw2hNgUfoEWqRjDSqylpmDB+FVGc3F2V3A
rRCLt/Nwc57FL+gPN3aVQrUKrF3s0Nf9t5nomAGu7G9/vhx01XQAoEFBgMLM6UmixhABCocHk5rE
30sUnZkeS+7ns9QGa+FAcSAECDRwRcJwCCkZBUqTaBY274vxNDAgFNG5ADlulb5AhPTygtZ2Dn0J
VHVAgqZDfuJ0QUbVLDmzOrSd0+7F0uJrN+leSNxIyqArbgARI/QtAEqGbpo4mOcaoGwgkC3zFzb6
4A26nWPz4fJK1k0g7wScA9RljvBp9FrtEtOC2Hy7xHs0nTIvpc2PyzbOnuV4MnKeAbzJ8aIjjpBz
xAmQ6SAcqNA1/nRRjHPeOxB3qH884sfNQFkIjVU0clEEOP0o8Zjl0LLqsFvmFeQBb0rTCbQ/n7gT
rAg5NDopk6GlsNI11ZalHYC35s8S0mt/sWd4EHBsJSq54sjAkEK7rqYwE9tvKWaVi8hr+6CX4Qq/
+msnlxxfzj92cEJPN62xh9rKJtgpqj5Q2i2Eb8AKzzCnAnE5zyK3NZ5crV/IVDdXzuuJXeE611tS
xDTids0hdJXBryjxMuio0tn0TONRRfHqj3eUgOwLwmNov6NEJnh6NUcpaB4xA4G3CuCFtZdCWzQy
XqJZcmpX3P3EkHCN2qmSaMYCQ71RlE9Oauh7gD3qq6VrPnJwd0vWtbKTBETn4MCHiAfyQmFdo1Lm
o2YgSPRN/gLQVzDE4+iBOs3L1OrGQKUhMmXsv2tLxBQVWowIuO5ZoS13NMVNs7Hyjdn2J0o9mgSk
AsS2lQyHrgRaABhUlFXxnMAVIiwupVPXulCi8dFhOLhlBRlODZ0Mw5FhmddWhBvdAbkUl+746qwe
5bNkURs65VjRglJ0Cj4K8mAA3t8Zkq+1uqAjO4JzQIXGtGlKEQsjZ5tC10V3yiDv2eays593gpHJ
Ha+H/46j9cwQMdXcEuuJWBXkOVimp03vhKA/hCY9+IXmBgozSgBdKG9kV6khOQOrywTuHB6C7MIS
kYoVqXktFsskmR5qCjihFzPU9FryKjjLyPgq/zXjCtErMkcNkkIwEyfIDaOPyWifTLUOBl3b1Y3M
Gc9PGnqEnC8ZUFlIu4gxOWFpU1JIQPiI+JlyBSyEEtVeMgOOeZMVMgjP+RYeWzub54o0cG3q0Cb2
nQqNz7rfNX3kOeTXZUc538FTK0IcpqwbC5OvaZkBD4zanTYCypU+lRBRstgSXLZ2XmLD/gEagTk4
iBK7KAqduiVYeux6RBfUtxL03Zivqg+WCf0M59m1P7PJLyBpkJpvdXQ3yjSCzk/4iWmR8KafFSt3
F5ge2nkz6ZtyHDGSHIOr7FmySO51p3cqLKHGgRY5bm9DTEScblYAv4alsn5Jok2HqYD4RlfRfjMO
RRY4zGcyQu2Ve/zUppCWOIwVlYbBXd9G/MqdTaGaPsrAbrZRrCsb93oU2gp40r9L1soD8KW1Ch80
pa4yFl9qjiX1O7LvhlvLBsjMH6brEteQMgRRsUnqzahjAEN2Rla/Kfq8GI3ivV4R5q712ZKTErLW
Rd19G6fsIZ0mf0peCiWRBNTV03hkif+So3g6zLQA2BSW6qgImiQJDAriLEUmkba2INzm8B7ceEBZ
CNtZa3RWUv0LuQsZUSeD2JwbY8qiMs2PXJPh5letQYgVFVP8oeV8uii37UpNUaEApuiQTIsMjwwJ
6IrbBwTWP7730JU+MiX4p9HoRWzEMJUoUEfJDYwhFG4GvQ7b2kpccu1THZsS9tCxqoTSEqbq6qrX
P3Rybze3Y3udND9y4LjZh6q9aNFOp691/qjNt0QGJF+LqUc/4KvQc+Qr1dza/eDiB4z1z7I8qO41
h325+n2ZykqQa1fSsSkxfLeR2ZM4Rh2fOb/z5CWvAH20adAocBwoglKzkGzv6u6iqIusD0nnGWAP
qitK3tMIH7Ky9qQfv41NErRUVtJfdc0jM0LxzXCTItVMmFkm1Ddrc8NgIp2tXVfqku79yh7iYYre
nM0lA9FCOD0FABP/53OZipWE6tLW4aSWqBfHzn02KCr6nNCedmjfSbIXnusJsRPtHj7cCW7Yczhw
Bch6UpbQVbHqVHk0xtLxS8elkg/G3V20AtyRjZlKzI+djXGy1ojq0oBeUNm+2GOgpteQ7e6jD5cs
XoGep9ZJ4FRfYAPRIoDywHQAJwduU+5CR/7f1lSxuxYdjBQANQOKQAWwJiMD8AXjKWSydqgyhalu
QsJYAVsfBkicOLSGdDuwzOugeZFWUxDZU8hs51mtNc91i21B8k1G8qCpiJ/rsuLriruBVo1LR1pI
7vBKPP3Jy4ye/tyA/7fqewAIkY2AWTT7WQ4Pl4PTmq9ZANHhDwNSZ+gkh1ZKmlMIX8zD1gLYLEr2
8fSsgy7E5HIftSTqyszx/3/0JWqtY6rDuLn4W435T43cZvQuib5VE/WksO/zJgxng7DR84HUI6AG
IvqsbNp07lWwDsdTUKDrTAYvy7Wg119SqG5Ze1bf1JF3eUfXvhx/90LuCyHpTH851kdrTooJJGBd
MECivip+VcvzpMqe2StB/et9/X92hIAUl2SyWw3HyHJ3lBxsG9LHpqcxMCzLGqcrjzcUMLnoG3pn
Ot4bojfGM+SeUthytPvZvFdmXzdAZ5P640BRk9k4GAppNp0bAVi7demvyzu6+hnBzMWh+xhzB03B
qdeU4GaEZjboy+Gkg/ojbz8ca6PTXUPQYC09Nm6LWXIu1kLhsUnBUZMhmqvexle0+w4TguSpNBRJ
tF39gEerEtKCxDaWyaIwobTJdcuxK3G7odDHsPLilSZSWit+bYhR8GhJRHib6nbRNy6mcX2nnX52
yZ2D4SEM7t6RbjpgOutJid0NobU3mG+9K0uM1x5aCDD/fEORS5/UZFgagtUm/T5vwxYsSFPzqIw/
o/jFTa7r5klzw854bkzJANO68x5ZFg5Kquh6tbiwjCJvoHS2xwZgvuzsrrPBItkUm2V6XIxkq8QY
a8ieFuNFo4XsnSnbfP5sOQp8uWGDwLvB5uftzyJ6GNspGIhfZnf0q5ZZMbzFXnsZxHc1FqGWhwkA
0BBDqO3U6rLE6lyZsJpoQTU8Of19NG2ySuLIa0GdT2D9x4rIHpJn0VgrFqxYJu70Ebfrhmk73frQ
AbibJI/ZleyBI9DAxwCGcgxGCUtKnaWCSjBCEXG/KVW+tZuXhShPkKT2lJqzTuheYck4RSRGxac6
5JI1ZRpglNZBTb9Z0RVmIIfE8nT12onBv1hJ/IUHVOGsouwH6noAIwDTFadQoGVDYr1DxlJqD82g
e3q3X+iflxgBEjgyIhwMq7TLaDBghM33A17pBUHTBTmYjAhIthjB91PF1Wqn4Xbcz6SbgMKIPPfP
ZyKxGFA/8Dcq+geiq1ctIIkoA3OJV98sXkgduixcMBacNbKPs3KqYMoE7wHaU0jPhfUQPY3yWoWp
Jrpj9Fc7PTnxkzX8+SvgxAq/oY4iBsurySoUWFGcbUuBoXBDOwrb8T02Wn+KJA63dsdCWwX1UdAb
6Zz//dRc5y4x+NxgzinvuvgThUvA019s68FhO20KpxFUzJJkcOUCROkSIlQYlwXFuEhUbNWY2St4
MlhYA3Cxg0ecsI5vO/e6NWVaqGsnmKNFLVSlkBSK5EMAxNZ65MJWDThiDVJY7VtSv7nz7FnDD2aE
HSLw5axlzUvgHkDlImGC8IqwoUtrF3E2wSI48D1liHzFjK85maJeaP+dKfF9D8wbyJtybkqZ/HzO
d4r+aljMY7V7f3lR5+yGULJHwxyCLhhNwdyRkIr1sR41kGiu/WXoip9VFNefbqMpb5PeN0+9o0dA
XdbgrJyspLguGHOu7UUvhy265Mk+H5269twZgyf3tMKQFyChSUsDUENRSf62cieBGx2cOuCmxnyS
uPuNNc/9uDg1MtQCjryx+3urxkgyuIqMOgG1zvvljVnzZd60xnQgcn4I/J0en9geGwpNA9y0Q+vl
dWiQ9xnpuK3eu2kiOaura4MWEAaDOX5BhHsrZlePBl8bFNy111lPllB3mpsubhj0wZvblPZ0O9nx
78tLXAsR0LQGhQ3RNC4GKbwCosZynYlrCjb1u27e6KQILPuh0R8wpQR+50NvhnMngbavrPXEJj9l
R1HQdFhHTc5UBz5pjxUsKJfvvGBnFYU3gENnKKgsX+SBVbh7T0wKLj4vUzw7JjfZhWq9qc1tybY5
gOyas2u0wUubPYlvTBIM7aZqHhoZy9b6kgneq4DaIGcWAwdNmoKCExK9iBuuHDw8ukPtGSycKkiF
LZLYsVYccTRgwPG0QwHgLAonhdGmKOuCTaezI9CQq8ujE5vaE0sBm/QNWgzvk23kO90srd+tNZLv
ZE5o2NMRVJ+zTce9WfXWG+I4fps9lO6jm+VWvlVqc5oCu4XcU9hRO3+1wAkRlLbRB8Dua79jZqCK
pWmx9jfPVXzBf3ZQTNfytM2bSIOjZmriG/quJrcL3Y+tr5RAMM0lCv8vjbpDK6u0f86djID//zko
/9rnj4Ejp62BcCjdGF8wZvss9830tcn8WPWX9Fti7Gagx+JM8hlXcqyTJQvxZ0qR/WPg90upI6G/
QBFijpLzv3KFnpgQ0p6G0oLNKnY1AelqjdkZVdtYRg2Q6Q6g3Y47a3g54qwEVUCnXERVcCFwhtTT
fVQmjUzMYCBHJYfFDVTqeqT7TKOtI/1ma6ZQtcFYlmmCn0w8dKSDBuYST5yi9APqRBabPTcPDTCx
zezPwQqai2oKenEG0oKzCpE5gKpY72cQEpfo+FXXyPTDLPtBZWSEa36IuWu8zBCukfaIOCeNqnZE
Cw3cQKOFEYLKMUG9ZhZmEkz9ALKcpVd1SIsRtbq2FXeATHiGmeKgjedSUoJd3d6jX8Jj3tGJ6IvB
VKmhAlCZzA89+1GnbwN6jkuOrgv7Y5ZONHTRewMKBJRrUDwW3AbckHGXjVh2wfoaQFEIFoNf760m
zptSOI0ki107eV8KaoBcW2CcFK4L6JBjnnLBfFfSVrd1XF8XleFFriMxs7KDWA/UCDF6hZtBfHSA
b8YdNMap7aBgyiJP1Z/QPyX5pzFJUqe1cw7sHXiruAaYLuKSaFUltZkCIw/Wnqh6aaCwqfaHbkYj
bt6WdbJH9L98zteaxXgEYFSUAFQI3lbhynOVrmta0PNgJvW3CtlNgIk1cGZgAprOOaRp3+v6JTZe
skqCCjkfUwQI8MiwyB8zN2OuDpwQ0VRASADZ9V4JMnJvRd+h1eK1E1iIDqTdWmyXEoym3HfOWxq/
s/q2lzntOZ5c+CmC187DUlII5CHtUDrfwrmcNM3Ty8BSv2dO7xvdTi+vYxYA1RQrvgXi7Wr+i0sE
JRUowKHnACCu8BMcIzJik7OXRi4JM+suSWxPrd8lH3sFjYCXGI4MMJHIGF3hY+vOoJeRDSsUjZZp
U+jfo3LrckfuNtly6DIKPWcZUdDKawwuzQdyINOHYXTh8lJTB3l7nbX+7JavbjPQnZ66XehMeOF2
SSQj018JCtD4Bg0QMLJAZosVa9Ahpm5L8tZXM+Z6ahQpweLWmIUYzEQSGNZWhmYdEOtgEceRFeJP
CtgiSdSu9TWj2SZdFVaU7ufU2YGcS3JcVjJjQBpsAmoCrhEntlMwD4CmYw9TLlhKS2feJk4vedus
bZyFcfEvqAqemoILRomitrYBgGeGASoPDA8/nUQZA505v/7cDcEABsAgrn2MKItuiJkjrWm6CaPA
gGuZ6ngFQEVIaLRvVGerDt1trrcApjUbLXJ/SmzzVQhPDHBEgbYCw6v4dOJLCl2bMUsc1kJufgmH
iIX1UOy1km7struZ7AQPjN4rQTZflhZkjhOZaPvKZcI/IopXmL4DYahwBLuxGozWUFu/mezZK+bF
ARyP3qLNk4RmpmC+1RllTJprX/bIppiUjwqFU1KtRfoYkNH5UHGRVYUeS2LY2nGAlgRKgCA2N84k
4kuHQkQl0lvIzpKtOs0/WsxdW6zbgSpn8xefkc8TQrcXT3FcX6dZTdqRwmQWynH19D+kfUdvHD3T
7S9qoHPYssMEaTTKwZuGJNudc+5f/x3qAo9nKN4h7HehlYCpLrJYLFY4R3XL0iH6qHtRaYKyvfcy
OSb20HjF+Jwh9h9HEQEc79bE7Mcf8UxQZc/oFosaiO+G2fKLAqVMPZmCqdbRW5JIi4uQ6zhH0kKa
NPqwjPQ6tNsPwRpwvDkgjCjvpfOFy8wc2ATIzxZK6I1bxuktsAEn0mvDrrGqR2VR92mobYYsux5i
B3jGkyXIDvA2m7KH6MCYAMYRO2dZ2u0Ccg+rcXGnHaZuvq+j9V6K5NdmdQTXFs98T0R9xdonEewC
jAz0stgQ1ddgIlrK4piOZuyarS7KxfLcrI0yJxoAsK6Ygzk3K3XpbS0CZqKLrKmP6/ht0o3Py9v2
FcSxHshBPwRAURXaD8tsW9EbybpkKtju7F2je3JztS4/h2yb5xopu9e4N6/M6Gmpd+H80Cg/UwdY
pvlBqoNi3VrlBsSMxurX0caog0k0nf59V9ERj8gAoZmNqSa2rRUoHJFejWBuVRpPVVYyFJG7qJ+p
c395EbhyAEqFIQ1Uk75Ns8zOqI2oCYLLAcMMBooSKaBgcm2vl+Zf39HQCCrB6WNU8jv6rQQerYnS
nS5rSfr13tJfl/A4F++XFfpuOCpWjGa4aeOBynYfOhS+xA7xRuin3EQ3NUBgw1CIBsdbNpwEJNMV
dAZ+e/B0g2R0LSWaGes5v8LjUTpUrWp6Kvoco2USYZl8P3g0i4sSG0bDaHaVsVQllPt5DREutuBH
mfthYwBZwqyszd+vHYCBERmiUwivZfoZJ+c7BsRyhpETJACsbRH+VPPXy7//PasHNb4mZwxwqeIN
ev774PAeF7MYMXlseFpNQgzL6vEV6NpJqu/04ddlaTxLOJVG/3+ijaKEiZZnkJZMhr/K0bWZW95l
ETRGOPcgUMhGrKaAWgljHkwMAQquJVorZDHkQbuRMCijVG/OfG+pzypgLIgxIFHTiNCULgv91oOu
5XZjGj3SNJO07YYgNjaL7EpzsUlMNKPgyViLKEU45kd5xHG3AZEL+XZGTXuOU2cEo5lbdw1g6wNp
lb1MyM3IkYJmL0yUmABLQrmIMfJwnqoFk6LoBTAKz6xm17IlZA9TV13SlyU1H8fq2ZByLwvvgAn7
ieGQK9Beto7mNaqQblP9vrNnH0P/f2I83YSMRkhjcMe5k1a4+d6PosTLcAWS3n4ph+pqRAuHs0p+
Ph3meRG4Mc5iIG2DXAAuP4ybsgNE6pzqcVrNjVtE9iPebZhJGcbOzbpcFMF9j4NVHbVOlHGBwwgo
NGbZq1oBZr0etW616Ik7Shirrlf5trGiT8McjqDos0TjxZzFRbSiA9sVE5SI/6nyJ4urOG1pT1bf
Yk5d/bFiajzxP99SD2UFP3PjoPVVUgKL6GkiBrkTVfy/w/UBUs4BvY8O/B7ETGzEqttSbKjT0KIG
T7qWRDfl7QqxnuFHh9HVnjU8UTfxTfG4zYgUXHYYnBYgbKfqwMZxadiIt89Vj/DWkLQK/VTqob7W
iL23d5n7Ur1WuywQtevyhaGogVkt+sRjs1izFg560mOdpQdAvG/RawO00GK3+mjD3grRBzi7ipbd
P9IYfxvnVrSaDlRrfHMf7SUSH3MvQWPI8U2/KkXPN05iFyt5Io4xIsvJG0UZodxy13o1ElVkJhZm
zDdguRGELpz2qXNZNBw4MVhTSXFUB8ia9oP/MV9lm+G1eUViCAYyH0Wx31crIXOtnKnGBL+KPqAm
RlXrXwd/ebeuMMu3r/BCJzWJHvpN+3RXiM7k9zfMuYrMQ6pEq8ekgHLLte+Kbeyha8lb3PjaIYFW
kMbrfT2YN8Clk4Ny8yw4FPTe/6YvmrOQpsYDytKZuGDKHalbWshWPp2f2XsQHlQXuAYBLtZ1X+2E
28lxeZhI/iOPsVQjGeSsptupH/DOP2LCyU2x1o0bbUABox7Rl+bmB9stBfEV5+Y+k8uYbA+6Fwxy
QO7g1gGonz7ujY0si82Vrx+FJFUsoGezHi5X1DpWnBEebq9uhl/FQfNiTyKYw3dbf3xPdu/xfrgC
ZINgH+m6fd/HP3IZG3JKTUt1DC4DXCh7R2oDoELX7UfrK+7slzl5uhMNsHAForsBbU8OOgHYgoDR
a0apUsOZpPUaPdBXfdn4l5XSuG7tRAZjLOMK2J4ywXVBMV6c684/KrvFPd6/hl4YzB4og27U3SF5
+mWS5W3yYhIFm/gq8fQb5/HJFngiaiHfVhiYZbYGvBkgVzKR2JQYiZ2qKk5K9Vgv9zlYvESng/O0
QdoP0R7woQBywca0q2FnTZgZLYbAZw9gRIoKDNbwEI2iq5ArCJ0UFFAO8TObSZWqVKmyUgdiU+wu
+2QLjs43nRh3JpqTJtJ5zbVMLG+9HUQAlNyrAyEmnteabaPQyZzDWG+GplvQjT4Ho72tbwGT4/rm
ESzgskBJro4nkuj/Ty6ORC4SpZghqfFH3QXgFsGkxGUD5YpAlxztgdcwKsM4z2TIx2jKsV/N+BQD
7yjUtk2ys0WRC1eMBb4PjH4jmGBjibZEwnpcYHmRdG2W92qzXRN3Ec2DfsfbQa8n0lg4zQrQsHC0
zhcsswu9Cy0ghfWfsze5AAHcWH5EzJ19HedkBYF5TG4mUm3Dg7UTDR3xThfeHSoA35ASAojUuXBn
ieu5sWCRlj3cLqa9HXonSCZdsGN8Jf/IYTnFi1VBi/AMOcsexa1Rc2t0x7nKBj7yfto4/mqAO8SH
lj4gH1LXQW+TB9qTy3bzVQJmfYlCGQ+QwABAKvvEGMokVrIKhmMeuneA9ODRdZ0Aqn/5tIJ2G79r
K9F+tH70KG9zt/5M0BgvWAiuTeHFQWcaDGCRM6abRXqBxi18QbHupvnOChtiGr6NhoPLqorkMC58
KRobhECQExZaEAPBDRb2NKRAY6gWQXmId8UjJfCfSoxrSTJDS+0BohapPZhKGEyG41UNgOOU8bk1
P/O2DmpFELxx49NTqcypkfpSW8cWUlc0Z7cZcdRfi0KaBu/FioDitop91DL6XsXA407t/MvLy7mF
0d8JkifM4tBCMvOmaRHzl2kZwpCs1EU7NQbZ/n4DgVNjoeSP1AAgqRhDKVB+wrsJNeFSAVE8phes
tzR/AJbmZUV464j0F6Dj6MVAxw/PHUCtRug7GJLOLXLAMtdHfRcGxkH+2fujj+YGtPuJJHLC7jOJ
zM5Z6kIp5CDxCx/aVW+nW6cjA9Zw2/41/SBQkU61Y54Vo5oNdUVlJQ2gqyx3QjLx8gJyHOiZBCYA
VMdu7YsIEmpnZwBLXeowciFaMmpOjN86E8J46aKezaF14s6VN+Zd7A0+Jlpyf/Ielo3187I+vEjB
whQbpUyhRWyWsWUtulxuK9DdKZ/YFYmsBcFFNJN2Yx7WN4EwlacYQjtc5Xix62xFdE7QEBAZeQcc
O+co++sV0IRdwEODoJGkG+HwnC4Qx5heo9XaZBQgf8tHzevQcaDYoq3iJHwRp/7RiLG4LNTLFf1j
HcatvOlO38RgZwhai5KXeINDel+7o0+SmlTXyW/jUbCeIgUZa5yjCRw+JaQDRIOmlm4+xkB2w1t0
0T1UP1s3/nVZIOfZdaYtY5jSPMhzU2NBJ+c2yX2AMKsaZi1DUooIqXiSMLeP9goDo4jIoZ37KW2e
4e3lqgNs+VXbo3qOFOjPKvF6EcLlV484e9hOJTEeUZXUZpVUSDIPqUSmvbkx/OPtUa5JvZ1JtMnJ
Hk2QA9BjQdZ6eTk5tV2KgvdHS8ZA17a11N6B7OpuJApx3PCYbUb/92ARUZsgz1BPRTGGCu4gNZ/i
GrSWP8rr+NhvpYN0120vKyTaNcYe+6EAMl0FfRzcYpMCrFBUNtHbjIZ1URcTL7jD2lkUQYI+F9mO
mB4NRomSNVShNejcPkKuCrPd/rxrt29xUL06B/Uxvl+uUiQJso9sEYR2vBzW2QcwyqIRsGsdQBu7
djiRqH1tAKEskaX6NBaP8m1Mn7r+uXY3qBxrBiDwVZBiCAxI5e/qn0VgDiQAFEFEJ9NFOKS75c7c
KFf2Zr4yd/LPYjcS4PEHI1jcwkDZtyQJrA0AFDbz0SHP1k6ETshzRicbwmKzNkU7yMuCb1kxgD2a
d3olaC/9yup8O6q0YxGUTXTGlLHhrE2aNZHbzh2RlkAIsynIcBMjholiZEX1beIN2/VW3ojODi/N
bIEa6z/BzFaXEganuxmC19xddzLeurK74rg21MeD+TveXD5H9NxfUpTZVkmuyqwtIK9XwECHykUb
ElUBJJ7jXxZEf+iCILYz0paWbshs7Jm8YOrb7cIrPdnTAjmK44YeaPHnZXmc/kd4vD8rydZ50eqV
pmMFzX5Ee5TafuEGwaldXQS9ngygV1vkJ0Qa0pDkJD9RVZIyRiY0HNJtWXutjrpPUBiuIpG6+A2w
zssK8uLDU/2YON42MKRl9NRSBtLL3tx+RP3tZRHckO1UBnM3GnNTDIYCGem17A6/wsf8SvqREvNG
+4ey6NluMXdj12ud3itYvH5wjfm5UG5ACCHQRmDrFnMH5qbeR/9vxQI0HbvqvvSKDfqIelhEtuuC
lkxb9UW/vyz2K5vz3fLpwDi6hkDPwWyU0eRZb1pQzXkw99aV9uIge9yR2xG5GJ3IQe2+wHO6OVK7
8lb2lLd/SDdhbf98ALOLU5OCrjjBLipoAG6uh8iPtc2cCpaX65RRApSBwIIZua9JvxPzxwCAJa3I
BbpzKmMkviCOcA6GrtS3laSgIhSzGsgyzErGzpzLgw1FzA3qYm76M0Zf901yK3m5n2+mXeRd3jp+
1HQikFm5IbXTMAZhoGt8gZFP5OVNJd3Dsq22IqAjvpmcyGJPQINUXhtCVuXLwDLzBz8jsjsTfdej
Yk9Myol4G95+1veR36N4lV1rIMESOBXOJlL2ZczDI+2C2Tz6xD7ZxCxrw7xRl8Y1UbwmKLt6ozGL
YKY5oQSGR4CRB4Y5ypzLbKNuZWufOjpKRE3rSeamzV7RkruOBamHYyyaruaphI4sFORtdOZ+ay9q
ct1c2xjdb2Yurw9m3zwt2FLBcDXdHMYy0cL0RwhzbQO2pKyqHI2DU9ISRVf3vanjuWJuLxskZ+Xo
nKRCu5lpmzFzWzdpqKTlCIRVgETFQTNaGDLInJqUZXVsWse+D/WmeUzyxhAI5txtaGhDHITGBnQ3
GIxx9mMcDjbmJN1E3kXgNnJuW0SA6aHJfnS9m2V3l/XkRPdn4hhPrUdQ39IpRNWCgyD7mVT7adMi
Becp2MnLwjgG4oB9CP1gGB1HUw6jW6Q79VDQCt/a7MYic3OMgl6WwLl4ziQw6lh5btRxP0OdGlOf
ZeZ26b1eHMCK7V0WxFu3U1WYsDWe4DazFIJM+a4Dy1kZ1f7aXClVgcHWf8gEn2nF2HxttoDQkVGh
HFapORZxNvsDuJPv6tW5k8teFejGOWI4YLQDG7RU9JI5d01LMeg1CIZbF8i1ZbEDK6Mwh85bPiRf
4SV0OCZ0w56LGJtsLhZ1Ra23uk0MMg3bKcOA8MMoQjjhjL2jZ+ZEErN2QK9VMKcGScsGXEm/16C/
+lhRt7B8415/iG7rjR4hMXbZOnje41Qos4KhGmJgN4NQO90WcE/yrTV6+uAt8X08Cl5QvEP1RxZy
cOdLaQ9jirEvyOrnh2Ta26JSMu9NjB5xGgVQoD5MsZ0LiEprDZVMw6k9VrYr+8Vh2syI5Qw8KHA3
TojxHQ8xfiOoD/DM8FSuei53ieIZOVPITaIWYw0vKeAyZRFpBC/wgHaoTKMXhrJHMFs19XGzIj8G
jxF54ezlXeFFJunkZ7V/7XPfnq8xKb46vy8bCF+3/6Syb7RizUZw+UI3u/pZ58aL2oJuuitf/zcp
zM5NVQ4uzQm64bm5yYCmUuTVXrMlgb/gWTuQB2lPOjrSMZhzvlGhU44dps9QgJR/V/l2Ku7XKiNj
C/ZCLOTHZZ24B/pUGuPi1VhX+iyBNEySmD/sdM52prPqCtpzwxWQHZrmzzh6t70SGa5RdtW1hQm9
HWaFOl+W8sSd87HbxWlhelMLLq4+q39e/kRepRQd+pjcxXiJDOBCZt2TSiuXwlxwYjLVH/uXAY/v
IVa9NHWCqfkEtTRpxsGda4x+yeOh1xadTA0yXsPbat/m4FOUFH2PqtHRkEOvdlrBLcldw9MPZI7W
3FZ0thIfaB7mIL2dNtE2xwtN791wqz8Uu3KPQfF0g2bgyyvD81Wncpl4dIottQlT1ASq7KXXD4Uo
qcOzxNPfp/JPgupKT/VM1+ELVbgMDT2D/ehZ8T5Nb8MR0+6CqinvEJ9KY+y+rEcpVTGgBOylH0tL
8+bPhghSghfQnMpgrN0c7HVqaqyYlAdp9qghf5N56nJ/eV946QdMOGBmGDNtDiZLmI2J6qmYixyq
rOrzFFkAXNu1AMyokFE0Nma319FO0IiSHjzdToUyu9U5WmOHBqxwGp/y7NHI8Vo+CAG5uPcX7i3D
BCu8Rhvez41CRy9LsqzgWGs9HLzVO3abxPKxW359CIE1RZyJ6PeisiXPOMAyYKEghlm9b6PsiTWM
hWpjRac685MGFbgOFLilKcA84Vn8qRjmJNuFHcpZA/uI+81aeTjTZFxXt7EWIssZ6C8E0QbfUk70
YiwFKHzdJH8Z5NK7c4bJOUyn4aV0XWgp6H5ly821+FgB88VpRPizojVlDEaNMeWsyVjTUL5Lhrds
AGWqgCWCF5ieridjLJJqVaucwViSOb8fbZUsdrnprPaxxew8OokE28fLnTqn8pjzjQaB3g5zyNMe
PH2fB9ar5njhQxes7rJDfTHoFu/yWaeLxDygAdkFPj0MP2KAlb2tURgzki6ERDOXfi3p9FHmukAE
L6l/JoPRqloVOXMkWKW86e5td/LHKwUFjJLo2/B6dAEd7MlX6IQSuDGufWh4rgObGJCGbJv6FIVj
MWmId5LGfknCYqtU5sGODZF61Ma/L+EfOcyhU4B/1rQ55MRF8tQ1T8ng7MwlBzrt4mrLy7xKG3Uc
Hrpk8qOpI3WfuPaSP13eR56ymEWgs5sUjZktnIDQSe8pSRE4U2+n7CYHvrGQKY93Gk5lUO9zcp+C
m3XuxhIyLNWdrzBUfS+5iW/uwO203g27cV8E+WZ+U36GgnPBVQ789jJQgNHRxio32nlkZwWCPGPt
gnDMAEXe1aQIQ0E2iZdtQSbiP4thvJluFUoyyVTOoh2HMHYTvfPTXL+WzGiP7i/fmHSvwh7+/d6d
iqVn9GRdx0w1Zr2B2KzVCDLypFYwBmzuLksRKUcX+USKllQ9EAYgpc1dG2rMT1oSaBoGGN/z7CrE
GNJledz7/GQxmVMvV2bWxBaVp/sx2Pdit3ReAEr1D1IA14LzTaHO2eaWMo9lkJ8j8wLaUXnegHR5
Gg6a8npZCj9qOBHDbNGyYsq1oGL0w/oKUAvtA8l26SbZ9y/mrr+r782IKL9ETynucxSwihgvohxF
mG8637MksgDFR9cwqZ5bXSXJvv1tmZ6lHoHvi0GReXxfqu1lXXmn/FQmc8qjvtOspYZMZQ6y9Pds
DGRaXpz0po97gYnQn2I9JyXaQdab1vd1Rr0q7i2UQOE5DfvQlochPrT6sa+ftfUOA/iX1eKZ46ks
Rq1BldZlqCBLz2NQkPl16OkViHYmwTET6USP4ckxA7dAUpkxvQ2G3K9mmzTVz8RUgdbbA15WcxHD
+/+TZiwgwzpFQ9NGdBXrYxX9ssanBHD3jixYQJ5d0CEFjD9r4KdnnXBb5vIkWejPNKyM2PmNOe1X
YyRhf6XWm8sa8fz9qShmr2Y9nyuMD8EhpruwepetnRH9+t9EMNtUVgBXQCYIAbkCEHSUsurPBmms
y0K4Nvdnydi8jtPpWREq1OaSQffBmtaCN9BQSIJW0KPihKKhAK7toX8e6WFgWCINeG57Zl/bGOCm
QcCsPq8AA3RXc/baabmS8xIoYdoLYKncf9CRAq8ggvyqP57LdPRYidoJjbNFBfoVepH07hJ7uf7w
L3KAWqOhx4nOWJ3LiUA5oAMXqHWdctrlmZsugI6WIrdeBMZHf+ibU0KbLubvAYfxbbACrfJp161Y
xGZ872rMxWtAGt3MII5tPa30lVkgj3uuTuQx92RRl9GkzpCnrlvMjGiqF/VvlnIoawHIBq8PDtM2
qFMgkY9WZ7afqlWTCZ4dSzgdnBuAUCov2bbeJod2nz+hM0Qi0S66Df3wlzNssw9RNZx7mZ2KZ061
1sWd7FDxY1DdAMAOVJ3lBxobNonXbePqr+0SZVQFqM5A3sagEcsVohaSkvcJul4rBS82f+oP4eot
6u5vrRJSAA6s4vGEMpbN5PYKPTPUZUW7a5MCD/IaUBvt7EmitA9n6Sj+HQowdNpHBdjQufEv4Wrh
pY2e5DLyJdQo5pUA4s81tNcG6Xbpeq2erIWCHgkW8bsjPpfLqAfEIkUdaOtwGQLYfpZICDyKzBK4
SZEU9Vw7ycpLpIgzLOLiG8bghmMQhwJ/z19CuA8ZrLcUrYx+xMm9HDWOnpULhAzpQ7QCUehpNTYZ
mhjDaFMkgdR9tPHTP9AoYQFPpDKHW6dtp+0MqWH3njTPiZJ6+ngljTste8hAeXHZGrkLeSKNupoT
HXMrMXRNgzRJeku0Tx35mNXyL8sQLiRzjFF7TKPQgZC0vguHo+rczDK4Hqs9vH4X9aSsUGDwslpE
s/rdT9KlhLsFmC5Ar9hSeB07eY72FvRhtyHYZDEEnsQ3wwSccQvjxV0RXNbz+92NMr8M/ARg6NEJ
O8YoUzk1KqPr4T+cmzBD7GZtMvU2zT8ui/l+25yL0c63bJjmddFXiInWcgt0zU03DqTV7KAGMOtg
laScj7LSC2I5nqGcKsc8Z5wsjJxpoFLVN2f4rfZ71Xm8rJho/ZjzlqD9pFMViBj6OScL5tJIbatv
oLG46pT7y7K46gAyDzVqeHuHBVoqrbzoRx3QEtNs+AAN3ANo6a3F2P5lMVyVkH2glFoUYpk5XnVf
pYsyQIwhx8iA2M7tUOu/tajaFPPfRwVgv8DoIKwPRxaX9bldtGmiN+gQpU+j7VFtAZQy3iDJI9CI
7vN5rHMuhWp84jDKRa9ixegwJ9tu67UnbSOIOTjmDTXwaABrCRp6Zca8F3NJliyEAAMtJEVqkVXR
g2p4XFsDaIrSZ9wVpLNFeZzvcTDUQqKIjlmB3px9qjjgqAV0bI8QDvxCpQy4IVO/s+qYAHi0v66N
9O6vDeNMHusSI3QOhRLkSWOgDSTtqm2OclOXCfJTnPzwuWJ0uU/3KzZB/hNDkNLsan1nAGLA3GSd
nznPQOBUAdOTZ9s5Bc4pelPRiy7rIjYEzlE7VZV90kjybEy1ii9YlkMOkhHV3maiAVpOVeFMTbaF
uIgG21np/mXS4oczZrdTNGHP3XXnFAg/Un+AN4mV6aHCo0RwJP4/wr+w8DBFa8vMmchWa10mdUAO
HjGPgdK1ZAd58lLqD51EUYh3yNUQzJFcNiHuQQFWHH1yUKmMb5HqXJ1ka0RudQiUyCtVd8y7QG42
UYUuZmDnpn8f2mEj/whkbHYCMFCBvlGk57pDYx+d2W1EfOXcpVTQMorpBQPj0Gx+Z9GtsEYxEeYq
J/3N7MQzAOoWvDBAK+7NTgkSP1MdiBOrKTH01SQgsBPxYnNcHF6LQOJGyQ8goeyjp7PgRTFB3Lmt
LP2068aLOmQtLm8e71DgtQiyOMAZAG6AcdaF2S9SNqESFVGq8kjFU+4mrt4vC+HEP2Bu+yOEsUsp
R5JwHVEfLZsIpbbXXN2gHcDBCKSoX4lTsEE/8Ykoxhh72WnRjwp9zNmPTHQm3CXGS1w/gLbNQZ54
qv08O8T5hyZvVvRqYWJCI0niqdbbZZU5F+7ZdzA22ie2bAOXEn4VyIG19gxOAw/hJ0mdv2/qh8YG
AP004DQCV4m5pzLVto24ATIA0HndpQoWVQI7RnBZHU6jxbkUJuyKnTrO9RxSUqCDKZ03Lx+2vB/l
q7jZhMbVaBVBqF4n2UGx3Hl4M7Lf4frRiRiHebfjqa6MtS61LE/9QIuMiW8t2E6QqzQG6WOLmK3f
Sv0/eBoFpJ3gCNIpFSpzaZm2FQLKFfJAv1ejpcpYN3jpvhu9IXpIapzDDkAsgPJpEAMwCUZUnjZx
VsdYYAOV/cafPYN0ZHEzkt1kJN2tpPEnP9kP4OD83W6XILlOX37VfnFUbxIPA51EfskBGCRvRajg
XA/x58NYtASznQCWMOHDGvshC2OwgOwyUTGe5yCAXouOK+Ro0SrM7OuqTUsOzHpk4trnRoaPSLf9
sge8p6I2AofHW+dTUYwvShZHmTEUiy5DdFHZGXhTRQ0TIgmMCyqaPp+yFRKqAghnCrh4NE9wGmnS
hA1+T5VgvEs6z0WijxCRpDujvYp1fyreY3mb6uin3YfdtSJqJ+BZAWAqkMoB/6WNes55+Da0ZbGk
CrUCPZBtv0muHZEITreZTrH+gZtEkakBmnYuI9RjvE5SWEFFmn0XdBvH8brPZPOyeEOAoqkXuiEJ
Z1JYGM+vfEnQBcVz2afiGcuQqsLIF6piUqPeDz+N6NvS98n6L3LwnkBJB1CfsPdzNW1zktMugZrL
fExMT08/zOpoqA+XbYS7YSdSqJWexNuyKk3ANoSUFOU+U9qaUQ2QZtG1QL+VNUQABGNmDmRQoDRj
dJnA92KNFZKIjl3cSDLaWEBa8gw+zQHoJUZ1lTm3BeTroPXMfUd00r5+nhGPCpxlg2gDzzRkM8+V
zBczipVqwcj+fOz0yZutOyt+MeZPtXyUGhKvXmfubRwK7ahWf+9IVIoSYFgq3rp4sJ3LHrKx6xfH
ROoPtFtEWYwA1SXB64xz36kgBcDNjvoE8E2ZUydPipm1Y9y7RmyTNfHXVSet/XtIfAx8ksQWbCfn
BJyJY9yKGS+FDDq03pWmNAgl+6BJwFoYEdMb8/ayeX5dG+zWYTwatTLALZhIfZwvX2zrYxs6eQ9M
v4rEweSGXkWMmGTesK82Y4oR1sr/sL2GGPcjJjAtNyWR91l4X0NMxHprBcrz1vrkg9h7TgKQ+rTq
+KB1QFXt12LFHtxp3OagADjU7fIPD2KwQeioR35xArJx2wgGO90qIQ8jdg76+AsdIEPuJ4Cvt05G
3qYCTYtEOBj+1VXwfd3/iGX8gtqOSByCDMd9LvxZJlFDhg3KUSTc6bfJNVAqg/EKCJzE8Z0fyDAX
5N3ZvXfbEKR1gFbrPm6q1euDxRWiZfKMD1Uw9IjiEYn2RuY8RX0ip32IDwufpKC+jrz+c2gAThpe
Rz6mi2uyEMQHOxEOE+e2pqQc/4lVz+0wjEBwuWoQG3UaCHBHYr9ctnTOlB7mKE8kMD5Sk0Gx3FiQ
MH+OnrbV/eSmuklfu6fEDR8wew+7ftBfa4R69Q/d28cY4vv9P34Cs+lFnRlRHhUob7rAUfH7D+Ua
bTRPt8Xh860+GJvpJXSx05JnE8NbrkSweRw4hPMlYG52R40iMGxhCaTtYT4Wv20AoBrm1t59vlYb
GYihYM79oT/YD87GulvIz8vq8x6FZztATe/kLgS9mpqCTghu9Hi0MQk6fijeTCoS3X0qLqDKfc1t
ZyKY+uA03kBpkGypdIyWA2eW1UmN+YjeHUK/qwNDTZAdz93Z9IBBIfcHKdqj8iWnrt278o8kRrf/
h0BxzvVMKfVQOlJl/LGve1RMa9OasO5rj4evBtghmRJC2q7ebDRtVzlHkOBGA7AwypvVvqlFb1Pu
mbbB8qECwgfNacyZlmZ1rUD4BSdvXNmpF6W70omQD36+rKdIDHOGJ8yjq52M/Q0luLCmulYV81Nq
43ulDwVttSq9cr/5T7T8YOIVcE7oHji3pbiMe8WgtuQcQ7f34k14Z/v5bn60H5WNth2v5nvpUP5+
MH4iXxPgKgk6b8GsdvciOlW8NzmohP58CqN2m3bWFElY3WzBsR3xPsWzMQ0KVHQhEB1fKhk3crDu
rd3l9eZlx2jMo6CtEW0GSCycL8K8KHKs6CkWoV/cFSw8kuq4fYutnYuVxMlyRIL1ve81X+0m97Jw
nsOmmDsYN8Yr+VspI5darWkWHCs1OoTyrzG8v/z7nMBZNdGrgQE02mjPNq7Ji+FMEb0ggY23AGOn
rqwomJUoB1RLEYmG0njmdCqNCbnSCEiYzQxped/vytYM0MPmL/boZolOlvjtsm7ctYNqKMSD+e8b
rUdnKdE0TFUPl5N4qChfz3IueN3wEv2qiXcNsP+RlUIG9dw2orRaQBlb925VLSRBs98aauBMtP0s
BGh7We7DKSKSnmwpg+LaARxKyZEI1FzgQooOK88xoO0AM7qU6etbDUcdi0gbh7Z3S8n2a7T36E54
VSxo9Q3nrZKrQVmiU316QHu1W8jaJh+WXakCus+uSYtxAODSurFU7YZhghf/kZbvGYpaBjguyyw/
LIk9gVY5R4FVRLXHPWHgXUV8jPFV3CDMCct0NQaJDL5caV6t6VpxiNq/1fZmiG+NmszllSmLWhoV
6i9Y13Yqk67myTVphkYryx1kRl1GEguILhoYACa/0KRAro6zc1Aw5+wMd6MRDP+Q2lNPhTNmE+ch
QPeBQu0Ok/TUd+netB87pUcPM/gvgUypLx+XzwI3KjiVyB690ja6uafq1ugKRJ4mLt8yJBVNcDVi
cnJqPBDeyaBJ1XQ8nXuSy5tEcsv8F5rSLOeX4Gt4V/Xp1zDvIdRP8kie8TVW2nnOfN1LGskMT539
Ncx8K7xtylcZcNll9tLkvyT7QSCfk1LCdA9cERw6uuHYrISBUZEmVgesv/rYIhrS42e8oFV1Z5ik
tQIn86xUVMPlPblOZTJhKQaalHrWx97t8od4DOxkv0gmcbRgnIFJFwk8E8fVOmANBxUp5cky2fEp
oGfGpSWj+wOogqSXnIemtd3EyImd/BhrUcGT7hdzmM6kMYepxWCKGSXo+XDKCEZzADJBGFpeZd5n
6MLPuoMuwq3nS0T+GaNotFmIcRlmFuslAEfRZQL0u65Fukx/ScHxMhTawzT8zsPIHTNR/wLP3QMm
AwEVvCvqZGyZHIDjY29iOtVVsI3GjdoBwV3FfAyIq6edChg+oFLpEtpr3o2hIm22a7TtZdPlXGpn
X8BYUbxMmhQ5WGnNql5BnwNu7F5tBVcJ13hO1GQWF6RmUlRNUDMZ0WoYJS4lbQThC6o8Qa9P5LJK
nIMBlVCSA08kLi6WHM9K0V0+rxSqLpF9S11dO3kBT8hjX9nBksJqlXp3WSL9/m/m+kci24mNsE1J
xwESmyTzajXfhl3kZvk/ZN+hGPp3AIuHpxEbHEgY5ZqqFEB/Ep5kpJbWH7L8flkT/tr9EUH/f3KL
hapWT2pGn1hpuUXSkphzQNsOysib48RVpdfL8riW8cW0+X/Mfcly5MaS7a/Iag81gMD47KoXGHIi
k8mZxdrAOGIOzIFh/76sf6wPqJKIDEKJV1o90zXJdFmiwyM8PDx8OMccYfD5PA7pQjmLM4AYAXCS
CWRVeYcyXBuJjdlp57So+cM2kcWZOqMYi6xayNKHTLzs63xvhtpVM5jrnMUozcjCjayElSUh22t1
VdJfesj3uIUKwoEkjQ61kaZ3C980c3GhNXdkGv1Tf+5kmCxvmRnim7w0uge3yo9UzC+SJH7x2vsU
xbnY85xW8NZAGbEGheKx77/Imr90l8yEekefwfnbLFMBvWTCsip6wUx1J1UKagX3erM5re+8HBWt
OSO9Myhkjs1rqGiGGhLkhL5tiGvdj7dZfWYuNvHNhSdQ6FMQt9eKCrJKMoJjMeNFDJq11tdIiXr6
nR/QDUkeNdPYSECrIH3tpNVDJbPLRjUfcqww8GIuol50QjNdcBOzh2vyUdxmZyiud2KAjxJVQD2d
K4gTK2Od6vdepa0yX13wg7NeaSKO21RBEBqhlLHYTY/cd42hISdDP82/2VHsJtrvDA2GfLyjrdjR
sovQ7geCt0DPV15GLRXNV7G0cIfML96noPHnE8+URaBC79Ghb8f0VVGHSz28aoyVSp2mfyHe0jTP
vKF+ShvDhYm0sg2qUGogrSIEL1dLNKu1IJUXi9M1s3EHpjd/rh9/dWQpGAfVEQ8yCB8rZM0T0Ulr
QIyqDwWQL434rGvXp3dsLrWGqxHxqoHQAwh53JbFGJ/OGgG38ZB2m67oLAmtBhRYl4mSXcSkswUN
DC/qa9O8q/RNjgsLL0FLpKajNenCx8zZ6PRbuF0dVLmIaYr7pmojOvKhSU5bkMBRwiDenNZ7bkun
orgtzdUsMSIFouLW3ybgrvbDZhsNqT10S7MxC1p91Gon1tM3eSd3I/CwKoFbsUDGn8gbTb86rdDs
hTbRiIfkgdUkme5BjCck6yZUHoQsRiKgdgWfWEkt2zHIN9VWW3cYvuhZ5OpAna8UxQrbpVm0udMJ
ry6Du1LVkCrlEnuG2AKKSoUZVz4YibLS0mrdrkz1vK2fQ6m7aemwdGeNZsoHXWB6QdcDRkAl4I4f
H9EWUcoIM4fItSd3ZgnuwCqLEgilhVMQuXd8X1oIIeb39VOkfCzSyz20wCcQqRuFDjKRwXDLsO2s
gKlLBa7x679oJ2mobwGSCM2I3E2ZSq0QYgAU761a24f+q5k0O1ls1mIQu1H8rqsRokDT0uVmm4ls
4aIab8cvwpH2HWdbyJh8PtbTkCJC2gLC8z5ahZF6HbNhIcE/u5QTEdzBlyOgVmYDHGyjxSvdkzZi
kjhZkLsLZ2TmZQ7v+qkKd+oJxS4loyOPknMS3LVAsOy0q0p24mKnBZGdiN8FDC+cljrraghy9pjd
BT0In+amhZmaVYVLUWvw1km9FY2atZ6BKMUIFpA4lkRxJtmoWt/7CkQFhuaCytGK+hZVZ/MAWMHL
01rNnnHUZMDtjlEk8HMfW0WcgHDXV7GUQmIjWq3pCohPaIy9K9Nn1fj1GUpl5FP7W9qo+MSHln5c
KckYWHjSXjNQwoy2ZhAiq7MQV8y6kYkcztZN9O3oSQ+teh8Mg0EL0Od3U6x2XfDABMk+vYTzu/Wp
FGf1WZCB7jODUkLthom5j/Xn2msP1ZLZz0UV08XjrF6mYR3LYYPwtw9Np/C9GMXo+qrW2+++3F40
fRvaPuZPzhItAvDdaSVnhaO3A6UzYO5haOd45xjahEQphXBw1TlC7nTdi1BtzXREb7hJ8nc/Wp0W
OLuqnwJ5ePLcJy24jyAQI39t8dTUjhk/pMC9OS1mZo4SJjmRw904qMIWnli1wEwGaYftu+HGcxq0
yQJVWF0/CfveqQ6DC+S4G9BMLTiyWX85kc2dc2ayqNcBQWHXcrxWk2iFXrNtCrrPBR2X5HD3zqBK
LKUN5MRPCqgwZVcB+sV17vYrel0ADh2X3Vo8W8RSWdpC7r3mt3jMGfko9j5zExD+bTxX2bf3ylu6
pps+sfvGLt+jylIXnNqsvvDS8NRoBP7SBIUxsDDzPAg25L0JrCuvcHq9XIgb5ooD6Pz7lMLtniDX
IZFGy4nKtVodVL+3UzRwD5Ujgv/Tz1y/Xxd4m+FCMtnt6S2dXdqJbG5HaaqDil2AbL9WzvoEQsTi
PBfCdRkuweXO+tKJKG4X04SKUQ6sG1SM2rWQDmuwH1tFioYFLUE3oHp3WrOlvRt/PrkiutzLm4RC
nGQ+5tJVNvY0LzmzpdUbfz6RoSZIGiFJitUrQ1wNV2m98fUd4ML+hSroVdNFgn4ulLyOxQD8pQ6M
WMQtRM8SwSnzl0BZANOZq4ph7gOkK+AtVPAXJ6OoWZ4aMqI6tX6QjGbXtnkJ+o7HQaj2gN9x2ZB/
p9JtTLOb08rNBg4TwdytF1YUv3MMHEIk+MzCzgY4ktqzWvRFaRGQhjX1X1QrpqpyV1CqGiEo8MZQ
RcxVq5P1VWQ8dh67koqxV0xcWNrRrr/Ey58K8hdQQMUgYGOsEtUYH2j8J9ZjEOv0Ii7J4C4fWpaJ
mY75DwW7hpeBZ4m92C8ImbX2iSKcn+qTWlWaCkKaJndCJqq2JxvuoEsIv7KlYGiuARUGCWs3Rhif
L6PZRVVIvdxj2TBEnw3rMLuMvEf0Xyv+bU2QgOwfZHXbRJd5sK2Wivlz48xHwrmD3bY16MTGUVgl
cWP1TJH3vvagRht0LSQoqBXnkmoZbOG2mQ2NgJ0LRHLwFoKM8viYD0WuV1kIoVRIH7oAkwdR6LSy
7OaqYlWVZuVgoRPTfwHBgMhlIpdTtqsCo9PGuHNAi08fokwL3CLP6N0uu8cItS319zRAM4Fxr8ZL
+DHzKz0RzvmdpkqIPoyvoTpm6F3YZ/RCV1/6KHJCfdfo68Jz/HLjLaVHZm15IpbzOoI/+GbAIFaQ
3SoyropGs1SvWEn6/emTOXsNTQRxzkZUgckNjCQ8wfRg2+MxaQh0Nc7gnxazoM+He5/cRFGtRl2u
jmI607OKtnsICCCsUd2XmiVu4q8qqSIahEAlCIALgH9zdgr8Q1lsFQJuif5CA6Zp2q/87u20Pkt2
8fHziUJBrKB3oIBCkfwu5W5HbM/femgZKATT7tuVCBLtymI4hwuC51cSgzKYTdbAisC50ixN/Vr3
8V6oS9A7ATwj7nxMEghrg6QWKbONnPT4/8utIkaugs0UBv0mwQBcYt735C1Pm+3CF81mezDH/tcX
cX43LzGS2ZeYMGf5VQDQEnZgCeb9gp3a55ZO1gLqMVrtmv7mtOC5RnI4hk/BXHBYJbmiUgNLMRSP
pU/WtSZbwNs+aD0Yf1PdzQXgm0VXddrvmNGhKihu1SDdEvGGJAGg8bzbQntujUdaybbYyDDFYMd0
FKtaOVjXmfRWJWBh9WOgYUmixSrUVwDSYbeFfn1ak9nQc6IIF3qCpTVWexWKJOyS1Vs/einQiqSI
jt/1C7s178Q/14w7HKWXM9Mb37eFfFbLN5XXrcX8SqoPCt4tgo7Szu1p3b6extF7fwoc7XlyUPxS
BJVOC+vIFc+CY9lUooQRzc49LeYfDuSnHN5RU0zhMjaei/Rg6G5h2D6IDHwRDWbbOLbTpnHYAPK3
xYrEaGXH8RPQ/wEsj/lnMJSgrHysYG6iYxAOBwqG55UXrj1lp8Hi8URqomfgu+pdZDN63qVO2QB5
rF1w4DMVEcj/GFVES6YIiIdj+YLGSIXCN4L8orZAYRr1q1gEX5bseIXhpCoYtLLLUgSCIrWH6loV
iJMEB7Gnq9M78NWIj7+Du7JkQAk0QYHvCOohXyGB01pRF4iOQsuDl0WhRWW9X5D51bggE3joyAcC
+grdxse6t4Mc+yD+RchnXiTKxi9u4yVkwfGzv2wvWm2B9IdXvGhwy8uGCqXWHsM+npajDuGvRTVz
G0PB4A/g0E3vvMLszIKT/xouH99g3JnpNNNH37yCB1VgGwK2dLH/am7hpnckp1XYF4nXjQsHCniG
HH1/USTfT9vD+JH8wk1FcPbQIDNgCgJE6PQgAH0yAU+Rf15Xv5xDPl4rLoBpcdtL4xGwu2JPutcM
Aw3plUEWShrzO4JeB2RZ0NjKg9Slvdb6fYIdaeTWqv1VXL/9m9X6WwAPUeGFvdGLMQTk/U1ZjnX1
wLuR2RJP8Ff3j9WSNbTfSIYE1jfuwPh6iAbrcbU85pPMQo85nOKQe+qrFjX0wVeF+HVQ8vp28KIA
c8hJ7C28IuTZpUSrIZqsQcaBsd/jMztEmmz0g1/bJRDVMEK+9X+ovlWpmPBxk3vVprZ2cTa8khvd
ab8bmP2J7PIcKF6n13um/oiVMAETjyQvfDc/dEQKMqBVJkRjcOLIu84Jf2iPmDXdeFZ6HoMMxzVv
hXxB6LzqnzLlY9UNgSlBYWLKDleFxm7lXy/dHuvE7W5ZC5EEDrLaDsh5mW80886MnNPrNus4Jss2
qji5ztPQbAXFgAjNuBBU0DsBoL1aKK/Neg4TnNmYNBgTPtyRZkY4iFoEGWkxolM84Xk5AihUvz70
qGI6RtJHrB/kUPkYXoybDlY+jukwLVkbIDS5STwjQMO30cjPXRxkS5Ojc3ckUrVomBTBmobo/Xj1
kE6ISV0K6O4DuLzUvPuaaEUZrF5nwBLpHk7v1Zy5oX9cRBkPFB7qR0lgsleoUBUtaeBTlA5oT4aG
FwldsOhZhTDFiIoauGfQ33eskD6IEUk13I6S3DlUc3s1tkoMFQHHrb45rc3HtvMXCiYYkHggGBL8
ul1VHiVJVcO6t+am/i7vCXA1rO57exHbQCeQX4xtuxouNOuO7rVDf9kfHtE5sDE3OgYYMZTgnv6e
udWdfg53mIt2EIcgx+eMm9h5GVJa96clzAzPqSief2rMnecwS4ns1RBBVuqFt8fA3GXt6Bv9It01
j4LDdvles5I1g5bpOQUb9eb0B8wdxKl8zlxruSpQDoN8BYhCSXJuhBdeJjgZHkGnBc3UGEZNgSCk
I5k27u+xHUUJCtFVi35wnJrvAiLVuKeO1mEGX/PWSaptlKaOLBk9sWiBR0bbEbPm1wvf8J4fc7k4
m5gH5myZRkorZgqOi+wHABfZpqJVATU4VbanlZ11oSoEgNEQyWweKKrTi7SvBh2p7OCHwTB26gFq
Trs6LWTuYKL54W8hnHVqgS4U9ShEgWcLL4f2JmH3eKpYTbOEBD93EKaiOCvNfA/0ZApEGd65hmF/
2qQL5jGuPH/ypxI4O8R8iJYLDBJa5XsabrrwgIBVyu8q2EX0PWsX7p+5kB+3gg63hljvC65O3VVl
FqkmnuPZLSXA0pKJVQavQf6i6D9CumAOs8s3kcYrh1H4Fkkj9Fv0myJ5FvKFcsLs4oEyZoRhhRi+
chKT2G99hjtHZQ+1f07EizhHQsZ81JXvUW8X7ctpy5s170l8xx1lysQ+Ncb4LmKKWyD7Dr+NQaKl
5+aSmNF3TS63Uk/NtM0hJlG3Cnh54VMs9Dqe1mVub6YRAneKhoL4gp9i2pG2Dyzfiebd6d8/52Cn
v587OkMs5SmT8fulapOz95aEltmvWbpUf5nzBrKGyH9MFGBslJPTS1KEkUfYgNg5UhtYqrxh4tZo
K7zKFu6MuX2ZiuLMWQjAxeIV2JecIP85xA4JHgojdE4v3JKU8eeT3ReYVvtRDSmAokolZqNnQgPQ
3b8RAlAibcTYQjPbsZChAatHbY6qyK9eYesKkAuDJRSCWRPAHO1fQrhncumjU84PICTEOOFAQkfD
tHgcS1bQ3J5WZ1aSjllIDGGKI0fWsTpyjpR7JCHc1ZXaUrxD1G080WVL5NwzpVq8K/G4JHhkahj1
4Iyti/tQDlE0sZkOxi1Vv48UHSxOQ2kBfsIacLn3KYAHPH+lVUsjGXMHdiqbsz6jr0nWos/Flulg
N2p5OZjSQipgzp8ClgWg4EDOwyUx/nxien4wBBT2MvZcoeu9aihoMStfRqZNUNeeGHpuXXogODNK
wC+2zUK1ds7w8WSFwQAtScED6Vg608HLOYS4LfQIkYMP2OLcOPeMeuGVPmcrBGmOcXhWQjMWp2ST
CKaCWxeXkufKGP30WebUgLMzi9Vpo5zV51MQDxJe9Fkb5OMDgoiV1FpS6dU3NM1bMMjLKU7EaWnz
tjkRx1VPkMPP+jRDJKGFnRWHopVE4sbocMmDj9mKQmrXJlrXu0OTD0tx0lxYgUwlZruQqTSRtTze
OkIlT+pCA7kXJGoV8zrPAwCvFudBLDuK9FoD3+q0tnNef/ra5ATqZtMpNR29PphwLbEOfNtXQ7qR
C2BCM5Rwi++nBc4ur46mfKDmAjUPxZBjFRNPGgqlQlIlipudp4bbVDOsqGxWjQwkhMS3WH8ZBYAR
DF5PS54zo6lgzouiGF8gxQPBnU+tJtxQTLDW3fa0kLlDoWP/JJA5AHSKx6oTwWIZaxpua0FfDx7Q
S9aG9qwOS4s4bgsf7aKrAPjdkqFoQIg+XsS4aRWlASKOLfmXWjzYmKq3wzjZMKnasrjehGp/o+WP
I8Pb4IMQoZB2Mg0WOktndTVx8Y3A/WgF5hyAIMiygOZj4HfUYF7S3CjzrbR086Xrb+5Q6J9y+Lxn
R8XKQIcNLIZG1ySM3ELKfwye6DDZt/LitQ+X2vXGL+eX18ANCEZ00H+gNnW8vMqQYn6iA0qBF4Lu
D/dSuikzPMGizrskJNt3LQtsORM8GzQN2cKyzh1JNMRjWhY1G/Smc0ey79IqKnvAMBD1OWovWfo2
tHZXrbpfnyMdRwuIiQ58dAET/jGLsQXBj2U83TXjIa+2UfRYhS9x/tiIL0uwGTOlN8hSgHUD8lyC
KIhTKmpp08PDYEWRUm7Yqke9qV2B+lVSV4a0MuQAEdSDvPQqnE3hTuVyl30Xx0QQgcVmi8rqtbOv
hE1Vrowf18K9Ubph5Zb3C15mdvdU4FuM8474i3Nv2pCgGjNOyhsJBnPVc0W0iPQkRnfBEiLi3PEz
JpI4f5aobWaEoySEWJYpW7n41Ma2soQ5PtPFhK2byOEOg9/ppDNGObRGp6y0YVZi0R25qpGRd4rL
wrPV2193ohOJH1fIJHzy2ujnGobjLD4mZrOHLAYfSHp9Ws7MFCVUw2sHpAvAmJP5BP9Q6RmQmTsk
r9aaLW2k21VmK8QyDtIP/2awo3VxCTCP1hoeTwueu4qmcuVj/1InAFXPjBZWWT37bAsIOd9cCJrk
8Xd88WET3bgTx8SEZLEAGWyVyJZ8X+w8p9sa2wq8m9mt1DrUJrYIaCD/KbHPMH9g/5sX5VRL7uwl
kS4QIcHqDrJ8SbrArnLB0dBsAfZnVpTb02v6UUQ/pTB3J/aqXvdaB4X1G22dudKLcMBYgGL7Fxir
6FtHchInXONJ21hDbynf/fWww/DsS3BvrJbenv+w+mPKG/CXmNTnVr8OdV8bAjhxca2usrW33qa2
Jln6Sroo7Aqgbq7iVOfkTdpi1pmuo7V2t8SZO29kn5/ALX83eH0Zqrg2m2iH7ldZ2xpLgNqzLkgf
CRDw0BhZqo7tOK0UqRCzUcv8tSnfTYVZ4XCjsffTWzvrUydiOE8Xd0WOnm6IQXN3xZ4BHeFl+0zu
rH4Z5mZeFvDUTcxvAxWIs6J4iLsh8CDLB91A0qDSqaEJ5qkGy7rWoqCvtTbeQqjMxG+1Fjp6z/am
WjlDqeyFyFgJyWXnxwv+cDZmhiX9/VHjPkwcolKBEpSJBS4VorsNeBGE1Db7bR86RPs+FBtDvCBL
qYDRPL4cJ0BBEfRyYjH4aSixNPuMyLg5U0O8ilPtBud54fExF9hhRPdvEZxaJIiFri8QFMiUuGVk
t9JajDFR4297YRfQJX80eyAm4jhrrRqzFoIRwYjgUdcyzHMnyDUoSygWsxY0EcNZa6vlUtd4WDgt
ljZ+tcoi0UG5zxY6J18aZJxVCe9EeBlEmibPEuojDo1YDsOQKkChFpql1G63yIwkzpgChl9HUDDw
DQNS99j8NFomNaJSlOOl94A4FR77YGgPPVsA40Aa2YEGVJfN6TM/Z36mNFZ4MSEnfelh1IdOKwwV
m5WnwGAsyUXSlgt5kjnvNRXB3cJCAXDdIoRaQohh0+CQgLcN0E4kvzutypxBTOVwd0FYAK/LyCGH
jgST1YFW7tBRK8jcWli4BJdEcT6/kDMprhSIimXqABU4L2WM8dplfZ6EL6e1mm3SmKrFecqSxhoQ
gfF8EDZNb9WyZezrreKatnzIz8Bi5SRWbEvusN4Zh+D6LrLvfGfpoTbnQabfwHmQtGzaRqxHy2yo
m1K3HbJV25iWKp0JPpoVX0/rvLS83EEoALrRZwbEAQn9VhiRd4Acir+BxzyKXVUP16flzVoo8EFR
YJVwFvhcidQWAxEahN5KsRrIea7sDf9pWDKa2UWcSOEclmmGSSo3KKyG6bo12EYQVDB5nnVV6ubG
pb8ICz4+GPibxZzIG38+uc1ogSkBj0ErQAAa7zqSBt+JI16RB/DG+czKfVu47x1xI18Uq3rl7f2b
06s65zThKvESRQ0XUEOc4TKiCl3QQ18B+dEYaE2hYmtLDSqz/msihLNMv9cC4WNRvSx0RPkhBFzx
aTVmC+LgudF0DKGOHWycXxliUIh03vgwEw5Fdkl9dDijlfQlVF5LdtAAkpfvfWEdi7enBc+u30Qu
52Q8WRriYDz41eCD7QOlIh2B0dLjbNZKJlK4XRJKlrIBnQ12QS+U7E3pz+UmtUCL5OcUCGngINZ+
nNZr9rRNJHJb1mV5YdJ8tItqZ0aPIdv71aO6dGXPSAF4KDqW0I0KUHoeSo+JuTjUMqTknmBHOlkl
bWbFxoFJ4cJlMNf2eySK2yg/BveSTvEi6gAifiMxawAp6rAW9splWVrp1rf7M/NRWqgLzLiTkRMF
ePSoIo4QZcfHO6+EhvgtcpMAoDKQsNZKZ2gCS5FG/kQXfIqnd23GGo/EcUrWpE30Noa4XD5PhWsp
2kjC9WkR0pJKnC2itaA1ijHdWqrXLQZuSidl+yZxAFiKFKErsfdaWZXGmWhclexMpZdVeKh8p4Fj
C/5c3f966f6P/5Zd/uknq//+D/79JcvxQvMxWXP8r/99yN/ob5fJ08tb9Z/xP/z7D3J/bv2WXTyl
X//Q0X+DX/5TuPNUPx39i0vrsO6vmreyv36rgMT88fvxmeOf/H/94W9vH7/lts/f/vj2kjW0Hn+b
H2b0288fbV//+AZCu3HV/2sq4eePRxX++HaRYcbotz10fsXc2tPMf/v2VNV/fJPJ7yDPANvYCOqK
MsPY0da+ffxE/B2OUjFAHaKivxW8FN9+o+Nv/eObIv8OhISRAVFS8Te8mb/9VqE7aPyR+Dta/3D5
wpyR0QMjx7e/vvFosz437zc0r1xmIa2rP76hMevo8oObNkAGgV7CEeTuo/p5fDoaQI8wWfESW+26
/EbPwnRTZFnqZLEBQwpZ6wh+SXWAfKITZ+31us5WIpIo3zUSl4+pr5W7XstNwULf9Nj+SHVjryQe
bNGLUqdJCmYROfEdoAQPZ1UgBXdenDdrjIBrqzLw6qsGo7EbRiMAF0Rx1216wCi7fpuwH2Ig5tsh
ZPpO6aVsW3bq+KaQTavoBeWlEfOnUveLMzCohw4gJiUr8kXFBRUfOohyVbptMlkBbq7Sv6f9QFaE
CUB7iqsHlHuS9WBG0lspY3wkVgyw09ZNBTIB3/NB3WL44BfINX/f1l6POhAFVjSNoIVFe+lZ0esG
GMC6Dn5eilryKjfafFNEQnDR1Uyl6MVqlFvF6IPELkUWnddYgMQBWQt7SWWq35FC1K9UTcm/B0XS
bmg0km7FPoBlskwabOZl/TbFO9VVqh7T41JdH1goam4pCVHqAsLS+9EbHt0ncsJcULkyS/ExtRkN
QmMpCRARuzDL1oMoyMBVk/DVNWAgNRvIzamVDyXbAa5EdUDvPU7U+NIhLHp1RzSJ3hPRCO+0gADy
JsrMm44k4bOYKoUDkjKsTlGqVzKICXeFYGC0UI104BTDVi/rFp6UJWLkMDVjb4HaArQ9kLaSmWKW
DSMPuRMMSnjmEQ+Q7p6pxvshG7RNEerpDrlrkBuRLBusvAvDs1opWI3SRqQ/55Sll2lfpmAhDCOm
WrT0IhtgQ7nTxmG1afWs3lN/cEUWl9dJJPcPQpd5dmLo8cag6L20KEDRHYInyL1a6fIqbdpiJaPa
Xlp1IQil5bE43QjgEIr3XiBRxULqQXIFJToorVxZWWx6O7+s1MrSKenq1RCnwToEjJBnRUFiWAlc
8ROmscQdxRm7VYB/s0vkuHTCxoyuoqroLlsBl4CXgXusUlvxqlKDdynJux3pTGVPBlLvWS8wJx8i
FSkHxJ+9p8fgrwBTH+bBPFSUK6l/zUsp/tEnuvcgljlmdHsvdVpVJXacS8Vz5wvFUwlkMztJ2urg
BzosLgv1Nwrvc1XRsn2NTKGNLZZ0xUbymsDV1boBUBYQA4iSaHtUXo11p5BojWqzd0cFTDzTCt09
QiYZz0GbG45ZycVW8gX1IfV8ZR13inmWx22D6d3YiyxAZsTI6anvql8C4z1Py11TpCHm6kTjNfOk
4jaIGjVwzJokhyIqzfOgpzHaoNLmVmiUBz3X5ZehaPKLysjalZZqzWWQJ/SQgM75TIpKetWr4WBT
QnXfDovOr6xcypUfJAP+Tlsm8aEzgvI1BLJZqkSxsRp0nzT7xhN9FFdqwEzkJVoh7CqT+p3ZKdpN
WY8NEWoEB4DNoIcuC0hrtaIe3UewpNYqEj29qtKiE3aU6cAVDgcJ4Dim2ErbNCwKm6T6HWjl1wpc
IwDVOk/q7R4zx9esCNWbAsFyjVk8I9sXOX5d0jcY8DOw6MBooMC4zSKC6WAzEs2xlF9mV1nREjdQ
O7w6zC6KXzXqI1gRcqSjaCjRdZzQMLWidMCZkONeOR8qtI54KSWgpEGaxx2K0DiDq5T3dTMAN4GQ
nAAfGdnJsshjcU17z9yWpqo8ap7WCEB+61RjFRi5d5FppuBvCmCS7DAQJSo2cE8ENCrnRYxR3iRR
rUaRH0MV81mRwaLUMkAtdwbkm/5RFjMzxZaJ/qoGPVpvf9ytvxRl3GYp/ncywNiHL2VWZe81/6f+
P4wwdAVNP+SDGBRDLTJRxq6cf443/uf/Jk/09bdtNf6jmoYbs7/oZ/Ah/Y6gA90b6J1CgwOwB/8K
PiTzd+T4QN0LxCADfxsLlT+DD038HfMlKurM+CbAa49xyc/gQzV/Hzt4AFEvoQ8YuM3yrwQfH7B8
nw9vtCOgJQhxj46CF7zwl+54wWStTxRKHGK1rmzjOgKvknQGfmRjm5z1L4NN3HytXBcP/RnZLtUj
jh90X6Vz6baywGM8b1PiKGtvB1zkDVkjJFlXm8k2/Qy5piEW9+r5KgfLOU0v9EB8Nlo9IU7G0A2v
IQjRNMurHysZMXtQWH5w51MgqfRgnS5VyRKKl8AQnKDoLTFcqrHz8d7Hmo9sdQgijZGri+smwk3V
IlE2ECc6z89V0NYZTrXSDqJT2oG7RPpx/Lb8U3Xge+N1KYKXUv9YmklmpRn8dkjDiji58ZzGxpXW
GHbc9GfVEuD1kqDxwTQRBPStLjWaljgSK876SlkbrHnXcoamniVUqjmzmeo0/nwqSmtZr4gw2kBy
ShPdLcyioBPNz6tKsmqGceTol8YFf66ihO49dGDgTH7phkZBpKJGSRwYR6yuaqSlGK6P8HHBUEdD
5I+jPpHDLWKpo/++RwnKAVDwIdwkK+URBJ4YU8m2mdNv4mfkOxZEcq+PP61xIpJbzNxM8iRQoFrl
Sit9lawApqdjqk5yxY3iW8XSWVyQxwPHiIPa+UGMMz+SzwiWftZtNKdwzHXm0DfdOa0dx6X1ZeNG
7zs1FUGPO2rm0E7bqwdpRRzZTs51C9QpBxN5aO1GXpVu88hs5oKncqNdCI+/BrP/9RM4J1fRhArM
S1QHDUtWoYIbrsD4W6dFN0aHkol+JXbZIYnF99Oqzzq9iS3xucBWHRBzdyjOmJLFHO8do96uYAcP
qEzaGqjzbNTVnGxhCOI4Hf5VWS71gtcT6ndiQRxmgu7ELgLZphUKQmiYKOwFBY9rUF9k8S1ZkUFr
WiN4dxKmrEzxOqh3TMLb7ZIBzxfkjolw0S5t5rzz/vu4YI782KAQGupK0MHNmRvwom2TFduobnoO
CGOs5lItY9anToTx1lsZUUd7nBVBP6SYygfvm3KtFQvpMq6WzC8kIqFjnRqSSCT3sWlJmCMxuCk1
8Pxcdngmqivd8BzqYeJbWyhkcMWir1K5SzkJvCLoOkiNtv6GOYMT2AlY1gQbQS9QBvMz5cbcD262
ClfqpehE7lgrIguZyeNU4deP4OwVJYes6mWGmUDpXW1fOrr2sgUfxGEofpXBpQrFMEKjJZrfHXLI
txoosKxuQx8sclG6kq3aQEPaUDd2querpdO4ZD/jzycXZa3h/m0ILkohz60mu8rRoAVyqqJd6sfk
Om2+6siVwZCR0EPZ7EavTreyja1cAUsG8WTg4D6prQYO3rjJXeaOHUZ0Hz/oToAd7a9PO4Vxv/75
AkUr17HGeLszJDwQ7ijpm2js42ppM8cjd0oAd12iQdKQQw9WW7kGOsSKtXaZftfXY5TcLdLVLgjj
u96ysBOIFsBywvveraxwRx/UdeeqdrBbcmzjwnzVC5PTeA7hVcSn6IkOMiGfwtU0yggP/tqAL7yz
g+apbQFgt7CK83b5KWzcxYldkibCOFFYE6dl7TmV7pReXQdebg2NaP0be/iUxJ29VIjTXFLgrhsM
nnud3f8iQ8lflv8pgTtjuhBRhaYSAmxvl6s/zKVBvH+4cT4FcEdLivQmJwOuOYWdd+WZru8V4z0F
0ZaxKcPLsrKIeEaHHRMWHPS8a/xb7gcB/WST/pe0K1uOG0eCX8QIggSvV97drdYtWfYLw5Jl3vfN
r9+kdkdqwS0i1vM0MeEIVQMsJAp1ZLZ6HEtjlch2XT0u6RO4mMBa9q++DttZVWulOjU50Hc2LsP5
qUk56M5xapn5NiupdymNWMJiPCQQFhTjC1l3xt5LwLBl8Dr8eF+KbYrpS2OGJlcPt7ZGZwW/4dmw
MlPZly4irW/be8f7PAzShYpWNEVY4tLG+Do9DIjmGs6rh2OCMse0KvMyLN8uLm3EyFx5X6Efplcq
TszIoAGSMKqEDIokUgikIE/CQGqfgxaaCAVU1FpXL125vA4qR+md/2u/WCvsyIAx6WLUajO10dIg
9+FBg8pqFtacgvG6JScw+ocVNmIbciUWAiqteJPFV4PBCXo5e6UxodpgJJ1M2pLao4rxn4rcNl2y
D6TC0ZuZcLBz3fettbABGs5OU8SyZIt7xc2uYm92E7/iZmeYQ/rHljFepqRxWaPhBBF1o111w2sS
3bZqdJWIol0Z811eBxxgY9rX12TdJ4dD/e7T9aPNXd3EM/3vk9dwa2/JjoEbXqOeYBY/2mJncIap
mYP0h0EGh6qubjuhQxwmFdfiQy+tPYYcqOM5HnNL1EuPN3wK7FH17FAIdI8Km7t9gngmGMSp5KzK
26hCrKz6TfokDP723+ftEoMDaZRF4OBbqJ20Tp0eGrKfKKe/j7MEdm5QD6MMpK4YDqqiypTEW4XH
Wc7zLXZ+IFTUMEHFZU1pgn7jsBxSTz52b8mFwlOueTSnvAUxeCCodRK0IPyAhEzoNuK0o9BV+lef
RWdgIE+7QF5ieNZEHtP0oAgXxsjB5rf+qg2o0ddlnsQapOhjNW0BzvmSeEk3YlauM/P2p1rQvTJO
rpGBp7EV9+ilNqKfMkRWDKW+SeL+oKfxa7hEd2Od+smQ2L2gWlT5OQ292wqx1Q3p91CeHSrqdh+T
277tLtWiHVFVFK97oppxrzlS3DmdYnhL89jLgqOAeq8JQQ6AWSwTismgain8EO2msmopUuCghgeS
hwJDIKlB7aDEKAp4Viuju+gpeZ2E6kEU8MjCTx6p6qCFzxTS38GSOKWUewbBDxE6G7V4qwjnX8E4
W1TLUafWZzsRZyfDVGsKwQQQ+mtHLdPMEu20KPi8rLOnrRrYafeiGPNl1Vy3QGhziHOwS8+NOU6l
M4UYAxdEkHMp2UUbQhVz2xfOXz9omRDRXKxR9pXQzVoeBj1eP1q9a7urADxEUPnhSWEyzTX/APTK
xEp00JWycSGUpBXo2SIurOwez6zYj538WNem4XS5GV/MLvTXreJhEUy0EnCiETZv9j+w/jDOgHW0
TFFTNQIFIX+x63bTHQSq7QElYdfYV4+qGzkZegP/amM/jDLwXXVotkRRGXmz8LZAfQJUi8jE8joQ
zyPshxUGwaFZOwaJjs+XirvReJSSC6P4ue0hPBMMiAsR1L0aI1dsCHt1NYQh5seUm244j3rv66BM
Ei7q0aSRFNitqDnW+VXNG5c/7+bvESnbDjpVi1YRAsgLsn2qXA/lZTw+Njxh8vWbboEe42i6FvRi
QPEKDubjPGmujkaC9J4GTjq8/s1H+VgP411FQfqxMgoFzUD7CaRMQWdyKaG/ODcfRhjnKoc5HDsJ
yyFXxQ6z1Hfg55MvWzu6jHzEqA65Fuzk34XDLKuCWKSTHHRA4bhejr0qOgnGA8c220vJ/fYWMoOB
/2DS+/IMxufQryhXC2rItjo+t1Jigx3epWptNmjhCI1pl1XEXqTaInlhxdKNhhAgn2hiUkHaS2O/
Lwv9stMnb/tncXzIYN4bMaR7x0RFvmsuU7dd0osq+UUgwjxWvUm63N22tn7CDY81mGhDmrqORgI+
cT18r4zXDI0rASgtaJhZRtD6S85LYJ5Hk49NZ2KPuMc8uaIgXutVaGzfBSEolaDLur0qNv/NhucG
E31UTUoCUcPxoF63SzEUOZjlhYpyEO9u4X2tdbknYU4GUjZw+UWKnSnPkuEYyg/V8Gh1Iyec1wDn
6WYw0NLhYIxGgbIX9UJf9lNvdAWv8bTd9s5xcJLlhsGcURmlLXBS0Pyy1U20wVBURKDAvm2Ht28M
tBT60CpLCy+v55WLaFo0n4J1EdOTQZA727bYLM4f3sDcYIqUY2ovgDf8k8WJbHjEfnIwS+Lz4neO
NfRmf3YJJZ16QmpsYeeOznSROsFuus1Mw+u88Er5V9+LsCJtLaZS0QeBMLvqdkTRzF7Yx+EPXeVg
5bb3oaX985qGQsoriSDM6IJ9Qh8b2tgkc+gUmFKE4odyCamc7Y/Gs8jghNzQCrKQlEJzHqNhmmQl
tDX1KjfHTPdFCkXx6odW/2Wc+g88EZEBjkwXq4mMOGbhY3MR+/IBZPqZHdkL5uBd9WWNFTFCYwu/
jHvD317xNjISVlajzIVgyWrEWWr1gpbh22IZIJDA0yrdPnhEZHCkQTdoWiKnZSvDU9QqtjTasXxo
0MuXJgPnLufZWv/9FBzrPO+WNgXWt7EbBfcNeVAmxZmkg8QTwNvGLcJWiephyMZoAZ4EiFMT6K9G
dlqoViJy3hI8OwyU9JhkjNu19D8ozxmYdbOfyNr9Zd7kIxpmNm4MNLQwCsgE1+hTLY3fU4+5GHfb
3c6v5MMGg8BBVfRgB8PNL4fSTsCLvFGor7UNRFcT+rRt6wtM/DDGbFs3dnnaF0jbi97ixv7i51br
Kl6IAcLQDjhu90Vg925NYRC4zgmqs2DY/V9DygAclhziCxb5IaRm54QWRCyv1duJc0dztpRtA+vn
GqTOKpwDZFli7GNQpYw8reUkpL9ISH0sjwHjXpnKWjHgHdQr7it38hu/mS3VJBZa3q3kIeFxZJ9H
pneDbAasLyalMDqcYyMyjew+rY8T/bbtITwTzJqqCnN0yHMqdi30dqIhRzIRW41qTmDI+UJs5guC
Yt0sl4D3Kf4hVT+RCrKr8ZgJL/9uNcwtkjZKCn1mhABh55YGOiDaH83I6fFYz+efkfvHR1l39ARc
4d5iqEyNYkeghalj+fssVLHZj8lRzIyrppcvMp1HecfbvvXfT2wmaVbpzXo7QlCiDf1Weg1A6dVy
jtF5B0cjjraKMGPunYW/ISJT16iINuzRSf3MXkST3IJJyGrM4kbVuC1s6x/8Yy9PDDJYKHaaVvVx
Q+2h9bM5gFiNZi7jrdChfeX/HLT/37PzxBiDhVWJ9O4EtnO7Rat6UrhoQl9EP613Ev0mim6XHJuZ
g79nT9eHSTZJPgwCwLdAwVleLvNxF7WulnIuxtWlN7aQxYgwagQ0wgtobJAEs1j52g0etcNZ7ztZ
BYMRaVHostAgjC+gZq9ZWfoUFU7f88QSz19WJ3aY0HMmYSgFDVo2W2d4I5QxEiu1JguDLm6Mhj/O
zhHeuhi0kBOddO1QU1u8wZiDU9joDLESG12UO2oiPKtM0YycxPsLjDpZJYMfJO4XEoIZyVY73dYX
EHZB+KupWmfbDOdo6QxkDCSt8llLqE2UB5U6qdF6rbbLi9RrOl5rCG8jGdzoBnWoAxAx2BgnMgfl
opNiaxmvSHG7vaa1j3/T2Rm86EWCnpoW2cp5L1mCWd3tIvslv/hGEFiIvvydY463hwxiqLmsjSAy
xFuoNwv0YC07Au731TfILcb4Mdqy151sJx50zsfjbCibIStwhpUlQISrKt8mmpvSdBhiDFFxn13r
CjbQg016BTIpKSjs6Bvi64+1lx47MJCNNmhj7uPjZBFr8oRd/Fy98EYJONjIZsBi0EtESo5JghBT
U4IGdpUQfLiCam9/RJ4ZBlS6eFIx4xiuPcMPXVyD2dcNeA0kPORi015gKS6nvKeoObiyq1rZnQCW
BbInayvbaPIGEbjm1jWfhAP5oAezUSMroB8DL3fCfXYAW4YJljoLXZecqJ63gQyQJF2kpJUyAUgM
8jSEk6mMuatIPJ4MnsszGNKnXRmg3IuXSoa6m+EbFPCrOJnEQX3echgISWRjlsIa8Bv3ut2Q2SRF
skNm1Nt2O14sxbZUS7lOpLzBy2vNGxYuBtdvwwuKt0K/S8EOJzacz7S9f6AM/ewTk9TK0E9BIN9W
GMGjRxE8VtLDEN1tr2sbEnU27zUnS65lHSLsuAwdAoVFhPVmBZU1Pa18AUnlbXPbgI/p8s+rwlBp
FUVrlbQJjmIELQjenAhv21h4QGOOqLdIi4fta2lodpM+RmNdmqWKQvL2WrY9T2dTXBhiJelSI9gt
MMgYoJqDCfC64vjd6r5fA7rOJrOaOBMWdJpRW5YuxPKuHY9JEZmacDeNGBrlPBh4K2KggaQaQWMt
AsOc3C/UHzKwlfAk1r86SBok1kG4CPaBzy6gD5oWgI4ajH6YqoEuyHHwpd0aFEp2aocuTy7xCwd/
N8d4XENR2NUU5D8LPIazojKbMHfnRTvoxHB1tfO3neJ8zgQ05v8sj3HATEoENWqQFyR32W64J37l
IoWGcVmzcSbnv2tEw75r3G8b/sJR3u2uJ+/kDtH1vFi6ooLjAy9y/VuDJdakOYAY7DZqFzPpK47/
fxVvv5tkwik5laRlkTBGE2gWcYkd75fcXL6Fx2VPXfA1OmuOV7Ch77291C/c9B+7bDQFrjOkBdb2
26CJbospMXUtvkl5cnsMC+/7+/LdDOOo2mzEyhBhRxt7ssdL+RllezO8Vx6jPY/i9AvUejfFOOkE
NQlRj7AitTiAi6wNfs/KBSGcq5LjmyBy/ewjBW3QBreOfAU/9AkRsOYuvuZgIF3cLZZoGw+qqe0l
vJEw3bb9yba9Eyf/s2U6j9RIpVqx5z7cJW20q4EtephaurBgMDHKnkLCI0zc3lQIz3y2OWQY/TSE
NcU8X8sYIZ2eF92OeAxFnFNA3zp2Tg4eJQJkz9YbFEmW36BNdddxncTOoZsK1iAdbaHDcTzworjz
sIYJWQnkLJhQZj6lmI1TMYq4fOjs1GF2kEK7JqZYdg4xfm9/u/Nvig9TzLerlyAk8YgEt9Yq5pJc
CZnXVmaLDqqKlqYWvMrk27bF8w0TEGT4Z3XMp8srqFTJGUB7vSPmvWilfnnMj8Gv6Kdxs04jaoUV
edtGz6PKh83VhU++Y1aTNNEVvEWT4kqEoxq/dJ7M/HmP/DDBAGaclRS6eWh/UOv0IVbIkcoPUUYc
DRQ024s5H2e9W2Iz92MjLLE8o3Gc5oc8eemi3fbf57gfm6GXBKOQQN2KF8uwk9VdILlG+L3qHseR
0x/8RYrgYyUMNCoLiC00cAUgRRB49f7tYJnCD90MzHUoPLAIZ2nnW+w+nG9lGDh1hKA3miAHS46d
QzcUqfQfYTF6sVwctfEn/kU0YxFDziQNbZBTXKbB91D6VYzNoYK6ODQSkstRmJ1YivbqqPFKFhwP
YvUO5zJUMRiCK1d/6B3DBNbIPoqquQkBKlPwckyO8TNc58H74xMwWGNAvCsWRtRJlqkx6xrdo7WV
ga6nzJ+m2Mp4zV9fXLwf9hjAEdQpBIUyMgnSzWRTixyMS7S87qKD6PMOPW8/GaBJx8VoFAFAk8fV
LiH9I+1Vq5dVc1kEZ/vIfBH4fiyLARhJhtZFvQ4Azzeg0t/lzhoXTjeZOTmlHbu8G4K3NAZsxLpu
I1HEZS+EXhi8trqXUUj5+v9uVezQeglhHxnEUcjHTK6KftQac415eWFYvT3bbW82oOveNsnBNnZw
PdDABtVVGBkYW0R/t+LCwU5GJfKfwO/9Q4FH5BMALAMwOaRvjSfhpb4fj+D9uA1N6pSeDnkQj1jR
YTqGduRlXuYI9v+pNfHnD2AQaG7QJ5L1JUpSK39DeNlNLzm1cvyPLFxH3NZlzs2nrht+cvMlc9H2
U4b1ooiSk0OJic2QU2Q7/82oBJEOSD1BMuuzCZLoRjrkcMZBzeEeyWUuj+62W5xfxYcJ5qsJIh2b
uUe43lEnGn6LvUfix39lguUNGPQqhd4zbr0mehgkS0rAFcAb9Th/syKm0yUMfilvKHLyMXR5pQsZ
NQnFmdHSpItIvB1LA08de2x4ekbngf3DFvPhp1Yu5p6iPtjomUngXeCxGa5GKMDiiTz93t688y7w
YYy5RdKoj5Ng7qhdJ5q1qJ0b1gvngXPeBT5MrJB4snfpME+DqCNSpYZo5VMDLonyNw35qlfr0+/P
rMyHIebaKLO0VvU2UWw9vcvV64pC1Qf0aI1fNJYSP47abtLtUCo5L26ebzA3CAiOmzJckLpNxskU
jeIBnIkOCHPsKel3w6xxTtTZ7k8DRDxwAajpaWwzeSpOkxH1wPZkIb/EUvMjkDfroP4xKoioNJdN
ml0KhXY/0YxHZHM2J35qmznOYyWVSQkx5LdKBlLwdvwKNn9bcjtP+c6jXjnnmxDEBXM/Rd4GMkKf
HSdC0aQ0khHh8ipUS80uW8xt7z/nmqcWmE/XRGIhxQpKT+g8Tkcn1HdgHNo2cX7LTlbB3PgkLMSq
qhVMWO57Z6XI0e0AzUEymoP4/eVno7STFbHOAY0boxpqZCZRqL4PMsRpUKo0604zB6G7KcPMAc6D
ABYk8U3XuL3GyyWvp5k9hKc/gMnPVAJtEqXBnTKFNmjvIRDlQ8VrVom3va/nPx24RiQZIlcY7vns
HGLfSUJkoJJRAfW7XRhfiDwW4LOZGcP4sMG4ByakmrHVkTUsXqTZXDMI7YNgxVblLJZyWYD9i7qS
DwJIXgB89n11aplxmk6NJMiFoOEvjizURBHjhMeV6QxTnzvRra+jPe+wnf9u72t9I147Qeluyftq
eCNWa0Bh2A8mLm0zoLhOecqZnC/3FuidWBLTPJjDWUdDQB6betyAk1B0Gh4q89bDINWCFqV6ypDQ
zsTgug87T6omV1TDQ613vCO+Rn5/+vzH3jGR4dCHOhK6K21JXx86Wb/Qhzu51I/xODy2i25Bn8SM
uxaUjIEdUlQrDRyPv6gSnHjMG3vNya4WAZhvxxa5PAVqReF4nJUZA6P29qHjber6aU+MCL2WiwGU
LNDXDs0YybgLR9UZksYUQBO1bYplwnpraz9d0PpbTmz1alIUVYDbfN43OwzOWS3Kyq/SdXdY/OGg
2q1N0bECCH0or4LLyos88SDebv8InqsyIBOKGbqJYzwOSeMYqSVNl4T3buId9ZW3+XSdai0LndLi
OHR2sVvs1loOzXMKGob8fm14HL9JnEXxPiKDLfKQaHlMgC1tvCupYqZQAo32ieBv7936ZzYOBWUO
YBtLE0jPEfmvdEmy3/mjG/n8d+f5cOgDpClz+GS90NS0REI5Um87qGYVt0vxSCZzEZ1ottUMZL+d
ub20s9nlE99kiSYGQSnVNEMYpFxV9/AOP/fEa/TSB75ws/LQlaLZ+saON3zBcUc2vVx3iojJOByJ
erydeu1WWO4DxeAACcc9KHPuhmAoK50AzPTsd9ZDc/NBnjGbVXBSiDwzzNGCeLqQCAK6bpsXKfwd
Bvt4uJx4/exfhEPvyEyZw2XkITLy+fqhQCk37Fpv8CfkQCJf4s5K8T4Oc6zyXGlAuYj0QKV7Q3pf
tBe69HPb7zh7xuaP43WMFMTC6D5I/HE6jmFqCugRBP/4th3OUtg8MigI1WYI4AJFu0/nfVxeYdZ7
28T52P79wygMOqhJXytBiEduoftq+GseebUtHq7+kTCGpuzcyusMliOtfCBu/todkm+dM9v0QvID
q/6b0tYJKrBpYDRWLmqWrX1zYCyHkm02XUhaYOZ321vHcWro6ny+MYRwFehda1vrwNd6M4Z7cad5
pTtzx73W8/EniGN6Hlw32hrWfzaVYRRFmwJ089aksIMktSuZeH31KBazLXejm7W8kc3zvvdhkYEf
rQ8peOTnt7i+I8gwZ66WcCBuxZatVTHYA13JpmnBNmm3+rd2+imDDSE0fpbRc83jYeWthsGffKz7
UYiRN0oixLhysRvD5rnRDM6B/eKl8rFrDPiUwbCgurSSK5Wg7jebHRqvn8klgXK7gCoEAStytJfA
5W+BuIFHpvfFUXu3ztK+oacsIJ2YUXu2BhCWEnN+Tb0YMxuBOV2iGnTJG6PmWmSOQKujyApKd8mu
nubZSi+pk9i6Lda2hmq54Kl+5uWcNNZ5xPpYJINYeiI3qhGgtrvoINPFldgNvGVxvIXNMoIOZOgH
0L/bUu0COFLjdZQetsGDZ2Jd5UlULYj1ilAoo6mZN4HmRfA0kRP48Uys/35iolJ0cS4DVMNo7mWF
KZHHmaesxznAb/HZiYlUwORYoCJrqVNXHXRTg4IT9C6RnEX1mwMWvOUwYLGkmGUsZdia9QrilbrV
zqXdodF7+8OcD5c/3ItBioXMZVSUYAaolSet8ik0HdvyoUC2tASXhwZ1upyX/TofTnyYZECD5NCk
mAn4i4wOOpJWhUx2Oli5zAuXOTvIphbaXqGjsDbSKqAXGEHWrlSYQfm2vX9f3Irvq2HTCmoRS7WR
BxIYSZTHburtqR0sqL5fY473XhE7r9MEc0Yep2liPyqeOeZ5i2TgAWAglmIEN+nswS5+KbpJfMOp
ficxBATRi3oUfo0H3szI2eolqPj/uZ/fHtEnB4EoMQmalYtseVnb9mJnOOgXKti3Ex9te1y2ZK49
Bj5GpRW7PMGnXK7oTXMRgX4/P4oYqvwdXIF3zW95kMjx0Tce15MFQh9u1DMZyW6i+pPws+0x5POd
zq/bX4/38ZigQyrVCiMxSCYGyZ2Y+Wr+HVfpvzPBwEgoGsIwjvAPcG0MY2QScbYznYcivIUwKFKi
OzmiEhLaS23r0b6dnuqI9zrgIJXEwIY+DFoJTUfJDsR7OuaOiN4GbadOVqKmqFGC9EmcOfENZ1ls
oVJVGgE1MSxrqO1iecHlqwSP/+r7yExEETZTqEcQdLHpYtWUmFV16KORsw4eSMksStA57BsRC+mV
J71yWhHaO5ZCrqPhNazdTN2raPKLZ4ljl7d/TI4E7BBF2rYYz1gaR8wcOXOWzNneP054xLKvZsYg
S9MUo6O3vqqaWyPiRpnrF9iI2uV1kSdQ0IaLHoMkEAVxPbXrxRzznwa9ylNzHqCpE1kavYRETpHz
yDx4m8eAA1Ru2lZDt7fdh24A08MPAxfm9u5xHYOBhzINFwxmYLals1Gq2S2+4HSm5iHA9XikWhxI
lRmMEDOouuclTBnDndSvAk6iWQkRvOKWsygOUsgMUgQL+tE0ggexCq2S/YCGXfBs3619mGsVBXxy
l+Kuc1YqevQOcvCW9yRiK2FhUTVLEFPEiFlqJ5V+UeOZ15AotwK53M/pvQhWuw7HLYjzfRw0palK
xDaS1Ey1yU/0eT9F36I+4PRc8K5QygBNSWS1UxvUA2eQBSgucodW4Q/YjZUy3uBS8nPOJZuG7ctQ
GaqmBXQa81WL0p8kczL1X2RD34MQNgObNmWdtzUaMKjX7FInfNPlKb3Kb5+kKxETBLO/IPDjnUuO
H7NJ2LpMEhFCexhtgwNPy3NSXmalR3kjP+tx2IAdNunalrocGWsRUFAlc5q1g4FGtM6QrAkMGVWr
vJZTyHlqrod9yySDOEHcSsicI8qqkDXIxItKrUwaUCeXzT6JOAeFt40M8kSRBoGzBde5NiJNgOLf
Uu8LTFKT7jsHDkTOshjgGcNS7IUUGTmqzG7WV4443Ue4kSit/G5svKpEfqkM7HGmHNMcCKcMEE05
WATFGVFkOfTmdKeUnTlwmkDXP7HxzdjcbJl3XVMQlMZo21uKYMv64NHYJajfRr5RmjPqf9v7yVkU
m6VNJiUux5XcTJFfKnV4LUHcWfcaJ0/Ps8JELGAzbvtCx9YZASCq6e7xdcBhSH5uL+btEbi1f0yI
onVGurQzsgby3eIiZ+W8za2s2VrUjWy6k2+guOP2h+qpBUr+XaHvHcLY1G2pqxrqObipNFpb0zx7
OnAk7F63F8m7k5R1s09CGDmoA/Ae4WCrlRU0JnkiduqgJHHTOYuTxiaxAshq5VeG3XMCDN5nZCBF
zKVO1TssUBEbs2rVqzx8JlLBuQo4wMXKToWBlg15u9aOpPR3m+4gXzhlxT7O00Ndppwl8YwxcJLE
0UpOh7iMgEM2GT0N8+PSdJc2oGHmYCRv9xj8AH2GAkI38JCBmyErjgWUQgUO5vPiArZlNxVzsacQ
8LQhxBqq+7h1peWhq72wuakGpwFNV+kky05DZlV3t/2Sszy2d5fWJEuTCk/esL1IajszricegQbP
BAMjE96+TVDB/9D7sRvqyWloYQ8dr736i26r94PMNoOWUbIU4Ev+b4MatfAg7aDmgrF39AqEbvm8
vXFcc2v0dXKgwbAT4UkHgsTRWpviW4uIZndonHq3PAi2xn16c4IRdd3mE3vQ/slyfcYrNe8bu6b1
HW36Bwi84CrNbMi2XhlS5wTJo07nly6XPG0JL7LpoRf6YyvKcJ7SzmbIqWqCL3YQap0Tvy/t/Lm6
wDwr9M3H2zjS7arX3DzBzaVLN2lU3ddl+6BOsZsGyOXWzQVGk01p0bwEYqqvlaKYSfk65Kkbp5NF
u9LUFcggCYEZh8WLSCFuJdLLsUxvi2BZEIpXv7ti8VPZMOOF7rTup5IryCKMuCnjQ6iQ50bJQFDz
TQiIJ/SGM3ahnXWVrRv1UQvxhOi+CVqw67vZjsDs1icB+D21fawtB43gF4yRFUnlcx1G36NhhnJ7
1YL+Y3mJ1M4yCtVWFOWhSsB1PurmPMa7KCaHqix6Mw10V+lmk0rqkzDOPyqBfO+b5BVkIt8xyulK
hEdTxokaVAaWRyCjqNbAsHh2MA2XyxjD80t614wPSrqPeRpWnMeAysR6RtU1TQ3Fa0xFP5d6dBfm
PSdc4FlgQHnRBI20I1oU4nC0BqO6plz5DR6UMGCcyaMW0xzlT0WezbIPvX7W7FYW/2olOgFzt6ap
usKYwShrIDZIXdt9sh8FTHfzOBLO31/vBljAB/9uTjsKSJRD0de1yCHZYi8LSNE13ZKE2vkrrPqw
xzw8g1FM+nANghVIpwrmmi3Wd0j+eytPKC/JcAYZUQtRoPgqKxoEYNmaoNREut6QkbwNCxouri9X
uexdw0PPFsjpttf25zH6bIxZGh3BdLw0CIUzEKAT9BopHnGSPa9X68+n0mczzCVGA7URBLVBNVdZ
RS79JAF3v2Ch0dDcXs+fLv7ZEBMMJ5gS0vJBwNwqxJb1q1p3JV6+jmeCubmSpR5wjtbOGGhDT9Nz
ZhzG/vf2Ms7ENJ/Xsf6Ik+uqVZc6SdpKgpKccSWC9wk9rHjK4j42fjfe6POqBWdSEZ8NMniqSBTj
sCU2rrLDywB6Z62HwSdPvhSfVvaiCrwtxZFnlbeVDKrGcT0IjbomxA1kV5HruAu4RCd/vp0/L4zB
1WlJg1SIsbBcMdXJU8n3SfXo8lQj96mREe2lDu1Ujhvy/J2BwEZWxVEYQJAUdJLdQIIYzNbmKPfX
mEvacVzlz4vj0wLZImEOba25jg1iS4kvBFbT+Ut4m6r7sLtQJbdertXB6cmrLtqa8kTiF4759UR9
fn5+Ns8gyNQvlaq2KfKtL4Nb7Cp3zVGKvygmHKlbcYmozwKWCukoCENAUIOVkNKRUp6iFqtNDdGN
Zysg+i6k0EezjBjDq6Yy8dKOZx3ow6K2/vvJUYT6PPrtUmAXhI73YMrxoTeyA2ezza1Jnj0OJ5aY
rdTJIA9ipBOwoc7WStRUWsM3dRdbq65YDD7U1OUxefFMMsA8lbSv8yqUbKL5U4+7unVV7f5vXORk
XQwoa33Ug1ljwACsB4Z8J79B7RPytIsVmMPN7PPadM+M28MlT+wxCL3MWlF063Te+rZYG4MjV7ut
H9rEXDzIUoL1ahic8BtnlbytXP/9xE8gXiMmSQJBMNHTPfDKHtCy7hm3MRgCI787ZkBtiSNydD5W
OFkpg9qNVmljhKZTKDHElyh+HPR76Wq014S4fvv/EwR93lYGrSdZGhq9Q0ubgRdGZ1Y16EMoR4iO
uyIGrjWQsPRpqxGcNtkt7BrDqi/zE3Ubz7CX6+1PxvtiDEr3Q6xBQWdAj17foHSpmAJEt2OUE//G
DCR0FEVC1YadxjIS6PfRHAm6cZ4PpI2PQQHZgSqyts2cjxkw7/WPHWbrhkFcDImAWqCziSv9bK1g
B5Ky1g6vGxOagaNp/Nq2KK3o8Af2n1hkNhAdjvrcZrWEpgbh6ogpA7++RQdnbum/RhdVemf2a8BX
uc66m7HNHZk6fxm8r5itVE1U0NpRDqG/ocqenBaWNn6DEraltXhfj6JV1aGjCLz+/LOX+8eq2ToU
pCbVIspwDmidgliXwtTLHHlBwEs9/vnOWQ/cx/IYcG6mlMzLohJb071xsOvgV7Psld6vuC2/nA/J
FqL6KZ1CVUJ6NdoVO8xO7VOrdzXwcCOXy+fhXu+xDbdh60/xQnSdhDHIo8KjNB5Dak/FFSGZKaFb
q47tTvildo/FZG+765lS8ef9ZBB6IPOQKmtjc3D8L6kNpk53kJiCm/Lm0Hg+wgCzLLckwKQurrzB
Fgy36X5Cz6vOd5wV8TyEgeQ61fRQ1CHcmFzg0EMXAMrv2dVkSrtmzYvfy9bgNeCsUjgn/0w+/vNW
MljTxYmCEWFcPOt4QHWdud2h9QLZlI/yXnWTGwMdVIlTeMP37RWvf3fLdRjE6bIQpMUlWhmQL7lI
l9iSRggzK4GHVi9fnxNXB3nXtknOHrP1qQQYN84dbqShTo6LkLkV6IVltfYkRfOWqPO2zbEi4hjf
+rS1bHXKGKJikRR808flakYAA4n03eiI4P/NvZX89HtyGZgZml1cXuX//H34jjfsaEHdqtCG79Yy
Y3CRoRd5ukREuL06DmKzswVll+lFKCA0QzXzUgmvS5ncZ8pt3mZXQzhAxSOX/SzjcmuffaR8IClb
pRKjajH6BDkV9FO0ztpNUd3lqLMPGPVzIdzh8s7/Gdadz1+RwZquC/Vy0HA11qB8opbsC+b639gp
reUWGtiH/gIs3w6YNnlgzvuKDPTo01yMdBiIXRZOtzwX+Z2c/dz+il9EaR+ewuCOVoVR15V4hUW7
Ck++yQ8vCnPVGViV3nl8sm8TmBuHXmHAxijFeFQFpAmKtwZ9O7GzZ8HUAHp0Dy0PW0OQ/R/Srmw3
blzbfpEAzRRfNVaVZzu247wIGTXPs77+LjrnpARaXTw3DXT6xYC3SW3uea+1AsSE5Z2du3pIB00n
dEStzn8IsIhBFJ2ahsHvdKhaL2lVM4P96y49hgFDQhzt0FfvfiPe/N1zPIvjPmSZjtU4WYhuZql1
UIYPujWxY0tUz2LZ0MfbPYvhvmWok2GOpAW483rzWQY/uxkJkRf2Pf5ZBvcFiwhI82mPIkF6VB3M
vgabIa3DZd3cN9dnUZyHmDu9JDLjMl7QtukVPejG9KCE86HsE7csRbM0OwsV7KH/kceXawntRiCB
IINWH6qDYdfYOY884Ct/bVzZzwGX9y/V4j3K2eSZFVb6lWxE1qIVvqVTe+xKe1KPl2/xH174+Vhc
7KnqEZVSE1Zk/Dy6bNhKckAm9YKlLIAvCJuPgo/2/vI2Zypl2oPOVlNc6ar71cA6IwhN3fGbiTqS
NdiYn0jsyMG0nSNE2d8Pfc8HZc9jI7o2unrSDBjqCaCfDJijcqzjGrCZCTGVu+icnFeIxlJRwwph
4RLltz12N9caVQF0prv5zkpHX/AR993e+WycBUnIYo7T+p9WAmtbxG7++n1wFa8NhsPfpdNnaZwh
WaSCmliRQSVweo2yxCmHF01PBUH8vnc7C+EsiTabcZrUOFKqRHbZvub9o14LZIi+EmdCNKuYqZXA
36gZddLIJeanZjUdywgSXTD3ITgOX7xt0zAZjBSlsXTx1f6tXLGEJpiPEIngqooDsHDS2kTXL04e
5f4t7ADm93xZ0QQX9l4n2LwhgDzVTS6hJULJnbH+qsi1vMx2Ez6oqwhIRySKqfxGVFi3GCjuZlTZ
1tKem5O09jatcifJPqVjJwj9Ba7xIzTEuGhjOCgwtXdhGNuyLnBWom/Dfr45TTeXsdoO0OZRvS6x
s6kaXklfLn+cXRkEfINEJ7JmEe7GNFmZwT0IGTV6bxooBvTYTUWAaMySfAgiNkI4K6oW8qpaMqyo
1BySGRia8EmjPY6jIH/Yr+1uBHE3ZpVK1+trx/AzraB7zLz+tYd/UI8s8OsDgEM//FWNfCOSs6LV
qDR52aKDZNLbPHvQo8fmb8hlEEZshHDGM+1Be2JN2Ecaluihq+LvVbrY5mJ64RA+y2Vol4nmaMny
GHWj11fEXhQirCDu6vvmj+CM61xq1qpXherm18wXFg+xazCCQwnOkLHc5EH07bJy7j5nouu6hn+q
ytfS0tCiVT+hZilLnl4/Z/UXtbvR86CvBVOm+wp6FsTFM6Bgy4x0ht6UaXen1PTUxFpQDPIL0Ijf
Lp/pH3T0LIt7cUTu2sHSFZiNp/m7eSqwYhs9T2/tt9BXHuiD5cuvieJdFsp80scHeJbJPUACeko9
r9FxrEdqt+aPmk72NARD5TTmD6N/S0XT3ftm5SyQe4hyPPyndytbT7GhHLMY9O0iOut9hTwL4Z5e
juLtmE3IG2RsPtK1cob+b7zjRgG5dzcudTOTDgqoFlddltlW+qyIJoFFusc9qxJcDaSvoHuV7veJ
4Sw0t9sBFD2CdpDoMXFxiymnRC9CGOGyeAPmtD2bgz3Fj7Q4TcKInenwBX3jq2JDNORZ1IaKC4JI
7MzPhy6w7rUbxJaYFmifE0XgigVn46tik7maVrmi4lBlr1X1NRtApRyU2DibEoGL2f9axCJ4+ZZs
8gmdbNF6nRsCrlCSOtQ6lHnjdCXb9Pl1+cnuF1HJWRIXmRUjseKqMBS3BbVXcujQ77UwhFM55hFL
iEh4hid6rG9EXcP9qzyL5Uxh1k9GnljoRyVNarfNoY2pbbWvygTcxe+Xj7hvJM6iOEuYT8VSmWGP
OhHiwRBWSHlbU4Hl28/AN9fImb6qSkBhR9AmKX6tPuYvH0BCCGoDHY1QDSU2yY0FQbvww3G2D5st
Um/VUEa2soxBLXy4UnFyYoefQr/DE2CDYVPsa2/aj8sXum/mzxfKGcR6qhMFAJcwiKfooLzTff8v
2FDvO98fn/dZDmcW28VS6r6G4Z2c/AhyhRlcqcSXQWsGYEQ7BdKz9oWAgNFpQaAuu+pBeMfMKF76
CzijqbNBiFVLGPojo4bFAOsthk0BZoaFKB8zaig0Sp/aoLwBgrkpUinRE+EtadYCtDhBe6P9XB1G
sE3KgXSnYwhrfcVqOiAFgBkaVFjPErGOCYwPnw82tWqo6TCpbjwVhzIrPYJx5cgariciGjTc961/
PjG/9r+QRjH6EGfUms8D/dWJIO/2S0jnd8lnhdM6S52mKygsFtUPYAkACy526NgD9K7sHdKCwFAf
qV/MP6ppVtFuaE5jkgiGUd/XZy/oEb/oP6SjKSUqjknC4nWIVWcyGSCP6oDz5sE0nvUwd8iSOYre
23FoBvFSfh4M5VNN7D49NVIYqNJrqxunMc48IzYfsO1yLMc3PRxd2cpvkA5ECdUdmX6uRwx5AL97
iFEYrpIgTKzbQn0BBIYIK3S/vbC5W87mrY0090UNJ6WHL3TOvYz9ndpwjJovfbj6SvuYyMsh661A
AiGDqsveYFZf+mQ46it4ZwfZHqz2kFbG42X7JDD4POpAU8uhPLZ4tbH2faoSByFCoJuixviubaAo
wFPVIqrOb6UlKw3HtITFD83hKEVINHvwflaIdrTsqgq/xSH1L59rP6anqKcaKkIC690lbDL1AvuS
1VhjVZOBKk6PmCqyUz90sX66IEFqji3Y32dRsWt/KnMjlTeCmi7nZERE17qrz3rzMwj8tEPoapgI
jg/KSQp6VPIun3X3G26EcsZvKaOskw0cldDAWG7AzCV17mUR+62UswzezlGC1kbF6gXkjjUEuiB9
suCz2c7r/LN0DIG8vSNRWaGaomo6VSz2883Xm5ZQ0sKoAmFleiirY9v6bXQUHGnPnm5lcK45lFAp
wrAgMnjAFWs+EPN6O/sSutLL79JEidhYtNovOhfnprNBwpxwgyg8IsqVag434Oo6aYUQilkkh9PD
wZDMZtJxf/rN6rMPVpxijHlG14Mb2qld3SWuaDZ4V0W298mpYUQ0vY/SAbA0PmAxpls0jRwC8AJ/
/sWQIuXUETUadyPJjUjKjXoC5NaQugzWSw/Se9RkfepoHVruqC9h1b5E80FU/xAoDU9wOsmZlpEY
6/PyNDjot95LpiSYctsde9meiov3pyUe5KhCOYLNarDBl+hUH34jJBiiR8B+F+9tt7K4gF9uKUmR
PuEV+7LlMEKuwlGwmOE0YH7APAiCYsGzY7/xkkR2w5unvbZNh4VGJFHDqb3+3agaIwx6Dq7pZ75x
L8qedsMa4PlpJlGB4WfwIwwDVjW1WMdovh5kt6iqPrVX9Avrfct2+qAIPt7+wzsL404ny/V/9gAS
43NVAC24tjNd8NFEMtjPNzcIvOexqWfmZBoXY+r5fNeKysP7an4+Bmcb63kGIU2GsLY1pispIzdh
LojzhJ+FM4VABsKKjgITFT4j/gFvWdbY9WFBqlA+iFlnd+OBrRZwFpEUimFadY7g1gsD1tEOXQpE
JzaIwDL3/pm62atA1UUfirOIZZtrTU5xREWxsxc2eBH7w+RQp/213GknBnmi3wIwQiB2/03/+Xj8
uhWwznpjtvDClLvBM+DYgKZ+nR2bY+8sh79KvQBKrGoUN6irFnfISI2zWS5grabWXjExU7r9NZvh
Zk31Ads8Tn6LATNv+CYqab3HHB8syVkyb/2bUu+TukzRwziU13KQLU76KTukfhYsd01guSziwsDi
EwkGJJ6iFandj7uRzhWD+n6JqMXylMlyExrban0yiGC6minlpRN+8AQVuCZjWQHUkGEnk6djlCV+
k6ubkNwUlSvQG/alPkozMBuhaLJq8jvtgzbQdUyR/02O7PweuDQnh7XYDWKbLiNUmgMQGbLFImD2
ib7nfgABJfqvfO6J9q1sWuq8sFHyxTOd7IGVLQyvc0Es5kex/f8nArDelfa/8jjNxcNE9p4gYAmx
I2zdpNjBLf1E/iq41t3neD4W/xwNczGsYYSLXU7jdY19FBDdYFxBtTN/skWXuK8xf+6QX3AHZ3gX
mhOWXwBtbJP+IUyDWiE2le80zdZNQZNm9w2oqoFGJSFUo1z00CI1T2RW/agxZplOq4c8z9Zr0ZLg
rmJuxHBOdVrKJFUaPIP/AqxnWFVqA1EtR3Qa9vONX22yFLQF9Qr9Mz8PxdcuPGrlX0U/m6NwjhWF
C61ZddisKu9sM0QRQA8dIgMOJl+dqUTwmoWfS7RhtSJGBTv1x+y1MeaHyzopulDO9+pl12k5qizo
G1on5WAetSA+FP6/vVDuQes5DipJ+G6x5GOouplO1PqrMGJzodwjzjUTOfcIHzv7xS3rayTXbE+p
BaFAHghznN23/EeazrOid9VkjgnFxcGjj9cFJscyR35iy749lr3+ZnKMbqRxLkaRJZJGOYanu/5R
lhI7K30qWkfc96KqQS1NNhTsf3NCdDY5ZiSIJke/BiuDemuCYB6Ek3DfwA7y0kfJMa8Xf0UFl779
5YWepXMerlrlNbUKLF0ySkIgap0mAKkgJjPfVxEX0aztezPog4/bnJazWFqhoINU4I2X/Qksc+F6
N8zfmvrF7O+6UTutIFcQDjOzG7wkkzdfsl7VdYobZvnc4nV2clKxxsCOKMrn9k3Y+To5E4ZEZzUM
C68hlb7os502T5MocGcW6tJpOAu2pnNdZxK8dEyOTenWTWCUV2YiMpT7L+18Et5E1eE4KRkuje0E
qogqGbFjeJD90kt80bWJzsQZqgL010RmxLhKahwXGf0obB5nUX5dEdW5bHp3e1F0o4GcweoNIk1h
pGJK2Fd8tivAWI9WBKqJo4HaMXIKH6Z/ehUZk93IQEWPlMoq2NR4MNN4ULo4LzGySdpTOzoR+WSZ
dtnfSuBrzxpBLLmvh3+E8TCmKAIDSQ5z2e5sTE6t30TaT2IKblIkgzNcixmptGSTZbUS23mZOfHq
qSKwIvY2P2r7+SCcfQIKcNeSGAU7tfCM6bvaCHLEfc07/37OHi16jI0xHVmEIUPBU9NT9CcEOyel
UZ4vK57oJJwVQq4yReGKMkgSzZ5Gu0MWJt5lEfu6ramWoVNgNeuUe7RxGCda28P8jGzIwM2fetkm
t9JtjR3syZ2OYEhLHfUWTZjHy5J3AxrNVKlMCeTzaEEjkG/CakZYpQcMFiMLDBCWiSPE/aLFRg5n
/CQ1T2cVMM3ukrx2oBfQTG+ef67YLiA5EFpOEdgypyCithIKTrir7RvJ3NWSGUAZCxv1kic3HCy7
qe4MISz/fgq2kcIZwlktaTU08m9QqRGfcLXh/t3aq46ll93pfzEAAxDJP5+Ns4VdsyZNacHIpwQE
aYh6O/Obbna2Fv5MOpHvF9wgjwswptVaxzmaUBTQtmb3Ajqlr1lTClJ2kRTOKqlq2Jk4kwJy7gE8
la9x8wI09svaLpLBGaV0KlTQA8OUG/Qkz45SXM2ZwIALHhQ/hKq0xJxkJiI9YtAlYDgzbGpAVETZ
XZ7baADhrBLK91I2ZpjVHP0qtwdA54aB5n5LPHprXRfX2T0QVFQ/vPofdhjYLX0w7WflI+yWN+ne
aEmhOuoxapzU7q8N8Jhjy5tC3uwxVmVRjCGyHYSzHXKTqdFswDjqAVtoQ4AN2nQXnJWTyyrtrYh9
cL87sjkgZzKUMCdz1Chooj3TO+JPz5FnuuQhv2KYQYAy/ymK5vf1kgIKieoEnTvOmWmAFqdxv6D3
0jpm/SWfjlTIc7XrxrSzDE5hLCMkM6JPBXt60e3isRSMeFi0PNSe6mMFJLVFOrrrojcSOT2pdDLO
owkjJVloeKJUbGl+sV6hHCp41vs16o0kTkP0WMnIoKNGPTmDtwS/J/WAYYcEbHa6a7YFIpqV/get
PN8npyThqAy0ZGEhK/qxTmEK/CpQgGDLWpyeiK6Scy+q2aZxN0JB1OxQ1id9udVmpxBxpohUhPMq
k0abZgWiHeZYvCgBKqJoEFBwDB7GoOutTikGFt02B0l7iWTJmU27IaVIIVj/8qOJ+vNx+GnrUlqT
bmRt3Ez3FfpsxFdj/jBHwWy+qWMgd5/pKBqVE52N8y1ms0TlUiFBLn41h8mxAupjbuJH/G25m9Ep
MZziKXLXt8sO7R/cwPmgnOUAlH2UVT3CbB3Fh8yL/SlA8TcYT9bROrJ9AdNv0LM23obDKOqXCKwW
j27QGmTKxxwtXVxyGB1i+U2uXy+fb7/Icn7ZOmdDSJctzZwi9gD0I0gikdF6iWc8zlfmUUeRRQmw
DovVQ+rOb+2NyPOIDsiZlThf1DWlcHSLdtKIX67eLJqYFongrIgeSlZaJqAV6ap7o/EK4M2Pgkqf
4FXzBIdtU9Vpz7riFblK0vt2+XT5G4mOwFmNWZ/SIu0wRTP2jR+Rp2ZUA1lEQi94XfwUdhK18WiY
bBumfumLmyZ/pJofDYImtEgKF4OWgyypQ8V6nfVtFR1N41ufOIlwtUv0ann8Aa3uaQ9wEEwk3jGc
RXQc4icVbYan5X51Zg+5CnDvzOcJaDaJq4niG8EH4/v6WtfVcYwVHXdNO6eXdccYpGc1CR8u64XI
Q/JYBAiFq6RiDc4OyADrkS2cjrb6xKIN+vZv/TEPnL32UqNYHSzFgjFaRuYYust9dc1QfalLBW9K
dIWcZbAiVa5SjLO4o2J3mMRbbws9EFyfwIfxXUVc3BhpFLuGAxiFSxL5MVgF5sX0LQsjSQXMedED
VaGbTv2UPQqE7xa9znaXRyKo6Gz11YKAo0lnL8o0u7DItw70X/2QnaYut+fUuo1n7Th2ybWZFXZR
AxUdAV5kEhvcwZ4S5WBd0Vs7NGVB8isK93jc1UKRGjlmcxyj3x+rF/SCPNa21gL5WFXwCkiLT8JX
8w8p/h9Xy7cj67LqSoXiSpg6h1iVQMSHoYQuB1ssq5nESyAElNvVs98816pMTZkzSPjSRKIkQar1
ffDkr0NQOGPoKLcoUrMqzWvx2gv787tGcCOTC2TytVrbQccUhGm6APQvyaeYOnQQxEuik3GByyoB
VplW+IaN9dTriZsTn86fL2uxSAaX8kxKXNVDzyamiqDC4g69E0Jk7TrXzWWxP2GTCw+hNgP/CK3w
RAXUNKndxThcPsS+Gd2I4GxNXoXJWBW4qd6vXhLsQkDTv7yj13qDEM5pdxCXbqRxAYlUz0XUl5BG
n9gsw3QjRbZ226IpiHSbwWSFEd6+TY7CV82++IeYfSOZy3Ga3NDGsYPk+FhdsaVXxthJH83Yzj4h
7T6JphhE2sHFLRbmgNJkxafL9MKJsPqhlnejCFRT8Jj4HSuJTrRQUyQilXIKdVuWr0oVwP2C3T6R
jvBQGbWSZXQccHcVA+bAwpPXH2QGoxvds2EpEZaE4Ore/5yN1pv5pMxzhKsr5vFzXMXHIc6A904G
QU1wP/w/68S7Td4IyqpOzkgFpw4O+q/10cT4GSOPTd0QpVUFOzmrMzp1jh2V3Iv8Ubh9IHje75Wi
jfx0ac1kWpHUMZsfA9wonGwMauAptLc6q615/38OWczW6Cb6dxZqQZSHfa2bJTawiAetNK/6+VE1
BSiv+5/uz+/ni7lFYqkAlcXvT8PT3F+N1W3WCiKXXbTEzRkI57UitQd9yPpesIsOwzNASR3ZBzio
r6Z25NXgV2+uFadypysLJev7EevWQmvC7NRHa3I+J+fFQPGQyF3Ggs8WxioDU8GRRQnmfQZ4yGfj
ltyY9nBkYJuzICff15mzZM6zjapuaoRN/NfajyX8UknOZYewu7K2vV7OrY1EAVdfCwGNN6H5X3iA
/IFTYOOK0lfp1vDIF+1UetIxLN3sW/wgCYJf0QE5n6eO0TrMDUYPVnLU1aes/juPd75BzuMhWV26
tMW3I0+KTzFarX8ybTZsiuGUG1F7V/QgOIfXFNp/Zm3C7DTSh5I+UdFy6D+Y5/OBONfWlcj3imwG
e0r5g8C1Gk6svViSXaMzj5JlC8hs2c60yAaX72Vl2fc/Z8mckxsKmWCqFVdZl2DUlStH7QONOkKA
RsFzs1gyszGU5ZpXVWeWGIyqIwdtPtn8No2HMH00RFuwgu9lccYlrJds7Qe4hMj6DJZKqblPWsGl
7Yf6ZyNsccYjw74wGqaYv2oBMNu+rQf5nu17FywbRyQi+Zc/Evv8F2yVxVmMppaIpq2IU2uowATE
7emh7R7bKmgnJ5sfLwtjX/ySMM56dIkV0qVBjYO1mrNTFkw+yyVExf/dxb2NleI3kYCUo4btjEOh
S7Q4izcE1c/sFGL3aXBJ0B0Bte9oDiAJ3X/5oi3OfGBIpFdaZvqjihW8rMHJ47/xooYsa7plWqbG
01YasobduTZEPV7Rf4QxPdRJeNONIiyAfcNxlsMXzMe6/A9I9HIKg9+Gng3ppbZsl8IhvV013Ajj
XlaWLKRta4xKx+1Bwxw6hv0xdkV/zPOhFUEL79qLjSzuhVFwYXdVpGH1qL7BwiyAUJBRV8mXRBa8
rV1zsRHEva2yWEg6h2jTRIkDQFV7iR4jPKvLb2rXI26EcG9KG+uJDgT2YqRfVfOorN7l3y/UA3bK
jXnt1LUrJkCIIg4Ng9LtbvqD+sQWf9qb0EleL0sTXRn3fuoutiitUWul0oOaAY3kAZRJl0Xsl3A2
N8Z5XTKFS5knKKAlv/RTcgUGgJ/pt+J6codjbD9Hd5kvNEgileOc8KLP7RpnqFObxFFvhlN5JH56
J2GrJCHe+sAG5MrnCOOv5Cg47G4lb3NYzgmr5qi2GisrF4VqT5HuYJbNrhTrajCTFyoXdwB7chZg
pU+ZJaiVCb4lXzeXrWZqUw0tPVLfFBHydtNWlL/KPs/n4yFLaGrW8yDD4Mrgq5U9xlcLhNv1xPqu
ACz7JrhO9mQ/eLCNOM52dFMX9smE+JPBv5tsHuBWfSMO0x35oKEs+m/Px9mQQTFqNUdxDk0oVP5A
jcEK2fkvtl1B70XBgOiLcbbEHNs0syKUGU3MwbSEOCm5nTSBSoqEsJ9v7IkpYeC1p0jgjXY6VnPn
aHL2MIfLv9Q+zpIodbpaPYOclOjNED4maEqKcAX3lz432sBZkkwykilO0YVkS1usPAa4RMyDevlJ
PPoiujbOhIRynpIoiVTwzN2bs43wc87/XWTB17b1RtPVlS29FG3uKEBWwbrDOB0ET2jfFmpYPwGE
Cv7Pff9B7pIZMxNoxFO7zB39hNTEC904dqbvI/BPsQfs98iNm4OI+0UkmVOJoVF6rM4ifJ/DmyJ9
iZVTJmFL65iLhkLeERg+monzGTnFMKIqaSsFOs4m5EF54Q+eeeqC9XUGpHhj599g+I/TtXqQflyp
N9StnZXNLx1FK/nsRB//DpNiCUsxNZmfCMNLM1pLYwgzjWaX+jNRW9eKrhRDsS9/VZEgznKoSlTM
ZoMD99VDWIYgRSR+WCzXlpm/Xpb0D4/ufCZOf0iijFYqQdSweKWcHWlVOlO6eqEGkJ4K9IjUdJuk
WRxpxpqmIkL63J+XNc7yOS2KJzXMtA4eFZmzt7q1zzhylasUWTRWLpjfWYBRhOV5EVrPvvqeBXNK
FVHszSgr6GtNdT7m2NysC/NqAZlQuLYHI09fLl/0fkh+FscZnFYb1VBq0AOUhmClvja6puL0yqdG
PYyjyCjs+9WzMC5MaXq5HrMM8X96bdy1Rw3TwGFpDz6LM+VDiKDp8uH+Iar9I5AvGkQGwHMTQCUC
sNXOj+ZpAFo28SZqA+Dyf4CqF7wPvnKgrWE+ZzLgwGAQ/X5O7H5tnZiAsGUUfLb9bZmzfvIFBInS
OOlYPT4rIjtUjjX9lBfulF5lSeHk6e0AJBd1Erz/fe90vk4uTJEijXRSiUH1YsR/T2l0rIShkEAh
Lc7GlGqRp2DDQKbzffYjDLiCXOCqCNZAva89/Y6BLSwH8imR7coTaItAPfmCQqxbDGwSnkM+LS/k
EHlgAXErFJI1TwXnjiaYBdm9TRMZvkpQ6dH5EbKBlEtTqax5mJ2GNdC6R2sRFFLZg/rgGVAMBjSV
qVFL5h5cWw/aLLNVnbGI0VG2o/RojKHdgLAvRqwu5V5PPl++xd03cBbJ96MsxtZnTQhlmyJohmur
vO4oIL56wdNmanDhZO/+YxNfgvxPq9YE+epi1ugLXcvar8vn2Lcdm4NwSYCp065L2EDQCMC2FRzp
odseyM07ibNw3EMojXtafcdahT2+FIYtrlVsHRXYXiyOhtMGkS/KAPa96+Zs3CObYtrXbQxN730L
Q91NUL+qT8ytxadWZDTe15cufSrOlUcaXPT7Ik0MpofCqwIDuEvmG0VjbcbKXe72r+lrdtSwXlU6
3ZX2o8cqXg/ch9zLAzE1y/7w9ebwTIM3qrMORtNmGayYnqFuaCIyRWHIQZr+dXbKW80B+43Asuy/
9D/P8D3Y2EjUQXPTJRJeugLc6GI6asBunAQyhBrEefK6lOV2HBEFsk4iRGFq3nTzF2xeHUJPEaR3
+y2izSVylkVuFYOCCpRlrPkxehmxCAim84fxkADiIbxGnF8cWWPYvF1rxEl/R7dIz3/Ae2N3c6eR
ok/TIGExsJdXvwUj6TylJ7VoBC5vv460kcPVLOnaRkOdMm15n3+dX9uDdcRsKLArNESBEfboHNFq
224MuJHJmR4jAl9ELAMUc9Sf2xT054DYi65j3bCHSPQ8BbrJg/rFU58p8YpaRzsr11pMgn5arhqV
BgJzuutcN2fiTE4mrVi+aQFI0HnkMwOECpNg8BmHpHpI3LZ3/2rFfSOQHXyjIAoisWxd4IhSzA/j
JYSVPWPk/PKx9m+PoAhPNAIoOy5aj+vYjLoF2jGTIwVMjpn6RSO6un2XehbCvWwy6x3SIazQyafk
oB0A019/G18TJ71dXIA9flOwD6Dd13+nGWex3BNPzZC2RoyzrYZnRs/pdIhEkFOCk/HxeajlKFou
mD7L6TEbj53+vayuByoor7E/9KMD+nMQPixPaR6nTYuKRzTerct9bhwWWnqy4bWt4WiR/68Fcu93
DWfSjgs+2EDmO/Q87DUrnBQLbVSqnW4EsK0CjCHycFkXRZfJhRBWFrZhnCLZGbF4MwaN8rPWbjFY
eVmKQOP5+LyL5tacUhh+ozt2BWgwnFi46cDu59IH456u1GjaRFl40gIvls3ja8Rm5K/kBHTcn6KU
Q983t2f94AKCzKxppbOCaJ5LR9JH36JsxuI1KDjj6dboJw8Nbk82a5+OvxaVVDZgn10pGW+V6Fmu
QM/ZFDZRzEMVtZ/bBqEbfRiM/soaEMMVyws2oa+nLvbbTqttbHFe5XpjJ0vzvSm11Gn1ziVlj1BE
6p2WAhZq+Bmmr3FfeXGUgTMlv+8Nw67C3Fbyzovn2annEdok1Sh7TE4sSa+Xv/C+y0OyYLDGo2Ly
o7lrXLXh0skoqqbtqWp+dbrmdSDn1LJvfV9eJcQ4VnrvSaXsTlX5qW2xIqG/rmARaYSQWSJ14wxs
klbyUiiIwjPAM+Re137uU0ENeTfjBATdf2y4xZnXghRRGbUInCia43maHtY6dFdAoSqS/oCu+U2z
Np8uX/F+9nIWyZlWNdSAPGHA6U6A/EfY/xjGs39ZxP5XPB+Lx+AqySiraoRjqQFb3EzAQJHc6K5u
vyMZ3MXPkhhoUnCVPAajhZ35kFoY0lham+bvSFXdz/Jb6w2AfjHfGpR9gTh2Ml+ju0pg5AXWj3I2
t06KcKEqXIlVYuc7qu4r6KI5N060rs7lqxXYiw/YSk2+1igzAxkPWBur9hx2ia8Ar2FZKzcp6uCy
tH/IV/4oC+Uip1WK6hRwTr8D+wwVkfm1v2IzbhJqIbEnGY5oW3R/PGWjO5wBtqYoaiYFU4nZYqfv
vITjIcJM5OH3KEf0JATk2/XRRDYNmSgwOfwaFnb2qDWpkKgH47F4iL4AdcOzXILeBPpuGhKIPiiD
4ltxpb1VB8EN77ZPiS5bpskAEvgh0BSLZrE24GNWsK6kwjSH1wNtJPJApWICKEGBeS7+CtSbbqRy
37XI1jEqsaTjkt5LpMck9qpBRtq0NvZwZX1OQjazJee9d/m0uxaVYCgLOHIUiAx8QtMreW4QBCcZ
cav6uiw8NRVM1e7rz0YG9xhj7IyAyw8X2iKV170cvR8Urz3Tfq+ePImy0d0HuRHHRT55qebjyEZa
k+LnJH9e+reoO5a5R4rHy3e3/xY3krhvNhMdLNIpLm8J0etBRBABhWFSMPDZe7qvHqxb6U00Ri68
Te41KgPolrUF6SDL7JFlY2o9c+qrzmUtNFSHPgkOuf8czhrCxUO0jKmqrThkP5ZOVsa2lq5uBKz5
7rpLbnHNcXavJwKp7OY+xHybm+UcvToOmb5aK4QSgAWvra9Flnv5YCIRnKNXFnTKog49pbB8URoM
fGaCCHy/BrM5BOfXTXmup5bB4UmH4gVwJ1dJoN6ZthQY6DaIptD2Teafz8Q7+FXuyrRnDp5VJrog
CxhUnLh4Jbg13qcnoIlWgUSM7LPrbSMtryPLELSkRSI4c7FandalbN7CCE9xH9m9iLhN9IQ+uGyz
inqLQqXlANxKL797T8tdixUyt3fKQIh/vVvuOGsC77RjlS55GL/PUzG6j9w3Jzt/Ze7TRLkj/Rm9
Xtbt/bWajUDOSGSZROoh+V2QA23QEbsEV/Or5ACI+NPiFj47ZyokdNuNus6pAk8fYE3GOkoznlRE
X7P4lyJrdi47WDqwLx9v12md5fBTRk2Xj4nEGDbWofxUAoxp0rNjuX66LGW/67sRw/nGmHarNZhQ
k8mZPMR32ALpD1VQ34FIyJ18NiE+lXb6LES/2yVmZg2a/+Zc3BOgk4X1vx6SsQj5kv0KHcPWTzpS
38JZ7qm32jG6D2zdHjw8gCftQHldiCfYRNfMOdKkleQs0jDqwiAn8sGpXqrb2tcnu75aESeA3xuQ
ZJErGtkQaBG/x9tSWQLfGqBR1wTJtexGmWRnQ6CpT5e/726csLlk7o2QaJCWfoUDa6TrBCXrGiOo
BwCgrdPxsiDRPXIeNI8mvR0nCFqwJ6rkdtR7TSIIsnbN/+YwnMOsl1kOTQNpwVwjCaDHLq3sMrqm
I/CaSGhn6tdBSNvNnUuWTQ3QcKamUoBSKhYfpY8tYKbTBLT25bXk966JSTUG8rKeMqf1Fhfpj9DL
8ab7g0zuLrW5l7NMgcwe8zXRofDCo/6pA6mX5qhX1BXlkZwv+iCOu9ZxreUegyWM4/UZ9a21dC+r
Bh9CfhDARSFTPc2z0oJE1tI/V/Idag00PKmZmyd3MXZqEN1Zg911NyGWIDP12kgFiTKXo/PyeXAl
SwZYQwOiZlfVwS6qGj/k5nUFP09WPmQaeZPG6v9nuz8I5D5gKyVVM1UQmMSOKv2Uc6cd/4+061iO
W9mhX8Qq5rBlnKhsydKGZTkw58yvf6el+zx0i2bfa3vrqoHARgNohHOeGR+VCrfvMkRJJMQkvK7Q
VUkFKGWxgJlDstr5KJwqoA5VtnqN1j1WeqYjK/WiE70P8ihPogD7pZUwIfQWKGRsagd4rDYAmy3c
wGU9AKib/kEY9QG7vpfkUCHK+QnAAL5l0ZXCv0yhW41HObEMlpuk0SM+CKTugFK0WsarBHDja34i
nIRAcTpMz9k5ffXBA1DcENQIxc49+a5hssCTSLd4CLwLlySFBwylKKk0eIRY++XYhDO5775XAjZ4
NmwMmuxTZ9op3wBBxzCd1Qu/kEf+f9EnanN98JuixtDOe4NvR6J+Yun35K2q3hn7/1pd+aAhZTwo
H41VAMgDUMCoh8EDZrwdWa3TnHyztTibBeVHZzUf5FH2M2GyQB4IBAyWx5HXhBaWcj5lyC2AI3xI
9tEDAZTiM/O/cup8EEzZUSdwGFhU4brTepf3BArUwRTw9vmthqTL8dEwdXwwGTFgVXATfQDxyxMw
Iq4iVmuFzq5pTWinWZd8X1YVfBh/UNz6Xn/mv/HPjU22IBNMLbQDVkC1E9PNMGyTBqYTOi1OgJkF
8B4sYgLu3w1t7SqysFh6qgHdEn4yWKUwYgsbt49uaDa4fkUX4HOC2/xOhkS0XiDWlR9aBPjaArWb
GpiKrTKK8PRAwYcvTIXFtuGDKk9IaoFNmjvOJOAXiQVEPNyOBgDDmSWbVYTiNda6PM0enlj4/MQY
tzQnXnjhB5rQb/R8hB9Qh8BO51Myu2kxomFzr0932zb7G3MCFp+ii6rI02zovh60E/BKJVJfVT2i
bFOZiZcftTtdICvnXwgJWuyFLBq0dYO6CKZcT1YOSdvlLY43cxrglivT523VWAIoXzP3ipDPREA3
O0Jy5ln8WYzfl6jfL8YyxvASsieuOI88COtjxlQe3Tf5xxB/fiKJclpNLM9lEvUYUdgTpNzq0/wa
VGb9Xvq+FZ+0Z/WKee3Wg95FKGX9MDlemQnj2XDbAmez80I3feoPQDLCtGPobZ/R+h3/KexDFp9U
lTbGuONC/DKlx0SZTD3w1EZlhNZ113yRQ52VPFc5cD4gJ4ufgsBN+86cpC/buqzf2osM6rRaIB53
gQQZKVoFkX6qRdkcjdPMH3vWPMR60if9lKVSr2O96dsRN4j4Rt9TrdhVb3zMLpM8AcSX37YVYxi6
Sv5/4Y6quKiyWIcZhvon3fgBoqft31/XRpbI0Iom6agc/SpASKdMqxvcVAIRRujFerM9ZPsAPL+B
y8x5Vg18IY2yBb/tmmlOyN72objLQbVSOsmed2vQQUR29sTQbfU5sJBGWUU5FnIeEmm1PYKnjcQS
/SYAtUu8q61hx5ogWDXChTjq9iqcIos9eQ3ko/DKJZ+nWrwK8x3XR06csPpGLGFUnOJUX2gxOCzZ
flnbKTi7q1qzhdSZOdU0mHVMhjR6QqdrjHZGRgDHdPDPBG84AQYWYJswyaCBQDC7AVmOHX4H2iaL
2HL11XP5qHSfShRCPR0JTSihliFj4NEeDU8mTfCqk1qIIYa7uGdjEhWc7uO5oUwgm0YKHAnjTupY
02irPnchhvIdfRAaddfjtqnzruPuBulmKvcJx4i+xNA+5DALKZTTaBqlzhsVdp/7021Uxp+CWX6p
CcCaUAIM9UrOWKPEq27qp0Sdp25aro3pHIzQi6t3AYbSWOn9thXoPH21/BxYDCLs773J0f7TgWYd
z7aZo6r2qxWkpRzzBRETV6Ezqod5cvgSbA+ZlXH2tnNifDF6QD4vhGYUsN9vx0ZhJZgLmnRWo2vb
DLAs8as2MZ/XWU5SmKHEJvB1DDTaJjRjjM9U56r/tq0PQxgNLZ12c6BPowyb0/bor5tZ8aoooqUL
WNIaj0n+eVsc46TeSKoX9zWKhEbwNYiru9ypwm9RUjuhmnztyiAHSHj6J8/Li31LVJTs+boGQAI4
QWrQcE5eou075vgBw8bpnLbNh2ACzQ+peIAe3UmAsG6AxxdARq94baFDJZrtd8Oeb8ID84W5HSl1
OttNshTM5Q2R/blDFpAcANe9k4GFw9vqv4B2X/O2uiAqkiYqoPNRqetcFTzGH1M8fKrZwcqzOQuy
GWsG44qtmeRSCnWb46ifeG1GoiYDD8SoLCXe6cZjouSe6Jt+HTFMcu38FuJoxCslmYZY6vFKnw6E
4kLdtw6WFJmAJywx1K1W9KBqMh0BUfTqfedh1P4tIDJhDNZStaU6VESMq6kyOJl8PU9ywTOBaOhG
GMJpr8KDgmH+2dy+0QyboNdX+2QW55AELR376Fr8kKmvesY4ojWvsdSJOOWF18BOniYJEzwiP/l3
4oAdRynFcn8bP6nqqzpEjGoGSxzlNcQiLCK1Ri1B90+gsLcM7dZvK3MOz/PkbX+91f6ILhgy9gEI
qyX9UPCbga8VkutOwEaoQLSm73tLP0ke5wEcASXabXnrql3EUaoJczCo7Yh8ya/0Y1XLltCKZj6G
V6rSWkbfWNviaJSft+f4Uj3q4RDWYdxLAz4lYZuSTqnd7wh9tf4wA5kbPaDa+hG+yJnJAuClkQFp
wfStVvlsFIsc16AEYbxskb6Tv4tzU7jLPr9DVcaOwpnqVbw3doHNyrzXEsaF3jTEXRnOflwRx5xF
T9OwF5LPVfQpgsvc/r5r2chSDHXZg7JuZyGBloXyuebBlJMx3pk0Vh/9HWnsKU3OxQHAjbDP2pwQ
3IqzrFgYUr/XbyqbjPYVe98kO0pkOR7E4E/DjgWYt+5hftos3R3CKNMMtkP8CaV8V+ovnHAYdIaa
q229xYekl0e1fORjjkcQeMcMiXENwycSSLHXhj2o2JoZeRfjw4I77Fef1uaIpRyQVu3OGl3Azbxz
s+oHQhShl+bXwIvB2wJWeYyDfMoP/2KNcNtGDZ561Aw+CEWDGjbaOJJbAioZ3M3P6Lx95c7ZDbae
bWkwlQcmFul6eP//cRo85czLoOhr8OESnrYpNWULqPOA/UqP9XFwZ9C0gVrvKGPKBo1Gd/u2rDo/
UUTjW8A8LhbHqU8+68Mskl6R1gGP+pTJTpl4aWa1LAY1lqAPZ9tISZ02ih1VVksIePbqCASf8K5T
JWdbp9VDXOhEHaKBLK2YBxTewUqYBd9ijJpwd8Vkb0tZ9TMLKdSZ1XyOETI/V2zJTy1j0jBUGLQP
2zJWr/lCBhWa2rlBE4HgL2k1WoaJo8ilhS2fvxNCPucik9C6rAzLFp8rqV3RsJKON9OClRKxvhYx
j4WQcgpTP9Ni1ObE75OINw4rqlIjnu9O+fKp6OJfEZVckiV4hPpnkrJyIEslgM/ikZVNriatC0HU
55K4qKmRapGktd0Ttqp/BwbIOHq6bTVFSdcXQNMj7G988pUrI9Km+quT14hbWhyKwGV13HR4u5Sd
2behqfjfw//IH/bhXKiXizw0WZPPaNVWAMGuwSlj1v+Rro4WQVf0BEUZ51AhxQHVzBJgR5wMVvpL
75d/kEH5yQjjQ5MWAMRkOIgWZrkOmfeVQCax7Wt1VkG/GBgNhOEnspjNM1xyi12x6cCTNWTgdZFC
JcIfCQeZ2+0CVJmRW+y2LYLhOunUphrnXCgSyPY7sGuHhgT2gkr14igCj0vx34Zk//mmKgb2BVkB
Uj9lGpE/QBypIPb5dS6/jBPj99eV+fn7dF1KUqIi0VLYRTLvs+g+iZ0wvK2K/Z98sosUyjJqXeRG
icTuNnHT2NT1ylbazIzqgHE2qz1W0l3953u99T8W11U2fB97zXioVNgNdydH/AK4SYtzphvlzN+M
h+hZ3RnPAqN9uO65L1KpaCpXYxcapDpf+QA/lUUnMFhttfUn0UIzKpb2eYVFxQovvvjEH9Sz5HLX
pFOv3xjW5Can+GoEuFblgkfO2z68dS97UY4KsEEbBIEyIizJyY8gtsbSS1nLh+uJz0UEFS94LtWr
lDjZJL/RktMwPhhJYonY1ZWlPwuCP2XRtS++BFldOpOgcQC5FPp5nCN5xiFzWfiMqwnr5cAkKnLg
gdWL1QhBte71DRhPWrOJnNR/qjq04FnQl4yLTEPHzn2i9uoAw+9HlxPBi/dN0C15vtu2hfXA/vPj
0cCxMTap6paMgnKGpwuFWeuTCVgguT2jfrQXwFyiMc6LcbVoOvQUzMVlERLXkT/L2hdVYGR26y9+
bLwqEg/iSyDv/hrgM7GOEmXE3Q33Ovq75XXg5K/ZWd1/JcyTufMcPhJqodSDaiwiltWrtZBNeXd+
ljVklZCt+jdpDK7L+KWRIsYXpFGj3mPIRQo9Rt8G6jjOcokUpgBqToxh/eq5ElSzaLDf4wWT26Ze
g3nlbVNZHanQF2Ippy+LOWgqyKWWUbkE/yo2zswczFBm62TfALlupVYVW/91j+mDttQjSuvSXA0j
iB3xkJpUUxEKq+JFU0gOSuIMw2Rq6IyxhtnXKwEyDy5vXhZgStRRTrE6ypmEHE65Fi3RMV6Dg2p3
WNYCAaYTY0OHxSK32srXf0oUeJLtL0LdKJQJGuyQyO10oOvMuxrLYbPFY16LDVG5XnBcSKNOMxrL
qdXI24EsSZDZ1/he3deE49OO7g1UI/7EehbyqGNMwerZgYbwfeyieFTcygs+qTb3otpYyz/xu+JV
ZNRv1xNYWQLYFw+YRJkODYmG8czJR2bXAyBJdGJXQWIJUg5CnDay6NJWHfZCGOV3xkpvayGAKw14
2e7D2TWm0Zla/azV3T3jY5KPRXeI9YUsyjizvs3nKPsnXUbWgHIqWSUWMcMy7JidLWlbGh0k6kTl
8raFtNJWPd7JbbKDrjmNTQal2ci26/7tot2H+oyUlh3Xh3htJo1ZDNeRhmm+nap/b7jzXJ/K7FAO
rNGWVc+9kEmZZx3I/Cz1yMaqor6fY0CxDMG+TB+3D44hhV6RidtS0WeZZLPoJmCUFjunHc/icljP
LC+60BR3mQoKxIoUMXtA7xEWHMzOmPNOu6oDM/vcnHJnOvKBKZ6n3cxInFfziYVoKvETY630U4kk
tZzLx/di7wzFjZ5oTgTMzWKcTCFk0YuyRFJVllwYCmCqQqRf3Enpdz/3Uu025j9l2W2o3Ag1a8J0
NYFZqPjhnmu+qmq4DWog3qkxb1ddu982E5YI6npLXB7LXSdAJSG3DUP1ooiFNvubaPPTN9I0dYYe
JijowxSBL0sakePOuGvN0Wofebs9syYz1g1f1bEzCMKiDw3quGx0ue7QoKhSEJmk0yFD5jA2DQMp
cf3DXcRQZ9OM2qCGMnzwGJQWXgV2HLLqRywR1NnMYZqmOcnLR9mZwq+8/rB99r8JWj91oL1tWnRF
VDX4VIPV28IpB8hW5M2HcCc+dbttWYxToR3tHOfyoMS4OqC/40xOAcxGpXOWxIXmtqD1pFy+KEW5
V3FoklkKJ5I7+gdpF7yQ+k527s2v6nX7SKbPckt1fKBx5xZrjnDdQVxkk/C2yKv4En59JGPa/KHf
x9eAfwTmGzt/W33zLlQkhrMQg/Wefxakpvoul7H+nN5KIOKb7wcWs9Nv7u5FI3KuC1FVpxYx0AhJ
LkXoxpQjQAL30i0BEuieWBjw63nNRRjl0mUlV1NxgD1qginnthwdjcAd/yNdz3uWv/h6lBefsG8/
ayKq/h12LRPQlVamyEIQY343yj2M2lyNBaFKTU8Aczon5wadJtEFEi42oVjjpAxHQS9V81i/4tsc
GgVSc0gTsB1Mf7T1BCzb/7tVepaZ62oRSFZoiaovo00ys+jQPkmef00eDcn1YP5ZmnQRSBm5nJZ9
oGV4vUvVHglSFGOq2d72FSwHqFLWrRa14UsS6fOOV5p6jqSnTj8J4j5EF1S0WmyvGM9+yUipGa5Q
pay873IegFGoy9blOZfMumyBHfb0l5pRRj4oEeB9gV9htwFwR2QQss1X4IUdgZMaH1hlPuZ3pKw9
zRsx83mc1ZxKljGA8XFqLV8D0i6OsTETbTaN5GnSkxx0weeGOXT3mzz+YixUqNSkvtXmEQepmLMr
AS6W9I3A6LRjqco4PHrIQwMQIM+F+K5Nl6IbYtfNq8oqebNkUO9lfMegjMiIxSDJZpG05qAGO2P2
/6R+f7nRGhUoe40feCVHdhnxtw1QtvLRbEpTrRnrwyxXSI9rRUERY60DxtHjZAhfZuiqe80hBY7W
01hv4/Xa0U+1jLf/X0SspOzqLg5hCmTpwrjW8PqfsG33qXGrE9lbNB5Cj/vGuG7r79b/25/x1ltY
CPXlVMfkO0ocJEySTY+wAVoxIcYisxShJz0wBK72YxdaUvc7VnyhicgaSzS/pAAFHO9l/rvCHebu
S+8/FrIVjx5D5LZZGm9vwYWOfIZ5FRGMEah2lqB4LLxJMsPWDIHWNoGHN3Qy3hwlkzW28pvy0eXb
UnfbCARUcnXUIOXz2z7/IbSFzPTfihCgDhxM1rOL4U2MtxRzoak2cxzn5+Q0Zbc1doU/msBCj9vv
/nRUpKsUrRK0Crc/73buY7ytOy5k5p0WtT2JCkGO7SrFFjjFVHS7ZGU/xDA+1nN+fs23IaGFnETG
UlIU4sFXjbLNhaqTRr6VBYjhWeH2cvpXzyTAQP2aP6KvUAsGYVWrpMTpqsrVepnhYEgisKUR+f+F
RrKc8Hqe4bSM2Y2LQ1t9+ruTIfdi8fsTkEbSrsbvJz/SxlOyvQC2SuaMEvG2W1pQWYEfNoOYhbhd
g6WTvfJDfUxNjQA0kbGo/d+pRHmPIg3yLiMqaYkbhPtR2qfFjRqUDJtmXV2DUkoIwrwfyPIlYa0M
UTwMnMhTbQJwlbmBzRo1/U056qdxG5ReYtV1vU/SgDa1sMZwU2JvjN8HXn6deZrld6YBuWB9AqSk
72x/0vX28cUjG1QONPS6bCg5whx/O2L8M7SiQ/CpjC35+p2l3HgOvfTE7Fkw7IZuHvDcrPdchGSh
d6O7wQPWiR3tZ6tG4AGb5fO2kltOyuDx79erAOchzhiTR99gOJbqHuQlZivs6ipnGA5LDpUBdd0o
V36jwGsoxTFMT1Uouqn23FX/DRLn/SmI3QJYjKSqoFf/VZ8qUaK4UfBKU6SvWeDm42Oc7AKMBvIe
VycmFzJqlqshdCGPshHQP/nRNOGwUDMKtefceKwre/uI1nPxiwy60oLhPC1PJ9yBdxjXcee7xRu1
KfbDrW1ZDHVk6vPJYR7XUweTD+OTATwK8VuaMBorq+FK1RRB1AHWwtPrYqmoJVVHoEzmWnay/gun
6gfeP2jTIdYft7VhiBKpw+HFNCqlGqKGdCcMjzJq5vAe81EIGYJWP9tFJ4m6Rb6RdGLRIdQbkuMn
jtrfZwprunjVLVxk0KAoIE0CjG0PDy9ctzZZhyxfZVPxZicDCgtrKYihEA2pkSsRWpudD9dXFtY0
oVNc3bYp4+6svyNQgjBE8JYKukI5BY4PAyF7G9xyy1O/n3cJaOGAfuqQjeA/UmkhjHzfRdDXxkTN
K7I7E/SfwCZpJb3lt6yiyup3WwihkiMR3GxhocEQBrUBDTZvclJvBuPXbbtmfjgqQTLmUAN2LMRk
gCIRPwXAjQGwKthnwxDTHtVh5L2As3VgG8oJ6zm2mpxdVKRnMAo9nLWpguyiiM1SevFZFUriYz7k
TQsB1EFFvaF1GnF3hXLkkxujeJoUR+5Ytfi3/HtLDn1WgqBNYwJfR7aLu7N0IhwwkVV9DlEFy7EB
R1CywYH8vfyK2YEj8w9gfUjqEAd54MNoKpGyyXeycVeoHsNKyDNqQ0H6md4PMqifSCdIxuDtdA4O
ZLUPRPfPyguYxp3+jEu2rz0tNidP+Mu7TXsQpSqjOJZRi2ic0SZdZn+vOM17hWCvOtuqMkyGnmXO
4w7NLllGdhGM5iAqpl/slXk3MicKiU1sfVLyhyycCJi8IqVpYDOtPRem5gIY8ji572MB8SGwmQ/X
Va9/uQwGcTgLgbOqgTOlhEDA//xQ3OgQeaA5xeM8dyKXKW01YC6kUerlQq5MAOh+z+5xMd5or5Rd
vxsPJL9PPR717n8hl6Ul+bsWWvJZyNeiAC2JpbYYukIgwN4M4JQxbMF6mDGM5UNaX+S+wHMwFjX9
0RgN0IYKMxRHax4nhllu33DjzY0v1BqiBH4SMcGu5/su/xJwzEGjdV2w1qgjM+DBX/DrhxNLv5iK
EkmBEtj1Ho+j49Da/A3BRgysAvOfgQVYQU/49if37SKWOq+Ul7pOkxBLs9qd5k+5fI7lA1fcbUtZ
f2zqP8XQVZskHfUh7OBDWhck8Q44kb8bTnsYbN5urrsdz8hM1wuNC3mU+bdT+A9yEXg4yj0y1KNy
jO3yCXjE0YO+m16L64CZcjOOUKLCXSh0+iSHGkZQg3PdIDd98rnj0LB0I7nUB8+F2qkqq7IOeERa
jF8Ioy8gGJC5jgY8Xf5DdCJhgN8FzI3N1fu8EEaFVqB2xE1GhBHwd5Gss99h/g3lewDWfmKN4K/e
soUw6g70uSZGgYY7wPN7QbwWWWOuq+B5+kIA5YOjQI6nBkwt8E6jDUjgPW8RsJwEwMpFYfIuqZR2
OwJJtm3/q5axkEuZozxpRa608IoRaMdTL1MsI9mLLKe/vkS4EENd5rkoUOcI8GQOqtAcs2QnpJXZ
TtKxKQxPTrjK0ibfHaoRVC/ZZ13PrRmcJViir86Tkpm9kJtZOpllet/JkSUUAPAVfH1XB9O1WLKo
MMi3/r0Zq28uY+FSMfLOqxOpksuZ18t7ad6P3G77s7/duC0ZlEHxsp/GTYhpw3CvepqJAShPdirL
t5W3uET8bOh+/VrsCzf3ElOCCRCC0MgVzfsfgf1Hyc3P81Hp9scojkE8EOBBDZF/9FrUu7TXkdUG
2zY2bPz9GklmEMWkQHJB1p07OepqHSbHuccsftj+uOvFjIU2lLWJsg8keTI20hsYHSI7OgTKF4u/
u9BhXSCWsVDvfwxVKppBejihf80lWFZ4bERGiGeIeCMIX9hjDN5tA/znWPOfz2JyNUetHamitf3R
GGcjUmcTpWONRAKV5DT8MgU7ERSSBaaKWYa2/qy8nI1InQ0XZUMTkb5e4zSPpB8k7snyMAZezH/B
FMTSijqdXFWUridFk9EVXIJcMGA9JwaNnvl1tqJn5aBY4YEFMsnUkeo9haUhTIBhekuo30aXQ9dw
khPpXAYua/r1LUPZcCV0YYjva63qCgRCMigdnnrMWTSA7SB61k/aOf4CGnHUOvhddWRjqhM/tSGc
RloJ8mEyohm1XaPcq+FRZA6LstRTqY9ZD5wxo1pN1Kseqyt0Aw4GAGR8uzf5r5NN9kl5YHWCaMY1
7Ohp+1awjpLu3Mc9X1UJMdf8JBUm0jXwy/Q/dBNElh7bXhnmSqMx8FmqgyYMk2ChMtu9j9qb/wXc
wJ5a+/ttxcg12zi3D238WWyw/AdJcur04SnXbjnMMne5qaHCsy2K+Q2pTC2Q4jKTfLz4BktweecN
XtYxQHFMIABZJD3bBqnR/WYUJDI9JM90o9rL/g+1ZxQdto9Ie1sUXTjjoA/iceyhjBR8mQovrzVr
8E2lZ1XJGXrQ7xJgu8x1SmAXDNGa+Vch+Ts96M5xXTZzmpEXqp7eNGruGeG5Ceqd0bNOf10RBVV4
FVxQhk7fX97og9R4u7+8VV2R7cjQNhzgppsVuHuTaxakyrpp/xRo8L9mGVPZdXk5I9cc45cWHIn8
sSxjM01uMhahDPnTP16iiySqtiyNY1E1DZK4dwr5xHvfOmfNJq+v+hgXOdS7SgkSXzNKOFkynIJ3
1WEEsbXmtI5v1iYIrD2N2YNdN/OLSOrO5mrr94OBwPkGiIeiZY4ubKuZ3TMpRFXudGyOXWyxzo5h
LDSfzVCqo8/5MJYoOwzdrv4zq7+oRVKtxe3VR1Hrc3JiWXzQOq/UDloWmhMrJrMMg3zdhZi+wLqG
TN6m6aA6dVTvYnUyu3r+DNhfU9KH60a+KzQWpv16nnhRjkqtakVq+qghhRrxMRakc6tdxXPJeLmw
hFAZlaaHcSEUsEVRt9TuOYyswHj+o4BxUYRyGYPii2I84jVS/OhtgudQP8lYbfPN/ipxmS34TX+h
fWhPq43WNGqMXkAPJoDczu+VGGvOmRUACtT4kdmJHX+ab/Q7lpGsl57+f61RPKA+5Tx3XRkJUJPb
pXv9kGHckr/pd71V7NVdcs9KSzdPDuKorxrP4xAOBK4O1JVmKV/7YWqCvNrcPrxNx6HxH7YD8FAp
AgJSW4e2z90ZmpVrlpEzBoRY347uV4v5IMJPQBkMvmDAHON62l25w6LnA48DC+5ZzzyaOem96X85
LJnywX6IzcgUC5cQyINxtLGyq/JGAF9SZo23eEvcaJb6DQVei2TbqIne6456Flh+mfV1Kbc8j2E7
jWRNRcme8wq0W+OVL9wYLSv7YMkhfnrhwPS6BXCLBm2RedodegF1tVdKV6p1hrkwLh8NEm4YYtJr
b2tt6b1SOmHntPJ1Mx7B/MuQtN6LW5wg5ZTbLC34pEVVYDrkD5NVOZMF1sg3RIMKbyW5NDNQY9Rm
+aLv0sO/2GhlfVTKP5fF8A9eZOV0zmzndgGcCALAqdqNHd5BsgVwUdbU1m/S73+8KW4k5WbkLCsz
n+A4KCbIqLBI230HIwemxMRTeWY5GeZXprxMO4sRNxaQxu1UADsmDqGsUZ4yLNNqzmgNJ7R4ziUW
hslKQ+z9CVCwfjlkeuEA708Iz2aEji468nN4XZZ/BJ6zEEHdjbDllHRMUaqNA4eb7sLMnlggLIxb
QW8Y6FpYzmqK5LxuHH1E/Vd5jQZX0B/nxNt219u5JZhxqVuh9rnoZyPieQ1CAPR1rAAwZ+IDaMDB
oYy9p2uWJ2XZo0pdA8x160oyIjkKBK8e3MRH56P+WganXjhkpY0HsKnme7U7KBmzl0W89G8zdmhL
3YVUm1t/1tHtqcB0QjBwE88/vXeMjT3LFtcHCxeWQt0FyRi0xDfwbfkSvZ7MEVqz3AHpwR4PBpqP
IwqSpHPWoyrE4v4gimwoStctijDhB6AhIpHmbrooxGrrFcaQ+2Gvd5YQMWZpGZkFXbaQuYHPU7IR
2KUNyLC9YL7hI2fbUDdfBhpPFyzKotNCTsSVmAogV9zqrGyMceXoQYZhVAUulFVEvPFaVR445cCl
V+l8jf2GbUVYH4tyH9OoyqFBXlb9eDVqh6J4SHVGdsT6VuRPWERvpZR1zicYS6SO3z8VLONiqUD5
jGmOawAH4vezQbQ53tSywpKb/fZ32lZCoLPjqeRDDnUWvKGCu0C1jfz79u9vKyHQ6XBWyDNY3vD7
QbLTpruh3hXMRgRDBp0MB2pqSEaOYlG8n0/TObZDV7kikzGqW3vKHvHexp77tl7bhizQmXHWpLyY
V6jspdFL32PrITc5cFZ1iW6mL9uithMagc6JVSEEyjVxMkMjOXWrxvaQqY0pA9yRq0rG1C1LGJX6
GnydRS2xh0K3knDfirtQ9ML589+pRN3OOR9KjBXBDTRqaXWJ3VaaWfhga3jdlsOIgsBa+/WOVlLV
hRMZpieAw/oBW9R4SUhnNPzs8lwxHPRvOmL/zwEFeuY2AePUGImksLwHtzcemvmu2MdgRWGPE/2m
YH+RRcV3sTX8QSGr1DWg8tDKdkWrPjVX0q6w+Nh8m2Mye0//rFj8Lv3E6jGyrhwV4edKBY04gWjs
wzs+vtGCW2Fg3DCWJVJhPQUEtcbxsMQqPozf/OZaxeBU5G4byLYeQIH91T4w2eBXagFDHDGpNH82
hEPJGl1en0X5mZ+IdKO7Hnq5agH1atdA5S8fCH9NZhmA6Az2uqkdkKG7LFgHllr0/Yr7qGtaiKxS
W1NeJtEW//LBI9LN7Izj5a5VIYNAFQ9e5NRP+oOGp3m4iw+1bG8f1PoKx+IrEnNZRNsorFsxDiBO
PZMpRLTzMbjBIb8D4vROOhBkyIDJH8vwH+LbQMlC6lD5ueqXGupwt74Hdkcvs3xXNUE88C/4FBj+
Q6S7Kk0KQBtVgY7SeJybp9k/5nJvZuGuLCZzDixVfhHTe0EPGR93+6qJdLclmnxQVgfQUteuxPDs
9/vUuJdaxl1jPIJEutkyTaACDeE53sDteafAsqBxFXiNHdwULp6pZ9Y8Ecto6PZL7BcN2HEhcbCi
K8J9qu9jN3+V7fhxxsNLxiFKN83f5QYivcY3lSMm/CTkI1weWEb2uROwROCk8237zLgU5B7//v0h
0ht8I554nNBDP9kbHlVrPmZeeuSuOtfwAitNzNQD7/C2zDWRBg9UPV2RZZGnB3S5kFM4uUaME4ur
Mb7mRNZ2xJoxLgVQF11qhwR8qgDPCx6zK8NtziLITX1buquRXtmCVZuDTthN/wRXfimXCqh+L4Po
W0PBIcqPzbiP/C8Ga79z1Z0sZVBhs5i4KhAaNM3Izh0kOf63HBy8ZHTPdyJG8rMWBJbCqACqxIAh
5EiKqqh3WnNTg9OYNVC3LeIDVl0XS1UzGyjqD0ZpSslnPvo0iayS4moV+qIIQNx+df2CAWphiWBF
Vo5/i+WSY+RFb6t7ZBohsFndsbVH/VIclRN0U9wkCeHgEMpzAXRPFTif/Tch3eWgS+snxn1i2IRA
4+7nST02cgS7EwSzxEBaUpmlZjZgU0BMu+fs4mn7Aq8OQS71Izd8EdOioC5CoM6Sz6ndEzMkDyYy
Ig6eARK/eRuh9Gt4YKXHDGP5kDBEmiaHpN/Ui3ZZq6aQZ2bN4kRlfU56+i3uxz5SAT6GPpPgEnjK
9rXcKV6zJ0P9CeOKkStE+9/Fp6TTgwDDll1JMIXItLuwi9CaRmPCY7Wmt10i9qt+PTEhM4o+Jo1O
fj5EEchg+NLsxXthZuXcrCOiXIbY5pMR6kjrDfGHOOqpmVetGU8Ga7mKZYMfhu301B+R6MA3BV8i
uHn5phFukua1Gh+qyao7syyugJOj1gb27Z2yv23b1zi6CVjRjGUu9EBeX3VaQ/4SZAgwlwcyll7Z
8md0KKxcNllgQKsp0MJg6Lm8CpBe3QD0Y3QJBmf4khz0PaYZDwSMIjyio2azoGhZzpPenBT1cCqw
UwPb8QanRQoU2vkrtrDMZi9jUk1kJT8MExIpE+qrkFNbsPzYmXxA5qpMueljmHjbh20nIQJduZ+H
LtNTkknGmSuKVxUrrq1VdxbHRJfr+Xya+oTkjXniRrXVjb3nxy95pAIqgVFwYbgQuk6fy5jwHxS0
UnJdBu5aZEaS6HKl5SvXPtebfRrgEkasoMOIcXSFXgZvtKZ2b3bY/+RUja/LJ+mqBzsYgUZBHJdu
+Ls/IrBfflvKQEYJZWy+gWgyZjPejACe0Y4CsMs6zuT32T6/EzFGZBr7v4s/HzZs9DTQ5XLS8cpJ
TFVyeYJPsv8bu/zwJq4DP+o7EQ+pMRxsrs8A63m/LWE7FIh0eJObOOuDhijRnMTE7LTHND1mCsM+
tu/Xh2fvWI0gbM3Jg7B21eJTqzLG4radxIeHrt53vD4SLYR6l2Fgdz6PMWNNZlUFTeZFnRd5TPBR
82lKo3GDqCMPmNAtKUOzVXrGR1p3rQsRdF7KyzkWhNHmItx6JcoRSmI2itXYowNA3D2ghdM/CtAL
keKvmcDYiY0fdGDe4f5H2nUtWY7jyi9ShAzlXuWPLd/uRdFW3nt9/U1Wz26pWZrDO7NvE9sbhUOK
BEAgkQm8omwXktfOwe0Txl0WUwIu9EzRRwURg3JCEXc9jYHulgEtp2fwTBbvlb57pDdrYvLRLo7a
tkZe7Eh6IMaBnjwkGGeNfnCWxTNDz+Qm7Y3TCdwLWBj8juIVQf0UHqKfaBLa/VcZXN6lrTr5Reah
xbi7SX/Wxmy6lrPZUYJtigsAwbbV+ZWN2TfQnchO/MBLFXnHnnnF9llRgwUX4UTX2mdDg//Wck7w
3U/eNh+MSUdXPQ5rs0XpmQ4EJ6ec9ltAdGnRbjbKzVbk5K7pqBhJ5nxCerrfpdtvhlmyWi1qpLGt
8IJYjr/r679rcdQmHyW+66M2xpjbPWdLJK4UsJZUk5fnnTdCKQAU8e7tRXE+mMbc6LQfDbOmrzEy
vvTTj0R+vP33d4uK5mYdzHUeqhGikhmuc3qYnf/w/IAoyW0vBmctvC1jbnIMqhC1lnEwYj0Ix2Co
L/+OPGO7HPobNvcp1pa0Llv6isQkKeA9HlX6KEHmWrrZHS9l4H0c5vIu1WQSiRojVRIYTe+B88a5
/X04bonN/4pJb9uMcn6R0dGVc6Jchfqa88rnPCvMle3rdZYwCwbsQPclEyZLUSO3SrPrUmBS8PaC
OIfAYDxQ2ZMUQ+DovAtKDOWLq6F/GxZO651ng1lOaBZJkYjw5bFSfCBr+awkkIeCwNbtpezCrDaH
jUXVL0myDiXBWqAc0GLaVj7OjmYnLmh2/RoREWzMd6ut2CCloQwTAQ/FQ9dxw+GxIHuzh7xHIsB+
XmOO05HFh2H6LBpfq+wxrL/dXizniJiMv1PrrBRk2kVvoKgh2FU/Wj1IEWIedHUXr7PZVFP+8waH
vT5Ga4yIKPvmeXodz658KbWji3jIP2YHysqsH+TH+CdPhpVznU3GFYLuRG97SgOmdY+hfpdnnLvM
+/v03ze+qUkG0hNopzgq8AZtNFkxz8PyDgTj/dokj4qKDkoVi6tNSAGfREwlKOpq1Zjf1x9vHwlO
pFcJs2FiEebrSMdwkg+GP12Lh/BQn+RnpC9u/lh+iZwGs56lPf+b58F/Qxb6DH/uI1kG3Vgpb1qH
vpc22/EqoAvGudy7b/yNEWYrNaGSlwyNDmcxnoTGzavMTsVLXT9G8efb23j7o6ksLKBbTDUUKFAo
zJ4gOGk1STAMjQc9sRriSgPnEN72jSph/K88lsJUxBp4k5VfuWDn9Qeo2N1e0O1zrrJY10IYzKhL
sCBpvRrV89Rw/v5+mWzzbZgaQdHKpGookELGnL6AlLn2KJPI5FEyjA5FcR4Sm3MYWC0lUY+aXHvF
coUXE5ksxmY1myiRFXK7GZzNY6mywqUxdImujQ5CFC4tuhSXxO5dArSScTU/85IYzm5qLDNgqqpR
Ho1IMTp3TDBd2fjgaC3O4hPAyc4SVCfhmYcOoB/o7wOXxrZsZlFaSUynZalIFB0NHzxQwHAZn2/f
LI1VTV6B34XOBEKJ1p+b5IAoOQ2XtPglYh6Ip5LASaQ1tlGjSn2M24s1Gea9PDhQvY1WP6mvcvJh
/KLJV5KpVsHD592+zRorj2wuUiIuI1aIlFpvn9CL0kdex5UG3Fsfi/GEYUfEeq1gIxoeq/TnYHxa
yq9pdijV+1SrLNJfQ/MSpp4kerf9CO+U0JRkEy/FTiUTGV4zAUrFMAfRoTtAvCC4bWZ/D3XASk2T
6KgH/WmmGctQzkN02Mrpo2FElqJZJa+1y9ggimTIOgKkpJq6QvCff9ooQOrTmFoiO1XhiotPkhd9
ONxeBhuN39lgtiuay0QZQ0PCIGR7MC6L235OgKHQzjPGPUEpaoHvwSedlXi8PJS3OiamzLGq9vGQ
y47apfe5stxJ2Xqs6pjDes64xncLpNd9cx5ARNQZrdzKwKw/T9KPcnQ5O0hz2M1Jf2eAiSszpITB
E2VKr+0XOqQxB/JB9BR3CXiwdCaisKZYZV4jXIZqSLFltXSvhqe2uo9yexGPkK3jLIqzawaTuEcd
uKlNivSnwqiaLZ1SREmfNpDj03hBjvaR1yFndXrfLY65UXUoRGVM+ehAuHdS76JA/2jcL5fYyWz9
wTyaX2rE6cwBIr78qXCSQ8bnv7PN5KRwVsNadKkMOCwKTrnmkhz1ux5QMGAQKI+AVffdN84ecw6O
Qb/B5mQWUpaJadrJCNpYLDCWGFwEeq+1qjtelYt3cBhPAqyvmCm0P5KE7lTi7Fhj+1QJX+L46X9c
FOtPpjCL17TD6/LcHtQA9MQWWIkwjpI4PKY2ts/67qsxHkRv10GT5kZ+rRmqrwNLOjAcr1zTXHYC
rjXGkRTQJ8nKAjnwb1VDFIkckHeem0MOLgThnxUj3i2NcSptQuSx0EoZE5+Y7skGW0swrWhwjv0r
luuG72JrActC9NFssIOR/NyT2C/L8jEpwcRoRu6k9bIlr6IVaqI9t73bCKs7ts+CFn0ZBfMa6olF
iB5Z3bwCdKGPvpyWQShHTpyAPX+JQt0a16G1OCeMnqBbv5lxTWutKgCiIsBTfITxpTwbR8pLkdnZ
WTysR/WYntIjtwTOpBXsB2ELDHNMpGhdcK5lsQyKKQlEFXV9CXzfM8RYSfsjFFdPwpCi1YofNVG1
jDq9i9LaiQ2oqIOZYwzVYFEl0yrXh6ToPpB8cIRC8QehB11P09pNOLqGWAUiGc+6+AVSZ85ColOu
NM9hL2GGczwNZm6buuCo04veAe2ihYOThT/qXD1P0eQboXBVEvOUh5NTq0/ZgIY8Zgfwka1Z0g5Q
duqc2x9jN4ZrAI/oEDAAiIpxYYaBQSktEmXHDI/dFLTz3Vp9vW2CFWf4vfMbG4zvkkVj7aQ+kp3+
e1Hc96UtQLfafM7Id6O8dMZnseFFdOrt352wjUXGh41NVMxDo0j0pi8WJVMubPk+BQ+AQ99T4ePK
uYfsM+DdGhlPRkAKFS3QgHZ6aBkS5fMMSBjp7xTpWev8ZHg2o6BWUmvijU7t3qXNShmf1ohFW6Ee
CCi3Gdmt4MgN0OPCfR0+3v6Iu/F1Y4dxZySKhRUdQMnJ6u9hOth9DQgQ6jA1gAgktAQehoq3oSws
uJLNKjFzLIxCcGhSFh2js+jRZJbXamQBwezHYwHBOVGRwYaahDAU+iDSdQu7DhTdIs7iUcxP+mUI
5snifTv2Cf7OLpMwJUaRpdBnkYG5W+hcuwWFdyf8LF3LD+qxwiN8EXlpIedmsNhgAWNdpllloFDC
uGn8Gdyvp+xcHBS7tdtL5PEqKBz38jrZv8mQ0F0wwpaK7OoQ6NKaArDJIliMf/gefreRjIeZhaUz
5QTBto5fpuyUkxVvOW6NRtzzKm+vObZQHJpNlGftgDuuuFnqq/gPobKS/qRkRym59tEhKw63rx0v
aDHueRB08FK2NGU5hn51DA+Dl9znXDkwnhlm/yAJMDddg9iozk9N86VE+hx+XzR/0R5n6amJOeim
XWey2UjGPRfjuGS5jO5mLUr2OJzk8McSXWPUrEcoFP9TOavfp2NjjvHNOnol4hjiFU7HvSKQszWX
8LzaSNSPC1epe9chb4wxDlknkjZGEe503h0XJADx9xmCGCon3nCeA6yGSKlBMqUK4R1jI2iar5rU
AFR0n0N5LFt4r5xdl/HfFSlsoVBMxMEgBrZvOS7uCl9M2e30R8Wvnpu70ua5DHqk38XujTkmOxwK
YWll+rWaNQXHhnCPuPPj9q3a9UobE4zfNfo6i6u6kp11mS3NVOxB6l1DLr3bZtieFnPwwFqKpW68
X5FMeU00VC7Sg2xXVukVPiqtHpgXbQipfhE9DLjcFU9285FjmC7g1h4ybqPrxPGVDRgjh+iCOmjY
Aews2fD6ICPk9c94u8k4DyHNhGEwULpWosbLCdrhwuRh3MX9HxfFeA0tj6dFk7Cbi99CTUI6aU6B
a/yqJvHvAtfmiDA+o28jpUxFON5Z9DrpXA93hW7dXtBtT4HRGeZ0mNGcQ2gZFOjltTWCSnjsgEGM
8ofbZthJw3enkEndWrEdW6OHc6fuLwE3dOqFP4AvtmUIjDu0PjgFxcA7+/Sa3jiCr4+CzdnvZSWU
NIyqg0l/cpOTEpjuBFmbyJYDnjO8Hb2U11RyYyoVur6IdPTsZs840rZCchB8GZSbnI3kOMLX+sLG
TpLHndAUsuT0GNnEAQySy/wg3kdnqhlc+1zhNxYlxn6513/fGJSEstWWHg9l42L4srsGo5Wg3fVb
nYrf7mKnh9/ZY9zGEOpGI1CMH3rIXv6JVg4lK3fUIPX6YDyu11fCzwDQTJtfGuW4EXYQZGq7xiwL
OGWpukOtUgJAM+LBqv+mXKIDcoSav6y9G9Bfy6yXYxTLRR9HBXEsdHQbVRCg4FHwAmZImC3jDp7S
ohwBYEdJ7Zo7uPE3hai3X8HEH70ESH3RJclR7kJ/dXIHPY4LHRLp/nU8fTPGBKEuHsVRzQu88Cfl
WFeouVQ8RMz+p3szwZybsZqzJG1RfG2A0Yg/ZlVQ9s7ty7fvLN9MsEEGzP11lsOdSNq3YjlOwvdR
9uv2n5Eq/HUB3qwwIUbMijIXe1plNa555PRrbvedVREu/pPuyDvv+PacFhmfPJVNOSTzKkGbmUDr
N3ug5S+Upc6Tk2Liw3T+VTnyzSDrjpVMzvSiE+C7JMdM7xIU3CZOx5Almv+9exsbTOYmZmbaGCpS
3/jcQ60Cnrix2lPlR5fqhRwoCXjhCT4V8pMfkjvlM5/mi7OtrIfODEOvpxZVCkgLg7A+seLVv30O
WfDXu0Uy10mXlrpuTHiQIbaNB9HGeMb1twBO7JUn9ToD4+NK9nToQbLbeHz01773eNtmdjgJJFtm
I5f4BenB/ET7o/MDnT1XMRfIV6/Yz2E31phEKJ01uU8ypOOlaclHYktW6vSB0tpzb4Xn3lVsAxW1
CGOR4KviEUpw18rkSFWtN8s8ERTyoPnjDz4cpb/6+gPom1AI4hEk8CqV7JiSQOK6C1NsrdQ1lo6v
mMrWbMx2KSN7L6ypOEn1fZ58uH2m9jO0tz1mpxKmdsgwi6X8hk4vX5Ug+Rld5sff4I/pY9X/P4DM
+8nFxihzW7WlnjJThAtqne6DDI5ZPEquvZWc40eqPaT/uL3I3SRtY46JeT0kbnqRFoHTg+rRJO03
Xy/vxOzGiY0Z5nqa4HdS6hU+iES6ZcqFk4IFsyO1vyrckYh9W0STFcMkpqIzV6Neuk6YafcqP4c+
ADQXSgtMyYGJRXkEat9wy8vEG6X7mw/3Zpa5E9CcnbICjDKv7RM63q85+pfR1bwlyG0hiDke72/u
4Js9JlaFOnSkCxzPV3x9FswBAfF7iFZubZc2T62EZ43tkGdKn+lTjjQQvC7oW2du7JFD7Qp+7nbf
eLUGulXvw/B/l8Y2yZXVMJu5jHDx5siZwfatVZdCcSfTEqQATbN/cwXerDFXYIxTGWxQKDOLxyRo
fA1jbXRWndfp+hsv9maHuQN50ktTO9KHJexIJ8P5vng4jlxg/9/EhjdDNBxv3idykbRGXNMLAGI7
iKjnd2FtgfkKhfPVnt3BG6DkpAUAk6En8s8muf6Kw2+2mYRwqJY1EiIUYwchC8xBuusKHlhjN62F
ntJf99tgssFEXTPMeoCXoVrXa1SvVlV138ZUPNw+FvtJy5sZxo2QpRW0WcexGFMIz8vd/dxEzm0T
vHPOuAxDDutJmnDOkxmTTSam0gpAFiIN3NiVp5FvfSbwvAbHObIgeVLHA0kJEnb5oT2MqDs0fn9C
E9UVnRF0AshWkOVyfRVnL9l2eBvnw6hPeFnR4TvwenlSgD63B7BwMIP5NPLGz7d39m9i93+/HguQ
L7t+iJKcJr2HFQILnS/Y6TekSFgr+IghGyQGM+8xtL9KQ1RNQzPAj8Cc/UkhXSIKtK5IHht0FQmv
ZL4frN8MMCc/FJUGbhQG9Eq4azXJKuESszm0s3r2+uprtrYB9F04BbF9x6VLUN02iIwgzjguc62a
NKnx/DJ7uyqCTDsRcGOFn2Uts1IA/zu3FniA791zqiN8S4akEcKGAEhJDyhfYqltIVmrcE66SzKf
G/GFc07oLX4XajZ2GOcfzd3c99RXGl+m3Kqd0aFTchLIqkYrnZz8Awg2HPMgn3gZ0X53c2OZ2dWE
0HElEZgz4ptBcdX88l4KiGKVwfRJOdJ++BAkdxWnWrZ7RjdW6b9vYoOetGa8ZDHiuBBZsXKqE56H
4e0ocwvIrHV4GiDMkcv8qWot5TskBCFDivZpbuUn9SgCxAdGv3+q2/Y79GyWxtyOdgkFMUuBmWiz
1E7SxJoUAbyr2Sfoo336H48N3YTNNmqZ/he+R35Y/PyQgSAYMok2EHUvyoP+QMVw8ofcHngVCt7n
YyKGNOIhNE/Y3G7R7UwRUNepObjO3fC62UYmr5wiUSwVDTeCLMEq2HFykBbOGeEcETYcdNI89eqE
1DXsDOBsNHvSCnvECE49JXad8Cr6u2FWNxRN102MmBNmRam45qTNgQcU+tjJ12/yFMz5z0r5Gnce
CZ3bR2P/C/3XGDucMA3D0ma0hDRkT0b0Emfu7b+/j054Ww07kiBgzm2RFbwzZtOqv/dnAsGw+iT5
6lXIIIkHyMk3rq+iXvC9l3xbFOMlNSqzDnQYOuvJGYRzaltZeX4ndgBkgExy/ZQtn1TJHwfHbDk9
6b3tNEAaRcHgGkRbGW8SaWOu54kB/6w/kfJF/cnZzb2VGTLU6HTFpJvKnA3JMEEdUiGZ7Nz2kGEr
ZxNT5pMDQMtFPXCbS3uXC7J0mirJNLSxhe6kH/S+iTriNOH0oIjrqWpmsARxeyLq3hXbGmK+WAFx
yRWjWQQD0Tk0Y+q7iYTekhfXBrSchWTcJfH6vQg1R2lHrzWkYA17d600e4g0S1chZDKuZw36XvUi
2JEeu6ICHK0aXTK5giSBfszGxBbLGrpx6rHWh5c4ae6mCedCn59IFftCLD9EZQKegNiTJehDlLPT
Kb0vNeRuDkHql5dWLYMJtahcA4r3TZVZTSkdZyB6urx0ukm3hxIXdFmvzVJZRSai/KPfNfJkDdNq
yZjIwqCvvYC+xKrGOGir5xm/cZ1f2hWEc01zl7bZEcx+hzyKQFFEgrASvxV5e2oT9V4CuaHVLr1b
x6IvZKXXF9o1NsVDUzVOny1H0xDtDPjvMpKcVSdWIsreEHWfkK7Y+tQdokmyIqFwC+1rRFYH5U0w
6DSWJo7+nKu5FQ/iBaJYVmcin64B9oyL1NJlNInI5DeZdlW60urkXyKYk+q0xQ/Fr66WzBvnAosr
LPW+iW05dytTuRuM2il64BMN/J9Ckh8xjBEQU/REwbTCVPfDNQ0k4VdWiqU1zwAvagnwkOndiJXI
kXwQht5TVtVqi59EE7CBjYWpppcy7qFEokeZJazEaSU8AcTSkdLUnQaATKvQgXaYZc71aRTCaz1P
btir30146wVsGamQ2tMaWnkyWai9fmmGeeZEit26g6EC86nIBCyGOnM/27Ge54XqmdMuKdVOKODs
CPgYKEM87/G6eztVBd4GhDOaySbwZg0ZX9SRMe0F7KhZHsTpaW44AORdh7axwWQpUSblylApiODJ
5JeDfNfFcsBxajR1ZN21sbFBncMmOwGNBchJF0KLNYurexS+JgKiRIVYwC9s8xQB6Te4ZY5JSrR+
SHK1gjkMXqPRizK0T+fHuK/IPaDXdlnMWVAySRzrOvyrgBIYTm8tnoGCHtfSXsawscQG8aUyjBSE
MZQbGi9WK3QrtzwQV5LsRbG+676KMgoCbWDe81Abu2XErWmm/ltnOmbIjILgwEsewfh65EYvvTXb
xAPTn1d845wV3lKZQDFkfTeuk0Dw8dL7GCUB0a096VuBUjfVo5Ps/rG8YstPM080ZLevvV0q8wJS
tUxY+qmG4/Eqt4fWBgYsHcPR8F0Ft8YTjL7VKbtVhg5K8r8unF7UzSWJkyFvMhORCPSed51bXQto
yEmPMN05ib94DYpllB9w5ZUJOF5Gpf++MdyvVaeWA5adD36rBGrrDQrHA/BMME5mNhrIS+aR6hjT
86w7Ye3OvEoS59K/JiCbVWRzJ2YVZejJD5TlM/LpfGqN7jznfNLzd8O5qIxz6bU2BtkaPtNfpaM7
FTOBvnKkriz1Rx7H4P7OIRlUJci1A1Tx58fJoMbcjznyQdKfpSGy1NXt0w+317R/5d5sMCcvnTIo
/g4xrhx5XFR7bS9Tdq1yu9F+xCqnHrtbCAN1kAH8DSqmGltISaR6GdXqVaRrxHR2bFdXijwbrc5T
F5uO0wn3wOXeXuHuLm6MMk7FHMa2KwwonuXZl74KBuVDPNu3TewmuBsTzIcSkLinZZviXLS5ZXwt
wZ2MXKZYvErgWNp3yRtTzPfql2FU41VDTftYfJVtgB2CAlzmmWyJTg/ZJt4A525paPvNGA9RFmux
lNFMHNmn/jhzx2+Raz5ScNjkAIDuVB4mY3lhfPdluTXLeI2qLohapyBz1gd0dan23vLZvDZO8TxC
2FcH9T1v8nw/vdtsLZOpmHneqFMFk1RmSTqDJN5NbN1fXdmKj7zaF9ca40tIM69xJCBRMV4WOwRP
QXZpoPjgyl7v5xden4Ju1zvPtVkbk66Akapr6hh5ddIONgAYjpnFVi6fjPrp9lXg3Da2nJJEuRSC
NpQ4oflRI1asPQw1xw1zbhtbTle6Pq9rGVnCnIhWHr4UQ2fHxS9iBg1PSYfnsdiJsE4ZF7ARVATZ
a+jLPxPAcmNHdwfARoIWuC+8SIb/8YqzMwRFr6TJrL2ew9GBQAdoFwoAfzRLBhh4CngPjd1HwNvR
YDVd8WAEsF8zcRCXQxVDAosXYjhnz2Q8yLh2hkChds6qBat5UBAnwQ9kJhy8O+/kMR4jFMokjXv4
eaNIAjCyW5JePGlFxCla88wwXqIP69EQpwIkddGj2n4sqw/d9G8aDtuCCRNPjCbOGrHC8EgsePEQ
VF1tVylKDaJz+7LuEgNsDTHRJJKarm0nfJreo52p8pni9rVD9wkQpd5dEFEqr7RRhVL+TVDePKWZ
XazFcpjGoSeOIihWrBa+qi5OUUicBe7izbZPdsbLDmo1EuDOAUfIIMDRLH6s9ZdZfuxaObXARHPR
ZdFaBwGlmqi3DB1KHZN0aGqQxsizlYpVZZlNdjXDT41WWEQoj1URv5jppVe4rS3ePWF+ayGXGiby
kcVSwsckyB7pZPVoQ3ISU6+mD3djm5+5b7zdnHZz/ZnIoJQaKTD8giIYirerjznXrrWXIrOl1VvJ
ozy5+fihzdRjOP64ffpu+3Eo+/6Z3uK5U+dRjAsbNp7Z+qmiWFP5kkaxnYQ84qHbe6uztDLJCIgK
MVG6leJHLb9K7VM7JOC+4HIq7GHa3/IWnaUMQT699soCGr6pAQcQZhEsEpalleihpST4X2rx+1TV
1rqYrmTOrpCan27v6t9kiGiO6pKiyVjVn9sq5gOQ/BEe7bTgAu3d0yxBNEjxaWKBoK+nACzfNkn/
4rvkAi1miJOoui6pjLuapLZOJVriSau7EVMrGFGQM1czIwsaypZkfEqm77ct7i9yY5JxXONQauYi
4+zQRQLm6MCDXOkTnRZ7wAHHebnsHtWNOSaEVcYAbMeM4xOTM7i1C+EgRv6CUdp/Vy7bWGKiGKgW
SawmMUVSaVAdQyG6hoRJZA1ecV89lf4KFgmOk9xPRTc2GWdcZl3TL7RmRsVFoLjrGAf5gAq82/um
80+Z7F9bo4YhgTVABEkaWJb+PJ/TIkV106E1Gp+zHLl9jZEn+TB91+38NcOJuJn9bsh+s8jmpGJZ
VmWfEWiUL7Yguyrxx5xzQPbfKxsbTKkskcwlqibMK7Zo2oN4zC4z23CIVX9tMR2cOKEL5Znbl0Ch
9+rdvdvYZF62uYDnitIhqR8X4hp99Fgua2wr0mjpUecJ2WjFi/QpjX6qFf67GAEc1xD1wjTz1pGc
pET5MRIZZFSZU4XnqhO8VK6OObgPEv0uFQu899TFndXST+XnYml/kRk9DtAd1HN2lkEVrBaKFcnK
h9vr2s9KMC+IXhgoB2S2nDOSsAXQLqF19k/kSFV8oFXuhOfkTGfzaall8RPuOBd1Ge93880qE34N
Ra/NcsaMWrvOroiuEl6g326vbNeNgC8BnTzoIGmseAWWlVeCiIIO5hetPPost5+M8lypj3nGK0ns
n/k3U4wfIYMm5Lq6ojML9aN6nJ12rnwUD3i+Y9f3mxIYrExZM0z2sdI3ZmRkNVoIEHr368maPYp3
B5fOfCKH2c6vtQtVJGf+kLv5RXy8vZ+7nwzVMVM0RTRNNebSdaveKAZVReqW7ijN+QOadZzYtruP
GxPMHZOTXiwLjMU4QuqJGKHV5h9KwWnD7GepGyNMAE3kSALMdKE1FjonACIDRDWM/Hxrg6R3Wndy
VJAiRV4VVE7poxLYfOPi2nfP5uY30L3e1FDFlhJoYY4WDiy70gFeqp2V3wnud+VYurOrwonxH597
24umKFIvA3JnhG2p52Sein7CVc9mzZfl9lk0B7sSVPf2QdlL/7Zm2NuQS3FtxtSjNI+Nfo7rX+P4
3C2cy8BbDBNHa0FMisXEcZzGb11eWYtwknkA4d1gvV0K46a6WGkwb4F6nHGZXBX9tMI2nqNXz9j6
SKFvbxxvSUywTqVaMQUFba5MvBjjQajuO8O7bYLzbVgp7LJb6jYbka82qg7qIQ1EOb/a9FJWnFu2
d8A3G/dOBbtQQSpQodIdNffg9LdS6Ni0rhifIUrP2bXdstHWFuM12lhqxQnESyjukSNwDIAT+IK7
PkqqRVtnhgd2G3+tOWZ5K2TcSF706SoUKtzIDB0k8WuEQRzlQEBQ0nFqLa9zC2yw3C6Q8RZyMwir
iLc7QDbGo9lNP+En7U4t7HWov6/6V82UwG1TeGmiBeCeAclwcxD02s6qKshD8CiSsPeMESTOquaa
i2JXXefmkKsRAcEo23MDIb1UT2yte0pVZIZZZBt9Zc2F6i+RdmhrABXUyAMpizUqGJmfIe5XQPJJ
/KnmLbAQoasIghUljZWbuqUVtV+l0EuVRzvuYjcRTfD1LtairnZZKuc2kS9NXh2mqLKEynDnKTxr
aYX3v26JsnbXG5k9dMN5RnlfXEenqx+UrHLV6dM4V54wZN6cEEfIPhL4zyIsj4MKTEPfgjU1rZwm
qu0xiThziHuBd/sF6M3d+Os8nlUZggpoC7eOOFmZfkqH+1l/krSjbPipJHBc6O6TyySaroiqaMjI
4P802Ky6ESY5rRWhPE7ZdpSPtEBOu6LtcQoMTka96xY25pgrZLQAcEgLtlWME2dRRAByhoNa/sqS
lQPr4llirk3YyEq5FCYiH6hGZHX0ijo/zHHli1rE28S9jGW7icy9MdKsgtY02jfJLw1jvYOffMGD
+TqYr+NAInZR/XHbve568M0+MuekELs00YcFfba6AqAq9RU9tJNq8G+b2e0TbVdGd3lzHhN0kat4
Qvoc4luhsnNq6h9LnX+q0/znrJROMYaB1GrIo8B9CKI5FQBuOW+uKll9MRddtR54m02PyDsnpYqS
phEDCs1sJQQkKxXq2hGFL2RfRbc4tqJlduixdIfW14nDJWviGGShGsOEhq3UI80Y5tSHeGspxk6b
AJsFKGncC18nhJ1w/ph1hSOpy2kmPGbG3eP1tmIWj9lDmytXG5RVRy0woHmXZZy7sh/ZNhaYazlW
S1GIK0CD6pMKT2Aci4A+z+T79QGu+dzb5QuPun53hggCzv/5jmx9KU8UYRhBYQZsRH2I7eKhfQI2
42C+xFdoJ1ixO33saXHU0TgnaH87FdBDg97L1F4fqpsz3RtV1GozHthdHhT1ZdU5Kcmu51Hf/j6T
y6nVNIv5gs3s0kMs+Mn4oGVfDOnfzN6bYIDWCREVDSjDP69mIxth2Uu0ASP/isaPcuwWEmen6C99
d9U2Jhi/Nse1LJWgH3XUFihGXK67If2ip/dLY2eCc9vV7Ea+jS3Go6WdEQ9xDltzF/TFgxKeFvVb
p/wSku969SWJvdvm6J+7tTTGsZkRGXKtQfWoqEGARkpPG2o3m3nsrbtnYbMq5vEwSGGGki6cVYV2
cH6Suy+T+qgMxLq9Gp4Z5siZpTAvi4D3bL/Gx3ZFLFdlK1yIH40h50zsb5xiQoELA0g6S5k3Zuaa
Fh1gv2EaPyyq0FhqDFYQUvLGXXfBWyZIuv9jiXFKpSKCVxNiv85p9LRjeIweUYLAqKEB5o6P5I5K
E85ub3egN/YAWr29o7tZ98Y4c7uWqBDGckWLKRrjy6TPBxKnflKJXqI3VyHnmePtKnPTBKOOBaLg
kamgmgnZwONYm/Y8Rpx4vm8GjOTwFxKIh5iHn9L2cZrNSC/NNpDND6CnbwbOI2KXDNpEQvmXDbYu
i7ykBbcRRg5Fn/hIWxcL+hYX6tqBeH1ZPBABWRRcNb+U3AGd3SIjxGQgISiboFlla3Gp2hRCYsA4
HcpDjfE4nuR7HUS3nnQcDq0dOUNgPhtX3rzJ/gN+Y5jxJ0po9JoOXWpET8mjgFhyr1xGNw4oHPbf
0JiBaQL1MRRXNAwO/+n6o05M2qoxkJVl/VkvpSeh7D8opsJ98dJT/s5LbgwxVzDPsylfKgF1wOP8
vYVabHEpUAb39AcKjgPBNg/Rsr+PG4vMvYvbqIigMEPlMNrDdElAXRzotnJUMDaa/6yj4PY1341w
oMDVZPACKahM/7mTtRCCt7fHhRgwXzD9HFsvT70yupDuOqycvGD38pmSgi8HkBy+G2NLFUEoHEpA
9Tbf2tEuzNKe1K+317MbCDY2mGO4kEXpOkge0FQxlH2lCoTmh8jZtP1H48YKs2uxss7TKAIZVyYW
OFrd4ovgpt+En79ZovIXRbVvL2vXG28MMvFtWU05rwY6zrUMVpT1QGVKeJkbnrZ+qBbl5ba13UNh
QpmJSEQWxdcOzSZBFJJFWvJX7EzbW1JzbJLMWkHxIliafF7/j7TvWo5bh5b9IlYxguQr00SFkWwF
v7AcmcEcv/425HM8I4h7cK79tqtU22tALDQWVuhORdm4tUcWyBUVU0bBHsjJTwihRofSbohNG934
U3ijBcY29mTJATd3jVGhN0qzjikeiaauVmKuS8N8kk5LykYuDOxj19ueOkq+rWG8d7Z86NZupTZ8
Geefo41jfv37rjjpO7McfNXWWLWTmqHVC4V0qJk4UeQ13dFqJoEh0fo4+EpttF4oKt7lWmN7Nrq6
OgPjeD/jZJsq+w6t7rqACWnliL9bGYdeCF/rRZ7RdRWDERwdc+gVkIK2mQSx8trb6Z0dLlzINVAv
mikSuJixP6o+I6QbnptDajrdPr1l+qXm6/Ca3swb+9P1vVsD6HemORQzSUfUlA0uZBMmtB/G+lYf
fLP+nppfVNCmUbA+9f6Ufh+7X9ctszVxd9E7wxy0WdaAYgNBm3FjS24rR3d9XzxcN7G+fQY79W8B
EodrWmdVuqIitp3n+lFSZc+I84NsisYS1v3/bIZDMzrIGG2zUV2L6KFIv8vdfsQsi2iQd614jQ92
NsMFe1k5h61csRbAz70PontIgYQeWO/boNiRIN4bO+HEAztQH/foj0mda/4JwQf3+7nzW2gBJS9w
giQQkch9CcIj13drjTXgcoH8qKNiTj1dKPLxUegzlo6oD8z2WR4+yfmdmgWhAvIAUV/lWqpEx9Q8
UgfowzEJn35S1ahPe7uF9g36uVhFzfxWMlbX70r8NklCM4cBjeiBsHbnXtrls1AgQV3kpgKPG8ED
Abz24f2Y4j5y8yfIS6OG15h++/8/p/3OJIfTYRllRfJG32/dWV/n+V405L5yEN4Z4PC5q+moqSV4
NdV51w2Ro6rPBhrSae8IPGXFL98Z4nCZsUKm5WQwWQAlUI5sxk+7bT3Wekt/ima7VlDknTEOnK1M
rshEQV1Gmy0ET8nw2C/fri9I9OE4EFY0KnegpkIbcfmpGlxdOVDyoiuCqGvtmsFKQHIFkicC1TYO
D5thHCd9gprCfApvlDtro/tp0GA4EnOlrzAL2VPGItE+C/voVwK+d5Y5iKw1rTXQmaB4le00uwIj
aiT1oTN5sI7kjnWwoip6X31OP4uSd+ubd14yB5qjEfUgQOgQi0nofCC5I6VoLJRE3Vkrl9nl+t5y
HxchphlnYWO0mOHX00d5elmIYOsEy+CzNEsCBstInxWUqZx4mqEWux/N1+tOuBYKvFsEd3xDpUI7
2CzDC4/MNcpNhrtF2zOpJ7GgwEpQ/s4Yd4SrvlKTeplwaZbW3hgx6m0hmEN5IbHIIVmSTRvpvmCB
ol3iTnICxliSh2i3qWcXTFdsQHPZmqAVkm5o7FZgbgGn8U5glC2Eu0PfLZQ720VFdYxL4myzO5QN
CmSWb+EZkDHmNcYQKqQbFjkLF1nVwzgsWoGHab9sszroMK4l4qxYC0berYqDkhRSG4up4UBbcoyL
cq5uF7s/QVV4E2oYJo+6Z12zf2ltvpGar1mdfzeaFPxGZred6vj79U8sWi8HLnpYTDNYeUCAaO+j
5NRZkmPWoiDvPy7sP0jCU0oS1I30KglxuZ166+3KLm7SbxTpMEjSePJWeZUFxVXBuj6wScaLPU/Q
2vQaq3VQyj8NJL6hViLIMQiwWePCAqPHw6Oo2bEHiT4kkqoOhX/p1ERBNv66vlPr99yfb6hxCGNY
Sagt+oD3lCUFWYhD0GibcCC+pglFZhmyXzl3/Ku/leJ2VgkCLKbpFrvZKfQQ8aBdqgNZuvWCcTG/
PaAi/n9gWhR9UQ5nFghIYiAbNMpqkT/Io+aj2uMYfbRvxswBlXrwb1+VQxgC5sM5K7GBtpY4aGFP
wszNp8rr0/rfriGNQxatMwgpCnxTczgoqq/Z97OoPCvAaI0Dlt5O7GFgik+xqtwW4/yrbmpBHCwy
weFFYedqMeb4XlMn3/Rt7amG/Xh9S9aPrqmppoa3hWZxWzKnmCdoUhZp5diGp2XyLFHF6+1LfHTw
sw1uM5a8V5dYRRAsDwmablLkV5FhSklya+X0MI/KnZaMd3WRO1MX+0sHWakI/BuxARqRGo1Pzixb
Tkr712ZpHEnPOjdDDidb1O9TamHQZNrJJHHzuh0deZI81HV8fcQ1JnV+RJdNJp1g+KaP61NYxMd+
wgiUVG6M7kuZ6KLQZPUS1XRDNhWW3OWBwywY5WwEXSDz0doMn3IPCbUKFAejN9ymfnQnVJISGWR/
vwjokgyKuZM8sglefc80lWOPsaVOPqY/McArGs5Yv08vFshBxhxOdBkTFkBuwCvglzf6roEkdu1V
T4qbQ8CUinpm17H47D78QQMj4dK2YFgcqtlVVABTGjptu41EefJ1NDwb4o7bKNtGTieARk8Okvxt
kV4q65gNrhH+vH7oRCtiN8LFntFSj5sujyDSGx7DcFv2WxDYh4Lb8j/igD/L4ethYxLZNEzx3Riv
reKhr+Kx+sboNuy9vjVei+frixIgCT9HSyhJw3xBW0CcB2O8L5odGlavm1gPxc8r4m7lBeJN6ONi
KRA8pfUT+hI9OjwsDYiBarcWNSGsu7pyNscdrclKAPAD+m9aX9+bAYZMfXCBn34THxu7xhPOjK9+
Q1VmdGDgo4SAyHvHmOUcfFSgqcThCvesLa54k+BQNvmttsFEo5d4sqjcvXrJXNjkDnSt5aDbHBGU
UuOhVI7J30yF6khs/lkUd8WAfbNQUwID0dMSGEH3yHT1pAckOxPH2MhQCBq33WsursmuQqOqK7at
Gpai8G/RslZBscbuNuWxgwoXYzGUXPvz5LJ3fBKIGovWN+9sjvdOOalrc8bTd1Znj0jhp7AuH6Y+
EZZtWDLzw32KFKAG6ihUD/liemnIC0VToeYtOlpUvAXSMNHgTAsowOUfYXwnkZfCEHVqsV9/xSiP
JrZBK2JJcM0umAI2SA7eWdA2GJv8QT2IuldWkfi8Qh5LpkrTIm0CQEbS0TIPYQEmZJk4kn2kiuZe
B5XV8PvCFrdtGHCMmjLGhca4q5N9s2VJ6kos+Sj6gNzZBv2KnIYJntfaHdlnWyatU/nhHXh4cE2L
SM3Xelhw6P74CD+GHxtlmI79zEp70h0jCaY7yK1uChS22RyZHBQ/GNl/5o1QviWC9+Dq9iGeNBUV
I5ygNnsPY1OiKRUKzm+KFUn9OUV7ptG7YbzBDe5d3z2RKe7OLheTLpCEx+5l2zJ7YlUvlPUwbG6e
/s0Qd2dj4LuY9LrD22W+DzFpmEhBUmGoy6Wmf93SKo6cvx7hahkyUhYgiIdDNvVNL8XuAlZ6TdDu
LfhsHxo50jCyiyoGjRq91amf1s+9+blPg4X8//ce6JjR/F9XINzpQuEZz9t6QPhhP3egak8Okip4
JYnWwh0sEtWylElI5kfhPTX2OrI6yi8iuXP8fH1j1iOqi8VwV2WX2PFgN4i1yU2+g64ZmLeto+4Q
kOUUoNUXVclXb+YLc9zF2eYaqeKcjbaCPEBTXtXkHz2Ne5hBE0jrO5CXe4keaJhJSHJnnr4LPtoq
7p0fDB86o2aqGFGLa3F0e58VkCJf+h9Jsf8D9fT64fnz/uKlavCiw5WZYEn5rttl+xCpvHvtwb7R
PXPDspj9N7lwhPwT6y54tsr+fhHQg9t3qkiH5L2UFm7TH0rTN5a7Kr8d+r86T2dLHN5RhKRZpiAx
1SM7XGRJUE1aQIrR+cdd4+BuRAtmDh3O38lgNkM4HZLN4NobDKjshHGv4Pt9SCCOUVV0KlBCPy0e
wbyiOrrhMdvJdzLa9qD68dn4NO7xXQUHYPUhdvZNPqMIdoUQ5KS4PSLlpGc7O9nO3YuoOP1G5Pkh
dLqwwp1j2RgtzJ/gOizHciMloCrNjE8gynOGrNlGlt65IVlukzAE14y0T5GHJn2zT+rMN0J7b0rQ
EtCg2VYP95RAzSCxPLDR+rSQPUlXgiVJnjoJ7eRDTlywnu7GKj71KdQxZJCKtMUQbzTJ2isxWH+q
lyGxHCmSfqr2/Jh2X1JTOqSp8Qhxp/tMnrfWwKaioJqsDtj0/HOZKS5dqocpBStkl/WeSp7kBnJu
ZTEcrWn2jUgJQqbNJGeBFOd+14VHBe0gvUnuSdc4dWV/JnG70aLFbycd4plTfKMq0PKmRvm5m/IH
0mr7tocSHtRPppbITjUZB/zvLxCNbvx57tGnoOL4xqYg8BNABZ8jbNU0yiwFwFQpkjvpd2za3cwE
odBqdHmx9xwyjCi1RYWGsEHdsDbGYdsH9U7FzPm/nVeNwwXdarQuL99auUjjqH69YWEeyIXB9oJX
o5DnZf1u+oNDGocPUVu3iwpFQbSdhicjSHzJdKTWWfbsbVX9jH+2BxGTlQAk+B4PKTbLGtO9EISP
ArNTnUrZJ2EgL98GEQHkeq/Fedf4Bg+qTCRcTKBsuitvQb4QO+prtCmOyj50Cm/8FrpDgGaL63so
8EedC5X0FmnSlIFgne7nNqitn7EqSKCITHChUm+HGoRLUQzL9XQ7NNNRblJXC0VF5vX6/cX34wKl
pa+LKcpxtPSN3jraI0ufMOVL8EAlN/QQQcDAo2/TNvbub/RREHL+cU2e6ngibU3jBPmG0YUgF2TU
vOVZchufsblMD7+VU/PUu755IufkQilSYywTyI0sinKU6lMy+r1ue/MSxPMgwC3BpaVzkKLPRdqR
HusDb51jD8Egn6i6Savg+orWaATefUcOUrR87LRYQpjR+sVt8jS81n70gHe/C7Z01/7aHMIt/TV6
ip/toE7vQc7q9fovWK/zX+wkBzLKMDR6QQCe8ua3gFWI3LZ0o7mNG/sipxV8Vr7PqR108BPrOH6L
gi7GvthIkuEZyxcw9As2UHAK+bG6cdSNOGLLUtN9o0Lh5pTYgs0TXDsGhyVzVsh6w85AJZ2Inns6
BiCicRNGuRtPU+5ECCrAqyhAMOYRVwIdPn2JeeisKaMK76PiUEXf9PQ2G6ibDK6mPs/JP3qHwYEM
JOnUQoLsOJh/7O/RFsI2YFZGhUjx870kHN4TuQfb1IsQXx4ggBeNWFtWfbd0pwRZJIRae1Ej79og
yeWpM9jvuLCTaiP6QCu2c7lL9sa2dK1ds9WAmuqj7lgO032WfkhbUSFJtD4OVTK7LWXTwO3KarOx
dUq0hyjxGv35+pkWmeFABZ7fLbIN8aMqpU5T+8lYu93klSCKu27oPx7rf64BgwMPU5cw7cEyD/Ex
+spiL5DwuSF1iiOjLrM9YYOmwPv5vE0+hlllSShzhkZ20sanocoOUT87ZrFsOokc7al15F7ejpV0
B5LEvZ3Zd1NHHaPFaJkFfo90cVU8WOdQtLeCy4nP9uhzPcx9jE+RkdGv+1eiSRCUkG+1pv8Zt5Uo
Vcz6MK7AAJ/zsRYcFlWBORPyhnv7wNLu+Yy3o7XN/i7rfr4jCBfS5FY5zMmEJ1w3KE4yZq7d38nF
TuBM63trYlQHfHS6wfMSzX2aL3GXIBVztBDuNncJmgKTk/oKTgko4aKHmrFymd58EHUkru4deiFN
W1FNFVPD7/FgLktQuFEVbGrTc2UioLE+xfKNnaSOAkmS68sU2eJujVxL+tbKwUsHEou26uGZg2ct
9zE6f01t/ptb8GJh/MZFRKNZiI2b5tucnDJkUlP/+nrWGrV1/cIGd0VUilm2VEOac6Sb4iuFzEq5
LewbbdgSoFxl+XH6TWBy9ea9MMnfE4od1wWDnY4Jru2WR+vUQZgaPT2VQxt09ECTGuIDjOja3vWi
N4RoB7nbozY7jbZ1hlq58jMeA0tzktav6xvaC+Ld9djsYp3sl1zcU+Mi9baZIuBliTZlG76mzwgp
EAlWG7VwRDR/onVx14acL9mE0WJ08ZXpN6JDf0dNnAzUosVkHqoiFKTHV2+pi8Vxd4ekyUlMCDZR
pyXGp2UP+odu3XrhtIhcdBUsz6b4Uai40iLJZAUMHQQerZN7hcsEBzR0Uoj4BwSuyVMWtVURZbGE
VcnFjyr93IFouLV+qnRnGRDzNrwWknb/dhpMDlFamklIMcEfwTk87ulORT0becTdspXvixcmV8na
22xWBd78XU7k4tNyCEPHZjYxZPlbK4bx/qVB5pJPv0WuDVGbynrkdmGOA5s4NmKM12An02Pvg/04
iO+qQ/yI8Qic+dJDWSpQD7b3V82XF2Y5wCF2rIR1y/rQogdp/m7bz/34dH0b2T/x4UK/MMGhitJP
tqQ0aO0os8fFckj8JSKCATYRVL9RRF3gCQ0VakmqzV7toCs+LNtmy6Y60337NzmQi8VwUFIPQyeP
Ro1tUvsNWkgepbTzOtkUmGG7fe2bcRDSVxhYKxtsy2iTLTFQlc/J7vq2CM4zL1zd1/MwxgNDqQ2r
qzBxIqbqIlJ3FoChxUUglZyNtjygn5hMfpwfK/tUqSdVebi+mLVh1Mu72uKgotf1OO/AcgkHsGJX
fwLPDWKsHNW12av8wc8fkFjE8IXArGCfLA4kUjtchrSFb+vgDXLYnEneOfKuOcS/THzOeB+26FMV
3J6iT8pBhVHIUp0h4vPUpX4xKnNXG+2mT2WnRAr9+gJF6+PggfZLHkYU77pGChr9iyaaW1l/Z53P
E69Znao6aB4LwN4A0vcMosu54g/od9R8dYv+w80g7H8RXJkWF3rMtRwRNYHfq2HtyJXsWTS7iSPd
GRO6macEPaIhLpzkgU53YzX9TQXuYr0cfmhIOqgLO3XFfNfLh6Vy6yG4vmeCaIdv8GkSkNnrtY7G
pVh2xv6rJaMI1mgOIlnHKkXDyqKLi2/tyXNVi2b2PZkqBTARZ0ByTTf0Mne+a4+hM21k0EQ3ohvz
rSjxESOhgGwoMrSX+UmFjqR2ZOeopxtD/prkyDuQYmt03b6RRjcP459L2XzTmgxaf4ar16gqNZ0b
FeZOi+UvoTyj6TdG82lV+0tMj0YhfdNjG++xcXAa0vmlPh0UOw/kMXWJBc6+OsI8izm5RQItQSmP
7xM59qmSPTemtO3KxdfMZnYGE2WzRNoapUjkev3Y/1kvX+bUtH7SzBGdHZryrZQPWYuu61M4it7f
6+5zNsMBtknwANczmMl3+T316B1jNI8hPiZB+OETI/5PMZ4dBaI0w3+8Cc6GOQiP1bgn9oK0P5t2
jN08GJ6t4+9wi0Riyo71sORsjoduACitGySo2eCEDD2h2YfMWoPKV5pDRrGEplxb+8I5KbaKK16r
ceAdLnNB5wReq2/ye+LWmD6zv2obpk87byvhOI/IHAfgjSqNCp3x9JmCEMNu9A5J8J12kjbdRjcd
YePYOriePyrz4Ys4rAlLXa8kOA9jjGftp/oPuKlHvTgg3hwwdfnUzZzeX9DzUt3oD9ehb/26Opvn
sJ3WC4nKGVhU5oU/Q8I7JaINfOv7vLaBHIIrY5T2amjhfBwh3vpW0JBv4jv2X9E+f2YNPYprHbTN
4FO/QtL1b1h3EeucV8kFh1qCBuBYRrXW+jK7w1FD6roNcrCB4puChtS7/k1F55KvnM4QmW1U1rMf
H+nuLVQ8GL70hQSpH/oiJh0ByPG100bBeCa0obCDs1tmG5BsOejTBtOI84+rYgfnwlNlPGcrm8Fc
5+n7BR4K2QZcWMWuDuiNSHZYgDU6hzVZFpaaHkbo8DEHv1r6oFfUjdHLgkWJPh6HLQUp1Rb81cjC
09ew+DqDlAWTLn/BkXzpfnyFFNy0ebFoBH1f1ROlp3KElP3iVqYwB89O0pWTpnNg0itlnhcV/LwL
ep+gCKw9k/tkT6A/qQZMycCG3mi8Jw9/NQp/PmB8jXRajKVZFii9h/JNOfqdsumr7XX/E20VhyKp
WUFl8a0Li3jGeAQNxJzcRc//ZoQDCmuMClvqcMWVpuWCN8jp+uohAV2bSfPNdVPrRfvzN/tQAJVz
dR7RCAQKs/S+C6pj/et32aSqfGUDPsmX8FEHZFBXETzC/gORwZqGRlHdJjb3LYvOMuhM8IYwMeDv
xz/Mg3Wv3A77PABxyJblFTEJFqD4hQmjfuv+jagjg+M/9rnPXOvUkMIO3SwkvJ078GTdKJOgS/U/
Ehz/a+ODPhFatUIymQgb2q56bq3Z6xOQPEHCVMLM5WiNmZeZt/IwbRYUnwWwsp4pONvmIsJuUgcr
ZrVtef87U/CWWsGnvO5C60fibIZD5BBi45PaIyecTVtCPy+J22XfdCHwr84//NktU+aw2EzVWRsR
FXnQeA8NL222pXErq5ar0AMUTdH1VtC/4jW4sMkB85gac1/LeLEbyq9lfjBDP6wE1/T6FXP+elyg
pysDiMRboHKmnjL7l47MqPTwbxvE4bE5aomKaUEUeOZ7Ndu0ymM5bEglQBJ2Wj+i/nkhXAzXY6SY
VAZK2JLs0SKotIe5hPbQ8DjZrl0KA2S23dfMceARI7YZevRXepZROfWALstPbbqV1cOU/0rlzsmN
AOWPRQ/6rHbbVoDQbOOvWeegQ4uoPaLxDs5ID3InO6mQh19wqt6A5SLOCY167qcKwBHOrloF9nik
EkSPf1x3DWU98P+za29/vzAzh1ZcKag0emOTuNokH2KKqZGp9UAqCAZ6BAhFMqKRJL/PbChyqcqL
4AcwdLjyJd+i2Isf0NelmkwFiDZanw5oYUz2tqveoRTigmdDqM8j+qociFQTnexew1u1X0CM8GDW
LkW4PwXXF7V6FAx8IejBWZbMUy8avZ72oQngTSzbN83C0awB/Q77bAqI9D2bRZu4+g0v7HEHfEJF
zsbcPksJs6cN9TqIvkwItsA3dCPMna5+wwtr3EHPINw0m2x16hf7jvFmLrscXX6mjxEqSIiMXvKa
BaJ0tOiTcsedkDDuqggHTqu3kbqRY1Te29ppe4J9DIZE0MC7er4v1sif74pkql1hjWN5W9EnEgrq
BKuof/73+fqfhhHdSZZTJDFaiIDmUFdCJzVq4851R1xvab2ww4UAVFoaQho8YEa3ObKnLiPGbT9n
7gDNBc0dbjKEXluB0XUHMRRVk0GRp/PUFmBYmWPTAjS3fndMtkgIgd4dzYP+skk2Y9CiE1qTHFtw
Ct4yMB+QxDibZXt6gSSxnSe0s1H2N1CT29bE9Ilcnt4Ee+IJLZMz6BGRUEy/93J1lFXJASueE/em
p9ioOC11ENHajw3rpzXYT7KWeZBojJy5ySH63W2VBbeJWd4oeuRSXQLnWoj+9Brfr9HrLxTXzVRG
hiMtN9V4skUcMuvuf14bFyUMypANE3sRKC3UX2ZQg1bjPmohLFqMtyQpnByK64JtXEeVs00OVSRT
MxOjwRlofSXQ0VsuGyBcGnwFxf70phdyDKze6Bf7x+FKMba0Rt8sUl4vzJ4CVtJuT8E3h7Fdrz+I
6uLrR/C8PA5R6qTteyNB2Gq24FkyxkA2410Ta5vrn1FkhkMSJBDQTDsjhKyir4O266dDVwtO+Wqc
f/5wHxI9yyIlkoWpz3S3HJVttx2DePu3U1YXdjgwsWcazpbJKIa+GM7oawEjnphCF+34LxpK+oln
p44oBbNG8K2D/vB/0YRvkG8rqc3MGhBGbpaAPKFhCElJTNH+Kt1hC4XCzbDJoeVHnkG2LfiwzOOu
IAqf/gG1cmlKIYrGtubqo6MVnT9q3+MhdDtNmDURuL/OwdeUhWFNWUly3JMNm90Nd7YfbosjUyOF
Ns+36365XsG7+K4cpHTlpOd9h/kktpfy1zT4ZNyyIXnlptqIqu/r1+l5DzkoqSZVCXUFHzIu75T+
F50/XV8MWX0cXiyGww45MqxGGhAtW5l6UGKkdbPsAPnCB7NJv7QT6Pva9H6Rf6Rtt7OsedtqxU7r
FXeKUlAsmwy7N6StoCiVBI0hg2wku81G7ZjG832fm5C4XPa1HiISN/d2Sv0xhbaeHW3AHT44C8Rw
FEi19dLPJk+ekGk+pkSBUnThTml3KMpmT0l86HXI7pX5fqatS6Y7BQQW0Gh3xjH3JGhg5sVPZR69
0dLdUf+q9AbmCMDmYsd7CCZ9k8sqgRBXF6hG413/eCIv54CwstRqRH4TKo9tDBGRyc9BMsDo3gu1
dqVqEIUHgruMpzQtUn20y46VjufsDrynjg5G0zo3XRpFh3L81mTpYZYR280QYGhe2qF1dAMUQCHG
YevtaCr3UYgmu9QIrn+H9YT52Yn4VJg0onxGE5yIxptdpqFYY+jBuC120As9iHKV6y+vC2scmuoz
rSQpxWcwzE3YP7TJfTa+mobqdsajrOwr6tXoW5b60/VVCr4+PyOAqPN/pitssgNrdC/5prHJulcK
KWu9Ht3r1tarzIZlGJD1hIISr5kNYcZyskCL7emmW4FZM/WGQ46cfebqTvFJ/T57rBUsd4XVD/b5
PmL32TCLbi6iQRMD9QPGCGG4cpudhmACde0cEh6gUwlEUyT/sZlna9y7Mo/wOCEjlsmK6YUfBwjR
pC+skoTioIiefj2kOBvjboqUNWU1yId5vfKpyU+q/KtXRXI//3EYzka460GaelTZG+g5D8HoqxAS
xePExKOBMbBaD6I2etGSuAtikWa96E3Et3So3XT8FeezI9OX6864DnTnJXGXxLyYkRUXIBIawl0l
WZ7aQtuwPjaNHKDN4rqtdSqOC8dn5/DC/2a0V9QW4/er+9BwUtCb1Vn1s7LkV2kid1af7IZG9kMz
c5UCR4AkWy0sSydRofUXN58au4ydEVIiihJvMUi8leXlNusLAfYLzycXns6JTRJrxs2s3/Smq6JY
k+yzjX4v3VpHJzuyJMJw2wm7ywT7zWe3mqWK1Kpno/PZ+KD0qmPr9hZ96AJIZyfhCgjw2S2rMQer
CaHpk/XUyYpprxlU8EwSmeBwppuH0lAapD0X0FMWc37EfNLmui+tQ/Yfv32L5C5dich9nFTwW3TV
futpBDXO5kjj0GtKsulsaVPmi8gvBPD5xpJ1adPM2h7vsbdpju5oHyJ/cHQVlbvfXUHXF8hO97Vt
4rDGtvsODbtghDWrKais5FbVGzBFKgfMjgsuJNF2cUDT1n0H4So4XtfShySMPcznCDxivaR2Pvpv
Z+7i22VdlYwdRe9Gi+pn4Xe75JD4wzZLHGuX7BTXcFOMquX7KJhFtF6iL8mhTov3Gaq8LbzR3MYR
xiWtx2naJXMm8A+RS3KwUTTp2JEOJYUoCZ0RHUajpt+NsbpL08wpwBGeKvTpn5zkDXAvvmqhtTTM
WMehQh2SFw6auJbpRRaRQwiQiacPK0pJySwWlmn0E9X8HGnxKBPEYIJdepvBvVhKHzZ1FCeM0a7d
JvG2aYK63s/ChAqDnivHSuWCknYwJcjz4ArPjywombYGGmotR3XY2K7orSw4WCr7+8Wa0jY0JrlD
Zr2E1KFm5s99uwg8QLQ1HEwgC2CMcoQgIVTRfhm9BQlZ+nrdzUSBD88lAwrlulgoEGI+gap036PD
mrHHtTuIlwcieTuRJ3AhiQH5sk4KK7TqSd2NNRUBiIF2hZG5UyMS7XsbfbzmDhw2NI2l5hojaU+o
fWdo6U3VUL+n+nM/021j9WgHMaNDE3/v2nrXD5ajt+UPDWqjWtl+VSqoIKNlGQO+5jhuldrIHBkK
yUnztbAQIE7q/RRZbjrEX8c8dCTZdpns2wgqEOosEUbnYpM4atm6epzd2sVzERmBGf/SjeK1GzM/
K3OPqvJdWFLdzfAIpWbrUWq5lCAGmfJXI1dOxSx5TUw+R7kaGGbeOkXXPI1telurAyKJ6VNfZ3ix
WnvbFEX4q75HQCqo2yg9K7xyl01CCNBNaJMYy0M97nPZLUoBpq4/Ii5scBtEdImaTYuMZOv3T1UQ
B90eFXs3wtg7ebju5av4fWGKw++6hbh0t+C9UkBApwkGOzDVXVX9kOuN2e+u21r18T+2oHD1HhlQ
CKhSO8XtHo7zNkulDWYevUnKXG3+mwGuC0ssqLnAoEmudDm1MTU5GBArwfVaG+5CHvXm8fqK1nNn
F4a4oG/U5HJWB3w+7XHeh5sqCHf6btQc1vVaBPmNqLaxPiZxYZCD8jrSOqKwerO+gV7XYQJdUu3G
4EVQ9vYm2uW31Meso+lcX+d1L1FlDtPLEpLoS4/MUBpbNxoBdbcFRo/ooUN3X2ROQd/Pgthp9Ra5
WCcH8UbUkWyAUJoXRjWa3tMbs89FjdKiVTF/vfCSFqREo9mjWkqH4WnujZc2cnKzP6Uoo0Ty5ITI
tBXkmJfxnToggGtQOyMdeP/QtKkZ/pgNqWvZUF+uqeB7r3QLQWMR3KWonEEGGyLp73+arEF2J55T
PBqrXzq6KNHFnm4my12Su8R6IMVJEQ1yfDyc7y1yH2OiWW21BsKdITmWIHRSvkpGUMyC6YkVUt33
Zrh7brLjDKkwTUZ/8ejf6W7iU9nJD3PARpdOaBMX8bSL1sVhKeYOcrR2oeyS250zRJUTgtmg9nRd
8DZbCRfer4xDUjINQ73ECEqqmfgq7d1sAEk1NGrzuUIX1MT85wAqPDdaHqkdY7hDhK8fz8y7X/Dh
LS23s5n2eKqNymtHTpZIKnkF7d4b4GCVIo8m6xW8kg3pyV8Zn1XtLXvFlfaFJ3mqAAPeQsX3gcp7
exy6zn0PybSKYDrUQxPnfQ3iGW1LRkf37A04fVq0GKAS6aH1HpFs+9zujbv+IPoVoo3lX91qnEVx
qWHV6sZ8AevuFnIzHnlhYuFigvWP4cX7JXNIqyvUtnS9Vz1bloLF/NV09q7uhIO5Ilfh8EUyidqq
EzKHI/Lb3ScC6vgIlfmxZ4MToDFofgrHcUUmOYCRm3FIcxKjqhuhYVuHtNLgtKmTO/nT7L2x/Lmi
hw87ctf8hwMb2qgYn0Ah6G1ChHXZj6gSiieNRXvGQQy05OvMSOCmE+h1qm0EehH6cP0CFpngwMUc
dW0a8gRhmoLSXO93FLUQke6WwAj/sC5DSRqMAUYw3QKh9W1K8EZMgusrEeAx/6xuja4fa9aL2jaB
UnkaSpqajyHL61Y+Xu3vjhH/sA4XLYy6AVBIE2k3RYa3DJifi8AGlkeOnixQ+Hm9blG0Li4w65ty
oGEJi9bUeKkFvuNF3cwpBJwURbC4/8Bh0zBsmVg6NK/fRwdgtlHzpDVknF42iENB7i/5MpqkZ0/f
UiF39frSzuY4TJLkcYqtGIX3EoJe1o9YQR/6fLKLr9e/IDuNH0/r2QyHSRmyRp06oq/XGIb7JgIL
V4qR+d66zQEThSQiOFv1doRXtiHrCLM+DKrEEVppEjRLhPm+lHaR5veih9zqh9PeCJAVougyd2oT
Pf1/pF1Zc9w8kvxFjOAJkK88mn2oW5cl2X5h2LLN+7756zehb2ZEQ9zGjvZZEaoGWCgUqrIyWzDs
ofRvkq/GEtpL1zuGtqsk4Qwnuwk/7J1GTQLwvIVHLRfpxia1ZktDWtUCjUEcNsEJsr0JbRom+dSK
3gObnwpDsDIYaSCexU+QdODK1JXQhFBpU7taEu1yRXHS8fcczh5krZ3rjrH5pSDpBj0mjRJkh3+7
e94HiSQXwHPpfePIZNi1I3VpIh+um9k+Vis7nJ/LRgoeKigEu1TvfZPOfgHEZmjEdhOGdpJ0exrT
42yBvGJA23ls/Agzo2YeC8Yhtjf3fbncOQgNNVWgdYuiYD6dNPCAWeMI1W7dka3OGaExf33Zot1l
Trx6BfURlGeLCLcX2GYdGUWa0nyCMPJ1I2zrPvjnams5/yyVBvRGMxwGkIspqux+fr5uQLQK7g5W
TC3R2ggTP2q5OMWY+1H3apDPZcCrdXAnmiog+OpknUXeCSqsuQdkgE89DBuD+iY6LgJXEKyKv5EX
oFMSOuLb6NNtXX9fqGsK3y2bV+X7kvgLeSlqYJssFJvQmDd9zIiUjnWpiZM6saMcM3B2Rb+HH5pT
PxbCBE3g6vw1rVpalEIgFZjv4hKbp3I4dGppU9PTRbPXolVyMaQa4ikwMkwkyJgU1m9Isg9GTyo7
ePt5Fr5yt7+bqWCaSVGA/OYfSmNVG/VSsRnhAUIx1J691llecAV0mC4NbPnL3Nn/vQAJch4Mlf7b
KLsjVgfZlOpRUmYs0Uz2ZXIXQ6xGEaCVt0MkYMSKjOk2TeUhO1WhyYGUYWEdFpVfiBPfk0MNlUjF
Wc6gLBK8ADfDxrs5HojTGxFRS9h0LXQs1EM33n8iaqz+P/edTGsE0C7G/yfFXdU+UvWLIXz3bCYB
KxvcZ4kNI7eCGiFjvu/csznbyK+Rrul2/dqBi755e3FJh0DUv9qAfMMfDGQ3xDQsfDIu5vZ9A6Wp
FIYZbNcCRzN9WPAGUtF6jPbyqX0pzvTLZ/bz3SQXhRtLT5RQQphv2+5m7gHOXBI/h3b6dTPbW/pu
hovCqdwAi5nkiFXT95o64TQ4UviHjv51M5un2DAx9mWCnMLixfFMCn54YkGOHQxjPkhUHGsyH7tR
NPS7XWBY2eFu4FitwDmBySwAWzEku08w9ci0H8lXkFw7kYhpaXNVFAKIKpVVBQM/f4eJPFLiuspk
5hZsRiRztc7uTrX7Nl55ZHzhhS8/XN/JzQ+2ssmtUM3UcRkV2KyzyK57akf67QA2k1F6um7oDeLM
JxrIE2XdMjUTEnyca2RRWpCxUTAVPmguMQt/kgYvMCgqttMZwFOHWqNTZtVtmlfoFEFSukm9oOnt
sIl+z6CBGpZLU3YOocUe2rSXPMQdOMhfFXN8bAKk8rLW3NZqeFOr81GZfzSJaVtacZZo7PRVdQLl
4B4hep8okJ/H2VPVxVuU6ZcKTty6riGymH4mbV0tmR8hoW2rSYM0y4jJwGJjtCOCVnbl1QdGOpb5
onrY1p2tWbhoIKqlEu1N7nF1zTTW2I8RRTksapufxWL0dtvMZ0kx7wyl7yFuUImO++atszbJhZUw
kLWpq2oZuHZkXV4GJa/qhXqTI/n5rv1pCm6d/8WepRmUQiVB5t/XcWBESduMsBfbTDqshariK/2O
5xQDDYLn87rTbp0OHdRWKjqK1DL5Z6IZxDSoawW3XPKkDJdB+jpUv4xORDuxbcYixICAOXyQuw8q
jdbKYC6o3g6VmyeSk9L8pQuVBzOY7esr2txBvA/B60MMgxj8AzFPsloKFdiqSPO71VQ0i7QjqKhu
9bRx1KxxTFr5gIrawfBCcnLs6uKnNX/71K8gBl6NKvq1b79y5aoaOGHlfA5RUbAHtzuAksbNn6in
HDU0G+Jb0bzTBtQPgQd7qzI2I83iuzaG2WUkYa+ct/q4Xx2QHx3pSdsz7uHsNL4aRwzi+ca3wotd
YWBniQQf+tbWuSBbxQtZjPTNOlJbW3OVPTlktuKQXX4rTGtYanTNGudNCsCSahSzF50GojYrs9VR
BhXWc74MiKnq97BWzoYE3HjdenNLBRfKZh9JtwAFwy5jp/kzgzFbo0n1BTXXr9E3lHYvKF7v8AjD
9EnhDH4olFTbSkVXBvnmCi0bOU969kw2bqjsG/JXgbNuxVXdYqdFVilGqvgNTavOaoDKBtu9AroM
xgZaO+a3EuyExzfVgnPgLI/znv66bngrH9AtbCHuX8Wg/FFdAlYkB0UX0CCAu0OFt8pSxyQiHPGW
GaxM14hFDR0H5O+0Q9FInccmbkQj6OywOGq0dSwieC9vtMfhDysr7CuuTnwcRbK0gL/VjbP2MOTG
LpFAqZ2m5Dmf1Ttjzg6FUWHoAjoeIG1OO7ov22nX6pMNRmBXGRd7SgcB9cPWhzUUUDejVgvuaINL
uNSijCsrRHgfrRQq0RAzXCjOy0itx4LkriplL//9FzUwb2kiAcLcJc8f1yZ61QSQ5HRDzKSE1eOQ
WN/qORY47OYHfbfC08bNaopreelkjPLYVt3YKbSLhI3wrVO3WgqvBNnJed/NMyrdnXxnmC9N8imH
Wa2CBdWVw5CpppEmYRUg0Wzt0S/9erRZN3q8YzRQNViay9N0K6L13sz51wvjjgMEWLQymnEcOhca
TsjCMUiKOwKPQcwI+aXAI1iCxAfrtTXuWNQy+BJjDausC3CsQB4RmmhA8OcIMNr3qHOv+99WorG2
xjk8SMSJXrP2RNx0NuYpy/xHrD33+f/TAbn7Tp7UKVJbBEzAzgbAYbqdGe+vr2Tz6K68g/195R1Q
kB2jCpkYQMLoOo/7pP8z0kM8QKXrz2csQapWpwTVFV4zM1SlOag6nFktOCSl24PNznoAg4oZR4Kv
w15AH3xB0zSCvBYoNv7910qBChpoguGm+MekI5vVH9Lot2z8ioo7cw5sFTQd19e26Q8I/ATtCfQK
eJ7HPC6bKgNUyjVxxHKMXnex/Drqf1TSp4LEU2CKp1jMGiuHOWTuGtAe0s9UVb30FbQnghVtxr73
FWlc3agOy7rVAzSWs+jJGmx0Zm3zv2fpwlW2ssFFJh3wnzixcC9r1V7VvLFzoCsciooPog3j4pBa
JEOaqfCGIXqQjHNEUZFyosW/7gGb6ZqhUwXFKMgWmzxqMlRCOakiCCjIx0m1WbxLXCW0jfv8i+yW
j7GbOYrgXbz9jd5Nspi4OrvSEigj1LRRd2PSowdLdlJDhLLfRKis18UO28rInOlLGCe424fd7C0H
YwcZGjt+YCW+4Wd4riCOpDhIQHbRU2QXz/Vd5Ue6kLVxM0z9Z3eRyv39K8resAo5RAVgsuwZeN2K
QLvhDkOwPdisrn/JTX8x4JgyAd2RyjOajNEIiQwJebfSeEnhaP3vbPghKaJJ9m2HWdlhv2O1sYqU
InvLcwbdkJ1wzx5S8W8Js4IYp7XbW/nlczfyyiIX69XOCKeyRdtN9/tnln3HXuRGPzU8FnMM6IpO
BDu+H8LwyhznnmWy6IVJ0dRkCUBrl0fginy0Iw7zl3kvqtmw+/2jMc1C99RkLVvulJdlEhYGG503
lOcYsxKfAXVgQPc//5/ZX32tqQSUsmooMP/IA5s7I/6SAFYU/b7ue5tVhbUZLrGAYkGUWRn8vAHX
tLYDxb7b7Is96CV3TNLnky7xvizOCZMKM8ZZiW3TFLv9Ux2q3bRfUBJEv49g+nEQcVmJPhPngpIs
Q+lFRzCeYtCOmpOtzqItZG51zRM4txvGSc9pBPh6banP0JUeFs2TMm1faPq5yEbMu6NDMIbObNwr
qbSz2mo3AketmChYjNZhLqH5OQS7pBG1YjaGpXDf4f2poGdBTLxF//ahKCimRMmx+H8mZ9nYdXqf
+8YDiVAMj/ZkD1oJV/s1n0SMsJudkrVp7qptwMyRyzJM635yx9RuMQ9N7ioPA3W79DarbfUUijU0
t0Pp+4K5Q9kpWRejvY9R1xvViYDZAG7DTX3GjgkiszsoQYF1W0R2su1i70a5kzrUxBjohNxck3az
+RyLhBw2b93VV+SPqCHJaZbjXSNFwSlXcjuQ9OfeFA0ZifaOO5lGnU6kj3E99PHkzgBmUzjo1Mc7
vRNOQG5H6vct405lrettNFJsGasiLq5ip98H9HHfajJPwntBtDLugNK+qJOkQWoZYe7STkxUgQpy
KdTK0yOQgWj56xA8TeCKRObmNkF/NDOAfGh8P1m1PYb6rh7Hx+txd/PFsPqmXJIDXaikNFNEdyY0
UexSvwetjBhGuf0mfrfzocSWRMUSJDgQPYMXO6CL3ZsHRsdc3okHj/+Xy+Q/n5UfCcad2Mt5+a+2
SYDxzMBVvw0AMzd2cR9cRJeJ4OC9LX51RZJ2HAlZYG5kHXqFQNy5EOUULGJ8DO7vS+IiSqC0Szkt
2MBpp+xiard+6qeH4JUpZuoQoPnErN9fMfsti1stquzrGOhoZINkaDCQlfqyVQkgB+x0XVsTF1DU
KA9pj1lMNzIbr5ZATILplijtHxL1JSt777qri74SF1fCqDWTUsbp6+VDlZ9rU9B9FRwlvicfAGOL
kUhkFEzQND6G/rwjO+huC5bBNuXDpkEHy4T+IYP2cCFrSaNOoQHejvmYH2dwygRp9tpZ48P13dpM
JlZmuFilW9KcynUv453hZdqTlux15dQ1D1l+rEwhkcfmt1lZ48LQIOk07PHecwlY0xmTB/oOjuYv
PuvLZV64EzKzbPoeoRQDT9REM4vzPWuMzKIcMDuCplpjh5lc2Yqh24sau6UknUC1aNl9HkCHwppc
qY4vhtafhoo6DQaf9QK8PtGY5I5u6Ze+tD5zMFY/jnNVWg5oX6u4liB8qJC9mr0SzJjML1r6ev0r
bxBv4ZRTRTEIijcK3OnvzGzGVJAOIkvUSDHS/ac40N1y6vblOXDlA3ksv0KgHixjoRv52fkzEP61
bS5fwZg37UD8JWN0mX3y+JyChOdTAup/r5H71GFiqnJFYYepRi8u0jG3dIq9vNMwTydyrE1PXm0o
9+kSyaRxygqkilZ5qL7so04XNB0204iVCS4CzKPaahOr+NIyADIXuk0Im4AoO40afLnuHyJTXBRo
gEVvaqCEXUmD8IeRHiFHdqsrrd1KyeN1U5sBZ7UqLgTEVm/QilXNTV8K77LyAHIBg+A6wJUgkvR+
i8Ufgui7MV5fq+t0EhQz4k1yaC8SVFRSr/upog5sgy0JgyT5bjw1T4B+CPZz+zmyMsy9hEpizZMJ
UgUY7g797xBEuMt96qsH0LCASAgDDQAl/Ly+s9vJ18oo9wbKm7Ig4cS6VIt5R3TMEhALtGSXPtU8
i0hfmiRQ7T7oMfqZ2rQsT/OsCas+m6n26kdwkUZJjQGEPzgYDMqiAjPJtGPjm/rAwruQUHAzvK+s
cbGlCdtiTPQGSz4y4Kuyz34CCmXHvm5PILec96D3A0OUqFG/CRNAmmug2K8aGOfivm8NvSyNqgOL
NTJkERkbVnnGXKBnXIKd9r3Ys6Z96OS7OLKnwhEpdGwmByvz3JfuqjbGcwZjrx0pDguYvvo+2gEc
4l73qM1UZ2WG+5ZjqXcYX4EXz8fm0PvDiYkI6CcR6fz2R3zfTO4jVqqqDsuMOprVam4S1v7SlXu1
qH0pqS7J3HwGG7T+eNxFUVkV6CcI2z0IvOYPjMgMqlIPTG+oOfenTz10V7vIXRXzOIdm36J30rVe
U+17CWXkcCejJnH9a4m2kbsv+kjDWzKFncKYbCMs9mYC+e80OsTxsOtoJJi93r4z3r8ad2dMo1mD
ngHm5uRPYz5G2pGMsV1aAh8UmeHuCx2MA0uuIYEb6KEbjlT7PkYnIoTQb4et/6yGhynLRQPd+4kl
SBjKL9zllDvZi+YzhjTwD4gmmkXxw+DiR9zlqd6lMFd8Vb6+ZUVPuqvfSoggOWD7DBZX7thzj0Kh
6VNtlXeH5GkDwRbRWLPKGpX1V0ymp+pvXVhxETijwYUOibZJ2ke4Bth+9j6K/57kWE73YlwY73B7
gMplZ1uVLXqkb4dGE2IRaI0i4+P8BUBiDVRr6AGAgKw1Lol8HuWf1w/a20zDx7TiPzb4Kketz7Ge
4h0D0fvFseTya1gtLpBMB4y4IdwPHi3JiyUDZpwo5qU2m6OaNHdLZZ0KSctQEYougYVGajv3e0Mf
XXWQXqMqcfUxezYrWQTlE2wJXyapu1LPQRgDZwOxqVLou3CB5HI8C7ZluxxD37eFnbFVKcEcZjxk
2VsyeJqdwEdtP7JT3/D+kTrLfovU6jbXhdE10JJTjQDp+bc9FSV2oka4N1hT2uy+BO39YtXO9Y+9
jUdaWeHinBUCA2zquARlnxyVr+zlJLWoaJm2UjnZpXTHvX7pvgpTyM2IZOpoBWo65kF4UJfe9WWJ
t+G/IlIHhpDmpPe2vsuOxRncO6Jrans33+1x1xTpwaJmjgVYFkrZi8CP24zU1uVMsJ8iM9xHa7VZ
Sjud9bHaysZcga/2xKlqIUPSVvlktXvcV5OGrNNnlhgOmVPmoB2Csmk02td9441160MgWFnhgk0C
qa+iRaMV6WeJSZppn0OjulGc6tRBn613A7uxy0f8ghO+n1efzIfKF0GP3ypBV34Ef3WpuIYNnVWK
lMh4WgJMp/ZpBBqUkmTOWPxsoAI6JPtJLzw5AlbEBItxDFovEmPkwvpR1PqhrLLX0jJ/ax3oAdtg
dKuk8sO6tgt13iXDOVkMNAQtTA73qHmioKshq11kj4wWwHaqFwDTMPTR61Ik362k9jpduY2zUXQU
N++U993mL82u16xJNvHAj9PAtgxIccj3SfVjIO4oYm/ZzDpWprhQpqvBmE3AA7pZfEON3xjbt5Vs
b1U/rjvQ9gN1ZYe7JknYxMGk4MnWeuox3StoIGk/I3ew59s6xhPizW1kgA9E5cW3O+qa13BJd66l
VWMGCGsZAPmtvZzifxUyhe0Q9p+uWWIRYXUtDGNVzJ2Bz4bZc/W7fkQL9hSf52/6o5kB2Fz5gRO/
XN9XQZAxuFg2kaFryw7ZR1k8Y5ZBD19bzbtuYnMDiazKuO8UQig/WlTHSjvPLP9N1OeK/MqC+7H6
HqgYMy69NPsCRsBxfhDY3FoXQYsVo2CodSl8VhWlckTSmUW1nXqcPYJ0MXAHzFEMma1ByoF44vKd
yCbnKA0myPO5wzrL0murc13uO9HVs5kOr9fFfsPKRYIkyPpkwrpI5pbP8V6Bdry1K/3BHu+GE9JG
b/GUc/P0xjLii17zmysETxOGPFHjMnmwbdTHVRCD79pNy9hGeepU1hAxDpb7619PYIZH22oLRKC0
iqHDm3FnTqafGdIJQqYiPOzWeQM+BHmDhfEemQdqVaSd01LC85be1pgPM3ashzR/y2wDz5nEm0+i
Ec/NxG9tkbtsSRuGkkRzFsWUXbUzdimmI5cH9VbyIQ8z2iIJgq2LYG2Pu3bjSUYCMYNBLVokjMG0
z2QA7XNtuiTGkDMyc8E9v3UbEOwmRb3HNE0ee5MNExnDFLw3MTmZJYYV/TG4zYbDJ/xjZYU7aEmK
0mgNiL+bdeeufMmnyM4/85per4Q7aAUtaZNF7AqVPTncx+nNTI5CMUa2/3zEX1vhwq8pzdGkMV3X
xHoK5spujQHPIsPVGtWmEmaM+wfAJgWJ5SbebG2VyyyNnhCZJEjGMPKF4rKt2OWTfohvWKoOKfuT
WJZ380Svvhjn98uMJ6hMAzykyW0cX4ru+0h3151i8/mxXhXn6yXCYm5p2Tt0oZ5sCVLcjrHYLVNh
dcHhjqH0cieKyoLV8VI0hjaXijxgdVlwlvTbcLkYg6CXKjLBlUGqRS3pGKiQqp4LewhOafKd1L5g
B1mudsUbedGZcYz72ZLh8+nU20TdRa095eeg+EKUb20LKXXLlaHOoEi+IaJWfmNeuGaby+/iKq56
c8STGONkN7o/e5HT/859uq+d4I7daxpIUW3tGZhSP/KCBxFqUBC5dC6mKC3g0wnG+Nzgd1/faJXf
mS6S+f/nDvNRpaoDaWaIUhb/KQiyTVd+NHyMqAP+FP/8jDVQJqGhCzCkwc8HY9Z/mhUWw4zbCV0+
BaDL2FmOLJPMfNEh2I4qhgz2EdPAjcr34TMNM/Bzh7XRx/EPFNO9DFW6fhc84v3vZXvxe44FjQ8u
szLIBRVrSPWkozgTcpS6sn6MrPsZBL0Lucz6r0B0lW46iAGlaNTKGIcS9+lmXDoSLWp8uiK2ZxB+
96FbSY+t8ZmTvrLDXQmLFWZ1BOkgtw53JLqAGTmWn647hmgpXPyH8kxr1RWyglIBB575LZ1fMDJl
D6JX/3ZIXq2F+0JDRFN1zuASo7PsmIZVsgPDKU7zEZ3tr+UOQyaO8qj9+szyKANYYsD4A2PYNAMb
VBKkjwnDbh5ScK2Mj1MqsLKdyxEM32O6GI8MvrPVRHPRp6yLwM6ymtrxsdvHDkXqqNoEY39CGc/N
O2BlkIXvVe6/VGqEUgVy/6igfiqPGD2N8flKAW3ppneszHCRGAA4K8oCVqqh4HP71dSxI5knVThX
svmkR6bxnw3kQm6sKyVJGD1qRMPffWfeB133w5I1vy9Se5rS2xAj9qY2IU15pLT8vejTF0t/laj6
ojfTjVTcxUKs5WbCjCwCU6k6Ol8fiuJ0IIGS4Wi049NSfB1BuZ9qP/v8UDaC23b7KQfvJBrcBzVZ
7hR2IdETVUJtnHVGu68jpmApZCO7UxPa9dl0FWge7pIjmipQ/XSVbyKM0Wb4XNnnDmcQ5VlnNDgm
tWndhBQCfQpJjlpae5ZUnJpJc4c6FvjWtgu/r5nL0bJKsvTQwvZmmmMF93L8NIlmiwUmeCRDkOpS
TCcVNXzL14xbVdpp47frAYY55oeL533neMajitYUo+8I0cl0StLzNO6v///Nailh/Ajg9ADvM1/R
NuQlqcMBD9MR42PgUwL11g+GEI0eDa94zk69O7uZF0Gevr8pd5JrHMTkrJsY9fWP4C6izIBg2VKk
uF6pdokiCEqBmrUsg19aadpTJblpVuxU2thJRE5LoTbuVN1Ui/4rycIvyjShXUbtPul2czeLRN43
YSNIbFQN3C4UWvZckJoB2IA8KB7S8rFEX3rZVz9pillWjPTZQLGfiRd4uQCEtnlgVjb5eJXqRdAD
Ouc2rQKa7pvaCu0GjCegOcBkcyB4pW1GopU15ueraA/Kv3ZRWca/NOel8bP4MLYHufEnEZPyJhpm
vZfch+6KsbLarmTMw5jEBBAFXf473U0u2X7cW4IIsHm7rJbFRb00KprOXLAspcOdCeVTF3IGNwgK
XhQH7vVztHlOQWtCFaIzEi/u0dQYtKmkHB+MaPdReWz1p+v/f3st7/+fu5BbGczX5gj+HdK9Vu1L
kvvT8ACwpH3dzGZEWy2D8/WG0jAIVPg67fxJdYzoNuwer5vYTt5XNjjflrJg1M0ShYjOXXZQ5dqj
pHha7icon3V++CjtPgNlATWLIlOMyQIcxN0EhqnFKKujqh7Nj4P8IpFj0qMaEd2EpBGcpM3P9G6K
b/t04RQRo8ecLETxSupI5XGk+1EVOMPmV1pZ4Zyti2Kd9uEMFhgdPSQl8qUaam555Qm+FHOqD5fP
yg7ndH1LBrPrcYCmnfRaQINhuV8wJqh5kNJ2RfCpzZC3Msa5XjQZoxawjoRs3SmYUaozDJ/ct9ol
DX6QWPiEZLObH9emo6RlgM+BvGWMq5hnLL2c0hFOUQ/DI7RN/dnMvLyW7biKIAcAijCosFRm4ES5
iBB1+84Fhvzftrl0SDJGjEUlmFlAR+6i/kiRzTNisv6GnYLUy38Tl10vOWAmxp3qJ551GAR5xXan
xFJ0BYN/6NXzXYtegaBiqmdMpMHcD6hfNcafIkaiT2t7ijE0ZUYOTcxdMScvArdi7vlh61emuQAQ
RFncDyG+9BRaF8VKf4Y0dJBMneQSulYGhEkB7iYdsYtJgz6nKrC/eUZX5tnpWn35VjX6KLUQqlv9
ftQem7hwugmwHvRSBQtlgYVfKFACJhjhQBSIwd6/LVE1i3RQkQB7cQavc2+XP3QHioiY9AGp9B80
MX3pO2jOjiobSBPEiK1VrmzzcBiDxnWkqtriAoK9i8LKr8wf4dJ54MfYXV/mVjRaW+KikdaZQa6x
aoXV4y2hgrds6L6riTAaiVbERyMIXBBDLcH6/NR7bLIPAi23AxjZNDRJZxfj9V4m5OjezFjWq+PC
0hJlGPzC7Aqe3iMKhamnUBv0EXgvIVHyRaRBW5nY2hp3NPqJ0YAy0lgQJtuzdAB8KZkPFIPaAvfY
LCmsLXGngISlJFcd4t8YDE7dYRa02hXLY0/9trDpdLuAy6y4jUJo1n7tBkFmJrTOvvXqDIYIPFrS
IQT8o8SE8V+/gXZaYDMpekt4t2y6KB4YMrEIcEF8BtBoRSI3MVw0VHydPmOibyk+cwreTfA3v9ak
/QzFTQBKxxcgZaf4kAu721v3MVLAfy+Dx1rEEem0PATAufUmF1U7J30i4IhlkHns2pfrx3rTFVfG
uONmLCQbe4xOu2nQuzUcJYQamRH9UqE5Vg2Wd92a4Avx15FM+jwKywrzrWpsj6k9pKB1F5UhNlPP
9QZyx8vsorrO0bB3rUdWpU695PafQhojmc53YiJmoUXumKkUTbfJTNjMQbjPAJKxzV/ZKb0ZPA1A
+BRoy5v/XuoX/S2QulPQdZqGwmMgKjCC6tWIs1W1Xqsfy/qelIfrX2s7Kq5scOcXzBixVo84UMF3
SN2hmd29mDedNz13TvUkgsVsBv6VMeapq2BRWoNu1uaAzrL1VKjIEI5BA/iUCIG+6fArM1xWZhlk
UTWCph5kqFxtx1gNA7e/IB8DXHJy8i/JHoQV2ZMIKyayy2UJs9KZia5geTS+WcbLqOyU9qGYD6qI
q1tgiMc6gEaI5poGx8jSnWyeounXoH5pNEhgCULHZt7zvpM8u1ihZFM5NohTVgwlr/5nqBl2vVwG
wyXTZQrvafws8Ed2C3/ItFYWuWCVBXHYUgvRV/f1PxboJBgf+Oimd/8I4IgKJpseaeEe0SkD/Fhc
UgB4RxQEJtxfLp6T1LSH4VUqZjsVnrOtVwqohHWcYgXEUnwnSJljaO1k6uKa5wrDHtKFnuvD/4W+
eOv1tTbEHWiiz2hJvmEQyudaPQ3ktYyeR92p1ZfxU8ITa2PcgYYXxnQZWU61lOeyWuyiwlDEJKrJ
bLnh2gx3oJUsrTvQEwIFjvl6hKg9xB7xdBVh6TaR52s73AGeyrLUphx28j/xDC6D2VPPxUH3Sr/Z
t5DUKk7Zy3jXuhTqzvNN52DQTNDs3fLH1S/gk321KqZasRjWJxsvg1zcAmjr6qQ+DKCIFRy1rSRk
bYtL92uCW3qY8LCoUL5huvUpqvl+B1KPBvSg+c/r5kQr4w52X0gFUh64yhTc5tmpmV0ZM5epoNy6
eU2vF8Ud6GGkYyIb+ITRoTk0j9DsxOjHfAu6kp18Ci7NTrSuzQx4bZFLRVozLMOgL9Aw7/x4L5+z
nXSZ73TUlQlm8W9jIdHqZg9sbZFLRTR9nAPU1gGMydAiHQ4aEsjg0Jymh+k4eGwuLtp3Z7xpBMk+
Wwkfm9d2udCiW5XSdBTBsm/NXZYRcIArAqfcyh7BJQ/SWvCgUZ3vjw50DnOd+X83QTBBfzL63Cfj
4F73xc02xdoM54xlsITgzMUONi6mte3mIN3qXvKIag1g2BneLukucJ41Oxb2YzePwWqBnH8yPdSF
4RTdngYO7fOzEWgHdO/tKH+5vsitJGG9Rs4vc4gNd2iVgo8FmkrFfizcMEptafHmTAQdF301ziHH
gUQkU4GDMZQ/hdrZLUadla/XlyPaOM75wmyqazDxIhmWiaOHjrQ8UQBK9U9Jk6z3jbvTZAo18D5H
oBp2ga/cQL8Gk1XxQQPzLUQ8mPaffiGfkWNbG+VuOLlPknJI4fdRH3kG6e2ESo5m6vcJNeylSjx9
+nN9P7fj1soTucuOaGNXZCxuYVzZsE3QcEtetddvDX928XjHXO91gwIn4d/VcRLPZhsgK0/Vb3r1
Qw5uByFUdvNKe18T/66u8mFJuxY+z7AjqqM7BlQwqcM4RIYneri+oE2kyuqj8ZN+IKeaOou9M0Dg
7RFM4rVoTmG6oN+ZtxPiMJ5QjnQnJOPazIZWi+RCSNTJQQkIADgiwSv8SoH3Z3MxQJ7dB7fmTZXZ
DKtFoaYSeAwhJlg0++8fLoGVdS6sKB1NKSRnAFj/E18AA3XTY7NvvHywNYdx/5vOdYMit+FiC80A
jzdLRJR+OTeV2+ffahFKi/3ka0viQksbgbvcSBG+El06y0Z4Eh62zaR8tWlcTJkaaM3QBjGlIvsu
9vQityPAJfvYy9W90n27vmWCyG9wwSS3qJ5BhW1BkeIwJq9W9zTT73FyKKT9dUObHfX1CeBiiDnE
xRD1qHK+YQ5kr3AHRP8EkVLyWeqTgFcJGHJBkie4Cgh7a63KCNCXHztdjxnx670FNA8YieyJ3DUi
vUWBXxAuQZarYeq1Hnd1VBenIKO2pEWCWoVoKVwiEodmGY+WhPLLvJe6vYncG7gIInhVbPaIVt+J
cCFjDgnutATXi4RJ2Ub+EpatXVizJ0GGk5q1n0zzeczDnRIN3nUX4Y4vKpyaAblFZHOgUsb0KmeZ
hJGapQbQ6WS+NdWdkrUgm7+/boNP+j8Y4Q6wUXVSMUo99Gzu2UxGiAmX3Kn2lbc4841qR56okMVv
6AeL3IHWsqoqVKzWXRbwrWL+ejwSbB/5EpCfIbQJQFoh/Ijc5cbb5N+GBSqQBZkaDYdtdnC5ecpe
PxBwrSieLKR85ByTN6ZyWwo+1MAC1ksDRnYnh18qA+zAqkOl1+ufjjtiH8xw+6iYGZlMA1+ujCNf
jc29URbudRMCD9S4aBhiZLPXp0VDxg2BgecqdmRdQNYgcgeNi4NtOlYjqFnYp4EO94F9GAbQBrvB
4fpi+JyD3zDCr0ZBrTiWVagYzTZD/zGatIIxMb2gn1Y8Tx6TM81lW/7vAtUHu9wKw3noZ3CiaG5g
lLahAhRhPIxS6Ga+YIGbn8tiU+cmYgbh1Rb7XE6LqprheH6BSruyD8/RbbIzD8E+eGSksgpyu28C
oywKrTKAf1b3blRjbrq6Udo5twazxa4yHXUADd3IDZ9AdeOx5iA0dh+u2xOsUeMO1ziPCTBvJdyl
uEv6yDZMpxoEdzP7IFeWxKfCaRUxMmC45H/HSfkxTujQlwGizsCkokZ5Wv5MosFI2c4B+KuA9RdF
lsgjIp3gjQc7poso9JIgaKNrCj8nMBtxoEOlg3FPo/sCOljJZuV85vmmG/rBI2gebO138CCM9B+T
qb8tcweut5KobeNWR5LfHEC6sGPu0e0nADwYE2Z+y4hv+xcRrdtGasXsYmBSlwH1NXlOuWnOpKwP
oQwo36sR2PzyY7QDvu7H4MUgMAGf8//hibbRDfrbKHcOSqCR4iahjHObnQNG8K1dmjc+kcwXpXHc
KcBn/NsY+/vq0OmjEiipJf0PadexHDeybL8IETAFt4XtbnbTiqSoDUIWHih48/XvFGeu2Cy2UO9e
LRSzmIhOViEzK+05qpdVL3b0ecUmmWiK6/LHe7tEztCisR3KKcaOstUd2wrfS78ikVOrj7loPYKP
QT6chnvJ4iaZ+rr//TonwGOX/N4pQXsr70TYHBcQB9/fHaeVQEVJaKwA0KnzR/jjoICDRKP6hF0C
twc8loEksL7pvnW7O9F410XNhKs3wVIEpPQPDIJtMg2R0UIzrZMVal5xY96XJ2wW5C5DoZ5PuZf9
HET2wA505s5er/dMKM/hZ6X6WoMAXfNM4xF0uK0dSEDXz/TAWo/2/HnbP792VrekcZF/FtsWCKYL
4hXG4iQAfMrj6a4HlEYi0x2mix2guR+rBTQ4dntoMFenRfEpBntCZueuYi2/UNl00pjeknz0rDZG
pTaiDmC0nzMT2BHpej+metgvWAjKpHtCK0/SyX2iLHsjiZyCYN+87bxiBBekWTtNV4dTEwWx8rWO
xy+GmTh9Xh01C+DRU+rTGCBU68980L02Ltw+ewba4I6sqr/2E/i5l69NG2uO3PY/i0n30zXymzl2
wSZnkvRGN6abXqZ41+ndmkYnswPnyKouJjZF4snRk+ZGJeD5GfLrSoHjqQy3LL4ki32MjMeFnTmf
8szRkiUYuvaWZRJVXnmRkTqlSXYymkJplx8KaTwN9fxl+0NddFjnasHlT4pkNHKTSeRf6OmOASH5
hvcPHZgIlfKSwzoXxuUyXZ7ISdtQHTjaTjb9TKVg1UQwY9x7+kHPOQ885qY5Gzk4zPtY2qtT6uaz
ugPSvZcmgqCH/RKn46qBHRLwFANMHgnae/cba102pToi/E4+SOanNNcdwce54H3fSeAcfLYW8yrV
CEHUMAoHX9oxqkjGSVC60iP5NLvNpwIL86KxiQuu4lws7yo60s0k6vCZbMUZk8w3yvvRvIrnHysw
WizRoPWFOqoBcSB7Bn0P0Cr4CGhIZE2pbB1turC+Lv15R6+iIA1XAGUz0IhS1LK+5H/fCeR8fzpk
ip5IMvHyuHqwJTQuNASpeXRMOvKkSnrnNpPlSqhL9uaw14wYVGqL5FpZecr1NSyUovQEX5r5w4+6
9HYHXHagyvNYJ8ANwFZljTrMy1p+LurO05eu8KrM8NQc5UFZdqXkuZ7W1BeI58J3ZjTnN8IXhBY9
HsF5h2e+8RlOZRPa99o18RgJBQ21zBFBvL1iem2cl68MYdkLMOJmob/me5LDyFcYUrXitydRU5rP
Lf89nA1eCwz4Whbh7LQ0BsVKSliROeggC8icrv+a50ugSU919n2af5ZYpxm1SICPe8HZ4U7fxHKO
SBpAUVYA9xl73buCPlT0WHeCnFIkgguZajuJAU2Z6lgKYlxr1JOt2V/zKNhWj8uO7u0knL3kGt7c
MUEJao4HL7WLh3psBJf1B5v8LUPnDKBbMzkeK0R/M3iakCJUeKJ7h16ZbvXE1ovSm/lxuhJxVQgu
kFdDUmEsQopzzVvkEJNp5nJKFsHJLrxH52pg8A9sk2Z9W6FA06eP0+wOSuJYYBLVBWIuPeQYrlZs
UwUFGoIrTheA2JisrTZC3Szllwl3QeXEkdFUdJRECvNSeUZ0dEOM1jMSzOxW0pGo7a9tReFS5ldL
O/8bOEVRMq0ji5YCJRWFh/yQh1Pw/4HSvnSlZ2J4brREitY2AWog1B5khr3kjnYRaprq1liH2z6R
SBT39eLUSKt1tDEBUV7Z3UOPWoOkBwQ18205l1768yNxPooC5H7MpYh4jVKAPZmcyj53arnzmqzx
apM+bou7APzAyNl/awtfr8knuV2KqiVe6SyuFswP9Ca6NfZZgO062+9Ad5R+7k/Znb1X77NHUS5y
qRrxTjyzy7PMVct0qRwIQicSTk+oXYajFZin4soM5aPsSJ59TE7Trn/5fwAmiL4o+/9noou5AI9U
DHvUHdlNMQxV/lxuB0BUuZMH3sBw2TXP2idjESjSJU9zfuGceVqFqQ1qBdNoSFAXO5POjoXt/+3P
KhLC2Z/dA7KfMl+DRd9R/QqAdFL/pZ/hK7XrYHVG1iNai5B7vVZ05iv9mv5Sg9LLDqLH+9LTYzIi
OHAWgx2A7xAXHRgSdLUB0/R6O2i3kx5u39hlbXj7fc7usDBr9gixdS9DLxhLN7slwlRakwdq1bvb
oi4+cednYWc90zxqtlLZ9fE/MQ/jgNJlx7weXTzdAT1IXrerQhFh+GWNeDsfZ2gzg1GYF9xfbXqI
Md0F4sxZoHaij8SZ1Bq1JDES1FKMZbcqXydJ0K4UHYKznaFphtIa8ZHk7KAkR0P52cxP2x/nsv99
uyfOctQ1b2xsTWsI1pqdtoAlL4n8pTI+FaQPtWH9vC1OdGNctKMaEaYkc9Svq1LykfUfo6L3t0X8
ISD4fSQ+pgfoTZQNDTJ7hpRhuKzAFQWDt/pYLfUUQYOU3Q8fz5/pNp8y0jpaFFOBMKyXusuwAEmi
v0q14iY26mMOTE86W9+2DygwXZMrMcmGhchXgtYN4+oYOePmQtnlhU6C5qhANUz1vdnWs9pYi4Fs
WPvcVb49LQ4qMuvw0gnzUuZsti6Rc0ZtYpbgHnxNihSg1FXejIkigrUWNcC2+8m4/7sL5PyR1Sv1
ki8lDtZ4fRvKAHs2nEX0YAhU3eQ80GKC24yusKy6vk3SGyJ526e4mEqeqx7nfQwJiLBRlSGGP6T3
mhcfcnf6Lgc6RhD/+4lAFjX9NikePGTMTIDPZI3uDQPQzdLyYM4oD0ZpqLRPUqEIvo/A7ZmcTzLz
ph66Ekl5iQkh+Ztq36jxy/blbZut+RqnnT1JKDhoelwg64psf8yPGT1kMUz3CBrdmTxsy9q2V7Rk
3tvRsE5LkUhQN7NyAOu+pOHU+7IwD9o2IhArvRdTKMmUrzpc6/i9MRzip1/ik3ZaCje60VzZoY+j
iLB2+zsB+uq9REmzweeV4o3N9Puuuq+Go20KnLng7l7n7s++k12VRjIYKGH0uuZUAI0BYvq+XBSn
MqT99me6MMN/ruTm68r2maxcq/pZTxFEDgdDd8zBya+nkBFhKeEK7lUAffe75RYlMU9zc69yxzAN
NMFzIjov55q6riwBNAKbHuPlOqOab9LandC0FLGxiQRx3kmSStUeUlwsfGAGGOPsSs2PdBKgiwne
YqTo71VEbwFcQ23ofu/NIHhEezwoXfPE/LqYVPayPqLQReCpGA7Ye2H4oktUVijXWM3XrsKc+Z4g
bd3WkotFNRPoHv8Rwr2KGoBEACiCfIZRVo77FDOMrHwnX4kyANFpuEfRGsd0LRrkG5kVWugWrJKf
ZU/bp7msBW+H4dRt0CMKviz0DNLIn3RPwv47tR/g6N1tOaKzcNoWzdRupkJTvRiD10WiO9l6I+FM
21KE34bTtn7GcERZrUjR1BHDhE8VZtTIiWLXPp9dWl+bg0eKXHC2P7zDb5fIRenS0o221qL1/Q9F
SQ1AMcAezj5Cl3AR9aVFN8m9jaOiSSWpoX6leqd017QKi+x/yjrezsO9V2ZZYi17hIjIes4Uxyyv
UZAXfClmih8jvt8y+LBZblXLbMuJeFP5S/8ZZ3vTDvsKU4RXo4LpGfu6xD5F0fzXayjMw79J5RzE
mCmFqqwGaq3SIbaepvZZcCxm/FvH4pwDAYtIZKUoq87B7DFuFfu6veqQfBgB9kJEusA+xJY0zkNo
2TIlbUngiqzCWcluLrF+Ev9qyG1f+US/yZv/cibz3zrn2wVy/kKl5ZJmpYRizrrTVV9NrnNRQsp+
YutQnKsgVa9Ew2gRr5W+jPRBjgRO4gLyynsl4JzEtKgpldron0kVyakAV5rcLgcF276sw2i7dWhj
HkEqveWz4uqAlIjF9Oci/ed8BpU7s5uYorBxmVda7Fv55jXbCUUQWCIt4TzGkJgLMQlMrSIgRLxt
ppes/CHlV2jmy5YjayJQbpE8zn3YZZqrRgMmi17+XhVHTTLd2trn421iUHe1MfhEJYELFjhFHoQv
TxNZ7zvc5jjazjoGuvHSxF+2bftyxvBb9Xl0L5LMM9Ur1GKA0J3nTxiDjsntinF1mWIiP9wW9oe4
6U0a50jAmV4Z5gDTng6Tj+n4YNyt98QxDwRw2aKmpMDkLM6P9J2mLgpIe7wx+raWqTMT0css+kCc
3xhMaazkXlfZrIjT4v0vW+Du7P7y0jjXkYzx1KljDM3zlKB40XaRl7rYO0fh+ca6/u8hnN/5EYvz
I0BJm6hVoPKjgtAKUIQY7QCOkRBoXPRxOE/RVu1QkRrd1MIATGncPEpxLeimiuImi3MRIBseLMLS
e8wNBQDQvZH03pMkZUfBtOsmOoZ1wYauaxLGpmJBiiCyK85d1KQaGrnDLF/V6p5quIOGvgwG04yX
ubgVjvWJgrUPAAg9Vuy7DEneGGS3Q1iGUaAfao/1XkT7R6Jr5TEQlNSYJwLETY9o9s1SKVfS0vi1
8oytAzD4IDwEkRPbrJ9RnBaYgsDgbM5/ZKOa9uuMW60Xl+2hM1hz8gNRArDb2Joe+sqeKGERJBM8
IgJJ7TpbFEzaDvh+8fxSkuckJ27azd726USH47wJkAMSTMyjeDMm9yu5aaarbP60LUJ0Fs6VTBap
lTxHKtmtOyXyyvi+Gd1YhMbBz+Tz8ZTN+ZBZquNGrl+HMZUge+nCCAgB5Qm81g+GY4exW33RXvQf
22cTPS48EcnaSNOiJRVrQmpBcxf7/c44Fl9ZEhu5KxUEXMJDct5FRgEnohQvJ4t1GNhj4qm3bEC4
d1p/8WqvBvLULhfF4kwLNgJJm3MsgNGydUmDCQDRqnUa6L7HiGAlt/5uKCjitNeZ/3cmQGSuBmca
KWkIJk690XgcYWnpTb/c2IMn+IDb0SORuTymt80qBR45HmwtfjCn0Z17I0hXOegK7cdiZk7ZTf4w
pM95qf1aStHs5Lb9EZlzLpayrubQKBBvjr6a/1zmLJArEZy7SAoXlajS0padCRPMB81v5DGg5uAv
xAq2L5O9n39WEyIzNTqr+qXJNEWrhWJzZXyPqj4YEo8mO7MD/KAs8MoiUZxTiQprSLpBw1Rj5ddG
45TRz5YBb2tuWoliIaZpH46F6X8CbgQDIFDc7UUEUOcl61ZbQNEy2u9Z9KnPT4b0ZVX2Se1GmjsI
998vnu9MJneVRALUv9Sipij1bg/4pNJHL+cV6ZCaDqPdW/0xpCc7c0R2d3GUki07/Oe43NXGBWba
0wnNFtRusefBuCeIh7qtq7mFb3uied6Lz8OZOM5vK5rRagUmfsDZ8QOJd9pjsCi+xYcQ+c6LRnAm
iF35mXa2NlkGfcixBNnkTjG2+JQalh2+VlPkW82PyFSDinQ+Ub7VKZCPrCGsp0Mldy5NElEQf3l4
5e2P4R/4wTblhLZo09kP/V5+TILhsQ5RzsWWPBCzXtTvWFi4UpNgEe+OX/R4Z6I51epShKcJG6Ce
3NnTjv/sL5pYlEsO5H7bIVzax1DPdMnmdMlsq24gGWrwrWfpTvKCeXx/BHk5EtnBA4qbL72I9Oly
qHh2Pk6hUrmIa81GWErBSo5yuWQ9kMFrs+OiBgA4B6vip2UWVMMEusWHAcrc93FbQrckwM8Mo6PT
YBENal4sBvw+F3aw3utvhl1XOc0y6G+t+Eaf71Td2hez/nmUMXekfOnGxE3S5kHwCdkL9Gfvp/Bt
I7KmlK4FPiGGKjFAHo67LmivhkAK51DMDLN9kSCse3/IcpJ1qtvwe7lVB2Nd3mc5Vhgm+mP7VEzH
tw7F2UBkluCJSWF+Q30t1cNLHBXP2xIEblRRedWnYz9LFVQCr+1+OWWBeS/v9RNbFE6Q/wlJoUUC
eQ4ouVKTmGjw29Wx35vf5qsBjSI3vn2V92JqwgFswbfiZ6IHOhXNDCfqlbJbTMep8SspFNzi9uug
8OROI2kVs6L4UGyuH72Vg2X66l4JQXfmqk78oDqwccUVFSRER+M+XlrlWFmrCkwjgeyGuml5Xyb/
S2vgzZwJ56aoKkUGSs7osI3avhy7XW4OoV5/3b7AiyUBFZ4AzE7kI62fVbW1pjZQCh3oIPq1Rp6K
8nODJoRZSU4japzrF+/tTBxnV0lErGRSJqwgNMjLYzuwbLBjpfm3JNFAn5uGRgWwJ70OmjH1daV2
l1wJtZIEK7EyhyjdaaV9UJBmb+XJKe7LoIvMO9CCONlc4R9225rVtVrqaml/qPTlgClQv+v6wI7k
YJZmZ9HNUF2+r8ib7fy7VbYn016DtjUcubGok46ti4ZJ5izF5BBGUD7K8b6b9V0a2Q/W/BlbdU6f
yplDq/Fas0bHJuk+qpMFu7WKY2giTyS6MU7TtDTpkn7Cja2xX894G5UQ622C2OeiFZ19Fk7X9NSq
MClGMIGsYuXMdBNgPA+3JBPUn0Rn4SMsCppRcC7DeS8ubCdWjgsVjI6KTsIlwJGygMCLNfVTZd+B
drFuT3r11dS8bbO5nNef3RiX8S6ZJI+LirweEIR0X/pJQK/a5/EgB4WffRHtNwsujqch7LVebQcj
J56E9b/ohZDvcyya6xXcHOHChx58a/aEqN+rCyedX0gPA5m8Gle5fXUiOSyeOAuzY4VoUQbiGXR9
bsrmWKSfKmU3FQJVE30g/vHJNSAS6QNqucZp8FmWYt3OskvYRAmQgHvRfI7oVJxj67NqLrMRs/VG
eUtQ14nVH1LpR4omsNRLO8Wq+aZ4PIGQRJqk7nQonrQzDombBQA/C0vi2fctMCHNkC1TWdfFqQaO
onq//ekuh85nwtktnH27SicpEFrR/AHWJ7ZnaNh0YFIgI5rJBZZgAeEiN9e2ZbnxsBJBRi+yAc55
yGY8o9+LLQnJ+A4aqB3F2iW1I0FAIfqOnP/Q7aGi+YJm0JhiwsoEG5K/FnuzF3S4RIfh3IeVTiVN
O3j1VOtDSS6u0qZxdayNCT4Yu5QPcezbB9O5Iplu12UUA/gH4VG/13flyR6C8ZA8Fw5rt+aBftt9
a56V2yEWSL6YjJwJ5rxJUU3y0NSoCJKw3XdICjSw55WBCN1NEL7wo/uohMnS3KLeOUsBGKXzCuym
7ZfCuh4QQZuWaP6EWfHWdXLZRzSsaTN2iGiL/LHEktUy/dj+YKJr49zIEpvNGK0oUrPlJsZZ/Q+s
g6iGI7o2pp5ndhxV5dBH2D/HRNpuyZ5sDSGRb3TY59KANq+KUkT2sbeujXMbfaksqzq8TqaNHuvA
xwd1X+9rD7sIgqj5ckXhTPE4NxERPeoz6TUh6PdFoO9iP3eB7+DKAOMA7YhwKl30yTiPgc5kMuYy
VDDbs02f9hX2WN79ZQjA7y62xSgNtGeajt2B+Bi1N1Lz+FfKxw/zZ0ZiZvaIAkKytw7Krr/6i826
ty/Ejw4aeSVheR7KN/aHUQ/nrHOAfK0CxmD7OKLXit+K7JJCiRYDxmQr6MEZTto4QE0YfGAUNuRZ
6Qe3WARhx+Wdt7PDcR4iLqtJTRrIVMPZk7D3Vu+ykLGvAcA5WNGFuWo8EEgcldAOx2vAyQkKTQJt
NDgHQqocO+crvqEkaSAWcsbnBniyGGy1uhtjeh7WXHTL7EQbxm1wvkRqulFXC1S/9RsgsWLsFIA/
V4bTHbFn7cbYstv+qhdfTrQOdEMFWJ3Gi1PiTmpGBYFW32KbKY7A0AZwhJoK4oALHJ4YOTiTw/ms
JGqjaGazp4yeAJ00p9kVex2UjafYp1f2ST9FD/mRcY/XAXXHzNs+5sU45Ew858a6YjQ7vYQeRWnq
dNgRapbOSYqfWdN9+ztJnP8agLwWywbq65NyKpNDVn+XVZ8OtUhPLnZJzk7ENPfszUlGLdc1tr2T
aYmTyYGRH/TcHdtjK58W6yDT0yqarnzFWfugm28y+dHHVkmbjNiosa1LHsbldF1VjaOX4Im35iuZ
zpOjWtXtvD7ZfXxtldZTsQLIF7RcGlaaU6SPJK0e6PTLNPtgttFlmQqnlPLPpQmSMJ0eV40G0Vrt
+rzw01o/lNT04zYJMvub3NT7tQGmTBoHoIH4OkbS6IxpftdF0rPaZaD6rT5ry+eorp0kTZ6ntfgu
kcm3SGk7khKfULV1iGEFUVW78mw7tQZ0mORrbfc3bZ8/koK8JPKvtqpcKdMeCqvzpQi4Mi2S3elG
zdDynTXkpVV8m8TdJ6OMbuIuEkDqCYyRX4+qiiiO8h7V2BiEeJVn5qehvNtWz8tly7NvqL7XG0Qp
5lTr0M/ek10ZAPjrTrpOwxHgpYVf/NRvBfLY723pDOfBW6PKsSWqM3kjPPgrZ+Ye+VVY+XGQCN4L
5o63hHHuulR01e4iBJT29GxIoV4IyiEX4/+zy+OcczOYU5SBPMYr2/uOguoHvYd+OCorjE10caKz
cB5TLRYLFIaQRcLsluF7RKgeOBoyUvUKHFM7MW224HQW51JGUynIpCMmiqpbMwsa42i0+0XyMDS7
rRQXX9W3a+QnmYZ2maXX9s0/1Bb/YA60oSgsvzy+cSaHy5paQzPQy0BoRML5mH3KQWEUedExa53O
m47qDhMI3rITQfEIrpEfYJKVVpetESNhRfKoy0eMMzkpA4eivT8pj9s3eXnz5+yInHn1poXOCuuE
YRsVzBKJr1HAJunyvq7yNYxTIGVb1LPWxo0r47oeJmeKgUW0alek/zQW8ktrP8QoHtbRcL/qtoeZ
r2BKTa9Y5l7wZInuhTfOUavowvbCJ4xWSR3GPurMq/XJicsvw0IFrkDgS/lWqEFrackYXAHwOpf0
uw2ocBEfsOhAnIUq4NzIMzYd1FVhoj1SzBoux1RGUbwWLaKLTsP+lLPXHs9upKisgSYXnpbdzPIO
FCnbqiS0Fi5y6ZbF7nOGjaWG2GTN/fiLrLvKdblPX9iMYeRiI+SHKMC+mDqf6S/nc3o6yoPR4GAq
pgNG+VhLP2QjHJHEqOux1563z7h9jR+GnLIkztaJYosiB3Vn57bRLcaAtkVsKwXhSyiJSQ2aM+uP
q9RpAEho7CL0ZvSrvHK3JV2uyf6+O8KzzrWN3FsAm/pnOg2cs76RYVZldpNdhrcVIZdAnuD2dM6A
h9iQU8VGBVsN2+N67EASAf6V1h0BCoohWMAhFG4mghrbVhDC47qPNNdoCah6T5vae02jvr7Q61gl
AZlH0IlrzpKL1vC3kwXC1wZWkrSFxTCnRyvU4Ty16zoK51gQS2w/gtj7e2/SVjtJliZDSlPfSsN1
JPm2Nrgx+NiH66UMLVEtTKCYfJ3ASkubSjaKzXn2MGTgF5MQAcpOte6l8n5bUwSK8qFSIDcq2xxG
L97et2OwyE86Wop/J4N7+AYtGcfVhDKua+9m2HjFfzThuKK6GVACoPn9RyIJkewSg2+o4UQhZjJ2
IwY/2XQrRS4uAhQS6B2fi8+JTteGYXIk6ZEA1xJYn3UWqObL9s0JcnFicO8WbdeiBYAFQ5s2DpWX
31mejj0NyUfmBQanbp8BPb5wQcwdxDeNoKIo0g3uJUtz02g0Zlz1DJCE2NWXyuv+J/SRN8/IA4Yb
Wl3ZswIFLJvi1M6ZM07GKbNagQ6yr//ndIMY3OM1y9hFJgoiGqM7Fsu3aRDkAJddhAbAOY2YYIfi
4tc1V7KlpujtAaaS2A/UMB0FIERd6ylp0EiHRhHBE//hTXkTyQziLNDQFdI1g4KYRj68khTjNfGw
f2W5WApFrCxc5hYdkTPjbpWyKEGg7g2G6ZP8SWosd2rnT71+ZzXVYdK7YCkUwXe7QCbGqlFvp+TM
ekgrSzLalXX91qD48ZqUemntrBkeM7Zo0LpEdgoXY3SrQPZl/X8Tzf7/2QUnRV/atoEDr+ULuA1u
1knDWlm827ZxkRTOxO1WLkAKBKywBktRKhR/XW9AebEt5HJz4OwaOVtW7QggaAwmfEQ9KIrVw9hP
LtB6UUCMrglYEe119ufMuOun5HNB1yPFDk7bZBhPoZ7gb2GK+dEW3+6Vi17ThtJMXg0VAM1sub0I
Ik++lfdYm0afbBZFJZct/00aZ/mVKVU1KsEE/ApXUbQfh/+pEvT79/lGo2XF7dQyuFMKKoqmb/eF
1exGXVSsvBwTvInhHMyc5vVUDVCTNHEX26VLel1D5zVAMXeWSFsEX4iPjHutTjERjIJGcYzvgd4N
vgHjB4Mr7R4kkOZs64PoZJxfqbMI04Ap+voWQZxa/+haN5pk30JUbA8v27Iuv9tvt8h5EzwAE2i+
Ktxi67SpZ0q1Ew2uAr6jbTkCpXudBjtzHeWQNIltENVTMVarthgomQUxqcBt6JzbMDpl1sceEOBq
d5yKbw32a0TUkaLL4nzGNKxrIbPGW2GF0QwOIxpO8q3SE8FlieRw/mAqZ2L0IzBlAERud7uhDur5
YRT52T+UU9++PecIGhVbcvaCMR/W1yBuAj4Ix/JGcKUCd/kbaBL8v9IBPmtY6JCBSEtF1hBhhXcB
opFAmQWGw6cJsmXCUCsoMy3Mu44MV+VQ7as2D1qLurYsC85zOb37fX98qkBlCyOCXYMnBAxkupsp
t838SYt719J2khxsX97lduLbg8XDf+tKQrEyk2AoK+n2SRHVztClXq+Bwa0sQ2XtvRSOogZGvasZ
9TVB5LhKg1eloKiqy6NRlr/yBQA7pf05j0c3QpelbKkjZfN++y8VaC+fdyRrPxQyIkKvsPeD3Xg6
AJjqfvUMNF23JV2egDq7E+YTzryKqUd5NAyYnTFOa8AWzWZP9dHp8PpnFXCtbuGg83JqYzdDs3cn
JHVgjnjj3eaTEXmK8zJakJYOB7b7XHnpnfzSv257WjsAewrSj8td7LPjcv4nSgYt1pUYJ9NHbGQM
0k3Sxc46rbt6tQ9lLlmOCVQhw0rvGuDGbV+2ytzB1mk5r6RpyljVKwrq/Vru6jlywCx0Mmi0Olln
gyvBPOqd6WkKvZ6zNlyw+tcr4+dyRb8qvevptLMTjMnE3cGQChdMxk4DbHcFyxbWWt+ZGMKV5C4g
8VfNrE4RiiYNZsVrm+y2j7H9ECmvd3ymMrRurKEBICwq3L4OvoY1+bkt4DLu5u+vpLzuQp9J0MnQ
mfWELjgbtOpcIEtjt20nuUPA+GfUnXlb/BSxPIpOpb43hEQrUdBlvX7MbitK4czTp+1T/eHjW0DM
VjTTeM29zg6lmlgnbSwUWAm2qOfxMOdB0fhjFWrtlRRjtD4RDaH+IdXXfotkZz4TmfeWvi4UVRJG
maX+GjE7ZnlW6tUnRhE6eOWn0qNuhIH+7rn4IiwZ/sGN/RbPbuRMvLqUWqFDVbCE3ztJ5Zor1iLy
g5IXAsP6Q95qGNiiUxUMGnCSaK9YbWwi3mNkZMRVnCZMPP1ko6kpeSKoM5E03gCkeMxUA5vWnvYw
gt6hCyV/vZ6CxSs9aS/EmLysmL/PxhuDJaMqRFOUAVgLlVXma5d+G8E3md6+FqKCRVTqvfwqv0nk
TCEjRSGBNRGVKELchtZ7s9PcPoo/TxbdV9NXLGwI3yH2m+9do6UgVrJtGd9PkfmqK9HpYmUEUB7r
dw3PQFI59JkBPGsu/SJ5zfO2LV7IXd+J4wMpvVepZQzIw1FMCYrMMa9qFyART/Wn2G3D1GtD414g
8uNT914kl22RLpWXqo/R3n+aESvmB/rtu+Eck1158yDsfX78hO+FcZ9wTKGjPdbLvFLBFOdUl14J
rhyrf8gi8BRlGhgjk+pFVeIbtQR0rjGEdKYuhmRQRQWmVayixmQ+jdHgNzQXpBmvGrvxrfk4zBiA
qCbn+OM6/xVDKJx3zFbZSICowXThKXl/EZwL7FuTWDpFKGM9qgdQjrvrc/pYMkax5simu8tvKcjo
fmx/64+u/r1QLqjKDHtFZo3KyApMmulpTsB6902Zj6Yxgbfg3q5ywZMsvFLmis9cLUpJar4iHWGp
PDmAHwV0LBh9wZa7B4xEQdT+0SO9Px4XRBUj4P3GFt8v037IdbAan//u+phynx2G1l0xp+2qepQg
utDdrnrurF8aCGmtnZl+H1JvW57oPNzrobdaVUkGnkkkOu4w0l23NCLrZ/2cDZ3nh6csZapjY2Gc
euCya8J5CfTh19wGxrizS9RcWjcTZqfMo2zJ5DwOlgsooE5xrpOKOIqxO/xL7yAaHL/wIr7TCB5x
uYdvw+w4mtIT8mAJVpZhcJG8clKhVC0K4gWelOcJzPSFGIsyoPx2WNGr7sL+yvqUHidP8TGE/2L/
pXGZTH/O9NG2O5mCA5wxzylBfJUfbF99yPeMKBNjZNu6eCEhw1Wi4q8aCqr+ROV8R2Vk2WykgHXI
9iPYHfJHbMa7ZdjHGP6REWHY+/qKgna8cgtX+yEQfvFmz4RzbkRLbaXWdJxUf6j2bFwruRleMLgC
noXEn4Tp38cA8f1ZOUdiRVpimqAB8WKwFK5qfJfnJ8Xog9IQTbKzW/tgCmcH41xKJA12ZBe4VWCT
+UPd31Qg36VVLyjcXn5uzuRwrqTuSDwRC3WnvHWyI1Yh98StPGtyLHDn+dqBPTlALBVFbOyiNo6n
cd1ktcy0npT4bkt7zNWwme9UAym8fZQA8LCtI4Kb5KlcupgoJDXgyIZ0r9iBptQOXQQPgEgGF72A
ttLU5g614nTxK/WxLt1ctNooEsEs4dym82VVWgmq12BPfPEylDxUkZ+6GAa8KQNP2TKB3YcuFSK+
MdAA0qhcpaWjPRu3uWuGy7F3q7AM2q+ql3qxtwpMWaQR7Pxn5+vs0kw6cOB5xuzMCUUH6CRNu2H8
kYtq7aJTcj7DAn2gnSiK6i0AbMmir9TAirCMcaGTun4r0n1dCIbW/2BkBiiTgMtgmjych9LEsSJh
MsQr0algNaNDeqLfGkyV1kEaAPYS/0Qxz4VSL/NVb0K5R6ChNqAGJ5TfOyxAdm5+xxA3s6dm32Ia
AFtf+20zu3yrb+K47xe35lqQDrfa0jti+wCddSr5ZSxOQx7Y011jxf62wMsh5NkBue9IG7OLNOQM
r/jQZtAATtTwyj2isJPoMtldfXRXb4fj/H6WZUrbMxpcpcN03tP/kfZdy3EjwbJfhAh48wqPIYee
1FIvCFl47/H1N5t7j2bUO5o6Z/dBTxOhYqOrs6vLZJoiNUdx+XSfDPwD7oUJenGIUOPhdhZf98wR
loD4XhfvSmjsWSY4u3WJT5VryqxU8wSH6N3JYy+64TU5glbzERjvZC6lRn7xQJ+Z4zBxXxroploz
hv0heF5Ec3uwltreRmeiH+PU0jhwVAVDbdUBS7PCCdruyMU7EBdEVlZ0e0eIqNQbtTTuaG11Ha/b
CqHbPT6k0HQTDz3UYstntU2d65t28VSdfUTuVI2boiidAr+Q0fvyN7tKF6khFQ9fdL8zM/xREqZU
UTP01SL/qmDGRfYMqpjBPPgfR+jMBHeEsqQGS2OCiBu6NPaQHsTJsrPmS9n7cuFY/UKhA3Ova/a4
E5Wbk1rP80cMvHipo4XrTRJ8w9ihXzyTAT61OLaNZ5dXNZpC1ogm5l0f93s92F3IJtzvNyY4BsVv
jBqrcntbtDOfypsQG8e/0jK1MtqiRFpIrlJ7afFlVa9W/rruhIS783MeW2nFZYc41DU/r+PNJEI5
TrSn0evkhnD3y5gO3WpFFXUL3ajch9Sg0SqKIl7Si7P7GRrgU7e/gWpxJN5QulUXMf1kig9BWzlu
BJAq4LoYAkl61cAOcv2zXd6bX2vhA88kroraiNlEhHSo83vNehCE79dNXOgMwiV/tggOZNGbI8dr
mato+CueenAhPZUuXl/OWNm6XdsSqOBie36EujkVK158q59Z5iBXqy2QE8qADCE0A8hYh+atFmgO
4JZsjqA+JAe34KlPlqQD3JoDyEniR/aSHike0svx0tmC2F9xdobleU33JUUlmaXkJRQWcxeaUp4O
KiEVsmlKdH3rqEVxkNv03ZLtO+J5C7VqLazll4Z6Mlwop/zuHRzmFqJVbM2OD1feyo7qwDWOrZ/6
yBn52qN0h5IOesdqrw5i8LDfaP9qhYZkIGpXZFD5/P5Bcf/reOZBrUEBjZz0kpl2Q3XV/mHTTjY4
lM+gKNzOLeiuZz99aP0GMkkOIvioBsvH9jSRYoF/OHAngxxAYZ5vScQOfVv6Y48mivqhdnPXeMKo
0+R2EXLx8H/hFl+UQkZ2nv55n/2PYXQu/P41NUWdmhiVK4Q40rckBKGyg01DrmNzR6e6pyJe5n7X
zHGpOCmG+mmuwJy6RYJwEJZbXXuycu/6ISA+p8UTnNatMpVt2zAicdCzOIPdBBrU6p3BxXCPaos+
qxgtnzZoiP7f5TLZ4Th9UA7ARMsad3HGg3PFe6GzV/GQl8TymDNc+4gccDW6ocTDhHxmCXIAjNSD
HED3xZC6yS7fz6eVcMg1WkmLfyIy5/Lmzvu3Qdi+d2objqsVbdlOdPlS1jjgqkV0+A6CCtJPHSoH
pW1VXlM9pgIy3e5177gMkad1cQDSSdD/WXqULSHR5EmaFHTteqjnniJlvxy9nexwIFI0Imajhp5V
76cvg7OHtZ+76JK0WT0v/7r4y21+UB5KKANRFC2UaQ5OlqneZq2pkH4rDlviQ8kQwlTOXHgm9KnN
7r99UL4ODCnDAUV7VJ0rtMptVYMqxYzwh7pKmVtfcfuPIO/sJq2WWF1BFoRuIM1rlXuFnDUlXPAj
u39mQB1zse6ZHh+rMHdP4710o0b7QXfXg+Ftvu7nXgrGadUivt8fLtRfnvJxHZ0ZNnddtfQVhifn
74ZzxuxQ3MkemAfderMzELSi88hTcA+INxpx8ojbzvooEp+Z71RFSQcDN2r8GZMQ/oDR8Ic4LO+0
oIs6fwuzhlgwcQt8JLbODNZzo0qCgSx0m75azbvVHlY1dlrMQVw/6ZfrMScw/hj2OzOUZeBHHUak
ofNI8Vk/xA60XJ0GNQt29K5bI3Dl41I6MzatddJZ7JGxbncttCSmLzIVmFAmOEip8qKd0JsIuoPh
ABowRyjBGEg12H7QnV47aBx6rMuUaharFc8gEZWPdaTMYNA1/OZo4iiAZMFnIckWem1oYAgoR6RH
Si8QccnHkTn7mGqFbjAZKo9IM/aR5e+hodxrnoGnQOFOo62qgfFyffuoY8BT3cqrMKRpDGcxj4xl
BazBhyooHC2QvO6+dqh8MYE2PMUtmtuXrOpANa8KXgHKui51dPNVLxpXmMLrSyOuA57fVi1kdSq1
FIwVXbiOj9BQB19FZieLbOtVuPyr0sjp1MkMyM/2DnxZlZokrHQ3hDt45ITDSOrrUEvigpNlr8a4
K1FTYL0T0stwjKP2Ux0Kx/Rtd4oHJt223ksP64P03045L4ioT+IMlXs06EiV9tYYhaM25aFTv1zf
MeKgy1yMIiRWJYAoFFeqJTr6OkWmIH2dO2p2hQBimcOTUWusvdVBnwK+EXtGLUbWwOnz3OV//bfl
cIgSL5pUGiuydGUfxeabsDkrxTdAHV8+8WKp6qzWGBQBarFiiBQmryxZW9tpKIaxl4lEHoaIwvk8
TGrJli5nH6qBaM4Eq9r/jtiKHZYrYKxwqZihWGpFBbe4O6bJXaNId4U8/rfrWOGeLJ22ZGM2QN69
Ex+l7Xte/piLaCPT6YRP82VACDV0+V6DZElcXvThsI13ZeFf97PL/Wwn6FF4WLDaul8NpD8GLw7k
L5AqGZw5sRdfcRo3e1Y/5ceBui+JQ6Sw38/gTsrBt2w2aO9sjdjOrUhUPlVZiVRScH1xlB0OE+JO
X2N9x5BAkh8qyLBJFeqMYGHfVMIQtVEcKqRFqWhKhptJrG6SJdyWG2mhIrOL97sORWodjY6S/I8p
X0mYjT1FhmV0t5+ylxxmu7SLiA0VM4IvKs9xcUln5rg9AqnLlGcq8g5L832uo6E9qiORury4PWcm
uO0Z1jgz4hXJ+gESqULsToJud9ONVHy97gbUUrjdGY1RH9IeCea9ukd3fC0dEmoylDLBwfVeDVIc
V4gXJrNGMQosjpPpdBnFMHA5LX/6ZHyZwRQqYShyvMSZsBBTckwOsW8EjduSFI7E7vDFBgtE2+nK
0HocDqLliHE49cdkoNz6Yvr6bEUcWiPZW5TqCG1KxulTHcwIA7w2SzZhCpQq/1+8Gc5scbA9NqY8
9S0cgUlqsPmA7FG4A70Xuh3zUA8ThD/XPY/cLy6wWxJ5beMe857LIBSQAazBZbZAQ3tMD6muDbbe
5nd1H9sg5HD0UvbMfSauKsIzDfb7GdYqmgC5csaQXdb3U73b8x4pmMi5vk7KVziwqHcTFFAG5v8K
6XFUS3vYVruIawxBEUBLGeIgA0q2G0b+gEpiU9h59iSg3bocQNsVXV/QBeEXJCXPXIXDDNmYVUjL
f6SikrAAr7h2k7sCNA3UBzQwoV9QDvWn7SZ/ld6vW6ZWyCHJ3Fu7ga59DOoJnW2Uj3O92nP6rFFf
knJNU/zdMcy5ayCEjRXKQRy0PmQBQwgSfxBUkK2JxKJ4JVF92ecslj/6mSQf0nyB9hRHwY/9oByY
gI714q7EySPc3uRgpUg7VEtXvMgX1I0Qz+S9XxqkVhFxJ/OSU9q+pr2iI3hafcnXwQKOnLn4sPk5
AmgQVQb/d72L37zS5ODESPauNyBEga7wzO5Nw9l7HySFFCazrf9HBH1yfpPDjEXaK62LcZulyS0a
K/XdUTOwLJkgW/RH9bOkdbZE5YIIbOa1RVVjWRtZmRHr1sE+v+kV8aAi/Z2Djjk1BSuZAR3K/UfP
DcqK8gN7gag3VBcH5e4ceFiziGJwi8BmqoKq+dLl4JbcPTCtURt1+fIEYYmE8RdL598h7dAutWCi
arOhSj/cFYf+RgumqPlfJF8uZwYxJ/U/tjjfy2fQCmQJUq6g5vRlBz2+gYGEJyQU7cKlvuDl43sy
xnkg5OlAJ57iQhHy5K4VtvutbG7HMqPS/pd36mSH/X52OzZ6q2oaHqbutrjFGlrGe1Y6gpAS9yPb
8H8eqJMZzvdys0TjNpQ93C4P1fIQd9CIXp1iCOXlAf23/9Ea536ojJZSZaLRtrfu1fbrMFVOvN3J
AoiWC78SiACD+oTchQUZ3XjJZPT3SC2oTT8bxl95Emm1f/1a/MOF/OsT8tobED+tUwFdFuA3ZgQz
NdhX7e4RwtTeHLaecseISMegTg/CQxMSti9j08k2V4Nd48lIzQ7NXyzPiTqDt98IThLI95IjeWNg
PAzUoBO7nq44DC8SpcRqn9QGHGb4aBCU7Di3UVUBPcAYmIlNPfbYHl0zxwXGTWOWfWEiEZ9adrU6
w7rbK/IndQkd87Bqn2eKoJv6ohyYNKkhlJjeBULGD7r1ZFBVc3agri2Iw48lq7u2MlawEehfWz1+
bKX4STNSCJN+UfJ/VWM4ISMvEdUZxbLUTI6j0IzDEH9ODHRo45VJeCGBiSoHIqkwbXKh4VizvhjB
XoK6tjFAqtrvO1I14HcqHeozUtvEIUkzjNUg5ng81GMVampz1+tUKZSAD5WDj2QeRr2D0grA6lAt
rzOURZblWZCp+gjx9XhmnMUUlVxK8Zw1ROWzUA2+1BRv3RYT2Hs5qXpyBo3DiritBWEx4Qz5bRtp
tx14sPZA/ktyRvaipRW3CaTg2XH6YUlXoUIIqj0v3hztYeWsT1XERBvjO4ppjjhWPHOkoi/yKKID
xoXYltQcNiUwRc3u+1dZpFhfiSuTJ42ci0pYpgKmFD00a2+cfiyx3cY3SucYYE++frYI/OMZcpZs
6pd9xUcsUDvuDF+cX6S+8rb1OTMmW5g//QumORbJ/7pSeMYc6JckqdbhOtPzA5hAZjVQ5+D6ov4Q
8Z5scIBRiMZe9Wj1cZM7NmvOFDgU6IfKoUBSEFK7xQFFanXr2I1oQpyy0e1VZ1IlkLZ/VjOvyx1Z
oRI5l99dp5VxoDGnQFpZQ7cG6q4PY2XcK5bgZAaYHuR4sFX5KSmKcJhXkIvNNnoJn9Mq87OyIL4w
AY/8LHg9lWlhVnjW5t2xK75uM/GIJY4bPygwNXmzyjmee5BzKs0XOTs08dOONFVTu9d9hUBHnk6n
MntLM2M8l6tGtntN/1Hs02suSIQZwk34+e0RgwfKLCPZ14qo/gz3m/YpT943ZbBXKczEp+uLop4s
PBtOLs3rVG1Q7R4LP/6hB1mYHMR3UfQ3f3+DZmF43R61Oi7o6AQdjd/GjkJnJt70Kdi8tPgm7nM7
1qfNbrop0GVqYJy6b3genLXtmmLJ4YO9u/sSYtN8h8o8I/NtXMbGOVIUdqRFDlbUrWtiNkDj9s0M
irS3eezcJnEwyWsX4G1d0ANaeJr4Noijo9dQlPiPTsRhjZ5JSrIx+XJZehmFFw0EyaridPl9LUZg
iCCuhsszYyek5sk6h8Raez1DOXE7SD7oR4NFsKfclgLWEynay9cKHfHxl+uuRJx8Ps+vdV3fTibG
CRK9tSXhFVlAV49tCSTr4k5lEYjDz2f6FU01ZLVDZUk/ynerbx7mh9Ifw+bWeJUwLeHihRNRhKEE
dPJz31OS1ZmYwGZqHUf9MFgENBNhJT/pPYF7tyxi9v9Xvrg+xgno1ZKbGBq01zeKumT5Ee+9M7R+
BQWvq8nOeNsdkCV2VBkPtTKkZZepr8YhjLaPFdi8cNjT/LWVMCn5eH011Fdjv5+lQyyQxYxmi6O1
Lp0jitGG4cF1NOyamnCl/JvDEGVd1b2qEI0L9eAmjZfN753yTU4htLBR/k0tisOLtt+MWpOQjZvN
aBv9yfppGk8y1QxFHSIuJCk06CFpm47GEFN4E6r4sSysIC+psJgww2ftDczY92rFJt6Gzsa32/V3
ZSLCq8vdlSfI49P1e7IvAkQDsTsYKWHD/JpfHeab5ig/bA/q/e5VmDw2IvlT+ZoHjXfdBxXCN/jU
/Saafdbm6HqIY83HEBJor9BZIe7mYzvVt0Y7vY750x4PCPb0+9ySjmiT8LdCdzAYCrrjxWZyVGWa
O3GWeIs8+HmVuo0OzVFNstti/1Yk4mNbfBPHzUkTpgC/OOmgHwuoB9UAiCT+2qTTo2H17zKkiIXt
dR8LIjT5wyc2VAwh66opitwzcV4W9BG1uEQh/g3ePNH7GHMJu6MZsXFkNVzc3tud3SvcJVxEArUu
Ryon6/Lv51wVNEFF/gWiWVuYgtVrC8o0gDK1rXWO1FCvRsoai+bPUGUsdVWVR2SOl3ixxyUQ0ndR
/lEXICl0M+H9uvv8Ieg7rY1h6Jm1HNbiZcLDUXwUnd2t/cZJXks2gnpLS8VcxpaTMQ6QFdBQq9OM
h4gm367rj3SQ7VY6ail1KC636egnQxwyx+KgCDWbS7ZCyBdELO/ZBMKTHlnH6aV+TFyNiLI+etD/
mUI7WeQgWpzbCblxLG1xRIclFtqwglZkG6QBsWOXD/zJEgfQmFc3Fjn/qMxsb+3f1H0B45kbPdGN
Q+ORAU7tUMwelFkOsaE/VgxphceIIILcd4yydIIOml8kD+pE0WxQX5Pv+K+rsZ9REUevnTTdLpqG
54AaDlYNnfc3s9VeWI3ShBBbmxTEnU4s8yOAOTsPpd73Zq0BTuUewzuliC6Y2TZWy6kWDV03M2GO
On8fv5/Zqzcg3jCjdBMfF8/y17AOdZulvwrsIZW4vnwd/nKdj7fKmTGt6PpyrZF3UJrjlP7IUMgZ
CPckjjjf6y+mRSrFA87BnAQCghMZAyHF3dzWxEODWgoHJcKSikKZtEhZt61dLoKj7ZI3jCpxuV+e
9DohCd/hv8hLLy4D3J41/NV+4lk4Z2soofNzcTtfiLTIArE2lX+l3JD9frZT6qD3cTUBwIak2UGV
qrR2Z61uYlZePkxOsfy8jirUtnGgMmpyIxsJtq2sEkdNj0P7XEPRyhpK4i69HJOfXJCDkQJtL4Yw
ICYfpEezvl0oeCRuz49I4uzDCS04wuMC789sD7MEXf2eHj91hdNsfk9py/zhsftrMXxHfzMP2Vqw
pq/h8LdidNza20OFtv7eM7+h7SYsJIeqdlEr5KKRsSsSrUnxBbPiMCqvpvU0LhU4CaKqGOyCetAT
5+wfrf21KO+iitKaPCMqmJswldFJWYkUDrKo5sr9yff075pS7HHF8gaPrF4O/8Cdpr4svuSxMWYK
CYnzxbN/xZuspLoKJIRUjyPJu68LuyfomQMWw09JASKp6+eLwnm+rb8wpCE2BhhcoIsnY3xnzOPD
kgqPUy/YoyF+6cvB02cJrNeC3ZS7LTRQs7v+R1CL5kBFgBJ9oS0oGWmLr5V/FfNxaR/BkOBM3fN1
S9QFzjf+C2WmFcOWsmb55k4Ji0AKTLu3VZIOgToNHJ7USlVMXYzmaAEVIwMidwHYHYzuZhglWxso
PVgCJvkZAFA86DpQGcKa/WFKfprZV5yGYpQpbyFOHd/7r6+WOFo1KokTmPC6A+P6U8LYrW8GUJmC
ydRPnncqU0nZ5HBFAl2wVa4gC+rln3EMQs3RF/7VaKwhWpJiKcjH8dnBpBcSQRKQ8+2TG0u5T6Vo
MSgkubhHJxt8MjDT0CpvbHg/qcEGBpX23rhL0OkzYtKdMQmmnc109ihehIv32plV6fcLu6+7AiEy
4oRkeu2styohur8vZ87ODHDbMw3CsuQdDOQR6+iQ4A5MIt4E0R2Vmb98r53Z4p6gigAROhl6SR+1
c/2n6u128cN8YXzxsr8e21frnQLky3nyM5vsA59d3FDdELtpwvpkZLX2l36NvW1/aKabVHmOC3/Q
D9kGKcEwH/0x+U7AFbV7XDSpNtsGHlncPvFn9QDRFNBBxrdFVN4liMPTx8mm4rsLiqKoaJ4tl3nx
2XLjzVK6oUVOoYx2Fw06EUTIWT8k29ftexHFNt7GYK6bg8JN7qdQPVJsUAwZ/3Hjnv0F3G1g9Hth
biZaZyu84lLM43xdE9MutmCRdLsVnbSjMhuXL8Ezk1yUKQ1Gv3Q9Sqw62BHeUqdzBK9a7Op296Zn
EJiG17f1IqKdmePuhrHOQDQn4aWca99UdKltys+NuukItOEzjEXeq6qlAqkXObDK4xIf6vWxok4H
4Z98irHufqGLGFkthAUpPs2L4dfpU/FZREUzpwxKfwB/Nw50J2F1sRnM9bpfHtCI8V0mdGMJ5+Nb
gbdlaqQqxnsjPmZhdlCjDYFefqA6cggP4DuA486UhMTEXdAyhu7F1pJj2lENhJepZM8+Ho8eG/QG
SgNu3WPMhBUVdc8MMM6MCBY8deDGNwDUf3OsUEO+lPtxMCJ02rAsExQcMkW0TdNJl9yutCedGjyh
HJADi7KqTCwQN0ImP2bobi6lloh5qK3isKFX5qGZGbN237vyFkyrT1a4KRMcHlQJJtsrdE+BDvEv
Y3fN9lFLouuQQ+yHxY0JTHoy4LUEYqu5eE0xvq5nnt4djGbyrtu5nOE8+ZzFxRuxKM2xHgN3IEoS
1A8QnvYgU+LuB4nRtoGek/I0Kiiw+ABEjvuuYJw36S2kg6Pyvv60gcZh9mIbtfND7CyPVCBCbBhP
QJovgzQ3eQWumwksoA0i+jJDg+UUXP+Y1KYx5z+7i6dBsjLw94O0OPa79gYJg1Tz05JoT6EWw34/
s6LNWT3UAoRPpN4be08rvaEnvIJaCIcGm2DM9Zyj3NWqioFxosJWR4xtJRXmRimZFSpg43my+nWX
tGZETWa/Hz8ujT1UnuabGaS7TJSLogwk/Y8DiHoCjc7OxizUxz5KHeUmjjKQZpk2C5W2kOVLKZ9n
qHYlRLI4wAARkSxqKUyazduIYX/DcObls6bbZVIRW0csD3SBv7vHOi1jJ28oJlvh6Cp+5SWrnXQ4
0u2XPOwRCW5PdUAt8LpPqnxdTcrzbFzBQepK8g/NtM3xfa4ItyceLirPlaW326q0TL51Am/xsAVG
6cjLe5I9rAO+Y2Zv+W2d3RdUNxi1NO4NU09mpSUo3Lnb/EUuHqQmtZueAA7KBgcc1phtkDrHYHuM
UenafNnWT91EfD/KBvv9DDbkeNYWvUeBDjzgYwu+hmM3+9fxj4jLwWH5uw1pRbGjH4Cz2yP6EaMa
423iw+QzMdri33F//rq5VJELJdApqqziwBhOzb9iPcr7u2ZziQVRH43DCk1rjcqYkGdI3toIln5U
x/FGfhjt+Bki6jZIR62HjGo2ID8jBxe1JFV1IuAIp1Eb7RFrZh5t/Vk7yFB6bj5dXyNbwp+xCVI+
v+/ZYCoSppl6zDzkkTTeqfrLgl5OxLgd6nM9iU/EF+XrYmbV//9IuhvNG/BFIKFe3Oe57FxfFYUW
H9/4zN3TvIpT2cCyLDG1VSgGFYvh6ILgDRI2DU/SCVSxU6yGkKy3ZYviWricuDx5J18ii+WqAoEb
epvL2/l2CKy73lvBiyWT7HfE/Qk2/983sOk6qVpFVBox9tZGrZ88tjeK7pZvxS3T06ohm0B9XPZf
XvMZDktAwiVBBxAdnmxORnJzf9eOaqQFCjrzjAMuGUdTKJY6Fohes8lhS9frW1VaSDMszuSxe+1v
ESI2OpsSj8qPess1Wxy0jFKbluaG+5qpTaXOFMhIAXYHRt6juyD+jdQX7aOlW39ihJc4LNe9lzok
HOxYE0QpDBX3gbw5TfFt08NepRS82BqurZEDGUiH95u2gqVuL2ZbUL7I6TfUu9B139iSSCUdr6cF
VL6atpiroW4yBoP0I+JJdwrMd1Wxx0N3K7qFa73PlIte/oLQcrAsSVaNj26ns+OfG7msKDtjaZw7
J24Td9ZLF8Uh6iRc9sqTHW6nIJyAr7ix92yVR8XyJO+KA86B0LBadynkSNARqzS5u8tpmOk/r7vJ
5S08Gee2UK2lethMuKlutIi5/Ha42bTZVbZHuRGIlf7hTPwyxk8CTnM6MwEcDPJCRG93WyQ3k5sB
z0UzMjDggMapj/BZtLcoZ0zfhH1iQ1XunTq1xbqkOzIw8xD12mFT/xf6S+zl+c8jcVoi9zI1Zy01
c6ZuP/tJuHzukHcZWyiqmjaTgZklKly6fCpO9tjvZ04qdjEqGwVyt7OPWqUH6rqnDbPR4KWApl3s
KS/X3eXyTX8yx10U26joozQCQUUVch/pj3V6E/eHLI6UDWqBT//NGHdFDFITqzPrLpLmQJO+qqlo
S3gZ1BhzTCVX2AmEodyDux0Kva0TibWLpKAtVV6l9atZ6YQLsv/jmntwt4Iqb00VM0JnXW5fKisL
lHUL67Gx64WabfzDpX7aKw5XcqWs5H0A0ffiSH7BqDBc7YmVngQ0KSb+/13mm1URTuY4JMkbVanz
FK5RNG/yAAaR5fMC9leIxV73CuIT8uOAStc3ppSCmMUw7yEwqs3f0zIqKRoRwhn4YcAKpJBr0iOj
0MiP8/RzrL20e72+EGqD+AFAq5bybOnx1FGD/KHyqqMCkhdwTjbuFhqIixKKxo04vfwQoF7t+VIX
Gxq8mru0PjIhX1W2cyUyK1+tKV+nPiGHFcY2NL254+FTd26S3c7zERNl1z+hQsAfP/5XQFk+Vna2
Ter4VVDGIz7qcctLR6uV0Bw3NxMFO5tMe82/jXN+yMp7MOHfZQW4RYz4x6C3t4vcDI4lZfdWMTib
Od8r8XKHrfmRC/VxSSun2zdbVn7ENcr6ZtNHxYb2u1x/L0D3Yi9mPdjaTC3sD7H/r9PETxlKhRHH
ZYZsSB63USahmzId0Ekt4lyNCka8Zd/cETWuw5tE9mb84eFzMs6hVCIDBjcZitmLA9Zot3SzH0kw
eqpf+StV6ieNcTC17WleNAteqsuBsXuwoqPpaoGKag+VwyVPHIdRym6hDiqj1X87JKFyM4f9TfXX
35fzBlYg6ft19ySgip8yzPQqSYwNjTYDcoL929w+58KDQAnQESEcP2tolXEv5Sq48oR9f9eavXdS
tMv1QukmhmIniVIH15f1h+TCL//gZw4bUejbhinN5lH/0vpziE6Q5DsrEmOQnTjif6gunIwxCDiP
cCR1aDfWb4+y8336MNjIZfgK3kx3nav9VMPpKyWJyIDpyiXNDx+WhtA0UoKnqaZ4ivi17IhGTur/
Z8B5tqJZVTB3xAgx2LNJWia7Jm4WAuf5ycJqLMpCTAaUR1TPXN1hDfr5bjODJn6UqWYTcn84sFCX
qVWRVWWZptUVQZ08vGaBea/fMsDIDwCMiXAJ6lhxiKFX1dQq7GmtD09F6/RlZmP8qFiJbSLdnEOL
ra3EzSwwfrQ42d2KzogMjCXm7eYrXo/xmeuHilgU3yqUthhBSkbUHDthca3VCCdJDkWxCvaequAT
FzM/NainRje2TIBjmb/04JsenqyFSH9QqM5PCSr9oEJrEVN8wlo73VzbRbE6mvDQTT/WxB9rR94e
OuOz3BO+QbkjPz4oJ3rRZiVS/IPXRrpT+hjDNCobE3F+byOt9CrltkYVjP9QMfkFUvwsoWXMc5my
WEdHPB/Xul+NEBQXOmesNVurh/tkH39Uc/KDoeaWdD4qLHbbJJAJncJq3glnIr8CBzHxMovmxJIl
fzOOoPDmCU8C3qHCIxt9td4p7UICcgzm3meYtiiZlK4LMDNGLXH0e+WnJin2JP/ohTu514k3ADt5
VxDa4DCnUPs233s8o1SIHA9B9sFHLIbUmaQQwOCQplBrca0Y0x6bpJGdAV1Cscuo2ZniD9UuTiEA
BzepjgF76DJgcrhunBzDlYgqpfpnSnEfEMefbxOSzKVQigqADYO2VmQvpvazqMkmQeKW4/uERqPb
Y2HHHomBhRZj0OqHpZ+69Sdz9XXbOoxHZbGptCu1Ni79omH02pJinMN26lxFkAJwJTqTQc0oU2vj
YpK628t1Z7Iq3Wy6c2/mmIiQf16/EKilsL/h7EQloIcr5R3bNEtvRe/Mqe4pyuD+NyMcTtRCoscW
u3Uqzba0wOhvc0pyg0AGnh6w0opmbRJAEYopttQMexhnk2vkZm8vCfiP1TJUmpbi5b88pnlKR5gc
RCD3nUqqjM/HBLxB8OhqfoYndu7HeFIBCHfodsk2KMcgHIuBWErn5PKwzpl9DjqsOgX/R/5xD6mH
Nbd7t44Mv3yWH6wjJhqjDPzPJWRrBSJqIVDE5FBEwYhEHzOBk7oPqxLCeeAizb6rO4HA1Pr47iLF
EKxeMNjbxrO+tUzDyy8CaOYxwR+mk4Hm2Zs66G6o6cbLx8IwTM1E17Ykch6rtc3WDQNro7Pseozq
9UnuP10/FH+4zU82uMvMmoVhHGXEz/qj5Gc32aG+GT+VNys8FilqFkSgrjlQk4aXd+5klfPYwUoa
sLkjlWt17lB6vfGOYVS1JRZ3GbpOVji/3FWjUBP2/YTxMGigcHu8/vGo/5/zP7HWsrm18Bo1BSEc
zOXGGIav10384Rn/aw18vdmcmxWJGiTOBm/zIMrnC4mdHBef8QhqkUE2hBNr+gh2z6G4X8dhK5AZ
xkRCifZ94en6gi5D5Gk93K3VY8Zm63vk5WbzFakeeaqcvXtLswcB2LgSbHQX3EwWTVURJdHQZO2j
g/RsMRL61/JVXTBFZd6JWYG5+lBonIJ6FxJm+HKdDkVByN8h2jXMr1t8O4hv4tTbuJmvf7pLDa/n
y/moOZ0tR4CiR98ZSDv3UJHav63AeTaQr0dgevSUQHJ6O73L3hmHG0X4fOmR85ttbt/QqN+XeYMC
PQtDqwNrsVCCjcHfgfqcF1zwN1NcxLFkUr4388ZUzmZM/EhRp1DELhe88DcT7E84+5LJMFdrp+NL
LvrdkIATRbcxdJMtd0Ic9tLz9X27AOO/GeNgXIn1fC1RvHLbpj8MNUjwtOoZWsMUVLDWE+6l8Jsd
DsqVORuMdcWi/h5VKZ8NTzroEPr6F5Hnb4Y49G5FK7O0dYChtHanmiVs03CZRqKHgfpuHHzH1dqm
dc1Ob/8UTwPYKj1Z+vLf9oaD8H2L0f5c4JtVVZCsR2H4UljUzPSl+OH8e/Hja2AVF1KZkRIvGDiJ
D11gPgxHwemQLvKriO3QdCM/xZjvf7m+OuIk8fNskrguxabjmu3a9GmojftWmf9FEuK3xXHAMAno
vF4niy1ugZi6DN3Ye+EpRfHt444qG4eSBGLudcXPPwolZ4fXSHStXnvArSLnia33mHOfYr8ZzLAR
laMQU034lwoUvy2RQ4utqctO+mDW1UUM4/7ca0w3O13hJ5mrroFpRbHxfn3nLmU1frPJgUZV9pU0
LKhLqPmnNfcS5SWFVMFSRul4I/W+aX626txuFn/DmFh+V87e9T+A+sgcmKS1bCrivuFJNj8rShnO
xWcza2+zDqJw6kjFg8RR5/tPMl1dahHT8O64PcjNZu/DnVxShaYPlaBrjsMBirErqlqUeJ6VzXTX
pM/T/yPtupbkxpXlFzGC3rzSt5kZjZ/RC+LI0XvPr7+J2bPbLSxF3CPtix42YqoBFhKFMplUuWqE
CmOuvaXj9DQm1rEqehSpQaC8wrfmJHZzqbXzFro8eQFtDOkpn95NNfbEXrxp8hG8Q+1i98r8aawj
r8pme14mZLrb5HuifDOb1z7/Ea/kiMlce81zexlfLeGF1DEvGcjbQQbI5lRf5mZB0EZmL8lQNhO9
pI85h53+kZ0NZJtaSr1pVaPEyRv99kDHi2kcyuer4fge27wya1MjZiJoSBqixXba3wh58UlS6tth
SD8h1Ar3XX2Ltfv6rLE81sZQr7JFqZGFULgbn0pfx8jSrfpt8BeX9pAS8ButXhtYmJC0921zPpvK
xDpJqc16E6FxYewnWxWTg2DVdoxmiX0zv4ATA51domqJJpuhEqMyE6UJIwp/UXWjCmxAN1nHI0/3
+4A+zXnFrG1fuVhk7oVoFXtjVJBuSQ89plaSAIqrUDPmKsvTHfq3T17sMDuYNhiPiujwRQuOKjoF
hu59vM6R9KA13PS7xGkM3+rsgrdcDDK3QV0LfWyQFfRzfveyBLO/uskpO4K+3jduxbv0VkeaxXJj
6AOhuyvkVTR+cRtd7FOXurr+miQlbVGDiIIk8ilrPs/JaC8NunQl7RPYo/1mnr1GjB2j4JJ7bx/M
i2nmUjD7AcKCAxIhaCfwpDfwVrmVU4Bkfoag7RyugRXMt+Be4lRYtt9XF7P0Z12tWM5VRZIEYFs5
3055dBwG1U+MH1PJpZ3ZDqEvlpgbojLqOoMMJAg0wcBS3KhGsAYPi4A+xdtGC1WDk0D4oLHZc14G
tfWqmGeJ4JY1b8xARXcw5e3HzJWj3Jt3E8Anc5cTbzvpInaMsumsQVW0JatlnBhQ0mGa7dkwiWsZ
0/06jQehrRxi6JHHASDON2QH5wT0PawT+nRd0Pb4+UH86L2O0YrjkNiW/QpQ20N7tvrfG92uDys7
PWeQtp4TcMa58eBNeWHH4lshc+4P3tJYBFrNSEpyPPeNwjFQCVKgUpncZhonmfGLa+of57QY4BnT
KgFBAOz0ruh0twP4+ORnMCN5tafboj8cCj8+IcvsawfOx6Pdonsew0BO1uZDbJg4gNaoaxDngghT
RcJifala1YuW2J7b3E7Lr5moQ+5Z4PkOvSr2zDOwQ5a47wQD781JfjN6JCRDFNv60p6br1IG2xif
lwM0Atgyj9Fu8wFlSZKhiLJsySzvvySVJJctZEf75kZST2nt7+8s5++zDX4kKep5NjXUp/rcJvHt
ZHF8c9tpLitgm/uqvhStQsanQ//KOf6moqxXOSA8QMEtOkjO+gKMuZvADwO3efqzxTERgEmU0dJj
bN4w/kc3c7vkPQS3apYyWE3+/jxsk1+bzEmXNFhc5w0vtHlrDOVvHZo+cRLui9f95WyD9ZU15vwJ
Y5qla5HQVGz3kn/Ncfe1J8w6PRuYN6fzTV1sm3gXcj7hZiB1ZZY5fGJVLfM602MvgSCjxqtixCgO
shQGWEQzE0RvRvc69FwtG55vMqdOiSspTymZI+UmiE5SCOWhj4X2p+wwHOSw5qqHbl6/V0tlLvqi
t6pFKFqaSxgRVCVHqkSOH3DzGwQFPzkOvSKvIop8IdWY6whkdCjizm+64HAZKrjOydztzarkaS4i
lvhvQR3NXLhawequeHWgczByMzK77BzbfhfXcdJ38wQNFC3soJyoGtqBVHYVZ2eh4iW06O78C4+v
jNHr4mr3jDRdtKrFO7rQ7nP9uOaPs+RN2V0GimyDg5Ac72f77/Dohmqpjsak9JCE3U0S0HZJMeTR
bNJD9O8lqbpoWpZu6B8pvKslZWarZaswIKgfe2fKzUAfIb65VJzVbO/cxQzjd6ueL4tZomIp16k9
WI6h3mXSWVd6jNh7EU/0ircoxgOpMUtTTEwwgNg/OshN2Lef90Fx+zUEPpf/bhxb+1D1KGusmPIH
BSuYZMhNjTlW9AKFCQgblxRkSbk9e3RCIz4WbuTznmMUhXY+HFsTUYmop4IuIhetKMdYGnrQz1tn
yhrcDNbvBJNXa2UuNPzRVk7oUzNXnH7+pql+M/7Y389t0L1sJxNLFool9UMEYFKy+lGpjKeSRyDA
cQqW8U83wQBj0kKOnntJ67TJU1P8znvtap/oT7g6TKquqEStsE9JjNSJmLsDarxrXzk6FI3292ur
fg0kv2wY9Y8rWyTR0N2nIzY0n4WQynbOvU2bv7TWXtyUcjlx6Ql4O8jcUmPeCQ2kpvBIJEpYm/N9
Fg32gvHD/aXxPJvBitmShEpKFVTmm9XuhM4eyJ0FGT5l5LX0cVBJZnBCSkjSdinCKF05RtFjVjm1
9YqpfcwCmkXm7C+Ls3tsMYRk8izGIpyjq52sekCrbsyLC3kmmPsp1s2pXArUmA3p3M7nfj2IPC11
nt8pDBaQVtVSBakC1EMTOm/02KWoy0MkzhH91h6DJVQXl9etzVsYgw5DPC/gPhjRfyy58WSnzaM6
cIpuHK9TmCCXLG2HYSAkBzpdc/RE/CyPhk8U9ZAUysO+J3Cw7iNdf3V0m6FcSgj6IZtMoMUkJceu
1TnwsB09/IMOCoMOyWJIkloioKzU5E6PYltsoMisIqJtvraRcB6lNJgw9rS/sO3PZIqgIDNEzWKV
aUk2m0JGY5YyKW1Tl57aNgbnxvq/tz8B+i5mmMUVeQJBKw299anga1CQMs5d/JCmv+UQFysM2plW
Uyn1ggtes46W+ixlb4t8VjteaWE7gL2YYdEuw3xSQXRMN6UhGAf7uQgy+aXrT0ZiePuf5xeR+cUW
g3cjEuFRaQKChqN4JEcl1NA0/S7di29QYjny++O28fUfe2zCTYVKsZpF6BNanMWRb/RAOq8hushc
PB+h6h6HdB5YcTJfe99fKccR2aSbHNeFUJT4du2bUh3MEeSfr39mgYFBtL0Ts89pZigf7WixHpro
GQ9HTuqL4xwsIZXUDXlWijhQiXDORE+qZ9fI3Cp5sjJOiLfVb3V9qNgkm27VmqYmIIYXg8EjR8QT
p/y1t2kbdHoUDry26224vbgG/YJXGJi2xTSOLR6J6/io4z0g5nYxOmvGOcS8DWSgIkNSu85T2imJ
jkwrLKYnUXnQLC+t/rPvD7+4Fy8Lor/kakGSmGdmbEoglMYTPv/U2ZQwKnM6d3E1kHpqDt5u4b7N
bZC/mGSgw5jl2hQlmJym9wbivmlMHLPu71Q5SWwtRhgwFl6j9Byz29fXxSyDItMENvBIg6f0rasN
35X8y/6ydv++DgmZn3fSgmCroCXIv1g5nTPoD6rOSynzTDCBkpQaw1/kV5H63mGO2Sh5k9m70IdF
MPhQS2XWNCIQSDWddf5hGaVdpo/rqIIi7Taf3/a3bNfNYY2Jj5Zm1EuzQ3xERrcWnEwMCTlU3aHj
pQt4hujGXnm5lSTqAIYySqjsNcRwC9FPk5cu8xKR4wW7EI4lMQCxLrOsTVT/I+nOg3lWlpuke9zf
tV0MggkGHOK4GPVFwnW4Tj76O9Dt4FTxe8ILmXlmGGQYKq2StAQPz8VwhOYwd49l9liMHKTjWWHA
QCsWotUrgiKhcft4AX1Cb2dfB5k3wcL7LszpH0q1JH0xI+Emlk5VA910zUczsP+/fxtJlCC+ZKkq
CnOMR3dTmaazAYJY8OhqjZdJkFPwq4FjZcudr60w7jwlyjShgxYCQYv+aC3f89Z8UnLLkdIlFMjM
sbZ5x16bY326MqsmXjEvQGab0LLnT092yiio2PvbuPW1ri1Sr7k6r2JtxtZK8261GShK2C23RsmJ
xjejymsbrH8TcyXov6AE6BHapRxMdiNdmR0kdI6olStwdnELu6/NMY6+kJyUEYgo3Kb7kiavXePt
bxn3KzEeDiL5JDXoWKMcTB7lriGHNhyPVmCeIt848D7R1k1xtR42g13kkl7LGppwovJTNh/kFOTn
3edB+Fyb59GIeavbKjVcm2OuPqsv8lKN4IPmetd2J0FFLtaw8yxMMGE3RXZVgBwo2N9SjheyuWyy
zumUYiLNteRzkn5qm5de/0MvZMVrhyXFIFADt5AD0cE8NOp90ec2lN/ScAmtb7+zINWSdAvShAab
fB0SMyY5nXtTxBcl0UIyNDcrqThr2t62ixUmhmimpUA/GPJtCQFUOFlzmHiMkh/CI2waWUJr1N8r
YXA2rhdTrye8MJbAesSozd1fCWzLSSFXm7sFKn3m03wkdwQzMckdcXo0X/pgpeDl4igS7f0QBoqV
vk/NusAPmeXILrKg0mK/hxaR3vPIZTZ7wq7XTPf9ChQzyYyrXFeA+rYw2LR5lw4t9nZRoXlqcecg
8Xnk91ybDBDLwwJSihHNS/K96XyQXn7sbuaoA7pAMLnANbmNk5cvy8BymRi9pqtILERt4mhz+2Oy
ouf9Y/AL6L/YYLC4WDUiFgQ1B9oDrToaSqWGRxUScy//zmtj5XkIg8vdiLY6XUU3eS+fq+VYyImt
xrYiJJw7k2OHTdRGdRqZCv6DMImjGMhwy+dY+CEpnzibR4/WjsezTepLv4qL3OP51hXV1yWxDolW
BoX8eZ7AREBp2oqzlhi3qZIcRH11ZwPKQSJ3zHr7+vnnE7L53EbPWuTtkMiY0tAcn8z6a2nej+N/
4saXJE6SgeOSbAP7qGIoSW1w9wjrt8pIbXngnm0OZrJp3EgmRjN3uAbMz/qPEvp2RUig2Tm5671e
2bSpVVBsnmduPv6vEIXN6GIEpBhbaJigQyK7pcoaENX4ZDx8XZ3kHSx3bnxTfuV4D2+hDKBITRdH
Q4U++Y/5uOfqZjyVj7o7+JM7HCq//k4KmzegtNmCeb1OBlPMvl3kiVKb0Ta26kipNZsD5YThtept
jl1dW2KQRc37rM8EcOzlKH8rpxlNuxrGrmRbDHldXrzzzuCKoSQLWqnoOaydrjlrAgTHstPE7fXf
9n5T0WTTkiXUjX++dqzWyogYoZ9lEMCzLf5Y598Crn8MsOnWwszrIZoRZs0kPq7Vm5St7iotQYoO
MY730dDj39h1McVEkdk0T3ViIDShU3GJt35ZI7subPXOCio/D5ThsG/wo5y+Z5D+oKs7eyCmmasd
YEoN1B+IiLwsaEOMhKo4XphGLqELoDi5VzvWofpCNZd4TL3bXnJZMRMojWvaLhHltSRH8Gz0p7z4
sUJ/e3+Z24f6YoQJgmSl0rW6QJSQg60lmdOwQuN9XmkP+2aop+1tJv0ZV5upIKgUGgVroeMMQ1AE
yUEGFRcvx/sLuLgsh8GoymgaoZKRw9Hj1wzd4cbR6k5z/TiXXm946vKg8SpQmyNnOFt/HzJWJSBJ
ykZOS5M6JljtDZDCSQ6ysL5piy4i18fFhUhugxuAN5NPoW9vTxnAWpRJrGuql7XW9yQ7ZeM9gpPC
fM4x3rb/9Tg4wqoEmEY2d3WNAQPVIk4sZfeNLP3Wg+3vXZTYFGyUx0LWi/Q+E87iHM7SUYr8/VVs
DvVevhSepD874ZhAZJt2n+JLLV77ieov1qfmRp8c6G8gDO8d4X18jtzqJH75ne7oa9sMmpRqKiqS
gmKvlQ9HS65vptU6Ksn8wlnj/qeS2Lxs3K3GECXYRzkwj5m3vtbhMNi0aZIKfZGH5SF55Zjc90Nc
oT9vq5Bb1ZzTmew6d8Z3ykdRfK4cCTNdpzK07oe35lCAS3k68ThA9rHrX6QNuqyVUVHQipgKFkPw
KJbCrZV+4SyPt6MMpFhgi40GWi5VA+ONvlDju/b014amKCjy52x4y6L7fYWVazW1+rwiENEXJ4kP
knYyB95LYDsGvxw3BjvkDi3DA0j88Iya3flQNt5BuK1faeCqHBcX7WN35efuC+404Wl/P3newsQk
gpAWINXH6qTxUZtk2+hve+k4RneyzI0Z6Kf5NUJKH7fF1U5WVU9qkInQZ/fqF7eCTXUfkqPxABWc
xMbtHYLN+GHmJRb2LzvpI9K8MpvIcwOaHVx2JjoNS2Ib0S0RT2XzUktOWsh2z0vb8Awy4LIWCtjr
egwG0wGwJuhDLaCp0N9p5b3CsI805tW6Sqo30ko4Ccb0OEXCCe1znrKOnBwU76MxcJKVTbFM0ohs
q+ZH8fexe1hNz+RNo3Pc8ON9dbUWiFhBRVPHYyYv76Iq85XOdJoJDzY9HmxJL3mEpLxPxKBII6Bi
3/YoYTZd5BVL9rTE6JxXl4Pap25OZCTankgpOfuHjbeXDJSIU0KmRcYXW/HWXob4LSGWW0X5OTV5
ene/eJH+Aykf4xFXO9rHU17XMwp1GCoun0Svf6Rd2ENqi4+qTR3fTj0BP4QTm/wieX6xywCKPFm6
gslOvEHuaJZrCMjB8pqvVAu18InzO12wV4fg49lwtcy8rYVsrnDWSHabZo0zxCDPJZUr8+RPOB7K
Znx1QSp0MgJFeis+pE3yeZ1QW6/JfT6dIx59wXa2EOMdJviPNEvVGE+pwDqsyAmsWeHqix4Uvp+z
mxL3HMJ0b/jCl2DdvIGuDDI3EMSpFyGn+u9FkbmmKN/IhegWS+nhaDotkEVVeHWPzdNwZZL1FHTP
pIqMhG+PF9USmKsDWUMbgRjn1G1e4Bc7bH1Fz4VxrrAkF/24i+XI1kOrPu4f7O086JUNJpbN9awz
F0r72EMIhJIVEVeBkgudEY98+eG3rGnQfTYVyzDZtlV5loYozdErLeTvg9rYc/EOPU1HiYgvr5jJ
ydWnqFjAuoaRgbS0h7F84/wCup5/XeXSP7+ATZGSTIn0ssCepoca5MBFYDmqTb4Wbu3onLr2NpJd
2WL2lgxmPKoTKsHqfQ0dtgYcjTHIfwhSXRDxdKp3fup82zUvy2NucDFvDdLXuB4qOUi1w5IEQnow
wKO0v408M0xKYWoywdAgeO+mrTuWyPCmYVk7TVK5f2aHucMNtAJJk4q8UNodZvWzUn1Cc3NtvOxb
+QVoXXaNySoYkygICXUKcoO5i/wQhV1g3BJffSxfjGPlI+HLnQnfxq2LTbrFV/iP8nZSJSnCE+gf
vJEbwbL7gxQKThn24fSJirxCkz0O5ZOW2rxOiM0g4soxGZAGYVi2Ribd1oPmK6HgJYcYISyvy4vn
JQw052pTKzqGY9E+AtXVU1x4cu9VGmd0YRslLxvJoPGQlEYhD9jIQrpPmme1eM+j7xwH2Sw9XzaM
ZdFQhliQMD5AK92nSrozhlshxfggOZp6sCw3bebKQvVnZ0xl0GOoxKQbFqAHQZIavHGWkxBfFzl3
zHbYc7U0BjGSZhCFsU0oQXb8iUrxWh4JpaNpy1C0Iw6XuYPzuVj6jC4T51pr8WI0dVCiTcF4yn3L
61zpx/xAo4TKH07c7D/Fox3UVxkcmQcNMUKFWbFlEJ6RQLGXqTtKTex0w5d5kL7rQnRT6erN3H+W
y9omFgLOpXngeBHn7lEZmCnrZm6kGUun7SYD5sCRqE9fqHbgEiY8gOHtM4MvWl5VVqHgqh0iyCb9
aIWHoTjsL4gDIyoDI4YWZfNI202i6pPZ3Ob1vaq/1Si/N5AZnSzbhGL5vsXNWPbKWRlEwZjkXA8r
Ch5jUjvRGjlmeh6aIC5CkaeMyFscAytQP1YqC/xDbim4omQX+W2WfoUCZwXRgipzSl4bCOd7sXPl
YzxDN/qj36lPb1RlsqWuAstmxDvvPDsMrBhTPLZZg9ZBPHLO2YviDwEICR70AwRGKeus9Jw/6xzP
51wErJRMVmIGj7QImKfaUZpjTE56FOTWy75zbFsxdQw2SgrU6pmgZCFrrxEopdGH4zC/d5lfxYFV
/mffyuZMuSRdzDBYYolKid4TvHAqr3eFR9o9INnJZ9OdIPfjNZWtHBtfOOQ8MS3e8hj0SBvS57mB
O6hY7HRAvHVcptdY4JXitv3+sjz6M67ikswoJjVFr6Q7N10gWfVN3/6IkNqKRNXLlUcoW9tKk4Wc
Td32yotVFkomNVfMBR5ChcnAG/g4nurTX4xA9RGlMWw2r4uBZ5LBkrKc43jRK3A8JioU7BS7SfWw
Uso7ztK2757L0hggqeqilBLQp6PcrR5FD3lf1/JA1/tBdlQGvLzCLy70v+3JbAUkFrWoFiuUc6xQ
DzRfCj/YfkAcBbVzN/Z4HQTbkHwxx+BJBsbeQaODHrOV27nulaA5mLtbZSnsDEM6+5u5fwZktje9
7GJF6CIYa2pHiE7abDmi8kwGXqHqF8/iy6oYLEGfeCVrK4Kv3qUHPHeRDIIGIA1PIFt32F8V95Mx
kNJAgSLvY7CBL0cSgK8OT8TRAesAPtjs5UeDZ0/eDIcuq2OgJB7StB7p862s7NmlygGpW/eo7kyu
9sInh+PuJoMpXZ82tfTX+2qCBMsckvPqzB6tJEVcHcWPhNa/gj0ZI0G6YRqqxvZTpqQRrZGSqq6S
reROfVC9KojwoPs6eqqtu+Tb6JA70y+dCF0ZAO33/c+5CSxX9pmvWYrxCkJBpIRH0/QMPb4vu9WR
iyHYN7PtNVd2mK9Yr0UqNDW+Iu2j0R1I8EJcsfcorUn2mDvJl317mwf9yhzzEac2JisZEO2RuAW9
+OKYvYypYww6L/rXueo46XsKv3tfkbkROjFaWoVqOSbFcbT8qtVskdgCqM2X0YEewP7ieN+MuQxE
Q57zSaXfTPxhktY2RrzonvdtcD8YcxP0a2oWqooepPS8+oa/ApnBpe7SkipVFOa9AKif7ewgq9kD
dWYlS1IVp1yRPxVGcavXvGt7E0guPsFq9ahZb6wFzVD+1UVZglEuCVS7OVTuxO124nwjVrRHg+Dc
tNQlgv9WcM1sPBoG6i0rjx6Xt20M9OtQKBjhfeAwHs9ycSchLt73A946GHxYVitOogwRVpapTqco
4HbqwywyOPjAM0P//1Ugt3ZaE+vQQcPrLLal8VNc/ZB4QkqcQ8rq6nQoF1p5j7pQtd4IWjiJsl8r
90aa2yr5lMff/mzjGEjIu7xToeuAQ6qa3iwWpzSznKnhjWlwgI6V1ZElTMNWJQjoSo14TU8w21ke
moJ80pu3Jv2t7purI8SAwqhkXTlnoNxSZCc1b6RBtpGas5UE5ATcuIbj26y4TiQKSZQLkCZIpPum
f+8Xjs/RH7sDOSxnaWegJjhjGheJxfHQQTG9OJh+DdWDfUfYzqxfNs2kuHTl2wOmTvphBhR0XuWt
vvqihOp7HXZuc8YorkOL1pLmcIxywM5kgKHVM1lYMHjlNp4ZyB7UoUGU/bT4cVgHEPjm5Tq2e9Cu
FsngBJH6WJlkZHDS5DyA9ECDkASE6KX7VT7VJbq7wdbDI0bkfUAGNJJEkkGMCB6OFElw5QRcOlCZ
PF5meDvjfrU2JpgQLTESMNgBigJ7/NBEmF9p8lvF1DZmNA79My/lvflyuDLIYEfZDoOy0n4mc7kZ
lHdIJ5cFSBAVzgHgfjQmkBj6OW6EAk5CNzAHYQBtotB9OfzTBTG4YTVGR0o6dbIUem+rQuyLgp65
KrHuifTwZ67P9ucOptYXAtW6/kuuqHGEhzIcwLAMImKXx9r3QfGxgyIsB0KC+z1WI6CUVZlOtnah
FCMpPViekFhBOo8H3XidohFKSYpfp91dXq1uPomnaEXfRV6OJ0P8GsvxfT2DV1hHP4aaBK0oBuA4
woDxi94sN81ofO/zx74V71Vz8pul84wmcsrVOAogadcjMC1Fk5NpQ+YmI/E4+8nxRpbjFB0w4CGn
PCqzv3jQOAxzwybfKBlvCaY5yx1s5dH6ZnBCap5VBsBAJiBGWYavKEy6o05ikEkvc/MtXhUeVNK/
tPcFGehKQctJInCau+Nbe4AE66tcOoO/BotPCaWXyhV/q9Z6Od8WA1xjX66Yx8eIzegraL5xtFfB
K0/q+/pQnEW3dVA3jL8v3DwBb6EMjllEjiOdUpeJ4FJDcgcFZeU2OpS26qOA7op/ehBZGNNNTIMP
HxffhDdf7qKRvHydfGru/6FGQf/c3ndk0MwySymOa+g8F6ov937ayrZeP0dqZJvdzDsUnOCE7Q5O
IZ5V5SOYf/K33pWPGGFCk6Qu2LW3fO0O9T0dRtk/h/u3HXbu5zACrZ6jbBRIAS7rTVQ/Z9ZZzyI3
s2K7qSEGBP4DQXH3TW7nQv5xVJ1tHp50QyUretjhqCD+hrJI4ehu8zZ6kieGg2Hvm6Nu/+sPqLMJ
s7UcMKw1YdpBaUMi+4J5m8uc0aj9NwB4+5hNrGbLiChVzkp6W8y8tn6NoXyb+DO6deXn/fXsQ5jO
9gh3XaKpTQGHzOMA4rAwpAkPVc1xRZ4VuqtX4aU+KVNaRJDwXYgnTbdoDbbxxoVKIA8n90NKneVx
iPKljAcNWgKdR9OMnVMNLo2C6CxKjDZrzrq2ZwyunI+BD3y8tTJMiVLl0BA2++CAb8MGOWnMoiDh
mNr5fdRxh/m3h6KuDDNAUkyZWRSNBerdxetre5yCJPKzyaloVbtxUsjgyqJbtTxNlH1M0UUmSsqm
vCuEClceRnBsqf+UqC/7DkldYeeAsa3BEDO0Bs0AIKv1bSR8E7JQ5r7aOCeM7QPOu0owepC5uUrv
DNGdOot2Yn0m4vcIHT7cYS/eiqjPXjm/0A+JXGX4VBLGVJN5tDtjsWVuKp/zhtM/smVXdnKRGPU0
gFwEN7Y/0QeVWwTyU3aOw8IXUanIA+7oIee8fTxLrmyuxZprmfDRdDN5gk27scYQT++j4vGJ7HlQ
/7EDV9ZafW2XXEe+gj5yaJY9OQpOby++6Sf+7/DboE/vv1lv/aNseWWsEeXF1JIUsuPie9ri+loz
lGNA3oRjLXBeOTyHZGDEWpek0md8ur56KiaPrOGk3paWEwngclV4od1+jKWzDcGR2iXTbAGN6Y2p
O9IpdutXKdCOkYMqkJuInDuTtzoGM7p+zdaYBufN3AdNZCuT5QjSfW+eTZAMVA9/BCBsH3CTY2Ca
WKj91Osp7v8DTaOUN83GCXPYDmBzUf4rNkv7TrqAagDReJFnhgMcMgMcQxJDjKMnlPW8Rx3c8IYJ
bKR9wYugNttoLp4uswFHmRoSUUHeKoRmQNPo5ak40BhfcHnFTd6S6PVydagwSCYUpAAWygZ02iVn
QjOeyKNt+fjEO3fIB9PFlZVSmsV6MOACvTu6NApoAvKudM4IXXjdru3kTKNDkFi4BqafxDLc90DO
HSkzb5iujIRkpNVHrXWH+S3SOITTvMtfZuDCVNpkzVuM/XUeCbQw9rvSGTFJRt+6LTdNx3MPeryv
d9MyTTnS4R6UkX51YweSzmdK4R57JgeaOHHiv9qZ16ZMxwKXv1gmNlm9rsO0PiRFFqXlOT3HFNu3
jBmrWi7lkZLXVqjrp+/dcxEsn5Lv6Zce3dqNn7mZFvD8fxs5TEs3DUWTZHYmNbXKqhUnLNDKKrte
3nLrS67fSFln65lDyGeRR5C6feAuBpmPJ/cNSUUTV+baPcpGkGKWmFdt397JiwkG3vFa75UYfDuu
pj6omStIir3WDyVvlmrfjMK+LXtpElU9Ric2ahSk/Wxlx3YJsp7jgb+IMf5eDWRzf/Z2ZHGWadAQ
0aONGDVFqqdBe0uonkZ+Ix32kWLfHTDi+rOxroUauzljWCCWziaSgMbgLP0RNDfEuovqsIYu0L7B
X6RTL8tjsN4aF60xjYrmoxcvdqSwRUZa9+sbHs3NNgheDDFIb5UgORhoZ0mLdECMtt6xlZ73F7Pv
2wrLC1hrgmR2EtYStb5YCbaiHhNeFMizQb3yCvz6RDWi7C8uvYPVObn6Nhj3+8vgfhMGzqHQrTQG
wTr+1hX+at3Q+VXu/AR1p3/fi5dvwoABmmIacFghuUZ14qjMFlg70MFBOXrK4M9gQWFfipBFAjDI
eGTp1Ve89/UZWnD4p3nd370PGpedRbEPxrotomms0EYhSJJjiatTrMJR7fK7sZbCvltPJBae8rm6
mQvJrvCeROL9tTZEJ8U8QJ+Uj6aV2mjxOgwZ2tViE9MdijeYUVjkxY0RFb5gVa6S5I7cjaWdxiZE
59DPENe2JCZHuV5dJe/dbFzdqpZ0TkKD437sS5VYpprPdDK+rp5W477MjhEvWqLetbd/DAbFa2dK
Q4rvNLRfuuSISRQ70R8G9RBlb/ufirrXniUGe0wJoydNjdyBWVlfilG06yn1oeRzakEpIBToC5Bn
XoaGt4EMDM39opudBhjKEHCCoPlJg7ibYZW8uW3O0WKfprKyaHlHmT1pyPkxjO4mN7WHCXu/DFTO
JcW5CtmnqdKtGcovGaJoMViy0yofIEKd8qzwrsKP5NcV9kXJ0I457dnDrYRpdMn9UO85TyjQ8ql3
ttuAwYfzV2iksK9S2SrMWKNqAi14k2eE7chi+f2X6V29W530ofKnsHzjpoJ4W8kGL9WAbosJJFGj
7DT62UqcjjgiT0ONt5Xso3QpeyshdN4XEmSHwiuCMjRtYqdg0uM37G31RYGUzIQkpCZruskyX6XD
mMtF3VBrCsbp3QZDeVMDKg3Rr8Duvhj2zGnK3QhkfrJIj+GVq5RlhbkFUlCL/aEL+pMW/OYA1E9m
mNs4HdU1HsocLDKEEvb9UJLC0RLBH0buo3jjQP9kirmUSw0Z6zZKARwvsqPDGeeTfujt6oA1fua9
9De88CdjzMUcGYveZ2OFP90HhpXZURbMTeUsvGGhjaDsJzuMt099JalTQyS3Bllz+yUn3/cRfgNt
r/8+O9alVaOiinQdreLIgztZx47HkMEzwcTnXTMTQyvgAkJ6plPCVuZN49c/WwZzJeZ6Ab6sAR3m
fXNIKi+N74Q4/DMTzF0Irp6uIxUOzNL7Y39L0FOePf2ZCebqq0SzM0wFKDCin3V2evG+LR/2TXD8
lh3AGmW1TmfSYxWzp3Q33XTfSD9MTPPsm+EBmsqc+8Gy+q6P0Hk5f4UuxiFD2nd0lNvqvHqplz/z
XulbcP2THzOHXzLKcolNfB2a8qAJpBnvpByBculNIa89bvNQqhiAMVTL0mT2xSkKljTqAwIwyZDv
E8u4l5dvv7N/VyYYh17FuBlJhe805s4HEwPYnOze1j9kyZZQDnmAttWPpChXFhn/Tqu+jRPlYweT
W1rH77+QkKZJEQ9BHjJCR8b+Gj+ylEx0+ZNFxt2FQhoLkbo7HNIuhAzJX8UZhfauyFpPU+KXJVaQ
TJ8fO8E8EOSXhEU9d8U62JZVOwaxNDub09tBMN3FhHyW8H+kXcdy3Lq2/SJWMYFhytwttbIVPGE5
iTlnfv1b0HnXTUM8jVu+E09cpd0Ad8IOa8VXXXJapOhZXTK7EFNOyNxXss0VMTHTFJa2kEL8YNkf
HdHFzgDIs+nISn2cAt5rbK879Mf1MCak1YqhSxH8Zi5cdcbjaLgx6JUnVxEwgF7c9uClGLGsVt6l
w21Y4LUzvOe8UuKu796cmDGrsCaqnPc1sJKVh2b1E/ObsTqX1WDnNfPHMZlIKhaVmktTiwFaqY5s
aU1vRaW1+jH120S8DvPevSxvN/HZHImJqEbftdWC3RanHV6V/Mkk96loK8vXULJzjD3ME0ce5wrZ
1y463qEu1DGUZjnK3bHqrpaW4233RRBFVLDbpxCNOdIw6cVsdujPt4Pg9Il5rIfEXsaSQ2gj7zwH
8al+y2HH6etmQWGF8mJ0blrYsrvGFizAHe3qWgejeulELjCRP1r3CRoRAGw9Ul5nEFj9V62Jf7HH
8+9hMotsUvW8xLwmFrdDH5vpR+2NzuRRl6W/8aaUOZfMzt6roSG3c9xhGyNd7QF0c0D+RZYxci55
XwyKzaBO0LHByVgcsEcjVWw73LEOHrvrtL5OeUa9mwOoZxGMxVWKpLfAMlKcLLar5S0TAlm6IzyS
zX/xX2cxjFbKatmYXS5IeGCLdvFQuJVNsR2SQ3Po/dIWnnjjwpxzsbmsWRJlBoaQ7EgqJiycXLtX
0T/i1TD/JVD+PheLSlBVhpTXBcpXdLtQ8kpPS/3E7wBTDEUMciAzAYfqss+ikfBTpCSypMPdAoiQ
rZtKmHRt5BVuGNwJePRGV3nE07uPFtslGUy4MRRtaeUF4aZzkwcRleY0tiiuY2JHxwwUyoIf34jY
1VkclAUtTNpN9/khBfY5N5ejZvv5lxC0IWAESLKYTKQDB+pY0RV3mjsmgRSU3/WvgwMn4qMkdPlm
930IOQtjkhC5ydU4GaGl3XFwIwgLHQMFk8WhH5IH+8aVRq1/8+oem64aopbaxI8REKelF3vqU+vK
3ujHLq+gv4fSiXBwPhvzSbW+atuyQqgbvfKJTpeMgf4FJ/WNQ+tSfluKRYXBzUBwuChYu7FiI5vx
Y1qtL0UtQ7bqCz8AU3ta3NIDmepd+j67aWdRJZqCWbH+CwXadQTEFBENUZsSWQtdjbma6goKpDxm
NxqoLkmQeqOlOvFNcq1jFr24RVzi2Oiu494IZTL2eJJMUgKTEGxlwRh7mKtfeEgl+3d6PhdjGI1q
CiSbca5EOVbzQZiu49RK9XsdY5pR5nIsg/61z2Z4lsZYRpV1ehMS8Ot0rvlDy536MAFteCystXAX
Z3mquQ2I/Vfj5g4Z81CLzBDKzJRoi/cGBVIPxaLM6hzAi3kL6LP7t//xjIyFJLHa45GVUC2tn7Cx
4PWprT3qPtXO8ldod9xx6X3ndr5Vxi6EWMuGFaQxH1GR1qmio3ygRH38eaj9SKVRpDFFlYnKNnTi
CvBK2oxunkgsycOQPWaTbmasHVcOORIb82V42F2+0V3TO4tks90mG4WxShFFpK68MonhmEDylzPs
7SwcSbv2tpHEJH/DEoV1qEOSqQU6mB5SgLU1j5dPsze3oSgbIYxR95OJbpWBF59U3Jrzo7Q4xnxr
xm5oPLcFZgObQBHfUNznRaVdLdnIZSy9aOU8zCIkm3RepDpGLmmRWE8O3R3IednFflTaSGMsXVky
FZTrEqKSFz8Rr/EFACAVB4rJjokRm3On9M4++ZWNNMbITTkaJynL/rMx29l4NaDxQnuawh1vR4in
JYyBS9XamUMOryyiaJLnVhPeruHD5RPxZDAmPSiZEiYKzc6m3jfSMgDxz7U+GZzyA8+0aHTY5A6J
rA7zTJd/gdL5NYsKV5hS7PilPvJRjv7RX3zpEzGpe2/K4qAXKKcWWHRv09iV2sEusDEmmNqXXOf1
4uifuyCO7bX0Q5hhpxVxTTy2BwXobwp6EX9b4jprHjsF2Ldq1McgD3K0U32QXjEr8ggHlVnFdXUg
duqmv3jqx/lm7ECg1KkACB1RxosNP1E8UhwS1e55+wf7CkhMPBclTdF1RgHluIKKCxEqRb0dldfK
bHcmZ8XhX3zEWQajfWAXi1o5RHeF3E4unv5YVZT86kD39vlDh/v6dxbG6J+c5FUL6BQUNKZHLbL1
5rHvvw0/m4iX/lPP9lnzfgsymPWXYU0ko8lF2JQ42a0036+D8H7ZO+yLMJGHy6YoS2zFvUcZL6up
B9Lmr8oMSu2m+ytrPUtgfFwqJvI0EmwNhd2D2HwpQAcn/8zIF9V0Lh9lb+4F4fAsiVG0pUnERGyh
zhMRLbNA2aXAbLUOTg0SAa3LMKw2lL+XQ+2ocipxjrmv5WfhjAa2UlLEnQDhpugs+bEIfxbFPeeA
8q4+nGUwigfgFMlIaEl6slEU9DCv7hoH4laH8r+ITRzNYPHOoBaaOpZwR21D/G5Q3ULOeF+McyDC
ZEmSFCHDFXAgIwstsXRC3a/VxDYHW5fcpX6ShIcpcvTZBooR53vt+77fd8lCnim6qqSmiOocaV6H
FRsv2pOieRp3W4Mnh8mVyDBjSRY24CTluyliViS9K4hrVJzC3P7j5Kz8hH7OTfwlfZ3ERQg52il5
mezuWTyFB7Jawytt0he3vI4MTz2oPWzkTboitc0yQT2G+Ki24PFLk4fL+r4rQpd1U5I1VSQfR96I
aObaaIYWgWOavwogDVgnjoC9GREFnFK/JTCXFgP/uxlnSOjcEVMpg0u8Dvt+o4VICFKo0CocOtN9
+Vi7nmIjlLk5MrYT0EpRctcpXOhrTq7M8e2yCOpsPgWOjQjG52rhnAhphXDYJasjRiPe+xglm/TR
asYeE/JKh2pLN3ec5HlX1zdiGQdcYYuMRIouOWsTqHEQk6+CcdXE3uXDfUzuXDod42qrZkmwl4SG
Qn4Q3QXs7jcfuM30OV45lJFn8RCb/RiE1T7hDWZRe70knPHBUdj1VRojnaat3PaAjUAQiKXA1Ilv
Wgt8ZcDo4h6Yc69sBiqVsmlEGkKoNGS2pEyWWsxu1je6JcWSnwjlqR6T01iaV/HyLWx7V1GFK8EY
JKtpm9RSosgdSfV++TPsW6cmg6NUoWjyjO9WxmhS4hqzH2p5ow+hZQwcAbtpln4WQIPHxvznNSyr
TkPBPAVtZ4kiWdJY0uTG4sGUXy6fhX60zx/1LIpx0n1cxGGpocsnHqMgO9IFnP8mxd+3/LMYxt3o
M2b62hpvyzB9bMznNf8lqzwEvv2+9ebaGPeC/TlZKRO0aOSvdKkNO9rYecfAkR87ygMoggbgWfUA
kqNFpOUKfcwf0xXPxfF0gyr05tN11VpAX1HaIdMPqbKJ/jePzc0ZGUcTKWZFwhU9okSfHCXLbHFO
3IUIXpiW7mXV2M8qN7IYbwPYVy3ue6jhUj0boyu21mC4Q/WGFb4eGX+l9lbC2/j5eHldUkjGywAx
WxUW4INBIZOAMtJFRwpyCMh9+a11DUtyaRNRDsKPrSPhurR5fY59XTU1TZHBPgA8iD8/YZqK8YwG
P/KjSHtZZOx8KgCiTTpOMNzXlN9i2CxTWcsy7SOYhFHdjN1d1HNehpxjfMowwfxbDv2AsTvgXRHf
6DDKzYl6+2U4/XwGxlGZZakb+WpImDSlFA0d+LBEFE0rJ/F4gAj7D92NLMZTSYKhlomx0hq04mVu
dFQiqz+CoRCrWlJqFZzr248856MxHkuT8n7IMgHh1CivoxoYukVrKavhNV3KScZ4ohi/Req6qMwI
djbNpZW19pTe1UAACtXgskHz5DC+KVPKeR0rJMqLeiVCQG9YnZa6GYgFLgvaW+ZHdnm+PMZLdXJf
t5WkSUgVaPMO++2BifKl5qzEGjBHi5Vm4Tq/Hq64RUyeVTE+q8riuhI0nLH+gdYBAF5ixyA2EBr/
4YtS7sw7Hu/dfrQ+H5bxF81KejLoyGq7CoQWIBQwVsEVQuE5R8xJa5PnlvfzsN/yWO6VMuklbYxx
xI8JYTuHztjRtfaDkolPL4MVcVKE/QfW+WtqTL4zymGVD51KBwbAAf+Ad8KpDiK8VNGOyRz9LePB
Q/JsneW2xwBGYbQZ5uUrSbByHdneWNpqXNlx1l/LVW7FKNd1cRqEY2OZ6WA3GY9Xaj8xOt8y4250
Q02aecQt/8O5AeYLjNzJARdujLrIz/HuLIfxM4Oy5AbRkeE2rWUcSy9ydVf40rqrSxvdvDbQv7wg
zuIYX5OpbZ20InxN8vzPmy/7lbixM7yZ7ge1DppPpiMH5oHwSnq8C2W8zyjOUaeWNKn9IDHJfMX/
y1VvDOxjScqUDNrmZlxPZA5rKM4ISWkd6DB2oHa3nNCw62M2IhgfU/TipMnY9HbEGSOPlG2D22ja
ddWgqcJqKzEV02A+06pJfRabCtiIYksHwDNQxuerrv0ry96IYb6JKLR1CyAhiviDLS13vhJs8TB4
g0ODanqaeGW8/Zs7H4v5OOrYJdXc4v1KgTXGx9TLTtEJ20qjS/vI6k30OL9dDkX7Ek1Tx9AKuEcJ
Y8a9IpRKkWDtq02uyfJQ1/blv7/vHE0M4+uSqAOMl3GOtdaPc9+h3Zng/vDqmE6xl9npO9D2J9Di
AtXcvyxx90QbgUzOBWhJlaT0hdEt0WHQ12AEHudlEVS7PvmkjQjm0poSJeQ5pqXxr8r006gOJg9r
incI+v+bZ1I/dFVeTljsNwXx1BWZ10YTpy646282h2BMCCTPixEmcOCTET2lMhD749GbEhRVgdk8
Ke3dXNV3a61xkiyeWMakSK+lo6Q3OFkN3PLQIJbWaje9CBL7KndKWbTaInRrWec4pV2PgZUvVREN
YFSyyISR1sVDMcG9kuoUkptU/JLObh1xLpUnhVU+rACGGLZGBQ9zptl3c3YmlFi5I9a7QXFzGEYB
w6hNolLAYWIFIOkkwAumt7B2hQGJ4o4PD8I7FaONnWSGaSMjBufaYjXIcZAZG+UIop3vlw1L2h2+
VEVUAokoG9iWZLRSGSR51CaM6qotljS76TrNvkXreFwF7ZgYfTBP6nsVP4Fp8hrPT38sjSDPZ6vD
3KQ5Is/JV2/uhuNHFp+trpyPL1OLcWzMmpfpYq/q6NamYJkr3mCpdhCz6qDExrW0jsGyVA+1irn8
6gUgYuCUANa3JD6TsbvpJgxkCoVd5++GCcoJM0MnglhyURxXcAdG6uA3WvwzrsDH0pevUak9LSsQ
VMLaqxpo9Vx+r6TZwjLlt4igJoEJq7Wf0FNT64Oi/lQBCZuXomeSzhOHN7ms7LQpwEs6+5ECGJu0
be121Z5Qh3qp+titl/oWFGRfuli2i3Cwszb5EhGAIYzFdW+OVqmKPupHTjmJgL9p3ap6BTyfnSqN
lYyzL4uaJwyDbUzjoddUi6jzXVznd1H7IhI5GIFiA0T1IB7rV2DQHcDZ7iVkfZGE4oRRT3toBrs2
AMc/YOXP1JJbYa09lCGfesGwykF/HMfQK5aZR2+ym/WqsogbNkxd1zQ2OnbZFE9YYQd6zOpReozM
Xm+IL4LtynQ097Iq7nngrTAmiRGanuQz6hyOWdwqSmFBSS4L2J1y2kqgnnLj44VsFI14wqzMCCRR
UN/4xk/hgU44pjcfD8AaSI1/Ebg2ItlB+Kox5TCihGuRWR2GrguSSrEBYcMRsweLg8mt31+KBZfv
iW5iN0tEknmgBXjpCjCiLsVLrIPmB4rQGLE3XmkHxXTSyda+cG6WOgk2Pm/FU/e5uVkD2BONMqJ5
qD+KD3TFN7uqTv3tHOBZNlr1ahN7CaKec2reB2Xnfyt1CJuFztOst+RVptRC94YDlh+hs1RL9Chm
TtRwsp29cLo9KuOaYZPmkjSoT1NEB1QR3H8AorjPMJqmXbpSxi9PbVGv6oCsCrQclHhwVA7dG/Gr
OwDaORrvBbFbONsei8kSphzj5Bhy/KeYBQqv+znoj9Vh9IGgwCtJ/4tfURVkBroEIEUmmk7YuIqB
cIgBY7BxUENUD+Lhn7n42td4NsgVx3yyeQ41KZpo4oVefRLkj7FDCVxCa/b5s5R7oVuVz2djvluG
xq8ylahyFmmgalY5qnYrHtoo4eT5+3p4lsN8MGXQ2qhNIYfqIe2T0NcrygGcLG7fss9imBAQR0Ui
qCOKwh2otLQp99vCtKuIpxK7zl+RwFJkSKass4tJYRrWqkbwicz5ZWlew5yDXrvbXsbS/H8EsI6Y
rMJYCx1Urn+VTEv7Gj0IVmdjWf+qeJUBPozGvPadv7q4qw0bscxjTCmrsgPvg+TooEpEAgeqBCsK
LU3leKXdz6SoGjb9MNolsctAozGAGCnECMWgipYhBPHwzRCcv/HyGyFMhF6a0UQnEJUMYXoRi4eO
pnhq94IHAObJwiCS5V9pAeiP6C3Tnvu1fhrD0pWzr420upyfsusdN1kro/2jUAtpVuK8E4KN7iWA
XVAd3adhvOFYwO6DepshMyYgFmEldc1IawSS1z1Q7H0jtgDRDe4EMTAeeBWC3W2MrUDmntesAr5N
gY5TikIEdpSxYYMBI9BN3yX2iCVp7EVQOEds1mCr5p0HJUT/+qfAs7laJkvCiJieRRI2TwBtag1V
Yhlhb6trayXoc2CtmLdktuvIJBVINyYRRZMFhgM+wlyqLTxMekg+EBcpwW565A1Y7lrIWQwLCreu
OoaXZSxjdZPmlHFx6oXaToXZu6yZuz1fdSOHtXgjSVBVUpCJYeob61G5PVj16z+lf5RSHzA14K92
8gbu8IfyHSRpjvjC4/zY9Tqb38CkY1pJ5ESbYKiycSOhCl8dVfk55j29OR+OjeJtTCJdE5EJDT1e
aw3eImmVvRXidS8gte40PN4iKwwFXtZH7e2Tgm5Ox4TzJY2FcQFG7sdixPz0AQcNuCvAuqGRrkrA
8chd8Uq94TXg9vMICTRphinjDcYi/I1Ew+sVu2/Q1PaaEqVlNjlVhx49h9zm6euuGZ4zeo3q8yal
rgajzga6qotenFV2p2F5LWfNkdLjsDqqytux3zWPjTjGoUZrFfZRgp5R2+Q/skJ4N+LVanjlhl2V
2UQQxrfIhjHMYwSi2CzHrq8QpEDHDyvP7H7N0Yz+/Rcic/CUOBLZVc9yMLRllvEyCTNrAJ5IdSOC
yT65M9RAbg9hdn/Z/Pd15HxCdqNsUpY07UxUbsht8Y1uCZqu/IjytZ1e8Rns97P2jTTG0KO4kkH7
Bt+ZX4d+7YWH6GD6MkUe4oMw0AnnT2a3kcUk7ZowrKJefMjSaFvoPgRw8oNyEx5Gmza9UzdCTcBE
gbkJpoD7kt61+o14xupVudPCpsIsTYTFMpO0mCI4ldIB5aRI4Yy07L8rN7IY25v0ZRKUFqWI1ime
w3s8GTzBrUB1cmtgQ10FxEX1cllv9vPf3/kbi4Iidijbm3T2oio6PF+bh0xZeKfi3SD9/41H0TNg
Dc8EY9Gjlz1oGFguX5ITJrJtFQqaP1DM3NCWDisvwO9Go81tMulMnhC51UaMzkvhKRHex+GL1j1m
Med4uw5sI4VxLVUjZMWwoLgzkSuSmdac2EL17fJX4pyEnZABHBUZpwY3WJa3cQvYtPSRzHYzcYex
d53/+TDsqEyjNmKLhQM6rkBfrOQV8z73mjO9hqXVY+ZIAM9vAmKY+Mv6ePmI+9doiLqKeh8SMkb1
McAYiiBfR2ItvMjViY6ZSO5lEfv5rXKWwcSaXGmwLFqjmD4dKRjc8C661X3siID5vG9eiyea3Ebe
FFn1fcSFqd4NCAR3B0pXpJzsCgwojzQ9EaAn9fySh2/V+ITui4SlEcnqw8zOlC+c0+7e6EYgo/6q
2miZkoNthyYq41MMw9PeNEezJLvyZI/uVps/OTJ3n0cbmYwxyP1SJgIFne9c8qoiOcIo7ivNVLCg
9caRtX8+oNHBeyHrYtdWhLDXy4KyhQmButglDtjYsTNa/QLYaqzk+Ih9R+5+/K7DxKbMf6QyOjTW
c7pOlLCzysCwWn2JwUjVLs1xVOVgkUE1nj2UmukIvXDMTHTdlRiDTLJtjDInHf3op36Ki5tfwrhV
NDZkIylBpT56IYY7E7e66awULCFrYbWYCHMpWt7HgrDu0NXFxOO9UHe9xeYXMBq2NGqExgMcbFPf
ReFDngDv87XPA1N385KjzjxZjGYRKUvmPMczShRLQK7asnnXCTeZ+a4loT2M3v+mXKzHlbK8V9QY
nzkH+OAqu4WNyh1gyl3MW9rFVQQcjfiYcYLxfjX9fKGs+0XrEp2ICiqdXgs/zFv9MbkpHui6Yf5e
Azamehr9b8bt4lB0Et6w575/+q3Y7DJMODVTI830nWreFNFtrp7k9FkcfShz1B/S7uvlG961Xg3A
wBox4JLZ0XGzycQc3RZwskyCpStAw8IAntxWzmUx+0UUzTAxOaJIqsFOwVSYtNEmPYYcDMGBTccN
Hd0VDxQtpPXB7M7zSrv+YSOPsQldK+p67UEcS/ei6VvNOMC5nxJf+IZ9ZZSJIiW4fMTd5GAjkbGM
SUrNVMY8hjNrgjevq58aw4OuFsfW5GJ971ohJoHhbUXcJzuNk5Kij4HxhOJvEVmx5g9hQOJglA9Z
ao0zp8W+H6830hhfWw/jEI0ZnqKUm2W67zBWIrokIKkdpU4LEu3Wgoe/UQMkkFzC991r3Qhn3Ksh
N3VCFjB7dqUbTXi0BVMGlkL/8sfbHS0HnfTvG2X0ZQDxkdKnMPlElUorh6mV4lUl6p4uDBiOSK9j
Mb8KhdxKl5TjbnZVdSOaUZwmGadYzRGso+xxGk9Ty6l975r4+e+zhJQFNuuWIoJHWQ2/1EvLADZ2
w3Ej+y/RjRCm7JUNZpgUEnbOE205qkLuhtVz06IHlweVZBdx6XZJiuplYfXC4fK349wfSxAZdsks
NSVcS2vKVlILTtXxwFX3n/U6oRgx2FBDevrn2ylVG1LP9BtNtorVc0pW2l4pfkPXmn1eBXZf5c/C
6IE3DzWj6aZByHCgafoK5kvU0IK4UTwwaHByl3/5aqYiaiqWjk12VszQhLBTxAlzVfF8Fy2pY+Zf
mhiQcKJkCUblrOD1DOPbrjFs9W8wTFVD1tEskzUD6NB/nnJsKz1RB/BehulhVYJw8KvEu6wZu5pv
YOTSUEVR0wjjO9qkM9I1A8Gslh7L4mSEX4vx1/8mgvEbsTiATZMqRha6pnpIJOymcPR7vxyxOQZz
U0guG70VMURAAcjprnGOIfL2SrVW9DC1q9Lnrjbsvh/OEtmJbjOUJqMNUY6gEgVQhEbH8qoCU33p
8xqMuwPAmC/RJBWLvhhCoh9xo+3o+onRmqOVQ3n2KKB1CFStyK1f6PkML74Hrqk3e3yMrX3tOAtm
wpqYDqA4W0ccMjzl3RUoGDvZ/RvtOItgFBA9TXB/gizGkbCrpIHDsnyrwqfLMvZ9E2yYIOIDwMdk
fFOEty6oMlCWpqAYgw+SNitDGZDWcyKndi5L28+NN9IY5ySuJNNIjSPRvvOMqQvMw3vhZJkPlK1N
ck27R0YgW5ljHrLS4vnG/URyI59RF6lrY6VfkIzojyAzd6UrkOt49DGN2j8SEF46zr3dT1qCXthY
YvJf9mnak3tmZIlY/BJ8DKW/6T8vX++/HE8Dmp0iY7br02qDBACVvEGwxqLw6+J+YCG6xYl8JcfR
jzB7zfme+/N/5lkgU0Ie6zgWtDZWneWebsaQq8gNnzqfTv2TE8oTflY7vP7Ubvq6kclqbEn0aNAx
26Kmko9hWzzplF8DEqtsTT2tHu/V4i9oShV1I5JRW3VapbWmY9eqfF9E7wmASZubako4EfVfzON8
nYx6JunUmADgQa6cedoXyrmWeqYb4eE6eNUBLq2w0MQFRZmJXRU54K5T0M/1qRphIpSjtgXCXLab
uirY1C1EfE5iTW57ADSaU9jKiQ5DJR5vA3vXg56FsT3VpdFGkB8gMJkTsURx9FYxdzBix7nUj8ch
eygiarpJB2tA28xeajsSMYsj6GiLBcz2l7nInhku76uw3KZmfpMoWPFrsyBCzbDEYOoapVYiNxg8
060l/i5HYEARw78oOG9/FOMY1H7+T1o92tpwGNDyCTn5Cw0Pl87NhA+9lKe8oqW1cfZk4zWKAIJY
YPKzBd0J746pAXySJYkylvWBHiqz3VxRbLI1AzDqRxmrdJqTYHeOUdrEXbw8qH1Rt8a/GesnG5mM
UUpFUiSlgPMNGYb2Vslb4vyoJuLLXzjVrRxGf/SwFXvM/oCs6jA65U8km3eCHcnWR/pulzbOxpG4
1yzbSmSUY5AEtRRSSKSPZXK9XpVBdVgO/FSN5n6XPhujIlKjyYuKIUhsa7UgJXwZEmDZ5xZKAV13
yLLbfBw5Z+MpCpPxdiVwqoQGeTvpXCF7TZsvl+9uz6lsr47Jdut2SKpJxCZGYQzuEMouGZMgqnv7
spjdSAsgE03TJHx6+Erc7CbvDJd5ANUIhptVf3EBt4THzw249Oz6hrpKrbB4LfbdULuVKP8pUakA
X5bEMLHFzw+ShxOC5Q5off1zekN3JYUDIAi4+Ko0mH7WkPM5mWDbLeWSCrVGDTu5kV0JCKfhE0jB
LcyeeOlX9eHyvVLN/iwOu0eypBHJZCf5jGjCAtI6K44cr66ZrS0AgwRPnN8FXSw433BXlowKmAEA
YIyRMspfaXVDjAnKL4RHYfmxyC72G6xI5PXjeHIYlQ/Xfla7vlGAjRQ0SW/F1c+eOIOg/o1pbc7D
qL6gCuAmSQ3F0ZWf6/DcJsHlb7M7nAQaiv9cGDsNobV93KQ9kufWkY+yn34h1pmQKTzCMQLTuHPM
+/h5teOg/4K1ef/yb9g1781PYMwOBlC2JsDpnUIYbVnvHsIytfNsPlwWs/us3B6VMTYBm4zd3Ago
oqCFul7314W7Xsm1lV+NR+2H4panDkulmjscdY7ofW1RTB0seDIqRky0Wfs8E8UO2pL3fh59FY0v
ven2qsM54P5FnsXQn7HxX8AeKKVoRaYpj2DJLqurKTJvEo38MkotkEn+qKuLBXg8J0nesAx+NQLE
C7Mi1DywW5OVvGn8/WPj0KIIKG6RHcaX1WaOpapHPUc61s1xyVcr7N1qDjlGsu+4MTqughFBJCo7
YmMay0KMGgcPT803bDmg26jWlmYZ1gK8+CXgfc99v70RyKhShiKPGmmoks0/hmfK5oFeNYB/rOY6
DXpXBZ0smLU5OQs19U9uFBV8Q8arHo0ZxhUUg7x0YYj3igLKE7mzgF1tkTLB/tlVpRwW7aRLHIm7
3+8s8aNCvtEnmSh6h3Y5Spxz6petcL2OemAM5k2bKo8c3d2rLxGYB8EmMXwB2zNuBULEVFtoEYGy
bFuC27vXoG32uX3i3URsI4mxkkFIi6oeMI+VHugy+xhIKNrKmODJObGIxppPH2wjiP7/5vpMbURl
hD4wu3lyVCmx1uqmb0srjmqHDw69L41OIpoE/3zYyEZagqFkdUpRdixyFG510Z/S+ZAJmGEQTLcu
H8QV0DQzIpWMukG9WqMpXaktCDPDxC6W9QngYBbpVM6o9G5qqBqo4dHpSIzy/3kHgimoWSVidLgB
63GZvZdcUGxqap9uGRS9yNlE8JewUDhNUWUkb7DuOXracXUoJHD4s/MajHwu33l99d2mEDlLY7vP
ozRKsZDLlMnjp4EjTXlrl1rur2J6CmEueGzK12X8kpKZc5N7FZKtZOYmh2hYhoagQjJHgMrMJkur
ThLmz5WTrt0QPG85BkmTwAv3ynadFzUxxiXDkMro1YfYLh9TB9uO3oxCxegLB5n3IXf1d3Oz9Pds
9Fcd4ixOxA77tJik6px4uBOyyNJHVxjvLx9tN0xuJDFvzLicezKrqN8toasntUWWYK1W3v3tuuuN
FCbmy0qaiwuKsx8t0u4m94w7TIA77ffara4XB30pbwCBArAsDjyAwV2/vRHNeDgpzNO4VfDUzLWg
JcHafzFCi0uWvC+F7oEauq6KbP9+VuKlq1O4tyw/NIlu1apX9cGgJry0Zl8Tz4KYXFvoxVlXG2hG
ek0x06bTfDVi2YIcQysHSRCvvruviGdxTJytwzKKRg19yyV9HAQAdPiNdBUah2rgWPTuBhIhvyV9
VA43Kh/2CZIjCjdCJxKK3KJkmoDleQ5/RtizcEKrt4EJME9Wx+nf71vAWTDjS8ATWCO2Ax0w04Hv
fweYwrB5/Bsjg34rBroZ+OdPcw5LURjkDCCXau4PyPvCH3XKQXvcV8CzCEbNI2xRoYvdYx6+1522
m+w+bB3VGMF0U/xFwxxR9fdpmFCeR8jfsU6LxpAWhKvbLXdF6l2+sH21O4tgtDxu9KKvVuy7VV0O
brpXTJVaE+gC5DZ221n0L0vj3R2r5KncTLKMqFnm5KAPuLsuOkrRbd/9Ra8S4OK6aYpExzKNwrZc
O00HTkerrJhIV99rbw2wggyq5P9nkbHzE8+Ad7qjkGgqyAU0pJJ44P+pe1pF1lEpMtEBPkB5XdzU
3hxoB3JSb6XjgsF7kbsTuZMXANcegLTyx2I8Gst/ipxS0keCkWM89yjawH3ysxMFou99HrTKDvjg
n5IYrR/MqZIKLQGONSBO+0N/PV+3jzGQywyssBKfuDOGLIVj6iaPyAso+NXhsurInzX1z1/AGEOk
m1GspljxE7ryhQygR2/IYJGm8OIVFdQwv5rTp6UhR7CNP4eaGUSCcq1FrSXkxErCySlQXRXN7r3M
9Os4w9RyXgRSnv4c+ijIVcwopkZjhVlxChMKcaBP9uUTfHZ/OAAaaeiFmPLnIQBp0JMu0ukVYmlG
0qXAIIDtCk2ORX+2MSrGpA4eQj61sYmeKpURQcysrbd9uwRl9r0dIreK3i6f53NqCEGGhmVtU1I/
dwgTGd8jq1PRqUkKQIxjqh1ltGASBI8Krp33rN/9/htxzOO3GNoBIKaTiBy4uFJms7eE+PsgR42d
LcVNVPPKvztx8s/zMamhJmIRaW1N2DPgDRUbfH1B7CxvfUBc82QMGHmgzeXc561d7urJ5qBMoriC
LXHIUZh2VsFbklMHrI2o48TJzw8kejbMQGpA6f3cnRvTaW7MCd+uR0adaN+bmJOI7mqhqcimjOkN
A9bzp2cKm0zTdUUXHV187sVrLS+dZAWuS8Jpfu27wI0gJoAlTQFwH2UQnbC8S8oHPRVdqXuOyxT2
/T0ZsYE0CXfDpHIwPHY/0kYsE8l0LV8lMsn4SD12Gj2j97uGky5dvkKspP55hbM+kTBToPAtyi45
Jv6ApmUtxmJh7vCyJe/MFkAdfp+GsC0Ioa6MQQa8qyPer96ILf76RfnaYr2XchFn/0fadS3HrSTZ
L0IEvHmFb0Oy6URJLwhZeO/x9XuKd68IFmu6djUTMw8TimB2FbLS5zm8ptRrcvw+yXsvjnrKYipg
MQAjOC5IVCvb6oVQapdbAuo2TdIPRdjsDRgypTKBT9IKhkXMbd2S7G7L/RwFDV2vj+I6e2OMsEhR
gkYYnW6wnqL0Ua7m2603LpYg2K1oPY0ZWB4ELChrIF7zUIy8141f8aTYS9N/X+fGG6XZKY0MRAb4
52UJ0fj7Ykqaqy1tkGFIUM3qF2NNFrs1AJnT5gYoV1XTrgvj0ygBebFvf13/FkwzZ+koWpioK3xo
MedCZEValWB8y3pc29/z6K75VxEbNrwBFp4gon67NKCZgFcCRHjRtaRzBlq/2IOvrMSn3ny4fiJG
nZR87rcjUbZAAu9xqsYwpNJoYxIADIL9bA9INUxw6sknwf0LlKz3EimjMPaLAhgihGKEyJOgrKZA
xY2D1Ve84ZkXmbACP4CSiBKGLUSQa9Mda7DR53LaJ0Ta5BLa0NhTD4kfhVZQ+81zfMcLNYlxod/P
XiDlIaZOl81Fj0XUEuMQiCxhjk11PvgXS0PA3amLIjjcPzYm2wylkLXTYcO7JYjU277V7KxH6W61
hZzX92dZO+BFWEBiEcH0KlLqmGG6WlUEWDtTx7PXpKca3bqhrdxJVHnOif3FdsIojVTmMh/BjUG+
2OyJQH5RTkP4Y0NqHzv1YxHwhpuYH2wnj9LHNhJbpCoklGjAG26e6tyTY0/Rj00WbrAysc7xHcw3
t79Oyj9Vm2Kq4NHDCQGl0xvSKYvbm3UF7+uqhpKRLvaUYt9B0IIpFW/lxQKA7OK2IOj6i0Bg90Po
an6cCZliCBHC9gREhWOOBsJFajtn0jkhDVNbJUNRVR2loQ9tnyLdMBxXx5I7VUCZAtRTogWJ7ufA
udpa3ngVy/0DAv2PMOoFWk3fVfgPCr+RFyu+qHjCyvmEPBHk33f2GQRJsjqrmOOVkhbj8oazmeup
lE2fY52Z94aMwRR1suzzoYuV6FiK7RGpzcfNJ1SriZsBUhDs2KlDeAFklLvAt/rEQzFgnm8nlwoC
tMEsZgPtF9f8NSq3QPQTa+/60XgSqAB+UaZ5m1Sieq1rFM/qHIqoal2XwQydgObz5/ooTdDXvB/r
SUWUBlcjE0bxo+7++IcekzeuyLSRKC6gsoXSFsCP36tEtE0d5uSRGczj85QEQ/Y0KU8iL4Fk5vqY
mVAxxCthQpAuZBSdNYiqtUKMkzxJfuJM/uRqfuEXEoZEhK9gDrHT8+Ks5yHoVCyf8Zdj2fZr9xso
d4AhqbpYwKPuml9b3VYBqSY8WM5y7EDujK3cv5qvxdqBoRmajttFrElVJ9t0XKNORiLRwYsPB93Z
QvWi2tEdEH9veMMpTIewE0Ypf7mugizD8SIpOmSd12I9DAg+jQ/4V9uSjubA6z8yX/lOIPUWQFbY
SvoA1UlWP01CKbuxVDfF9H7KwblgNKnf3yP1IIxG7jKrhSTCRkDm9/Sf6XPkD6fJUUDhCsRGzRF5
PMNMfcGgjwXYKRThDBq3QBO2VZknXKh2J/lbZOceilNu/FRP9gqw4Soov19/+CzjIiuqhDQWbU88
xvdvcdQLechLKKjYndNCD3oFhjLVg+tSGIsxmKBVAF+D/6FuRO/7rNhx1ecBXoAsbQ8XFIzc9Q5x
pZvc86wL80SYmsAkB2ZbQfHx/kQCKqnT1pn4cKU3Kd6MYSleSssWoapQRAl7MPQGmNbrZpFPyDkQ
Sc7pfSqelpTnmtlXRrajJGD+Yi2RspLlqFb1hjoArkzxS+jBqtjyo3asXaCBVO71D8R6yPJOGBXZ
gcQSbOwAJMHaKtZuvlaSHYMAark32t99VjlCz5FH/h4d+u/lUXHdlDW6lOo43CjrZ7MFl1tjuNiF
trVZDUp5cNosP1w/Isvr7ETqVB1iE+qoqsCi6AomNlPqPNSbxFbXHgWW+dt1UWz9+PPp6KUDYOOV
i7ZCVL6FY/MMgFtBCP87EZTl7eZ4SsQaH0zWpqOKi0Nq99SkvIlptkFCFwCTh5gOAqMH9ZqK2SrF
EUeZI088EqCaxFcesvIV47VximdejsGY+IepQMX3dS0Q+7+U3kfLkgKLXdjccbUXLEsVbh7m3vC9
C4cVRrBzCGUsQeQxHTlYufxOzG+nm5qMoW38l+5FtFUnz5aGqEEoRFscXWAC+fo6cPSf+d52Uqi4
YJ6FGqUfHPKfgR2CNknGdXj9DmZYh23AP6ehLnOsxlXpdGSIXd47q3We+t+ieUhQ8VFue0ApWOel
fGijG1P9el0/GaOR5DO+SaYsSjdjVqktIVm5Uyw7CrBIdWrCxelCLbj0+D+DTTgwBke4gI/CBkKJ
y1taZ7743U+gjIwcy9m0kk4FAdmeC/OSNiJGFuFKuYkq056BKk5BuIlJGnpKN+unrckjlLuE5aIO
57l5SJSDLJ/z7dTxYiCmhr7J+gC9acTWUq/IEAnAdzQCAFMSnHrikZOTAOeDid6JoV7+Fs1bUXT4
gOpUO5NovYwNhpyuawnvKJQVEyWridoJvnotfylTClw2TMl9uS7j1eF/OIgJMj8JSYCJav17EwZA
RENXMR0DFkwwYX5rW8dAwy8T7RjUhpMHnm1E4sBxtsnW23jJfd4HYxb3MXn45xdQb2HTBYIfiKuU
t9JD+dcWZstPUc6FZXVSIwrW5Hcxy89ykvNGoJlvAJEdEGcxOavSU6Q9plSXDRhEriLZhnyxqtt8
8Sfe8Cy5wo9X/CaF6NIuyS/zuh61iaSoS+OVGK2cMN01ro9x48bZ0/XvyZKFpRrTNAjGBli838vK
9GYQFBnqHwHgyBpPqfUrTr1svlGlH/+dJMpIA+PYmqUZsfE8FPcbNv3nMQ3K4dJrmEZc/v+wAkBB
3J2LUtM2KsVm7snC8wJi1mnxZGtwUqBVXz8UM67cy6GUUTaFdhpTRA7VGUQIqJAge4JNJtirfwG6
/f5MlAW20ibZUM9CV+uGwKi3Tg0AdS3A1JPPK1+zTAn27kEBAyxJMPRSmWG+iduUz6iVywmI3jv0
f3psd2a8FXhmO5XwzIgKBhYQo1ByEsOcxKiA+un3izs8VXcoWztL5mDV5ZiE/V0ChFLpsnFROom5
pZ+YIoMFGaVlEphQcpc2luQsxxOTg9cZCeT1lpcedF8+8T4by2YAS1wxkHXgidFIAmo169giQykt
Rgrf+6UZ2yho64Z/XROZX+xNDJ1FDc0EAOkGlbOovNV/dcvDKHB0nWkqUGOSkA2KAKOlntTS6Woz
JjiIXmV2XxyV1uvG33Vm2spUc1wZK6IDSRCQFzDSB3Iq6vsMvYDrxF6lK2KAPf+Va62N7o0taBhA
M31wgGuzyBH52pH5oBM7mZTZnSTAfK8mahRRdWqH9Pui5wc532w9klGcmNq7RZBuAIdiC2sPgo52
Ois1Rt670U2WfvFE/bHsUCaVxGNpLACBBC7BJN3qsnqDeflbzDsHWaF3Rz2ysI9uooGvCtXXzlQu
WAbxKyE9xq0CX7Y6RaN/+gvl2B2NsvK12jRiOSIyEGBslcjp5GOe/40CItHAi7KQ3tCZRlLGqVRO
Fuw78EeyL31/0/IINJkaqBkmOllAw0H76b2zApRhtNWTuSFNs6UNoKmhuQZT52f19+v3xVS/nSBK
FWYrq7U2hvppzVMcW/bUOHV6nFQ/A55bCcDk7eG6QGbzCQB14GdGdojSMRUfgrK4n0ryfAnB+Pqt
wmK24KDndQcEKgyJYW/EvS6RaS90hDCoU6hQRsqZ6NjmUmXgGLs94Pk7ILNhLTN+vC6DmbZg9u1f
IXRwnVljWZP1aCRmA2BpEoChYyj+q+A1YKpFqfGXCgJ13e/QW+slR7uMTvXMjRdllq3f/Qjqapuy
w1JZi5OSpXP5k/aSB6KFfRyA4yBN4m7XspIXlMokdJt0gndPmcls1WYhW5DyZs19Idxt2iE2Ppnd
QdZCgwt+RTT+g80iLBU6kGp0oGy8fxFSIZdKgoloDDTG4XhfBxaK8Qui8BKzhfwMmOnLduLIv+8i
00XOE6BQQdyah6kBTgwZgMUHM9X+Rjl3cqg7nEZZTkcBd7g2xc2aRFjZ6I6VYnC6acxUAuRSf66P
it7iISvWooLNWo8yRiXzY3zzioh4wy0dMLViJ4l6bkmfYjo4QtuckIKSzkXxCGneELbopq3uFDSB
cRBDC3WY62+QHaG+SaZ7rWVZRRt4ETaMrBPJBQhNuhOJUOXTGF6XxbTPO1HUS5uirY0XAc+9Bp5M
hSaocbvGrmCtWDvSOe6aWUvbfbvXYs1OF7d1MYc1gi6ScQ658gi2TA08e8yqmyFspuTwPiLveJT7
WQFINU2YMXHROg5An+5o3XJectmWC6zYoW9y/TaZ5SYF6FBweKiCYIfu/WvrzbgD0hEyJvW+Ohg+
9qOAPWTa4wHgOT7vybFD8Z00YkZ396kKwHVBSEY80ApeDHv9lbi5o7/SMvZAEpuC7GhceFMr/+EJ
vh2SutSqBLdYbwyIKmMZA1m/03E+9iZ0tNG9ChbASM3TKm2+3vECPgZyIPKp3YkpLy+VUaQOUS+6
ZZ/eDbNl14aKIvMabEoZCoIUpkLyXPW1m4t5UCexu4FCLutVF61YlPx+Ra2ZOCCYDBehd5TevL/+
/ZkeevfzKNvexkOfbqTbOYLn2gTdnDlUXqfGHANBTvnRhbx9AMqmF+NQCNm2IOy1Rk8AOJ0ZD4fr
J2HbIHDnYDVOJ/QTlPUbUnEaJGwOoHxJiM8lwBlET/lB9YtjxlmPYLqoN1G0udu0Oa7RMoBJL1wN
yBaYrdHH29jgfBz249zJoR6nuAJsGEUGeN4auJNkXWYIja+bg0oD6Nx50dpre/3DV9qJo15nbC5m
0UbR5up69t2QfxbbbBed1jirLtlLJrzoUhvEevQUF5NbqFjVMQZfF7TBrbbRK7GaaOfqcBSl6jAv
qmOooC2MhrAe10MxgO9DWBy1rZ0qFTnfnqnFgFUFGA0ozg0a0bpXgb+smvj0+ZKGYw3In9F0oyXj
LDARDfp4P29iKE8e1X3Z1hU+h7DcVuYPTT1U1eDMRjjOl7EKpfg3R6WJXbomkFJpq8iFBaCRmF/8
MbnbGW7VIWgZyoq4Mnf5yLtsDUAXAKMXmNAGUsd7+1zUyiBtswE/DrDhwp9OhSs8Kr7ujLETuU2o
29qxdzePOIfaV541MhHhJzeCzzk584XtfghlNjdUNIwmRyij2ZsfHckeHOYiMIoxoP5r+jPYkAcE
MxypTDO1k0pZQ8L6rXeYfyQN3M/SmZiQ7rQ9iD+sQPcRPDW2xYlm2K5pJ5JcxM4jFskYW1IPf78m
aOmceuLpp1OX3Q31rTJ7Zvt5y3kLDcyGHehb/nxmKvTdthYbBh2EVtgwJHOjKCn68hdSpVLA7WQ4
LTY2l69ka3MNtYrjDJghzk469YzKbhKSOoOZEZP5Zmh1X4mFX5NaHLQes6s9b+OAHXTs5FGvyJAS
vcRUE5xPbqtH0WuPbUDy3vhJ9lXkaMiiPKA8udeViWks3qTSy45b3tag6NJxyq9yd9vNnmEGVnzJ
rIvePUXLr+vS2HdKan+ahjFweu8cBU4x21REOE082pvwXdGOSnLIhoch5XWA2E/zTRTlJcwBImoy
eADQjbW4mO3B2Lwt+38vOyJuQsng3wNRliiWhS7exASx2XaRUldL7ub1NDac5Ix3FsrMdGYRYyGL
BIblY6s9WoW7Dk/lX2C4vz8MZVew6xVlQBjE0BUKIDBlyqspRwkaTJ2j230DFkugXdSO89CYE1H7
S6SMi5a0eZRX8B9lXzylW+xX7WIXq5zY0pxdatXw5zlzl0y80crpNIMGYtOsh7HHIl+U3asWb8WA
GaMhMgPVmYo1MUWjnmK7jklvRSjvFmA6e0qPaM4cOjizJuAiF7Bigp0oengkNzc5w24FnHXYY9La
8rO7wof/BN9hfWj95OvfpaZ7kVS4VkhWFxkG3Ac2+yVUWC1bqtVgmouHeF3CWUs/X3/0Mlt9wSyu
aljVlWksCGHuE8FcUU2O2+aTCiY3sUVQJg+hnDSnVs3spdCcfoqQqNp95k1ZmMbrYYxMR8TwTteq
zrKIvtR/r6rbZvQH0TpIc+GAA/vbhilZe0UlF7kIJ6tmW8Y/v5rGlFA7YUFbDcUCs/pZ1r2tT2c1
y+xtlh1DvwwZVHT2rt8UO5JG2fh/b4rmMyiVTYnFFh6vw9w9KuHucopvJoegZlS/eOUQtjF+E0ZZ
yE1Z4zUhE3qJ9S1fggZEGMq3qf2d1JwHztJxZXcqykiiRRBHpoLkchruG7J/el8ZvJsjf+NDDLqT
QZlIXaplazFG0sUiaVUDSmMR06lkQ6t5Hk9ciDjySK7JI2feBUSz3AiyVSA66DvFXuvmtu1yfzUS
057GLADq3inuW3saALMJ2kS7TXgs3JxHpVFGUzBA2p4uuFQMQttjvwZxubob2mlNzWtnkEiHPits
IfJrTURJi4aUwPM1ilaGOWyM9mfTtrZkjYGSfQbL3k1VCr9mTeeklKzD7UwU3QvNVanYVhWZktEe
tu08p7dT6rRcxh+i4R8P9mbnKaVJUjWaapRE3XEsLs3Q2fW2hlIpHpNGvykzzY3n1re23qkN/ajX
6L/NK8fKMHOZ/VEpRSrNupHQ4sMrPIhH9VhdgCQcKGCJ01GfjNwIsV/2UHwjQW7iJTfxJXZKP3W5
6N6sR7r/HZQ+gQizq7BOSeq/oiO5hEitOzTALxccjFM545M+2LxM5tWGXvsAVIQvpdWQ6qRwKVql
Y3RZWDdrbhvbDJgkrMsb43NfAT89a251pQ/XvPGzSTtolf4C/bdrWGVMioGyvQobvagdUe7DDRCs
QKzzG/GbYuR+u4CaNVp6uytyexKGn0VqOMIQ2augH6ctPZWD7i0YJ1+WKqzkzJ6HxJXX2Y6LzJHV
DbFP7ABt9Var2q+bJHpLhGWZfMDG5RR5y5jfZ3n8NKALKkcSJ+vivQIqAzGBh6OJsYmiZ4GB7fle
nrafIibNyrzgbOsye267r69TvkAS6jkeE9QYZ8e6S76AHeloXgB4cVAtu0eRNfY73uAB83TA3cOi
FXagDXqcWoybeIh1PL5uWI5SYRw7yfCwZvtYGwPnIpkGbCeKOt2StXM2kos0S0V1rWz1Ms381Epg
MhAB8VJhg6JoeedjOnN1J5Vye8Yy6WIsIgOxzMEegBNl6/1md0tzk21NZVfg71vE1V/ix1xa74Tp
GThhnOyO2RnY/wbKwhnbOtWgLCRNsQio/aicY6hEuyFcX8uNwAVhJ3/uw3veHZkyZjoSzSoB6Ltb
NtIFON5HMVY5RU0GxrQl749EGSolTlo5fe3WeuZRPip+HqJFfFe99O7qtv58WG66/8PGDdM+Sjpo
MIgrRGP/vcOPOqnUZnBwAMLQKfSvde+V4ndO+McKObEx8a8MenAF4DyVgBCC9HGGM+y/P3uwxCin
yZfBk3G03I39f1hDec0H9mt8E00lBWPbTHkG/+/GHZbp1+/qeurBYZhN3vUzMq9RBrOUjjKo9AEE
xqjzrFFqWPwGxeIFjDMKVi3jhbdVyXzxOzGUkiQd2HGzFHoPf+Loi3rfiOuhNjdfy1afcMwB3OH5
+smYN7gTSfmyuVXKeRsQu/fbTYeVXNDlLnXtKOrjdTm8G6S8gtpWfdySdpA5PBjxRTZv8qLhRCW8
s1DK3onlpHQ9tKHSHjT5h2reGOpTLP64fhKFlYGob1f2AZY+6jMjAn6Pq/Tq6BVWWdpN1BwMdQwq
BRMmqujFcmkbdeI0KO32Y3I2sviumpdfs548AOvg0OTSOZknrHhsJ8yKGl4XFb+tuTzOyvySAf8M
ia7da+OnJUkvY1Fd5E16SWKsysmyH8vqWcOUrKjE93FW2XklgM1yOY5rwVEO3kmp55XoldyXAl62
lX9FQT7OJnuqTxU2Liee6jMLiftbpbydaU2z1k9QRP2mOqe3QGdRj6TRFB3g49JzXtvFrXpOE5u3
IMWsEu8lUx4vqeepzElh2hgAy90WvTcUl3IWPGWYvKg3HWU174qu843R5Ggs51UolKMb9CWqeuIV
9NW4bSsTMR5QxwoeOwXHrijkZ+zSvmFQCnS4YVcSFewpNVYfatGX1adJWw6p0AG3i7dAxT4YCoyY
PwWcHz3+N1eCKanEg5cLWhviQzUatqXz1nSZUhRgNLxOGWr0No4yrcUqFtCZor6TzHs9DoQkvP7a
eSIotZRMq1wNAmDQRb0/TKW79oLbLSkvlGV+ot1RKCXU89GsRhFKSPCkI+wVbSFiPA/sHkhkSCI1
XoDgDmJoHuMOA8kakclOMqWD2BFox4UU1sjYQHvUwOcR5sFwJOxPklfcYu0+NB/AI+twszeyY/Yh
8NqJpvRyLqJxblaIFo/ToTwCVg1TLSpoN7mFD3J9HyWBz1DF1gECOso1KIYxZ0362nvLXnPV/DU/
xNnszJvtyLmuNcyQSPkjjnYRi4xmn5ws8ERTgqFX0AvKxui0Zu/1lWGDnPhozMUTtLflGBS2MdtJ
pky2gDHXeW6JDyz8uPtdt88xMIY25cWYn9fyJHaHiTdVw45tdzKpNwJY5yLKG8yAq/fZBZwUz4Zh
Y1ssPhOqJgzto5mOEQwX06Taz+v3zPYaO9HUsxkzcTYiHQa096TP2B5BCT7PbYwpviLXgaQbuutP
z9aF94WZ5X9skfyrUbTpzsbZyAAQgMbXDZmMBPLzi3ZbYrrZbQ+VJxxGTImfAALCOTDTJe/EUk8G
Mz56OtRQZO3ODAhukWte2sDwygOQ2sH2nGMddlNt/iY9T6Wp2NRSRiECIggCuER+0FrRLrPcj7fG
M5ThUZwjR+jqL+Is8hInzst9jcZ2viuOekCDLJCbHKzRHs5jEGGqCfvFws3qokX+N5jexCC+fVkq
VO07MMmCgQwNpbUiY/LxFnRx4yXlo6iGpfYVwKACF5eWvJErBkqhDJQlkeCfOMzZIZXgPki9xa5C
0Sc4BTwCPrZTwzIpaRWBmZEK+gVQrJQg48UAAKyTmXpF62T983VNfa12fjzRmxDqGoVZt4aK1La1
qvukKZ09VZ1nlF+0RnvWxv4TUsrAyFu3VGp/BYDytpq3cjkDrWbxTbV4EIzu56zWvjqnv811cwax
PNYbwCsAAiNmGbprs732k90Lsrfqn+sUUFf9fKujUraW4NGMQVsgDzdiXARRI9+L42w3w+DLnfJt
mEZvaLHiU2pA7EnCtWxvdUl4kKrKr2QQmdTJZd7QwOlQspTS2zat7KUdPX2V/Ou3xC5hYdr4309B
fffBqPscG/rEgC0Yrs7B5CUB3CwgI8BYAw0ij7cAyH7I/0qE930fDArpKEcozZFdWzL0lAezr/py
yPUK7IjmTQ7liYxlLZdsRsbXHwkv0nQm1PTJnXmYLyS0IGTxxP2m/t90iAiP1z9Xit2u9wcc4mad
0xT5WYWZKTk5pMqjJtV2V6FCqnIc/fWXhO2d97KUPpv0vIajN5PEiTLPGL/V5dN1HWGb/LfzUAHa
mmEgT69wnrXFdGwrHlq0G1vJB4eD3edZeF0aTz0oB2OsWmPlIhRynBdH2T7p030mACB+8FrAamEi
a/50XSDveJRjEaRss+p1wPFMZ81Om/msTyZ2dla7rlrO5yJ/6z/bJEWkDN9cxF1DuKZBxXk/tJ60
fE90V1g/Xz8RT/PJv+9cFhjVKnUoMZ0SJei/JwdZJcgbQnfqtudS5dhZ5pFUEbtwACUADRP1veQh
LlIB/Ve3HLB8FIHr0F8aNARiTobC1PSdHOozKeaamWZbvBZXTAD8oRIdc5bk2THVTgb1eaQxWwuV
RHOfVkfxDdMuRjvxdVcHVavidQo6SIXDmTtkF5t3QqmvFcl5ZyklCt7E86Zhj7VMwVnus1uyXoJS
x8N15eAekrL4nVitay53ZAg9P6Vm/lJjGHmbBVeTmhPIfk+mld8Zs/RLXkB9LgF8qhYbQB2L9miC
qUxoOBfAUSB6xUfOU12tWgSym9w9TBjzNyPpcVs1B3aHF73yZFE+oTXHslh1i4xApg86qOSwTRS5
yYCoGc26Q3IC6ekBg3oh586ZiebbNzYol7D026iYPc6oBoRRViII3pg6zH1eMYlpzMA0/PoYwa1D
+YMSPJKy1ZF+pOFk2UOPuFi2bgr1NEd/16nZyaL8QpMqDZQJqYB6bwZluICqVgn6c2aXfuVw8x3y
1z6Yzp00ys7k/RhtkqxtriHZZgC0f5DHEpzwxTEBgg4cEsHlyWTa0Z1IyuSYUTIleoFZltqKn0zt
KVJWZzAuVZSAyyOa7MSyeDBXRBGunZKyQLWytsIqQ1FmgCOs3j/8psXpH35T3hgV26S+KQtleZqk
1zW9gGM3AFlr5XJgqluwaBonhWI/ujcxlMGJ9Rp8SKuAKu7qGxN4LrADkV80g4PZzBFDk78BN0sx
LeAdu1ob1spNHT3IhZ/K3zlPmXNp9E6NkRRd2mVQCq25SdVTkXvt4upqEHWZrQKEcipQX/GqCmcE
GuXnGogqLc9PETP1QUvIPDxZhTANevUyAQBOjOXBzY2b1B76xutBSpSDI0XYxGCS/G4CVI9+mxWc
uU1mbAYsO0APmZhFpZcF9bxFw6sHXIXefKrg8dPcbozQkg07Us+KsTrz6F+/buZH3Ukk/74LZbam
RtF/AFHQ1h2G6aJl97PoR3+DOa/upFCvbsuVzZIqGU3u9C4FGm232Gpy20S3qpgEGi/XZmrQThr1
7NrGFKp+HkHaizX4cb4pVxDe8gCp2H30nRTq1dW10m1SBJ7R9jeBWZTCNbNbeDns1vnriZttMQ3X
mzh6a0aNVaXJF9CmSo96kIbKCxnCHmubzF8TbKj/Si1eR1F3apFWrVyIgH92a/0UAWVerBt7AfVB
93hdDru+tzsW5bgLy9S7XgAc5Qp0k0lP3ELUXD2XPAUWIC0XJ9MFZxanc2bN3iRhD3nB4JOiZM7a
TS9z+TWPU87rZ7r43U+iXLwxb4m+WfiwiwwgAURN7gCmznL5ZA6/rp+e6XKxiA8uBqBXAqrn/eOL
8gmAdwrIg6qE0AbpvOF95kPY/X0qgBD7DYCZQ6m4ww+5/G7p/jbxAi/yEz9Yyp0I8hN2imKuRZtY
dUo4aUfg9mHkQXC2h95Nf2LB82S5MW/9gvnuNGALwddgW+2DjayTxdR7oEujj5hcyLvLb8TLFsg/
yJJJ9zfsH3tplH00+m3utxishkN1JwqPG6j4pvzndTXgHokyj+pcYINaIXz2wN4svTIwAH75uT7U
fhVgi0zm0o2xwuX9qSgL2VV5t8U1uhZ5+lLmP2XT6VMTecEvU7ZV60sBiJzo0/VDsnR9L5IylwB+
1rspgq5v9V1q5Hbf/UWaA4w1MAYTYs8PZL7NIjcWoOzAsjk1ARgxH1NVPmXNd1W2gutHYfnMvSTq
9sqli6RCgAZabagLwH+ybDV3pPHLdTEsOwT+aBUwVgCsBprV+6eVCFVTqa0KquUEbAuR22EZc8Fs
ViDzKFFZdmIviVLyQhS2VBmxNrvNL1GseYX82ZS+/XenoXR8aZqplCpTBTLIeOjbB0UovdGKQ6Ht
XCmtOcrAflK7y6O+kZh1YxLXEt4tds/BJoWRdcubHBGLd4KrP1w/G3MlbH+BlHKrIJQFuiHiNjXY
0LaZw/JUHfIQ5JLuFhgBQQqpwvSw+iMQBHiMyLyz0qFB36UAlxTByowema9iKVxw5EeMMDnTc3TL
XS5kxcaaCoxWEhqjwkY5rSY21cpqwOSXSW4yB+sUZhgkTPrHwnRF87dQn2L1ruMiBTMf3U4s5cu6
bBXzrBpVVwFGiP6V1JtH8N+hcqIfJhCFBBjMObaSw8vhmHZrJ5d6hZYoTbWmzGBmBP5Kn95WKSd7
Y9aL9hdKvb7RLGO1BNQLdm0Gl7jQ2Csw4Jy8IPO2FRAbxJgKuK6w/0Fl3j4i9Rq3aZuiuYPb7gB2
kQJvNHLly+gTSvc55FHIMw0ZKK3AHATonA9Q9dIgdB24h9E4BgDbGpiR3w0+CFx6HsIW+ypB6oxt
ZoBSfuAFRooKGs0KV5mcyXDR+pz56sG4BzqUCpQEAvmG/hII2Dm3yQqCtJ1Y6gsqGJZPowkU3ZMP
1hKnBbmrnTqrn4T1a0VTUngSifmiwy7Q14qyhFtVP/D3SlYmAgUTzm69R8nkDDb0xRFueyfD29fP
WPB12scCGBvVL43jlZjl1L1o6iE2QOYHkFRE1BVzi6ShpdrjlxRQAaUvCTZ/epetrIDPIZSAkvKB
FliShn4ZWlyvVdlK9bnuz5F8kw+is8T3fX43Vee8O1j5Seg5FQ+mX9wJppIT09Tnse5wy7XgJYWF
IXxvzXgzTkzDthNC2dM21lMl3mLwngPmqQYmvxrk/X1Zb+51LeUdhvpuSSZ1ZTdglrsmA+259LDM
BtYJeAtAbM18+1iUvRR7s5BrE1GL3q/2VpYXHU9uyIAcsjVhkQMKAS2G6ycjv/zDYzAw+6xg8x50
PpT3zce8aKUWHskwnqXmUfubZWTt7e/TK3fKtJQbBiVVTDERtvEpVEDWWHIRHdkvy1DBvgYsfAy9
UUZZjEssS0XIhdU+dVvUfnJ5PIxj5/SCGWpihCWS6cYqQGqVSEejehQm5WdjzBylZ9/m26+gIqc8
iac4XfG+42wNx7YIBqw4Xv9gzKxf252U+mJTMxezUNa4UWSN3VMelt72MoW9u3gEHUh2QUMocIfE
mGBnO7H0VnlvyH0ageURgdLqGT4hdNcz2zxj0cPpbgkVJqHAjLzRgVE9nATAnvEAmJjzAPvfQHVI
pkiTIkFpwL/hmuhV6DDZtaMeBjt9ip3Mjh+lw/XLZr57kwDWEWwXg15aa9qoLQSYVQI7uZrnenmZ
uJ0KZky4k0HZlg7peibmK3kh/+CeJn4XYpvDS+94OCtMc7kTRdkX7ERhWR8DgO5oOHX7E7M7Uplg
34rzCthOZyeH8umZUFQCOBxRO3E3v7nkxxLoyasvBPqJDx7DOxT18gttNfMYOZiLqeheB1KMix6p
WHE0gW1gdmeinjZ6zNUwtyhmkHkN2dkOko2lPih+fZDP4knlNFuYlmQnjnrlrZli1kBJkPJbN/n0
iB7Idc1mLsRrbwLoLfWhn5auBTOWW2G4Jv4SbWETbbaZPJfGjRZ5CQZT5vNofOGI5bwoeiq5r4Zt
TUd47OwA0ghHeikBLKMcQfWEnAvkon7k8GZ6eCKpSKQYF3NTAXOKOXKnVnyhO6u8Uixz5XN/m1Qg
Usp90vfRDE4bWMcy1HzsoQXSQ3MBOYYnOJHfnhWn8GK/RjOwPxBejjqMPInTA2EH8buvShkTMBZn
iqXiehc/Cv6HtCvtjVtHtr9IgDZq+aq1V7cdx0mcL0LsJNr3Xb/+HfrOxDJb03yTwUWACxhQNcli
VbGWc1q7fwruZcEqgIiHupaLTq3kl/LMC1s4unrVZaHpUSfSG9gGMvLMrasmIycnwRPBWBTMOZqV
1od4Jcy/kWRpJx4/3rYAjDDpsPbgUWdcSx6boRK1iPBq/WgMx4JHbUbv61WcZbx/n1HCTg/kUQZh
DvQ+xHAbOmL9ei9z6bF5y2D0UMOUSKcFeHEHs+aALAawZ6F3+wpvX6f3ldCfsMpaz0u7CJIqyI5Y
2Ur+Tcl9afl2WwRvs+hPWIkAWUkgKjEOQ24yq04xqJtjTsIWoktTuDHx24TX+7T5zAZCt2gClVm6
ohkDwf00pFGmOlFggZlKGO/yZq+gTjnwFI0nifEjXVmjEiXCsDeAHRzOqWxLgxMD5CBzb2/ithcG
+i3y/CiSILxndhHkE+OIsN+JSmu2mz0Ba2aT2D38cHsRHB6/17aHXMlj7ug4mWlqQsedhTZBqBjB
tgQbA8eDRRn1KGkHd3JhUxdXIhnfb5hRECXoNwFdQ0/zdzZ9xYegnzesBh2iBVqUeNW97fN731Xm
/Jq5D1NkSFWHxE+NeqpNuK/5EACUkxcCbIe7q9UxMUAyar3S9AjXCLB7AEsBStfumHixPz1QXOHo
0HUOR2c2szHvItnZDH2Q5jovmrczrPZ4WQD1zBrsERoEtIL/zxlyjlBhDC9oKAzMiuLmBYrm11kA
CuL2pPSfOQvbjLJXC2PsL2oeKlA0YLWC8+xGAMTvMDUdfqa7KP9N6AaIc4CpU5I0drzL6IWm7WP4
4Cq/hMZp6TjNhtsa+P59xgBrpQiAgwJKX8RPQvhiyphnmL+b2d3S8yDJqTJfea3VUhgTMmrDXE6B
jHBC38cjYNIcRVssKfuSkHuNS8m9pXzgjTIopx1KUWxsGCYTEaTOkFEJiHeoOuzILnFiv37t3GSX
P2omR9u3NnItj9GJqC80JQtRydMxyDCTAMxs0In0W6Z+ztLWva2BW1u5FsZ4Zj1IdAMD52iDKS8m
IsL8pCnHSb30SmgFxshx0lQH2INbS2N0ZEnkuuyAge4E6K+YwYU18vzYJr7sWgSjG0ORVwDowYNo
urQu5WyKHrX7VrCi39pnmn2nHaKCYzpBawWizSM63TSOa/GMtxGnImv7Hreg/D27FFile5HQ5Pc6
oX1+uut+cefxtizIWiDja6qlDeKFpo1lf3QXR9kZe/UNv362eCMom650LYt1MrLW6CbAmNFp9y+8
AN+809BOiDKma2Asxb6tnFsBF3LwMsZdMMSPJNrHUCGvZ0HtJY0W0WmWrtuNHsWt54HVb9l6dGdp
oAlRULNmR2swzUgEvcRLrJO+CBXIJcCILv3VPXuXwWyd2QxNWWoDak7zXbo8SWlt9/IXTNoMgi9P
vOrv9j17l8Zs3FwPSbfQGMsMf5jxgxnubx/M7R3DoOnHgwk0yZgwi4TnsoyhHl32kqwD/wQPjXD7
NuHVAyQ3ys/APuE0MytrEIWhTLDTHgDjYPiVV/rZS/a7BV2gl2BmjqvkW40U4IT4I5O5wRHYJpK8
mJR/Jb7aM6UWUlzgcHM2kbs65uoGZdWUY08zAGcKmFJcQC30VbzXLPkbbXzpjx2vMLF9g1eLY9QQ
OBXlRBqENaMtHxY0BJdonG9ACBvfg2d0t3Ae/pt6shLH6OGoSkYTZQhvhBkwSS/B4EcDp9ZKj+PK
pbyLYFvhi1RUxapUkGebbdMARtJDHzlKMFm3NZ63czoTEAqm2cZpgyhg8GZ39IED7OpuBlJiSnoI
QEFOtMbZObb7PYr0oAiRuAAz8IiZ0dqKY/HTkHLTvDw5jP8X8WjA4xONBtGp2GOG/REgiTSyoSjh
pkPgKPnDXjyZTBQwmnNcLiHciEJOYbMb6tM4O5zjokHSLbWgv2H1VleHVJnLVqC5XtosQh9g3RF2
xMecL7dZZDNiW+kgYzJ6FVQ/OuqceJeXrhlg+CV4rGv1IiHxNOeLf3tt29tHUJ1GQ7GIqdePSxMC
IFwZI7zipMrWROpPQv3TMKu/UsB3KcwhCUqN/l6QUjnKjBJ/aZ76/BRI5tf/bS3MMRkqquz6UCtO
3DXHSE69sZocpeN1EWwbiffFMAc0B+KC0iiismF+1M3nZfxOcdoCHpDz5iQ/fB861oCFaBgsoRAA
SGKhTWbZqQfMAI3nJHSTObDaCINx5DXRwAElWFr6cHsT/4NtehfLvhgkoZ4Btkpf5OQ13FGWuvDB
cGhvlPIjO/zVaM56mYwGdkUy4rWEGHsssLAFWDrNVyE5SCBMnLwB9WEwAKo7ziK3/fL7IhmFnKtF
FrQArbu5+ByXnoliYvBrkcF/ObpieJ5jt4i+cGRu6827TEY94b1kMLBBpvGU7Gl4Hdn5w7JrjsJT
ehpAOjD8Cj2FFxdsm5N3qYy2moYYj8aE7RV2PZ4wlRfcV5fQLUQr2KGdx0lRVqzspAaELSfg3iy/
rE+W/rSV2TSkUZxTExeF5nbiHdgOfRM4BYorHnlRN/X9VxZaxtQ+gPneAD4+ihp0aTKAeEkb7Lo9
Wn4x0xztRO5MM41obohh44NJLHJZrZD2qMtXmXiZ8hQjONDy5yHbVyNvAzeP7n1RbJRQtVMOPAU0
2Wvdj145Cv1vRfwhAQ0pC3n3YdPDySYoakDWB0pFRjdlAIYoYP6hcap2iGwJadTUzvdgdH/MbB7l
5vZhvQtjVLIOEmEIJ/XfL7F/D6DzdGIzOaytFsXoX0fSiXacIeG9XzzdCw+pHexKEOEkrulwYXS2
T+t9VUw0LGfqGPSA58IWYm7MIxe8MkFxoKMh3B6dwk0vCgpU/w9ehc2zg9aDBRzoNjLbcInp0U4Y
MyxzTNuzEs/AB41AbtM8GEXUW6QEtkNKwAY0SlY9BlacIyozi/bptnmjFvPqaqx+BWNRRdJrNcBu
FCfMHuX4TjLd29/f3N7V9xkNFateNMYa3wc6RIusS2kem+6TVi1+IrzeFrVpqFeiGP2MhlaqkgSv
AGmUnKmtLDEUjsDxceS249lInixWR4u2LeoSwyThP+D11N0agJMBaBagl0bvDT/Hqb/eXuH2ZiL7
CPhjCRE585SqpSqQ1BAPgkJA2CeqxI+H8nsO5ETSx14uZtZtefRwrpXjjzy2A3lesrTSBgK+wBaj
t4rsLkvjtWnr3RazrYPvYphnVa/GU4rBaQSAFSB28/KYZDLnhbi5cxhBR5kTnItoY/voaLqCjqc3
6EzqydGM3BhgQ4lwX8aAf/9yezGbmqGi24jO/qhA1vkoKW5GMSxzlJqK5LT0h3T6jE5j10BX9W05
22ZyJYi5uXVQmaAmgjLQ6RIMvF7kZ3LuHZo1KF/kT7elbWoC8PTBPYG8qcpSaZhDUhgL5u2dbr4b
QeMIdk7ZvS1i84iIppsguAUnMdvuV3YmGZUWz4BW9drZyUt37gGKLIP65fdtSZtH9C6JbfwT2wmd
jDWOyEw9ub4rzM+z8imaKo6R2N6zPwti4fXjAX3avUJDOAACZNq5D0zgO3PIOnhCqJdZBWtDQaK0
6A2spXGTyJ+DnwrhWJ3tHNVqvxiV7owhNEqMnKFzI78DVQx4cQpEGhVQwhqreBCcnCORd0CMapvL
iJHBBaqdAAlGyEark6p9J13QZccpWPG2j/59tX2JHDR9VaDOEkmoevtyfQbTwm1t2ww+V7tHF7sS
ES2g+TIxZO3kQ28n4icyXSrTFUQAmXiyzHk3cC4RSxWdVmgGDhKsZ+jIThR7W29rqwesUjelnqBE
326vbfutsFocEz0lqbQkU47SUfwbTMxdcAznXac/AC51Cj2pf1DLi4hC7W2pvENj3CA4NUmZgF7c
KcvYytTcmoanATOzt6Vsv6jf18a2oQGSXe7TGHspPc42fYJpiaN8V9/ADukAALfox1F7tsgoFuWM
Pk+C122vWE3XetLynOUY31B5o9Q8SYzVqECIqi89dlDLXJl8Fo3QUhAnYX779h5unpSGBg+DqKop
s63POfArdchCc7p6iJoj0IlznjJs4mACuP2PDEYFKzEEmHyA5yot9cU/FG+4iG5rLy+CWzvzq1YC
V0NyUycBiP7f5Mc0gPeoRDJ0FNQ/Xu006OFFcgS3snQGK0AZuT3hNKy+dXddxWArGYz5yKMs7xYB
5gMoTi5IsDtHeMVT0gld8Rl1xTvUvQ9orbbqE52DARAu7zm7+ezT4JJFnCAx2UbjYgzVpasmmBQ0
VQPGeOhQdomsqt4LyzmoXWX0byvNpnKuBDLW3zC60pgJTdTlXp18CaOnUv1RFE9/IQXTl2DJxvkp
b/u+MstBC35sgKOjfBW7i3LWY9t4CovdbSHbNmQlhblocZ9hED5FDNC6iyc5BQbAmp2Kaqngd352
LnnyNi/cSh7jqsmiGHUrQVuC84REVe13x2kXnPrXwX2DRToC+3ziFHg2Ozu1lVDmwEBAP4VjifrB
+IDxLLc9R57yCQyBl+hOceedcOqPISdC2PRzK5HMzWslA+zR4OV2lNFr2mOv71FGHRUwNXGUkbeh
zPULii4wwTqDteVOs7xO8kXouUOQW2lNHTgBuF2gLjfYbD5aIoI2A6M5chDdHjx87oDBRwTy57/p
sl8LYk7KLCI9Nmk7bIEO5/jQIMw2dlnFCao2FWIthjmdoRLEZKKzT8Wp/iE5/RMpHe2EkrqCcU71
WGi2nIAknZc5opaeNZVrscxZLWRejKGB8kfZKc4gLQazSHTKpNrKpZeOxwJFN+tKHEAeFIlQOE4W
TSaTpnYoswVvyuJuEX+IhnfbeGx9H4OVOuDhIAGlo4/eRQzAIG7SilJi7HPtfm44T4fNNpm1AEYb
5giEISCxp2pXOYaLEcpPKK2f07P+FD8pvumXXojXZIA7zHMqm6NCa9mMinRKPAZDCNm0rYNcACkK
yAcMryF/OdnZj/IzHeieuLXvLd9imLoiYcDZRNTAhI5ZnDSxmSDEot0rolvt6aBObofnwFt+Ax3P
Gnf1jttOsHmS71LZPEpf9BjKbQhdbOAXAFpWdGQXkztaNgbGsju+8C46TyKTUplrZSSSCOgJcb4Q
/S6u3du6ucmyZ4IZ3QDlkU5Bdz8qZ2a2RBJ0JMBiCvXaAAWuH9xeKQCjEV4MaWisOJKOamn6gCA4
llqPIe7kW9iIx0oL9+WUH5eqsXv0/wqiYCd4C+lDnAG5FYlYjdghIPzVUnaLxbhQMKHbv37TLa9/
PWMpVDkbqyVCBqB7m5POnAQMGqfhrTWMMtVwo9Qt07QWSP3ZKtpYYmme8wDJjXrsrDnq7aD9GaiR
rUnVLqiFUyzzmo24a6Q/aSUSpW9FCmdAJdTu6KKx34k89Rl4ZT5B91v4yK1Y0VCGNYfrJTJXK6iG
BizJSKTTthLJq0CUjAzB4Z/mXN6V2t5PHWUqTZNgIhnbqMmqkIa0oVuuvSH6kSaKNeRuqp9r4qq8
EdtNHAgTwGD/lsYYyqiuQtkssLTWTezRXt6Y1EO09oEOyM3P4ZN0mL6MQLXGEJmz8Cg2tmIdWmYH
mABYbMSr3JtCwsRU0a+TBJesfFDTl0ai5BqzxuNG3bKOa0lMtDoZZMhIh1JnHO+bwZbDX8ieD9Hj
39y+1YKYw8vTXNKiOkLV79xDM6UdanFO6/VgVModPhzhZqZ0vSzm+GKx7epJh9FP8os2FF4lTE6i
ZDaBgYmkr01IjrO5eMo4WLPxSx00jiPf3lYkNimvBmY4mMtPjEXse3DcOF2PZEySHfsF/QD4fwWs
7Lf3dnMW1pTeZTG3vp9iZWpnDPPMAEIUXdVtTsSr/fippfD6YE/4TUkq48dkl9zJAPcPnfCFdzmp
7b+yBLKkaDKiIryMGd9QFm0nkbjDqz85TNNxFvZZ/+n2Orf8G/IJf0QwBtycwmRsMGEP+I7vSZ7a
ycTpp+CtgTmzVJylBeOAKPC0nxqyF6XHtOPcg021WK2BOSqiqG2WDzDQGcgWu69DflSkyyJxpGz2
o6y3irHLcaOQhsgIBczHwFd25p1qadZ84iOHc9bD8omJ6rz0PQU8absfCkElR5Q9MXINLoIq5/BN
JrhRqi6r6hRxPnIQZfQoNV/+RrlU3XzDGyFsxqPV2x7ECFhIgbf68CCb3u3vb+vW+/cZe2QmS0oS
Hd8fxmMBGBPg+wz72yK2bZ78LoO5g8EYJ0a8ID6bvMmR0BIOlmdbexT83Mt8gffgoxb7+sa/S6Oq
sYo1EqVvjGbEbA7NwamFs+yUHBFu75SfFXcCsym3RLCZeTZl8BTRGTL0NTFK0A5D3VYJ3pjZCThd
IF6YdqaNwqs7nHm9TpsOeCWKcYv9KAHgzMRFLY1jUX8N5hMxHYz7VTxosM2oZiWIcYxB1Qx6ktFJ
T8Hwh1Y8J0bgUEDysP+9FL+6WODMrtK7f3VuCtq03hpIZJZm0OgnadBjeKaZQo+LblYekMYR+10o
3XXLTsp+3FbLTRPxLo81EVpUxvokolxQtl5UEksKvgI0ASie/m05mxZiJYdRjr6fhKLMccMq4YeU
RtYUxtZtCZsPWFPBI+ot+auxlZYkgmJWFECKjlXXh9gVR9tqdhQdqHtqd6nVALiKl+HYLMWZCrLp
sooyKaghP140qVCjQg5Qk2hdw1cGC1H2DvGEF1xmJwFlb6FavKfktkxcMd0ADB8A8hitnJZUm0Zw
kVHwb8w+Bc/yT3Qw0vdrdARbkNMljtr+1fauhDI2klRz2+UpKhSNMzjTSXwKDxXeE1ZyN3+jbTnj
TvrJ61TfPtOVUGZ3szRJ4o6qTYsn0z+MyBgxPOpAL1ExcxI6ApISPLTsTV1dCWVsZzSladd0RHIq
Y9cFX6eC4202rdfq+0wkM8j5NGsz7vgo+cLo5W1lN8FdlzqRwe19pffqyp4ADtJAM4iEegEjC5Bn
U0xUxBrxDMof8Dl72r59JQfgr3g86NxNL7qSxYRPg5IFwOBGFCAYByN7ScNjrXIBuTYPZyWECZ5S
Ne/GaIAbHTzFC2or8XK7ODau6AkH+laJAJLFUf3N8/ojEg++j1e8bqoYFQOUDBT1RTN/iXpuq51h
qdW4L1P1M8eMbXqAlTTGUoIUCiyJNVTeOFcIQ+/Hu/EpAnmdelF/agBXC+3sUPnJsUNWhGfNbp8g
kOQ+rrTJtAnjDcgBhnHnADnIDiXNzQmvQrjpdFZLZOyXOORoaI2hlFpxlzaF1QuvsQJWea72b0ZB
K0GMzZIGuZI0AUWJVvg6YUQk3U+KB/D2kXyN8OLMHqI+s2Z0a1WGzx2r3IwdVsIZ2yWTqRo0UJiA
60W5C1rAficigNSnh1QBlLpA9skw2beVh3d+jOUCeBZQ92m+PV/cPPULwIvwyp+bHHXmalmMRelm
xUy0EvqpWKItuuSb/MZeMHwN0Ss8OkkIIqLEjw717vbaePeCsS5p1Hd90+Hio3GrDW0BtO3pd6Ha
x1CgsvosJiFnMzez8euVMqamCYw2UGvchv4goIJNu6HVz9XLoFvyvtwLh9Qp7PSlRqM94Aq47Cb0
rv1ny42w5uNd1OcpMaoc/vbfY525rznhXgbDFBo59rc397ZVJW+x/eq5oIxzI2oLEkCK9hqCRaQO
/kcj+vY8WkmQ65wI84DboA3mXmjPhV7dz0llqcaXWYjd28vhXD02GSnouSbleYtGr+ZgEI8A27nt
TgQutgciMpE4Qfvm7iG3gtITgkDM4n48qn7Qq1oQaEkS9OrxazRxfMKmvURtBAxcmKvFtPvH7+t6
VIaGiXyjtEyWhPdOFllGpewKhTeSs52jfhfFNubHtSxlM4Fpln31EB4LJ/fHxGoBtx/ay9O44+Ef
bC8NSNIa2mflKzDpri0FKaRqYehOrhJrFA6iflD7L7cVYvtxShGr/yWHsR4AxpgVI0cilbLCYgoI
MMWBB+peR9jzahmbhmolijktkpZzL9Fkhd7qLyANtKXI9PNW9SOQ4aVhabXFs6DxUhjbK9Rl7CKQ
GUVU4j8qCSAN6zGnQyJgPrbG9AG9GpMK/uv6uMyHMTjkxbkzG2viAu1thkcrwYzTCZZISeTqrXQz
OCqA9kq/2SWX6KU7Sj4QUl15J6DqxZ0J3s6srgQznmhMBF2JBtBPlK56IJ52WPax27xMR8qm85rL
wPQFSJgDwnCXQoWVLoYmOYZme+0moGElFD2uEHfDJAqNwcBTIQHXYD8dwBCra4VlAJufu8+bV0V/
l8UEZ7rZTnJv4mpOweA2kf5oRK1bKWj4jIZdLsV2ZHanOdBOKNPZRVA54zzMljGnDlLQz1KuA3ce
f7l9sTYjjtWPohHYyqwXxbLoYo1MflgceyGyADZe9px2Ft7CmSguAQBSO/V47mqVnSNX1hzbDuEN
x8hum77VUpgLJMoF1pHhLGn+ILL7c/mr2qmWgip0Y2c+eLdvb92mk1rJY+6NpsRNL7d4BtLJiEJc
QMXqjNPPvLeV6XMqcqRtRzMrccxtAcP3WAVajlYnL7mfbYqJuWA+InSn3NKAYh7aFDE9vactBjxs
780TxEAZWtbAtmOwRf4JqNtxAgYOgK0uxzDMXVOY0fJf++lYceYKtkuDKEKCnAAOWdKZddbSpOd6
ijhxeZW89Jg+TLvqmJ5mj/wDeWpV5+RMIzaQJNrc1Mzme3slnfEzstrNWR9j1rQg0p2oECsVU1ts
1Z00YTw9nC1Jr6w0AOysHFrTOPi3dWo7y7ySzzgfUJkFhpmUuI+zVe0RLAOnugtRX9B9FJe49m+z
sQjUMf/ebYOJUsNqEMkiIOlLK4cTzL9kBc+h33od6tqUmdR0eLntTZuLWRuDssLJV9jj2dI3lRki
2gLO6jKgqpY8irKLaVtL4gESb15RmlM0RHjUK/Tv0ajmvqV1gb68q0ww3hqWOTqD+lgUz0gE3z67
TVO6EsaYuaYBB3eKLKaTDIUtKfinaSdZ5ZDubNkBUNWKoBAzgZd1BeI8a2U9FALFFsrkfTBWdto0
zpiUPqhs7/oo/hSAvLBJ90Y9nMJWucihtK/ywe307BgZtVvKv3o59qUEihwTTMj917uAn4dpQoJa
AkJp5vrqwCZP5EWEQgXArp8XN5ZK9BQI/6MY5p4uehekRjoBXaZ6mAfRkha74FUsNwLBD0th7qIg
GGVcNKhSBHlslV2DmqV+XxemJU3FjmTlEQgPNibknm7vINUT5uG4FvtmIFcuORmJGowSeiPkVrC6
uXXrgoewueUrP8hgXjyalC2GFmJpnSN5ygmT7W7sA3DTJgd117/w/MfG1YA4XX4L3lVk2z9GGbWs
hRg/gVLU5bFF5SBtd2bE6+rYcFKKKKmSgu8Dw5mtXy3THI1hjZ6wLLzLcl8hdpbtWh7v/LYUHc2J
qJSZKlvgmYvU7MMWBrqdL5PgpL1oxcZO62SOv9/cMumPHLawAzLuFgUysOlFTX/oxfzBJKWlR7yW
y00dB3qdQTQNKGxsfnno5yDH+112JOk0Ko+15FfJfRJYAWJBzMZarbK7rd1b7xygaygU608EXQ/b
mptkerzkdYQpuzPtbS6fxH3x4y3OBzDKbVkbZ/VBFGORcx3IbpqaofumOAqDJejPRX7AQ+5vpEAf
FB1J5Ct4ii7R5CBCuOCouh1q95Fx17VWl/+4LWXDKqjYNOQP4KvxH3NjSRHGdSdAH0wxf2qU+FXg
AgBubtdKBPNAGcEuNAwGHHNfgAx+1xqXuNy1E6+0TUMKxr59WAnz5OjHpEEwBTEk9YbwThO/9VMD
SjufqN8E2dM6dA5yOxw2rhOE6gQgIgg7rgZ9lQIaN46IcyrMXJjJQ52eOt5jcvuI/shgM35Sooli
0JuSY0jZUR+zYyjOHKuwFR+q4EIFdhvujnRVrgwUo1HzBn0Bk0fLQbmPNluA4FEw7dHiFdK23ASk
Yc+Igg6oq0JlmczVkKUAHqE5TFhvQGlSgiY6bCHvjE9cyiRxaws1sImKErgddPQHfnQUoCcW5rHG
FkrK+FWLxyMRMLmvNveDmNGcsfipkUtbkWTQohXOIGsWfqAPpCobkeQe/DmdZzTpLkGzTDar/ixK
l3Ek5yX8FuY6IgThU28OJ6XWKqvKfih64BRpr9lqiTaLUD6kpD9PSnbQtWa3iMNhUEpbJCddaLxB
0O5RuLWycgCPamhaGVpzpTA+jMP3Rq5Pbaz+aorQK9DGC8723h+MrraVRrW65bmUKz/WJHfUX5a+
9uVoOChV4ZIYBQW8uIkG+gqiH+el8sMFxDCaeEqC4jVqMOlHjOK5rI1L2P4APNy92ah2GsjforhG
S4jxvJj5TiaYYqqQOdKbfTG+hLX0KxgTL51+xpp5WCI861Xha2bSvgBs7fDLGBbbnNNzmydOmzUu
8OC8Bh8YZunShWDjMmYrLwVvUbojpjUeMeJwAHaRs4hmytPoq5spA9OGUh7JAHOSrnqDRCMSg3Gc
wESP90frUlwpbN5uBI8m4CI6O7+YXPjiKzVjZNK/r0IsTHqr8aLXIGvuql0zvVSLxBsFoJr6wcox
IpiQBx2RSjgCisWhxFH1YqUH9Z4iZRaLlRyEz7edw5UXZ4RRy75azyxVijploKSO9t2+8Iw96K/3
jf9fF4ipGEUClDgm1jGQz9xOMS6nDkwFohO1hd93qrUogj8NmXN7NVcPREYM44eGAdavaHPRKYyX
vPi6EMxuLr1VA3QCXe23ZV0bVEYY440ic6q6PAeHavilcygeZuQYnxV/diafT19x3TrISGMULzdH
aVwUZXFG9ZusAmg5Di1TdEVwjQByyXiMo2NDODOVvO1kNFEKSiMapgGs162/mPsUwd5s+mLt1hPP
PfFEMXqY1DEpxpIqiBZYOR6bsPBu0Q2Pc/hkluLv22fHk0b/vtJ6AYM2SkEajKmNP/CqcJT5nGU/
e/FTEnMymPRYri7zSvGZ12YB/uKOTLAXVRTYiqHuirDiKOL2YpD0UhFJGleNY7lWLK3Qg/KpJpae
/gAmoVy4Xb4HU9t/+3R+08E/ktiXRVoag95P6OmXp9JuBvT4lRJqai3nFm/adeVdDGMsiJzWgRrj
FvfhJZ78TjwMk39bAXgiGEMhxF2S5i0UQKbgsqVup1rrJcbM2bBN6woiVFWE+dOuGtNaIQ7UsQOf
e20+FuG9MbZ20OwCyZ4wLd+jRUbhkWz8BzvxLpJRuFLtOnXWWjjF6bum2Xn/kkw/g9gOpvsh3qH0
WgD87vZmbgd7q9iL3c2RBPmIoQxnHrqntOztyCBHSe0dUQp/xXln92PpqEPja8IXTex2lfSQRxXn
V1zdNInW+N4DQMYck1pbhkhGr07RnENMKqmc6e9re/8mQMNjDcMDwP1hkjoaLkdrqNM/IS3lEEAb
r/+GAIdONB676pWCgp8MN1pB46Rmgr6aMb2lEsVRZIZoAJUfCpJbfeSm3GmWrRwuoH6A5KtoaDzF
OMRHOwjLEZtiBiIkCi+X3dMc7rSjzJivqiXZy4/uiTemT9Xvgz3EupCbFymuDDob2HpAAuisPi0o
IOHwEneiN+ivSiKc1LCyWnO2+jrnmHrqOG4IZJ9W9byA132aRSC/4HoXmRzZRhyJFmkE2K6KR1zM
Wd9bDmPlWQw5zPBPh5JoopX0d30B5+JMyiGuz8bE63y9WhwoxxRMIlHmTwXj88z5CWklk7pBUFAS
0craxir7b0LiRBWnzeH6hsN6IX8AsCYMv4IjhHGYIyKrUA87ET0cTtXtSrwucs1Rll0SP2emPWPm
C/MzmXo2ytFK82+3Dcz1ZQAGnWlIaLXFy87QGPsS4XGmkqUkjqo5QX9JSrQX7m+LuLYeH0Uw1kPu
A0xKj6gd6eRFDV5VieMJNq7aRwH0B6wUQxRkMc7KhOChongYynNav64tQNsFnxt3dIAc+2sGofDz
7WVt5Pw15CwAGSwjt4liDaMhEh6LajUhe0GCaN/qyWsgFbu2IXYZoOy3JHaUBtHd0KeuUeh+3QHY
uAl33ZBbGSIKUk++Ng77SHyR4/SpmLL/fts//DzmZBeUpbNMMJGUEAKrqBskxXntR29X7qMF+LgF
zNHWmq5nJsV9aJQTEvO7KEBDeLHL5sbrTdMOgN42f2q7QxNzgowNnfqwOObIzUkMaqJCpwL1OAAa
p8w5Fc+NJumPS2O8xLhg0HleAAon7GS/2gsWxVUe0N8yuLQBowPVYujwUvK8ZVGjtNJkpLDrsawx
1iaYe605BOOX2zp7Fc8iU7lWWcbWiIK5zHWNWX4F0IE5pvRimyBz1H+a/gYg+KMsJlrKpjQngQaa
nqGsLCGa7UnWbKNJnnQ4o6WSdoaU+4JcOHISPd1e5rVNZdbJxBNdE+jiOKA03jnFXgJ/eu7TSgpN
keVef+QVT3n3gIVay5quQV8I9pWgfZNySC670J/B4DBz+dKvveCHbWXh1qZkSbQGntcJkt0oe8qA
V+toKVWwmzpiLyDNur2XGw5irTKEMSPxuCRzDWBBJxHvi/lktN+Egpd8ppbyhhkhjBkxeo1keoc1
UZSE3I28frTIdx0A5uNR4IFC0bO/JYwxHWisUtuKtnTl+e8xijEL+6UIz9HiowYBEng14Dl4zqUm
jCUp0T5CZLCkO+0BBOz3qRu7pms8pwjl7cE1vPGocTHhORedMIbEnJaprip09/wze6zscoAPWPEB
C/0NpGw3fSwBxgCqCU5ag6ctjIFpIxQcCWU/7CYvyz435c9A//y/KSRjV4qkJq1KiwaF+lPU7pdx
sZqGU8/nbR9jPwCaJOsBnVBr099F7iXFfd98T+p7mQsnwNFGFn0N9CJ1X9H+hMbJ9rI/2+mn5hTZ
qSu4yDYo5+BR9RK3etKd6MDrqeQoJhvilkInmz1tbG914YgBjJ2OKPT2YV1F0R8NMRteBjLyhA0F
MAhUIGqh1eGuzb4RjlfjmV+NsR+RuEjmsqD7QrnQbpnMAS3GHfH7vQiYk9sL4ii4Rvd05aG1pY+6
MMiIozcHTfHU6BjyRGxbeIkgsCQUc4dZTTdHKQkpiEYcPgjKk5o9S+jqVu3wogkq52W/fT7vspjl
ENCkteIcEaev7E79kYvHejlFPB697ev0LoWxgEXVSf1oamCNjmkbZ+GK0VOR+Xr9vUQf9O0D+g+B
27swxvQNyoBONU2iFNV0uk2y9okX7KtjC9wFYstH446XUNi+R38ksi5ZjIepN3WK0jFfyvAwdxyd
27YR799nXDBJSmXCLDidTAx3CgYmKL4Uf7Cdc0qsF0a5SWrNLCdOPKIhSQitGXUpPTnG4XEQ9rdP
ibdljN5FUlFNuoYbmy+XUPJE3qzCtl4jx2NQtLGrXAjqtBNI4BG9E31PMtMq4q9940ZRbN9ex/bR
/JHDpkCSthPnMsM6VH8Asr/uEp/iE/IsNWc5bwZwZXX0ZlCEgWIFCvU+n3bAmFwKN+w5zpsnhdGz
skqq/yPtu5bkxpVtv4gR9OaVpmxXe7XRC0NSt+hAA3ry6+9CnzmqajRF3DOz52HHhCaUlURiIZHI
XEuphwJnUeu4ZrJrKAmS+o5q//WrcQhn5JCAne1Oh05p5NZT7OqG49J2H5vHObmubL8mP9fX6S+o
cF4oLuDaOR4lakM3xDw5N5rmWRtwBVAQshRPEV5FmHp9EKKjXaTrJvqmHPTRaEK2WVs4AEfVq60W
4yW9a9WoTRgi2ZDlPXV2kf2UiyBR53bstDIyfNkabxx7CqxCF4T7Xy5WZxtcfjdYLbWJjbOp36BF
zS+3tgk+KaZaUHvWbdoH2tv6wi2ft2eDXLbXThBJbyrkKLS+zqXETdC9EYlENkWLxHb55ZejJq1U
W9f9KHwIHcXVw0OnFl7fP647I1ghvolQr8KklTpb9zNoQ2tOhzaIUFBKF5ngilJNPYYxQeuFP8bT
y9xlz0YmarEXLInKwURiV1VYW8C8pEsP7QAd4xZi4HYvOslFrnAokWaqpOs2jj25D32jqw5lEQuO
IZEr7CdcLHxB9LnGRCngG0DQ32bFt46KyIEXeufZjf1PCH8hM5CjupuMj/Ik4yghfkLd6K5+no97
ydMfddfGPxo2UPE+KIEimtf9aAD4euE92+dwYc5DzMu2H9Nn4RZUkf9MoEVb4x7iLdAWbDHyr9//
/uBJuhE17wv2lsohRppgEq1RCsNvY9+M3vPw3sDQYGQJkElkhscJyDUYPetfl/t6o8bU1a3ajQ1n
N5n/6m6IZwETxXoNjMyfY8aaJ9lSbFbryWVMJ+2t5tpWnvLpXTYENcjlDXC2xG2AIe9ihSbIZGvF
l9NfQ363DkfLF43z389Ff2q2EhSDEtxlOmjOjMltXyloeUqDUUHdypm/K6aIiF7kErdMEnJZOjiZ
4ZftfS3/0EVTTQsviWyznX3ioBweyBloPDQM+psHazOi8EH/UZGSfNGjveAD8tlfAWIwleR4PMH2
9uhs+vE0P+L/D6n0OhU4IkP5/97p/Mk/lVuzqkxpSSogVqOgPNCUrtIbLontw0ym7b8JD7TPAjrw
P37mRyedoudsQkyhfj4Gan2Ddt2wC1Twr6C5f93YXxK0szUuMiIQq/dKMkAnqHZrzNgUtts+m75+
w8gZ2m17DatevRGVipcT+LNZLl6GxMDEmI5LT9ddqZXljvQ0xIfZyjcG/WVlx7R/WHd0+Zb1xyA/
22OSGGLrBvyklQY+tNGVu1cpMt1suLall3VbXzsWPsovZ2NcNhBJXezEMrLeD/rZY7sDMcMGBaWD
6OFi+SA9G+JAMW71usp6pLkQmJidxxQ044YgHJeh42yCQ8Pe0jNrLtBkW6TfSUvvU8gLr38ukRPc
3rIdgwygMQeFDEZL0sJrHUhylPfrRv5SrDr7wX7FRc6Bwa7G6XMMd/Yb4wWkIIf5XjswlTv5KGoN
XOA0YmhxtsUd/WjECvMyQ7pO9tNT7FUPpRf66e8E1x2Qo95MO+tt3TvBdrK5034ux2FqQI6DgGNK
d07wb2WsP/vFgYWiWTqIJlGFC/WX2Pw+at8tSZS3iaKBQ4Y6qdRSaZG4hMlearE5N7lI9Hk5afmz
PHzTV2xG06DK0HzOmitLJ14GARPHg86pCFwFy8JTCWLIOaVjBl/Y+1R+jdvUNnlXrtCOsuk9DHGC
5Er2yz1GCw99GqyHxAK3CVssSFKpaFBRUOb7HPBNRSyiZti46olctVeM2aR4Lr+Ro+mOgRZU3rCr
Ef4iOrtlvDib5fZZAfaNJG4xCWw7D3PyrFMBHv0lrz8b4DaXXOLUt9XKwEaOdh2GUDeQJgSPVoYH
rBA0r3riUj/adr7i2XgIrEWCxssnydk+t9eqeG4HPWayZcqhl14VTDuVdN/QnVnnvmANRR+T23BG
3WmOJeEOMSvudFA93Rve7b31rfOdAy79nrga+ZdSw9k9bv/1jtI0VYuwGTBWjWtLkG+n1EV7s8f4
xLvdFAl2yeImYSNqGEWxwDvABUxutWarVGhmYNjVbP9HpVPcr72c6VzY4eImGmNVaccUL6oo5xJf
ebbBWe2AtXL2zA3jVKCY4hBVEBfR7MIoFyx6aVSGnqOzYLR3k35dlG9OIWoHWQySCxtckGihXgxS
G/5PxwlBx0kLquH1QFzedBc2uKhA4hRBK0hGM9ED46futlDh/bhUt8+WZ7/pj73Hpu6V9+a5Pumi
EFkE7LN1/p2/rWslyyh4CVW72mkaeRnS/oZa7abIRTOAggXjHxUUaaC9oyJ1Q/+XEz8W1aYYROMQ
X4e+gMwX7qifkRmM0EkCMSYMnOox+qUOI9lEZEvDUxgSb2i2XfmUiSj1l29oF0a5PE7N5aoYHYrn
8I/RdrKxNffX6DHmweE4v67HCwu5L7WPC2MsZC+SrVLKrdKgsu7b6BNqj01/RyRf7XY03PaJqDC2
DFkX1jgEScBJozFNV0x8gBn+VsFcFmgCsqvZi48ptKnDH+veicKRQ5K2kYpICYEkhRGkqME1quJK
BmaKRDUk4aJx8JFDAztBfzwahyJQb5aTpytkP5bzcQ4zz2rK7Wx/1/Cv/VAfVcXwpF4X8dsJ0MXg
0GXGbbSUNAntdsbTYP+Q/0WX8+fdwEGLUkt6XoLu0Xem2zDv3EhIhiLYb/xjvzamU4TBD9Z+JXld
YYJdt9rKmnJqLM1tk8e0Sa5skC+0VNQMKFpA/q2/6towBX0N4xGeX4wNO970R+mkebkf34nuHQLs
4l/9K8msTE3BHXdS7ggO7an2c/K4HvuiY5R/9A8h6DsnMXo06s38MqFzovnB5GlDX32LGrCStNfq
rtnNbwKzgiyBz2ZphuaTpsQlEfwO2Y4lCrGPzprOA5HDU+ezqU9pm4K9LgyayBV9WZF1DmFCPaJE
amBd30LaaIuB+i1rabP2616KFpADll7LC71jPTYd+d0pe0gwuKMpKISI0NLkMKXX0C06WAmmf19k
D1OGTFsYCR5K0vYLODoDUW/S8s37DM8mhyBWWaMpMcLDRd+rWzW/rdQIg6WK1+mG28bTlVmGbqUb
LSjd9d+kf13/pgL84vnmBlJWRdZgUzRKvakJ3tX15r8tG88zp7ay0VfGhCy9fCySIJVeEqGaEssJ
Vk5UXvadlikxuhn8YE3AiMnyIDo4UCAs9+WGfBPOOrMC1VdrNmhp8FhvfxHktWs1BOEKmkiNttup
tfVNrTCDRQeXEqBn2NV+OigvDVX3s42OqVCNRDnS8rKdfwGXI9lljL77HOV+aWdv9WDejaHXo1rn
Ehc95dCMAoOgIQAZkU0uRapGncSkw0mUlo+hE7lU8tdj8S977+wV+wUXedEwYpRJm/HUzyigVXQk
Etm1QGQf73I/8a39dC8wKFpIDrhGjU6y+sHmCKrA5jo5oB/XlcEiDk5TUcPlcoienePQy+mGMJ1S
LNkAWGG0hBGsERch6icbIaowmFoLUQ7GyjTCm+vI6HCD5D7DiE8W7TDic4heQULiO756PTx3HmTh
d+ufdDn5O3vJoZlWS5UVd+gJUeL0NoKCjRYZroTZOzezK1G8iJaPnUsX8VLGfZ/PPd4CVJw7jOGg
P9A9Y2IfhEKcy2fPH7/4ophURqmRVFg9ZdpEVrxpp+0QxSKHllOxsxXm8IVDzUiphtZRzc9QcFMC
Uz005b3tvLXVdTO9xwloxgSveSK/OCAxHaWlSYnTxzK/GaGvdLkLMoT1mBDEIs9hX+eSpdclSlJG
1fhEMo6hPbiyPd2SRAtS0/k3BXPQeP2Dzg6HIknZJmDjYWlCZAeGQ7flZLpSKGKvEnnFYUcVq3af
p6hezpFvoqWz+tZnh0je1Np/9IcDDswrVIR06EvKiuuw8zX5UU426yskigIOLWIpCtMOlDJ+2gVE
2/dg0czu1k2IPhcHDEYZR7hiY1XqxvHj9rHuEjcsUxyhm0okwML2/Rfww4UOAnkgFvuiZp8mDQlr
G62P7IGpgaQna03MhVi36NLZDF93mZrcKsCJxOTf/W46aDIBW5U/2yd7+vUvPt6FJQ4XEhIaWsc6
QhToumWeNj13surO9TfdEUEQO8VXvh0/WVF3RWVkFBUe6WiyiuNpxBGsbK0t6wUB3be37hlb9jVz
XFJhVnrkzAWKPU5+02v7Bi2kBYanI8bS1ik/140tvzxefEcOGozQIZaZ4qJSTaM7olCngdSk20f2
zhlOQ3tb5dsiEqS/y8XBC6McUCiJXufFCKPNhxIgyhG7Ctpg0cG41rbxrt4ST7qikAiOA+lWRDS0
oNCN+sGFdQ49MsMaqMlCRwbLcx6kEEJuQOEmBcWu2zhbtKaAxN0AA4goE2Dfcm1lOUwBySIUBQa4
ndWQlmy6J7uxBPnbImxd+MZhSqqmujqPrDaiuKCmyeKnFELj6zEjClAuxyBt29O0DlE9YyyeM2hN
T4OEYq7ykFTP5P8uAvhptfhajFw1ZqaG8GhoNx2u70V3X+V4Ho8f170SfDm+8GJJUTnLNkrGg/wY
Zft5LMAhIfhyi6ngeXX4eouTDU2PYXP0oTThPZQEXIVkB5qFx6LNBSiyNGx7GeV82WVM8spKc4p+
rl9d0O61Y7xJwHel3ja+/tLiHS/aRKLmkGX/dNz0IKZmQCsYG+AiWTPtPBvbqkWdEyQ6EJYYajzM
D8EMHqf1xVo+Z86GuDC3Cx0iQDU6rtQideccXFLGFYXARW/HwSg5Amsit7iAz6osSlQJoZHkMbiK
N5WsuV2/TUWVh+UQ/OPVB2xefD5JjzPVKGFHMffjm2M+ZiKedIEnPAcRCaNeTi100fTJ98q5C0Ed
V0WurQtSaMHyfOk8rbUinBQ8CVZJkGC+Z0aL8z7OHtLhdT0ORF+MOytnyHepCcQVfFUD33viJb1H
hY+qIiPcEYnOjCo1NeRO3eSBLsUpblNR9eKjHezr0QBFK7CggsyA5/hs1BianAaQwejoNck6V1JB
fjW853L9YGJCW586t3AKN8uGbZTPbidXfpXqV235mg7oy89Afk6zazuVa1eu+o1T9jtpJF4Sdle6
A9K3bBIVXBYXWWOKywoYQ7HnP2/2qIiiFCy6rD8Gz+p3826Ckm+E1KgNFK/0J8wsNjvyYkeu6I1U
ZJkt2MU+mcIKk/sfYoIUr/UeiQMQ3LlquLU6QaayuPQXPrL9dGEpThMDtOHwcSqCOnXckoHaGKwH
8XKR58IK8/fCig3xat0YUJlI91oJDbXwFoQ8Pt1PVykY/Iknev9d7vS4MMjB55BrkjSrILCV0SIQ
e+UdhohGFMGJ21yBDG8r7c0g3aeYFJDvBb6q8OVLoF+Y5rC0S8H0XGaoGtTgzo0xAqilHvN2hlBC
elIE+LDcWHU2x2cPcWE6UwiCN5gb/ehI/HFXHHUX7Rc30eat3gi8E0Qmn0SUICopZ1zB8GFnH8q+
V4xLn3pQPN+jTdIz7qBMhLod8iaBYQZ0Xz6resYPLlAnNS8so8DRwej7q026ca7ltx4UgKzyadzW
op7/5Rr9hUEuZsNiiOyiQVo2Fbe64VcQAKyvVcwud+EO7NheMlRuam6qTnT0A1wEvnLRqzmkSwfI
IkDpj6quDsly3aI7ojwXSvYSd9a+gBAF5CDuKtq7jWwFFarAtGiOlVN7tOnAAAlWynB8VewwsCC6
LNPvY3VXN2Zg9MNBoponEWkzyM4hnOvrno4Eae7opumrkkF9yJQf2k4Lohlfuo0h3yxdhzH068bG
cdUWxJYGtQJtBlURVAozt7NL15AT8ERMOlh0oV6TtkogNekzGF0gn2RZ3lRO97Y8BSVRj72sfTOi
d5K2u1z9haeXXUnCQBtQwk/qrd0oB02aXuVQ3cVFssuH3/Pc/25b4jk9HmSyynazunNJVrpEMlHD
+iHNwzahICNOaDBX5BGvYo9UrgKTjJ4zVy5yUQ+UWW49WJ4pFyfDKLxx+sk+2JjEvtRYePLsrsgs
+1nUPhZW6qrKuLOnt7yUR7ctHkiRHZIOTWk60CQc3QY6mn1fbSAB84yXI3y5BmHYSLWrGvdgHWvd
Mhm/t2MRu13Wu2lZp4cute7KxryzRwJxuT65MYv+Z9O3XpqCZCBzwsS1qrekUO9qShMXIoIGSEdR
pKM3rdzfyrI5eQapbvLmUdbUg6mS75ot7VUDP0V6l4uGumWm7uho7jsZByl6RrfK0D+hQWSTO/pV
J9NN5ESo8pQ3GM75/R/3Jwd7kKIfuj5HZtz6shftYi8ZXZxcLsYQPeVUbJ03gcFFJDrvT746i/4b
o8wgtOy37QnDly8OqZ/k6qdq9OBApkGYPtbzHGRj5vZlh8eZYjeMOGui8ldsJJ6qmRsSikZMmJMr
IMV3N+ZMLQbEr7iSjEVgYUY6qxIXWpMPmfMTI9OgazNcTZYExyuDvjWr7ES6OF01gyipAgUiH5T+
XXXVZ5Gbk5ta2FW1zDN08cm5ZNRqtb41MlQlNecUKUNAxptQK3ahWkHdr72dMBCqSqCKjWZ3cpLD
aGR3TZ1tYx18ulSf/ARymLYc4UTMfSUS9fMspjIXv45L16w21TPSozMQRHhNLrlp9aPPBae76FOz
33DxqfVUn0Ijwa4cQqzpldLjDdDYWeh2WY9ukS/caZdDcwh0XNhNoKi5MxzLkzvtaE0iKtVFd87J
g8Et6FBMU1QOOFTLCjBeBKkVBarzIzE7b92fxY1xNsTXBdTWREbLuGLscXbR/lR3jYvd2Uc7Kd3H
88ESCRIvosOFQc6zOTHkvshR0ozku1a5Tfod+snqaADaiqpFgo/I92H0o6K1ZoSUKGnvSXed1kei
nqZYME65XNS78IgLPSg5U40wxqT6F/pyrnRkXbFvXYPaUkY2neyzWxW9Hrbl+tnP9cVjG+cLvlxY
5oIxynvcdFmbqGy6+vSiSO/rf/9iue3i7+cyrS6XR82K4BkY8i1SYvY1dtXYpR0u7jQgsWjBllO7
C4NcfmVMdj1W4Ye8hYwGYvB13oY7uidBtBESMjHwXft43LmYpuBJkksE4nzT/a73HV4m0tBL9vSR
DTtOoqmsReA4u/al8aJxQm0qcQLR9HnsbhX7wSkEGCi6cvCNF3lIdENLMcsBQrIDFKo34WP80/Jm
jwmy1Vv9fr5dDxCRU+wbX6Buq6QEpKMoK6vlk4XKNTLMthRRPwkQw+IQA4ypVC4ydIOyt/r8/iOF
Qcmcbqtj+xvjAU/gWSu8TvQYIvKNO7V0miYDUjIDY9IYvImTzUDUTZZX2/VPuFwtvQgM9jsuvmE1
S2NMKU6uvnPtU5+4Hzxym0LGaICGR3R5YyauvDP263YF4Ghx2DHJg2l3MYq0lfJu0ZOOc3lIUc1M
Ra0Wi3emC/84EOlTSYvrBN1AsbSVaAwRAN1t+k1VHC2oSGvXU+5j3lNwrIkWjwOS2lbnzEKxwafh
rd3YbmX6oI1Y/4IiGxyAgP2zlloZyWOU7p3p3gA1v3AwhsX2Ckh9GQVs+7A3ajRVtC84WYLkgFuR
VwWjN/n9XRyI0uTlQfDzYvGUtKQxCmVO8N3kQ/itTVxyqkCPpwcpo8dDeU26lvfNVbhjbBgYD8Mk
wvo3Fex1mwOUyLagoZagqorhXzP/2XZPhBwc61ZSntcNCRbP5kDFoKpD2wipuV09zST2Q4JWycgU
BL/ICochLTUlqYfGDCjjrvV+b9HrRERMIcIPvn4bN2XelgbaBaZDF8hB443HhJHh+4w1QPP0XQgm
EcEyifziwMPCi75cQpbTr+vxoEHBA+yGnl2ZAjOiaOCgoxhyCF1kbLy4xgSzDhO4i0fN3sm2Y0j/
ozEOMmgz0JBoSLnNYnJLgvaB2sJgWOGa866MXtfDT5C58WpUYRNKU8m0W0dHvWtrS3IVKf+1bmN5
kWzQ0suOhc4LDp8IhXhqiyI6WAgwwRe/mXnvlsI2wWVP/ljhb/utI4O7oUOOmGKgAZ1lw5Z6uYd7
ZeuyqS9tRJ+C9PafPONv8yAUMefGxJNFFg5QuwKddRz5WRvt1s0sd8RrZ984NBrBajkaVoj8GsXq
xrXw0hywF0ZvDIqg2EZKsG5wOd7P9rTPqYDR9HjBNfEtSePnWeXr3d4hu0TO/CTerJv6SyH+bIuD
pmmoE7WPUTJIdZBGS2N5ExlS6vYJUL9UCnecfskF6hVpFkA18E3Bf+9Cx+Y+KRNU7Kt3pRivosjI
/JkkgoxvOTU5/zQW2BcZkabMTajGmHk1CcQ0w19KrnikglxSLhpaEWwRh8Ox3jEcMoQqUktD25Zq
78XFcJ33Ik4k0R7hcMxuDKmIo3+m3v7/eJZFnnDoVRRmHRKobfs6uCHNQLd/lJkAIJcbdi62Awco
ZgT6+FwHQrJxy2SnQN+1DeJdehDNFrAf+zXr+d8AsGSWUl4EQNl3shLTHkeavLNmPwP1l41xM0ne
ZVbnZoVwdpVt5DWDXEtXVKoWAYEaLrpyfoiN0UWH36GI+u1QjL6t1detTbcSBBAbxXqj02+7HwWU
MX+5+p595rCGpGVMrBEfF1rswczagg4tcn+GMyL2yHWYsWQOZpIYOpiOgiSrNoIp3vUJRpJtzzRP
UisaxvzLA+PZLQ5moMCL0a8I2X8KegGoBkJ52E1KSEThoXZTbK3HVnPXkW0dPb7osRtqWeaViR6h
kP7Um41McldyHppWkP0LPeOwwwEvaqiEsFO9WA/VHvrbOPfwlKlsy70StFvRphAgtiVzKKK1pR3V
k4XTIdFeSmrcyDN9IGW8T0wTXPaG5c5453Byc+NA2sFWs22dZ7tZtVw0W2xLJQxyYnhNRwXP8evQ
Y8kc9JDa7kaD0aBHuGXlZrWLTWd27eLfiOihIesPAEEY+DMuREaRVBJr/2LqpzrmvfVX3ccUPeZC
HV9EIixa4A84vEAhUykZYQlaSZqAPKoY64hOPcTmoduHx8WtlrrG43rkLn5IXVU0nQ2XQ6Tjs3tj
7ChG2aJdn+rKUZtAyW+nT3GqCC4li+h6YYZbL2uOEok4QBqVhK6NzhXjVpv387DX8XIXpoJW4784
ZYPZQYMqqsXhmtnocaxPABtDu7f620S5qiaBiUU809U/Jng8M8Kslihmmsr8LSKHIXpTVZBTHiNR
TwaLry/HxIUhDswMglqU1mI4c5r2vVq7lr1Je6RIR12BDlkdOMJLyXJx+cIk+7wXQWhlYS8pFBeF
2pduyB4TfUz45t322SiO5rWg5oAanpf4+c/1YBRa5vAtjgnt5wJckU1Q7/ODBR4CKZD3rKbN+BXG
U+KHgXMVfxP1iAgihq8BjJERQSCKtSqO6LKjmImOcjeOy2DdQcFi8hWArJAquVNA/tFMbjE+tXGQ
2LUbSSc9/WlE+zkcN+sGRX7x0RPqqVywDnVFCzSM/SiPmagYIDLB/vwiWlRVK0Y8OLK3ab81E8iM
nGJJmAf+BUD+d7/ZXGQMGTgRUwWVUdbxobJ2Ex89ng8qIoMR8lfbFhJ8+SbyRZHB/uK/7z/rI4e6
cC81RggM2qgHQIG2kDM3Hx7mDlfo9/WFYgvx1YxhIPHUUTjh2Rj1IQy1nErIWZyffXoYqeB+s7xK
57+f+372VKHFV8a7VJ416B2LXH14iEWd7suXV/z+//WCO03munDigaL2ZJ4mL9wWfrifcXPznG0J
xSzzfv2bLS/N2Rp3qLQh8o0uwaAjWtUqeqia67CHwPa/OiHPVrgEQK2zZLAh5gM5M7prDDWwkngr
q6IhWdG307gLyNz0Oh5edWzVm3ljbZQjxjxOygFtKL7ki9JxQTho/OVjbjRCTEypx8l9aI+uWu2J
aGxpecv++XAadwrXU6NniQIbnX1N0W5S3qtoubOZ5PHPcBYcHSJj3HkcZSVFRyjAu6cvdnido90p
pW6RP+jkphI+eok+HwerpSxHSZGzMZIXA7SAxaZ/tr71x5S9n6TXrAkNqZouCy7DgnjX2K+6gKK6
ymUb5WMU5iM/Lu8KCAx1zd4UXrpFdjiscMa0KeIEU7hDXnrW9DyTkzoU+xqcGusbWBjzHF6kYzl1
UPpit3uojD0C/XzcZ+4xaxRU72Gwbm05ZTvHIwcXDdq6mgZlaz8eMOSDxOm1zd+n4jGrHtYNiaKD
QwwHpLoSFEDR4aNBUPmmItet6FRavrqfkVbn0CIqY0lr5ZZd3XsfWr64uocb9t2Kraj/WOAOLyiW
Z1Gf6UxGPO+mo1MWaCbM0S4lqov9Jfn7sz46hxe4hiUT6nDszRXCzlfZfexZR7Soec6IqfY8B38S
ks4b4llXosl2AXrw2hYNKGS63ECapBfXRnXQtYBKwdy9TemG9rG7Hh7LnVMXa8ehB4SLBi2R0aWr
3bCG2eldv0UHq4c3eqizm1esTqEEaCnHnHYf7gTGGRCuJBo8nRh6E63RzPD0W8ZevR+2OpqWXo3v
7HVPQ1Oy9Zo9r1sUhQ+HJmNhV3Um4Rhok/s83s3FMbZu101oy3n1OXQ4HMmG1CnyFgMyGY0Co4bG
XdtsJ3R8Kuj2Y0rnUzrexqF1VdDxKh1AK1yP12mU/qZj+rvtFdea4i1IFd3Q0Z8sSdnNWfwSj+E3
K/utafIWrI6HOEyvLMc51ZkRFKPl0ireh9V8kodpD+Y2L5Gyn+mE/tMYNCstq2pj/Cjp3A7C8evu
svhYW0IOyEpLbWLDxIZ0inBrlMWNJokeZUWLxkGYkcpd1TuMQtisvDhKdy1uLJohUsv9ywFgQl7S
URRd/uguuTjSpHbuI1tCX/VHWo/hxNh3AuNOhY5ItLEEOfDyuXY2xpy+MJbJiRRabByoI83JsRIv
tfONqWReKiSjXz5rzqa4oM+i8R/tFVvfmLHqZtG+lL6n1W0mkjJafj4Hi+U/n5Afo8qmaKybDE0V
8iH6Lf9mZVx2ijKWL9Dd/iLHct+jHYexE0YgJRJR/yxHytk8l0kaNNVmtUKk5JbfRO+a7dsiqTLB
uvHzVUUjVT2RQR/Q4URwKj9HqaX91iTzZn1fLbvioHkaAz6axdMUUF2WiN2i2BlhCBmUo/PJLvb/
zQQH/Vab9HqU45mpb/Dw05Q7K2y8qRZJ1y1/sbMnXKSXTUMdo8OITRsVbhm5kkw8otyYucCdv6Qh
Z0NcnCtqTOoyhCHL2pf5jmi5GyUHzX4MQeVl3dSQNMnaTSwahBP5x+F9ZSjFPEo5CrFK6Zam75hZ
4CiYjhLJ7YpCgoNaCpHYYpQhM1ir7/J0aOTfdP7130KCg1rd7PtBZpqhmQ0KwFdwU5Lyx7qJ9c9l
829bY1s0pDARdaQ59Ob32rwrlXtr2K5bWX4s0P83GGyZg4KOav+MA2E65lBgGCj9RT3JC3fVk/ON
0dwgfXycjqKz6i+HyNkulzimujmmeQR253FTzp4ckA2KhrhTgMYn21gQ0BFdW5ZzqLNB9ucXB8no
YABcQxcFZgHZJB6OLSfoNurreEiv7U32UIg4dZdP/LNBDjbaJrZpq+FFy1YPLVXdSROSRLLF+ZpU
nE1wkFHPcgEOcKRp6pbJccw7xXKrHRMLlXdt6q+Hyvq2smUONsa07mjKnjnU3o+Lk5p8y4hgKPcv
WfbZIQ4j4gy0Wy3EXj+uE+W9zvidfQoBd93N9/Uxvg7d1M1vjNvwvhG8diy6Z2gQjLchl2fp3JYu
a90yM4eZzo9JfkBp2Z07wePt4pXlbIPnHsk7xUkcG6XyyfKo6dNq9ErlaYDqUa+6avK4vmDLe/vC
HLe3pb5LUT5EBI43/UuL2nwUJJ70zWEvA157aAPGEWxGrip48hR8Sp6NJJd1zB+MSC+y9sdkbFIK
GYb6TeAc2z5fYv/COW4/x2hMjTIN8h/TIf9Br7Vd9RNy2O1BOcS78gbSN9FGpNGxmCBemGQ/6QJC
Un0u+jmH+k5dvMT260BOGBLS1Z2sCY5o0Qdkf35haCzSWrMUA4z+cElJ6h92lnq5Y74IvuEiflw4
xG1pWtSKNTK1QXZ7Rx/4Q7Jl11myE2sNL7tk2JblmHiyVLntpSu2Y5Yy6r4Y2cqRp4HYRBaUE5f7
Tow/NvhqrEzpIEsaBsoYo2UHRktla7shhoVTAU59dcZWMQDvGBpkWVD35wKhn0pTSttZxdRNeNVN
dyTtbpJ/wXvz2QoXBQ5BBKBnk7VElNcV9GfmLd3XB8kXdbCrX3ONz5a4OLBK2ZnKGHw+TPW+9SGc
fHCuS5T35C1jxFZ2YeraOJu7ffZY+vJxBO8N2MxP01F4TH+FyM8/hTsBaOpMdmg7CkJyCJJnedte
Ab+O6hujwo9wDpT7/LXyipOIc+fr5v5smMsaTdmhcYJ955Pxtm9Ut49Os7kpCU4fUU+dKHy4vRDX
vWkPbNuhAmG0x1Z+1CRRwUqwpF+mylvDSiuHVbsruunSKJDH5j5RareJRM/qC1xJnz4dP1JuxxoN
zQTvVNGTnrnpVXinQr2ATTdNr/M29R2v/S1hijNQ8OYX+cnzOowJQoYfTZsbuZLnFMm44txI8VYp
8IYwoQkMHaXDb6I+rFtbaPf47C138Eh50+LKiVM1iz39MGxLpMt027ugv6D76lBt/0Wu/NkiBzdJ
NGRzZGKavMRTzLbalN+0E5vKbb32JEYDUeRwsJPBNTUOBxXqSRvJPHWg5GnFAqHLe8DRoJMJ5nns
rs9HHNHTrCEYg0bTcbkxnNB31HGvtqOgfCQww/fmZHVGzJLKaPIq32xIXMVykIu01UQ2uDQrkxJT
ogNOAwiSnYzOuiqHB6X4IQg7kRXuwkRtyHH2DT5YE5Q/VA845UeBck/cgUkRQ3dF3un36zbZGnxO
sRB3DvplDBU6Fo7FYXEU9XVY6mBVzusnRfnZlwcyouu9cqEm507GjdoKasKLoXdhkMPggvQQQbN0
nKskcR2qvk3xiIlFO3bzVjjvzj7YmndcBI5mXJahwiaBkfxkO8WFckaQ79Gz5Um+6HRZXL2zZ/x8
TlsMVafYeKzAG51bGeC4f0g6wQ1mEQcvbHBxOJZD1lKKS7RpP9Ch8lK92iq1/HMwHK+HhIYVSiIs
/JqEf4oQvgVHLzqSaS0WrHbwpJpDV8V+1AdX3Xd+B5oW6PHIrkiH4aN0uLJwfEOOgZt8BJE57GkF
CtkVZE709n4kijtr9wadiasp76E2XkOo5D7NKopQNd1KUTEfB/qfYdpU1DgRZ/ISDXEsFfWJ6Bro
OGYt+H+kXcdy3MiW/SJEwJstXDkWWXRFURuEKLUAJLw3Xz8n2fNEMAUhZ/QW3RtG6FYmrstrzkm1
sHS2jYh3RYzzDmY9xHQU7ahHg9NZUOWIYzUree/nr0CVb/FcSBUxCM0GBS8wR9+Ufr+niLoqivG8
RJF3FiZPTLB/N2BbBKGhuOjdWdS97bviaTDjcIYi7gW9Q9Jiiq8juSPWPkMf0ZCe0vBlwsL5trSV
Qujne2PcjWhYQSFV7/cm+XCp+/aU2rot3vCZejiejd2xiaV40jLUwN1wCl0i1I4gGV5jRg7BWM/2
sdZF6cC8Ak4X2MkZbdDDskylckShS/BJ64zlix7uQvK0LWU1XbY+pDCqEAVmJ4YJPtVY7yvg3+df
LMBwpj9k9bAtaD0IfQhidCKRNBJIJujj/6VSavfDO+sgryXCuzVGF/KuzoO2QlanNt+M+GEib1l7
nFt/+zArjR+qch+nYYKOFiZal1DYOcpYg69/oDS+0p5CXKVuv29Q3bpJUeWqUJHssDHxdyH9l3y2
AkWCICkAwSuDxS/cAxJnRwuu9Y63NLyybPjpnCzlUKKYpZyWCpLkn/pOcvu7+Aik/fR9IjR5fEel
dXl58rqmWLqF0giICt8T94UbBGCEPJkz8jAKINztemhKA4jUbr/9Df/gbj/kMB5dnK3B7Dp4dKqR
+R2AEFEzMVFy5Q1xrD81rA9JjCnnRgewpnRAioJIWngkfE0ytxVe5/IxDbFvDmoL7dYcH9LGrsSZ
44zXLEIHY4yCmqiqi+yKb20aYQQQS7pvvsvS77V6h86rofOAUlZGSIDPt5BD87TFZ7PUqTUqgml2
Ok9EsRy0N/MS3Umn/KU9GjvKgqKesrvG9Avel6T3x2YSS9HMU04mmJMB1AJ9uLY3OQaZADKnPYiX
6ouxo4Mr6T/mrckLOzyhjPoUSqJOMt3jF6bW6ZE4tblxCyAkzufjiaF/X1xrq9Z5JET4fFFW2HO0
m1BCnHkIi2tRYHmBTBTQO6FOiwk9PXFwZ+0QW+dJcsrGTxQOeArvNEwUqHSSKZgVwShs8V2PjkH0
VeAOwv5eDf2siEwIABWONo7Gu10LXzIvOMTO6FD+mNjVeCnbWia1vDgmDihFIWtZSXPYc9nbhj/v
xVf6lEOl3FGOkgcqC46yc26Q3b9VMVEeJjn0QWm8KvxJqlPPQ3DneAx23Tadg2AIQhmN5dayAeeW
SrXTWLuyet72wKsFp8XtWYzLAKJCmEoJ7Bax1BvHi5lJu1iaDqQvvWqYXDHUjuCiuymN1rDVufOH
/M6yCreSiB2IgiOG5N5srkUi2lgd96P6+/YP5N0161ciEvTpjN8XjcQvgf2biPV9KeScMvRqfFje
A+NKqkJry1BFNMfk4skKTl2BARylBWazaAPj5QI2ET+KEicFHo+hDje6STGwZ84LZzUgLn8GvY6F
q8lzaVQLdJIpGMQRc7X7+DBQ9qoTr0e3mj4tJTH+Jm4VJFeUOwRF6gf9ClknWmjMHBRS79tTb5t3
Lzq2vE7NS6na8dv2Z+XpN+OE4iIazJkkuO5wJ/WBPaAbKQAG0dsWw3GqFuOHhCyugorAD6F9bMeT
0xWdjTksJ4MutYO7LYx3JsYRDbE4VNIIVa2VGtWxztfHAR1J46Bq5XVb1ErPf+lgJXakQY7NuMLp
6NcbPMFOvNnOnBksBf+X5dVtG5TYwQbLsnqAWOLFZVbPo7yXsbnDgyjjiWDckCJmzSSL9EOpvtW8
qMq14KUo9Fv/OUMBnexn0+qbRgcmP3bwQlDWRvdFdQ0CEKhNd0b5U4t4T0eeNMafCHFWCIWOcB6Z
z3Iy+YEBuN3yh1LrfjyOvqaNP/5LlWBcx1jqadxbMCkz/4EFJEP40iLJFY697FmpZ6mo2+wm7esQ
8dLOd2S8rZtlXAl2GEOlydGEMQFPEiO1DcISK4FWZs/TfABgt9cJlmOYMUBFRG9CH0gWAkc1UCPU
w2uvvQrWdDNHmS8WwETswhs9whyVhiE+IwK6VWlcsmbwErP3g3h21Ew+5ooK7BPt3BTmW2/WsaPM
oj922qOqFzdq1TqzpNhyJzmaatjJLN0UefGkW9nB7Go7jVHEG7XTrOV2VCVuEwAktq2Oqlnd9ypg
y4tdJY77YeINYCrr7kjXdEu0cBcs1V1lxdjYAcWR20fatRprfyBYZpQFC+C2MrrT36IaXdYg8S2p
cKJR9HLx0SCtNyVI3PPcHaTZFjXJjlVjN8mzXRe1IwfzHsXDnVWavkXM4xy+hbK2a0rg0jTTIWuj
mxI4+WCjcOUSz4+ycfth8hRlOhZF6cQTb9WKavaWNjCu3RRnILqgDu5K8yWQX4qZ04fghGqJXX7u
Iq0GIAatl9yNfntIPExZeS1gUPzZI950+gsuMepsf302dp5F1KWahBGeGeI96Rzrjr6s6Ob5dIl+
khckBD3GP6b9KNiCzzHq9UT6l2i2yICUapgT9H3QuI4udJdfd6OrsSvcyMtetmVxlJOtMzRkbqtB
R0jp9QTh66IKB2xvkOBR6DiBct03fhyKcfZynOSNXmDBRhtrO0jcoLnTTHvML335rHQP28dajywf
whi3r4PvBkOtaBf0Dayg7bEULcLkuFxs9N/5Xe0/5DAOfxSiUrQIlEQNQmSGDdh/id1gsjoQp9NI
kkMcasQBP5wdGMHZ0PPr2M12GnQcaADe5TJhoDO7Pm06msiWZzKggN/aRPo2YxghjOxU5DRK1nOe
j1Mzrr9L0Okfuhk4s/W0J5Z8lKLm3BZvgsVb5eWdi3ErI7IQTa/wzEu6m27InEzyJ2BFd83OiG/H
9HVba9YKYAuTZ2mNA6ESw6ZEI/w/pVINDFrinlcqXZkr++RaNCZn1Ky6NC0RRleb2beiQOcMANrR
hHPBoVV94UxW99XoTEeOro30j4TWTAvwYGDUfSGquJtmoI7J6X778JyPyg48hFMXB8SEKuv1g6E6
KOBqmIdsOXUIjr9hRx1SMRprQacrXOFFwwxTfA0EX8BeFdF4ryrqUDZskx1rqAS57rsJuqM95ijW
NrsSPRCbDu2RY+oovEyMozwsGU+aSoGgy6iwaErjV/VXgm65MuYAeOrfV2/sRHoVpPJEhPx7GDYX
GX/qrPo+bcODkn+zmodhDLwyRLlEi2d7++Ny/CGL0NumFgCFNGhckU3Ye03tFAyBWKjh+PjVjtDC
gnTGD81ZVw8J5oTdKht8I3qVW7DpKG95lHzvy8keg3+C+Gsl5f5cDt72EXn3zzglWUvjf5m3mvlr
+aS9dO34UE7qxcISTxjJu2Ywr9sSebrMOKcmzvok6RFkiKBe5UnHik1rm1imIhLZjQZ3b4gTbFjW
4i5VraClvK36Wd9pPigeHf3pOwWdBXH4keulaOzasB8WSBeEMIUMjFtaV86+Ybbdh7hX/an2qMT8
iCWL//9u+ye/yMLqqgAvrbHgAKQfsN6qF8M4AktHBP7A9nfjaAqLlBKW2GzvaxjDlP4UpzvL3M+Q
kcug7wjvBSt3mnC3LZFjfiyyLniRQ1nq4Vut6jAUD2Deq3i0T39oA/wKygaTinQyWqTthCGn3ld8
gCTtFFDsesk58HvPOr7PcQK9xDikmCd72j4exxAMxupHVcmmGPudFL46HhVPsp4qpJNBbtoymIu2
ha3GKdQ+RPSoQHT5HlwXxTLw2pRpkU+yCzjCAgvUyX1mHVJenFqBeIYuLsTQzGQhBmxDRKtFZFTZ
z/YGpVhXB9eHbZ1zQH1SSnmMbnIc2Kq9LSQyWUE+i7UAOm3ZVYzuZhTKZ8EKOGmivPqlPmSwe3PK
bEhCJEEG5cqhtcb5ZD1YqJ7nbuRTzlAVAZJ2jJD12OQWRFN2fDe/grvj7W9mIRYX/F6qXFywgcGB
SRFh7Cn2Ea0f3cwzc46isBt0QR/XNUbOMQwV9gdLGy+d1nrD9HM0NM7jdNWhLG6VeW2kczFiiw4d
OK05zro3mr5W3WedaKfysa6fzZ5XZ1rPIBcSGWOPR7PTpxBjedN9fpDRCk/27/yWDcYvBhcOFEVB
+n/eYP1qPr6Qy1h6UBpJFBuQK09nLGA6WijBxHXYomFP2FafsN23be68u2XCepKMmdbL3b8Nd7wy
9tKRooLxKuM8w6B/X2hj0k5CGgaYkmj1zE36VxIB4a0/RNF5+KsR7aXmM64F7JADSHQnZNpa4+hm
dKsOvacFfWIreAOE8nhKTc1u1PmSjOapmjMfbj3CI6HfW212J5i1O4GGfuqAlCbFPCxgnuf7bdMA
EJ01fiK0GSgLPWgWUheR/5AAAUv3+2c+2tB6/+NDq9i9g9CyMkzcwKWb4Wjrwo9M8Yf2bLQ+sc5K
MQHi7tDqHJv9g1BFVSVRxagPC+c8TZUOcOX3buV4Q5suKSjKVP+v8ARpKPmQxKhwH1Z1nhS40BYQ
3+EJC1k7/VKComwGugPqny4B7ULt83AM11X6Qyyj0hCaC/1ooEWqj45qviQBiA3l8jrpjd/NExeB
kiePUeucpEYm6DAhYZ/ggfFEJ3KCS+JQeOzqi3qgdNQUa4FHMLHukz7OycTNtOjMMhEht5OBhCSd
utQbNAelb1l/k3pOkF4PKr+EsV3gvFenIk7hAIn6XWtln9TRcRznMwlMjuPjXCfbDC7Ah9uMtKKq
SKEtJteoanatUh6sCqxbSnzYdrN/sPqPg9HX9MIBWt1sASUDKSodbBIrO/T6k3mTn3oPjR8ndyoM
ovIQRHlHZOLmMMxdPmYwDDAykOZe1fdavcuKO5XHJM5REYsJl3iSWrJh4i77/NUAh2Rzqwzn0noZ
VbuW/O2bXG+uf5i7xcRIoUjSQAd/rEtuuqv02IH/mg6bRy4AO/3vqi1+mVzZHo/UGqLnbeHcz8j4
GjVQM6ulVDzqTvFzd94nXvyPBh4DYVcfiac/8JBO1uPzh94wXgYvDmkEohEyyvCbBXBGaTeP11IV
MVnlRhVqory0jntExs/MY6Fggg2ZeWKMgHUDKnaWBTdgf7tqs/qS94BeDYyDEPRoIL3OBGNsav8g
1f1+THJ3+7rpp/ztibz41IzrUSpBmFQFCpy3x2Q4h80XU+J80W2HI7M9X7XUCsx+oYEZ1eRcieDx
6ydPt9oTVts5FbNtc5TZjm+vJjUZMnzKNsHExUCcmDxL0WNGngTeoDLvVIy3yckwxH2P3LzLf5jG
zRS/5bPHBf/f/jzYwfjs06JArvXAwufRB6+IT+noGRGnFL4+UfFLBWSRcS01Ngy7MIY2Nt4AXKPG
kRDei6PspS7xdVf+nlw08OYMJ0ykgue1eNnWwPWZgIV8egcLv61UeTSGOkXXBEYkfI6PMVEVbwCK
x2a47eu2ON53Y9yLnE9GC2JHWPt0m4DwaHoQkp+TzFsUXu/2LU7FeBVBCvIeqCG09iQ6dLi3jOwA
UKzk2/voqz8Pf1VV+I8bk9n2YqxHUawpqK2RRrwmevLVrMvHoR9BP6dwnAbViD87DZnd3BJikgqt
2kP3Vf3QdN1XQeVx4nIU/z33XSiFOsX9KNONKmwV2iPQFGXQeczXbV3gCWHWZZp5KsYgwJXVs7yz
8tmN5dGWDIXjlTgq924Ai7NMUSDlcgsjLsQJaGzGtQVNQ69VX1NT3G2fiCeK9RexpGQqbfnGWWgn
6UFORkdWr2Az5mjbH/RbxzY3UHcsjaUdbJNexNrb/46xq85wjnwVzD8NBq7VU/fCS5HXVe5DHOOk
eqHOJatCxbMvhic1yI9Gb/COtJ4IfMhgHFHUoRZeqQYF5zN3VmcH97RjHn413fb4L0MOcoJbyevP
ucN7Uq9Hrg/ZjFtK8r7uc3q+KiqfDTKcSm1yzXb0atW0tYGHSckTx3gnMTCrMevgncxJsEW1sqsE
lLyhK057DEdu6+QfHPzH2Zh0J4xF5HMR0IaoK5xAOzTv6/13iiwT+xFnIHLdpD9kMfkMmeNABE85
8pksOPU6hiFxj3FdcDygtG5ov+SwvUYFr6ZUmDDMUWMMkYJ3ZYDLvU1uZme8hg5qjoDNDe94E7y8
q2Sbj7BtU5EVwEJQYnLdSf22cVQXj2OAKEe6w6twrqCx0If/xzGZLEcRAYKQD3gJNF6ig25O2wOw
ck9BREanu5lKOzz8SzwBHmlyo/CeV5yvyXYkxz60SkBtIaaV404PBDeQhbMY84j1eB+TcS4FEnI1
pUtnUeuR9rGRHpvsXu+v23bAk8K4F7SIE71Q6MMG6Dn9KWqcRDinCSed+8Pj4uOT0Z+xiDbCLFtC
o0JFMPOjfJFp7esf62F+wAqt6FcX9ZT+w+U/4H0nxp0U4DypswJHowDwht+cs3MMoIb5OF/BkInK
UODx8m+eSMapmHKQtokJh1nIR03CjPd0Y9WcVv96R2qh/ow3Gay+yUpapBb25UFyG7xISz95lp/M
Q+O+L1i66kPhl2fuhhEN1L+nWL++Itu6TJUoFkCHSCtu8hFclh44XkAQWxwASghgaZPjozm3yfYt
JVKbY0FXVAX9rdMSG4BEerbf1n+eDMaXTGFdGQoW41wSfY1GcJn7WsGjTuXYGNumRFm6sQjKvy6I
1mUgemIjAAzeqsBLf3hnYTyGrNWaVUZQDOA4ukZ3bWRgKHFxlnmnob9iYcrEiIoskMGG3XgSGqKj
i4npY7uvvfRknUFyZWeucGm4Tp9+iC3dYzwI6UhVdRicdsvgTot9VT4aAO2Izmm1rzEE27XHrNcB
VvUtj3kOn97blmjGkRCrauIW3VjXqL+oyiXgjrtRt7AlgHEbs2T2WZ1BCVUAzdo0GSG+TOx6T2vZ
s0eta/RatJn5ICW84G0w3qRJZW2yKFR8708OpUIgrnkI9haG30NuIsTRHRZuIGkihaQlLFrMYjux
HEmZ7ah2Rh5FzPrAzIePZJcE51KczCpBeYeOnCmnZHeDIIqF0sD5se0/Vj8dSiDAZ6Mwn2y7taqD
KZsCAyzMKrGj+FuI1jlQehJrsoPBL8l1W9z6wRbyGH8ll/KcaTOyAoJ6cnGfOT3KEgZaAOTIHdVd
fXosZDHvtr7ATs5Al9tan9IVDWf92P2kGxKNE91ZaECMXnptr01pJ3c8YAqebNaXhcaYtCXIH8kB
H3Df7rv3pdm/QczSF0dknFkSKIraEwxWTfIxTC5qCvI5ThRb1fmFCMZxKfqI7g1dqQMUkAMQJyM7
tFniosGxrRrrN6YYKhDLDF1mV/kjUwo7lXKniNN9kxz6Gj0/+UrUpyB5Crprz4PoXH2tyb/ksS0b
w0wmoI2BzCqROrsOXKGK/TK9lNaPv8M20heymJoIjitLoYghnNGy6chh4Oquepfv/+0sgjuL08Vc
9fgLeYyVpQZ0T09g1WrqGsP3uH7c/lbrOdxCAGNaUpGPFXgasYkXon0BICMhGL1mIgdsPN9ojXE3
R/HXSMXKHGqDTlYbb9qgeD3eNo3+phmAyypGtxRfxdZ82v5p6w7t47MyhjcTcF0XBq1p1Hsy7ARy
R7EudPO5GK8aSLa3pa0bx4c0xv6AiZsCXFhAMhGeI+KnyJnn5DRbvMkO3gdljFCwUrOOBowgT2Nr
D3N605OQc3HrkXTxTZk0QVfTNE4IMpRWkS+SjFcpwYJN0B3SeTqoJfEGHUlSGH2dy9xutMZPRd4y
AMcHsCt6liZMDdBkMF2FWD67avFS5DsxOdXK17TxW26EoGr6W+KyODL9PYtcsJnCLDQKHFm66zzr
SwRKu95Wbsef0T5z479CK/pwAwrbtEmqsh865d3FgXDYKE9NEzoxWMy2lXLbsylswyYGRYUpUgyR
EivqpDj3BfYdbGPs7CLIOQbAk8V4Gq3C7NhE8cbiyNEyv+ocM3RG0Rl7zrNx9XHw61OBhvDzpyoU
rJWJCtL2OTPt1BBvzbbxizFxt+/uDwnKfywak2af5VhVJfTphG+UK2Bt6naRLyIW2RPQwPgQdNvu
QxEZ95HMRCRJj3wyylTPDCuv7EVHmjMbpFIe52C8C2RciBl3aZ5QoLPaBQDlVTtlzxOxrQbYrthI
xKsnfZYkf+Zt5FMF+LOJgfzh830apNclKwmx+xjbFEyZ+O0+fVPt4K7yY9/6sX1K3iGZl4iADkrY
DDhkNqCmMJS2JMpOaP4F5QxKeAttZBxH1uam0nQYba3dYPc+Vdv5KBh+yb1hr+Uce+Ycim3bYP5z
1McMXkrVTuilq6M/8JgTeCKYBEUKk0qXa2i9RPyif1QB+9txisjr1d2PO3uPP5+crWSB2A31rDi1
hTs6jNzsMqeFJtTedCmvkifuqxMvFVqfu1iIZRyHEpEBAHEQC4qSXQQ0KuKbl/xE9wRLT78zMbgr
4gFQnchNeeaNQHOCqvJeWFweOskVE5ktJfWob1DscsZ9/tI7og8SOGLzoHp4n5H+fSGtT+u87SiA
Azidstw19ZtK229bGMfhv3/lhYguqHQsSMNltcqNIIIb/FTV51D9VvIGZnhnYRxHOyYpCFKh9YVF
nNF8kjqAbCsv26fhCWH8RTHKpq4N2Dtqgoua3Mr5HdK3bRG8iPLeDljc2IThuqkT8FEGR/LRRPQi
EW9eykIi7qW/qvV8aDs7yW2iGGJZDRLFNPYC5cUceSwQNP5t+HO2YGCleFwA/gYpU2O4gxgfk67n
xWCeDCapiMCDFqCVi2y3iS6SXrphhBaartyLTe+lEfabgUVLRMCvzznWNzFwIJIcbiUFvR7P1XP0
XWbcR2+ZWajRTdgOPyHInFK9i8ofc3yurHuOonBCpUyvZaEofR9bhhXCV2ABDkjbFCoHfNYq4G8x
uvjCq1BsP5SwhP1ZWo76ftfn6NOb4A1pMK7Y/NT0nRBg1B+L9hVqktvHWx+JWagmk4BkkWZlVg2D
tiRkAii+e6YGgBE6AkeLMTJc4rAvXbpDIQOuJ3T/qh28+AGsR0FzvTJhjm6tenrrgn1ZKr2m3RcS
56jrc/gLSYxbMcUonE0VRjKgNSvYw4742m14NMCM0bn6F7B/7I2n3k/etq+Y483YEW0M3SElqSdg
L+SPIfrPWXxjzJO3LYQX0tixbNg8hmE0PC+oP5Pgz4CK08KfURpw4QevJbWupoZkqpYqqTpLyg3o
DtDO0KX3LATOJ4DEZoXs+5acxKnbi+bgp/rrXx3wQyTz9RIz6rRygKKi2QdSsX3kgn4UrHDVASNb
6LpxxFEP8ptHxYMDELO6bAHp7bMhjg3oOdqWRlQk5u9wAmhGga+K9oB10Q7veHawPuOuqoqumpKo
qxZjCAFCqylWqN5I6WsFSukIwsx/BMyfA9OfJHZqupjzs7fPuaqcC6HMreqAMreGBE5dFiSgTbR2
1gYAbq044XZVXxZimMxcLMvGHDXc5jRUnjVcQ5M4RQb2QLn0TbPeC7LBSc/XDeKXSI191vdBODdV
hwD/74pd5BcaOvmAhALU3bDPueSQqwqzkMcoTF50fVSjpPg++jHeNE7lYMIKTKHjrtylO17rit7Y
b/q5EMdEYzOvpwSkY0A4A8ayWXf2nH5Bn2o2vbl/Bm390PKqXduqorFv/QQGT/qJPnikezFIvT53
w7LlOGmeECba1opWmsGMWzTI18SYL0qFFZZk5uQyvMujv2IR07WiFnOR7vSTQ7xX9oIXHyh4Jm9P
iXcYNrYawmBMMvoAoFTfK4lx6NVXq0z22ya8mgstNIHxG8ogiMpUI1sOJcG2uh9Rttf6QzL7Gq+u
yrUpxlskap9YRACAUXTQj8aecmeVXnEIbHX/l3Nii3MxPiOwMjUFOBBUAXwOya2Rgxn8Eulf9Crj
qMP6hN+HKPYtn40KqsUl7Um5IHZ1JbvZgX4Xoz/vnGAvvGUfjl68v00W6jfnll5LI2wXPJl+qiav
klLeBHX2c1sxuMdifcQ4TENMY1iFcWewjrnhMXzWMUMl++1OG2yeT1pvQCzukfrIxcFIXjUD6XCw
pCSmYyqPYWPdNVPxHMaGA+bSb51Q3hfZaNeg6wVSuTzYeBs5WhSF7iQ+qXnjxLFw6K30IIYyx054
t864FgHsJoNhISAo1bk07pMGisXplm2HOe0dKHhxfmWqxFynoJrS9KIEvjbEtj5fGvO7kbwN3X8Z
4dhH/xxLeVGGsEY6za4g4hCkRPJjdeh3gqu8bisT72iMlxHCNgrwH+Udyc6KVjmWAEzlSb+YGIUj
AOWaEouTm3Ac27u2LW4zNax2GAn9YN1uLr9MWm0b+c+yeEji/1YU42vCwcKCLs1n5wkQ7Gm+I2P/
1KvB94B86+eIt35HVW0jeLP1gGHUwEg5QFyvXBVNvLXk+v/NSoZSqGqASdEAjBnKJZ8tUVAVUder
AIWN5ibH2mLX24n2bVsl1qPohwwmvPUGavKqDG0fCPjq5Pk1anTgKaUeSR5rgdr/uNfgs7elrmvF
h1RGEQe1KUU1ROwWdTepnag81vktAEyygmPMvOMxwQ6t2hjfBs5MzLy5ulPjyB6HH0S4VA3IQ2u7
5T0U6X39rhUfJ2OUEPAdOZChcZ8ZOrGVL8FjY3u657jBP0SFX2LYebtK1ruQjAh24r3wWAOcDUtX
uVN7NDUuHgWXN8++Co++0EV24q4lRl7KNJC33zsvf8K72zUeshzVhclXHLzeHvUH7pzmuol9nJKJ
fbmkyQAnoRWxx/C2P2h7AsR5Y7bHe9rer3fGYGdv25rJ+X7sRF4YiZj+ljBwJXQ7wOpZwDwkHkjg
tqWshjGA1iu6odEJaCbGptMoZmIM34E1Nj14yGPH4oWx1YMsRDCRErBP5ZSZHRyv4hXgDiePlfnU
av72QVbtayGFcVFBDDaTKURRNI9RSi7uwtK36ptCvxQyeENmv+BxzPFujh57EU/qyTRzhRLZRSFU
j5yifLK1gnOqVfe0OBXjnqRsyIYck8mgOyttEh+09t5oGrswid0NvCXAdVteSGN8VF4ZWdK0CprK
X/JDeqEpQODSWfXeptSywa3IiSu84zE+ygKxsR5Z2LqJQi/Un0zzZy+96vVLon7d1o71csjH0VTx
89dqamSGYY6LbLJdFR8zA3sp8U7LHlvTM+OvYLlR0pSTcayXCBdCmUd8ZGpZlbx3KtXsxsjMfdhl
jtrP9qy3e6KMbgsEtJxEhy59iYbR6aXwRhzIRQP+gyoLHYAgAAZu9jLnh62oLoYBTRNEmLKkg0fs
82VE2Wx0tYLQIKeuVj8KGVqCu+0LX/myoD+QZQPkV3hWsVtOsiz2iRTPWAnSvKYBEtroacA8aEab
WytZ8S+fRDH+Je5MRapNFJ3y5qmRjdOUFnYMMBKrVv/m3haHYnyMXqTYxk1ReyWZP7a3jerMvFbm
mg3iNJohWiIYaPB9Pn8bc4r/d+eHVgql9+Vx41YFtsvsAdTX5ZGarAS2T+Lkz+LCyOpA+9SidZ+R
r0GrfMuHt21NWLOCTyKYENOkcVA0BqiClDsDWUJy1Y/FkbjtSXjGrgOop4ApVrjDG5cChF4VkwFB
sCWpmqiiK8uqeVpPXZrp0MFwUl4y4DLnOmpnwuxaIYhUxdqTB3BkTu01zY2rZDUcE/jDp/wln50+
bIuqpCCEwK+50Y8UyzVxgBGOXnRtEy/mUpGufkowqqLeK+lgYqYmuQhIUxyGWtMDZVUG7qiaNFdt
4NH18UQwAaJR42EEewxCedrsqqHfYSHT21aXVWtenILxTWPZBlYhYD0SjAi2RlSEcFxZpNh12nFE
rbrBD1HsKlqhgftL6JBJKpYtt4BsrLCK8OW/Og5b+J/LYErHFjPCk3k7iw9a8y2K921/vy2FdxLG
iq1AEMq8BntEJ+5q5bkzDkPy9DciLGwAWjpaNBZjxYKBdYpexihtVTpZ75rKxVAet0WsewoNgckE
uaVqsZfVtcMwilRG74f74VycBa/eW7flCYydXr2TXuM7HcM3vImKVZVbiGVuT+0rSSsmAh9IbnLr
TcOiKkbkR96DjHs85gojQVEEI4cuUH7e4KdKJxFFbFB0IHxo7kbsUNDps3LH6wKvaoemK7JqIdFX
2JbhOJJBRxaCLePsHwWIa+DNCXgE0qvx/kMG2zCMYy0JMMyBtmSLyR/pm6iC2anEIE7zo9VDTtq4
VhlUpIU0Jki2WZWhAYSQTxdjo9cGoEqyV2HSKPAxo3vtXMkr/MjTiGf82NbRVQ+4kMzoShdJRAS+
PNxTbTpgs7odR5kz2L32wv10OkZP+oyYUSRinZpuL6k4V7zDoMfFeJAfJ5CV1o5F7KrkOEPqun8L
louD0YMvokcfatLQgNEUYCNfiLZvO+DTW5cKk9/JUcCO7vY1clRSoX9fSCuJ2ItRBrYEsHMJ5R7k
kpXJKbisW/UvrVfo3xciLCGoOqwgolxNFNAi1Pd5njqN2XodmTlzq2uro/hi6OuKpomtX7bZqgIm
QJJCWLZ014MCXNlnZ/WHalu7FHHecGuuSa/1ThSk7pKlmzoAMdmKXNSm46D0JizgSHWk2Jk3OsC2
QuCNoNz4N19rIYy9yky1ohqe2e2Ka1u/TOp3vXr5C4VYiGCSly4NAgBwQ4QkgHYnAry4O/e8c3Bv
jclf1NIoZy2BFPNs3lMSP9MNb4QzoN8cbNTvto+0qoCLIzGZjBWM6kgCvLKq8c4sbyflMRBaW+BW
4FZtSdeh6SiOY+KEcRdinhctHmDobD3q3uQY33U0i4NX8lLEtrIjWLMd9v3r9tn+cJMfQhl3kXSt
1emUyI96YLrGD8r7k+oWB30/7P+GFQHa/iGNcRfjCK5cPccrhVI/UlTC4NCCpzXF+t9fwFx+EsXo
+txpXToGcPBE/VmO9V2Md4GCVihO64jqDy3UnzlXSfXgN8+7OByj+iBEH1MseanAdlaP46E5d7vk
OX0TgZpnHSl0kHUQbujmcuzzMp9V1cGcuW6aoqGbIhPN5kHUQ1Mo4YbJi9HUntD2p7lR9pwTUg38
7YQLMYyGVpFYJbUyYjUKS3oof59qjLycY4fOE4H6sXB4IDirwWwhkNHOANiOqhA3KrzJ1zoHeYZ+
DKtzrV1Uc1/Irb19vvVbRPUeHRIQgLLg3Lo+1EQocYvEeI6n15YI/tw1nEvkCGHr7ELWSXoqoFEh
YH5Vv0eSPLbu9jnWw5jx6yBsaV1Q25BYKmrMyTV9UvxuFx4jN94pu+KgOP39dOLp36qLBNOuKhoA
wtEURvUVzAuWCdD6Xbm4VupLVFxMLH7wuPXWr+5DCuP1ActuqGiQYeZSzxyrxk7qqNldxht+XPeJ
pqgYuiFbksVuesRFXwtVhDx7Kp3yAG0/TchrsBaNtZKvoC7mROW1YUtFWshjXFWEXSM1LKHl6Nhe
MRt73+7HvYLpudsBnRC6i93sWyfy/oe069qtG8m2X0SAxcxXxhOVLVl+IWzLzZwzv/6uUvf4UCX2
qbmehwEGbUD7VHGn2mGtyB++FjYQB/8kwK3kM1+vnMyuSmWo5NDtMatkd6EXR6pl8sYDN7/fSg7z
/ZY8HKKQqn4wnwf1tjUP0sBpA27XalYymGAtaAUYrUNEGNma7fKGbhCk6GIBTM1Wjv8F7i29m08u
8SLv04xIsJRKNOHbSf7oSnbvG/vBalz1QbcxAk3HZI9taHUe7y24GWxWcpmXkwS4+yiY4YrN8TFp
m1tV/1ljxW+sRFsODYcEYBpeDG4lfDMCrMQygaZIqkIVdCTIrYuFq2+1HTkYJ/WFs37ofJDyPl73
ZJt+ZSWOCTjZKBpamWCRTBUOaQj+3yehtMeUs+2yGWVWUtgok6jjWCq14hj6Y1yggv9LKgCnMllB
u0+4CA+8M1ErWb1npGXMh8UAQkebu3m+A/5eYO6VjHMmnhNjx0DMyciima4xd14PWEHAeB3UG6Df
++hBHXmwTBzLfq+YrM4kq1K9YKtYcRrZnrRvimR1Pe9tRlXrmqUx3oNkUlopCyy7EyRbHDAGO1VW
pjQW0uYbKUCOUFbe2BPwNeV2PEpWWCScedWt7hM8tWwQSRcB/cT2cqWi7wPkVQgJC4DZhfBxRm9C
m/4iTexkie7nFGOoqey2TTk+ejumr0QzSoqPufzd4FWtr8ohxpRdaad27Od7bN3chg4Xo3Xbw+gS
xkSQUmoK42GWqp3SoaIK9M+oc+jqoWXcpX5sGxaxO4wG0OF4kEPr+5Jz09tGchHO+BlFqEeQC0B4
D9YX4a3osOnmRRPvUrf19iKG8S/TIApa3SvQW5xR9TBndsj9ANuBFFsG04u+YfPyv63VOujQRSbz
IackzwSVRnthNzjSXy0QLoSH2M+O6j0AlRCj2qPAzTG2cMw+SGW8TpNX49gI8Dr0awIR3o1d4aa1
Ypdu9dHCJQV+wQAgxi5kTkzmfUv67yvnIJilvujaApQ23c/Q7+4GC4jCk8SJFf/i8S4Xy6QxY9c1
yhSh40CpVcmJPi6z44CpxtLT/2h978OFMu5omFoR8OyDAqLnfocZAlsRySmuO/d6BORpKJPPYJU0
BI0gIHPMyBqr3JIa8M7wFsP/JWv6fXUsW+EslVoRLD3tsFk04wWGP8V6SQcrQCmqwn4PL+nlKIXK
eBfgoHRVp6FMOSuVPRonYBjYae3IPJ47zv2pjCOpsc6clCISllJ0E+kLqqGpxsPc2s4BL7fHeJFa
EdUZWLeYflB+CktwO7Uw7EqzSQ9GjbjjRXbqID4Hwos4xoGYRWTmfWVgAs0EKn8A3K0yssgi+jGA
ZZQZqW+evxA9u6/m8RQLBEgpv4I8c8uk9f4n5VQZpwLVTGXU0TGatuwy3e+anzJ3uJz3ARnvEbSx
rgcFvEfr5jcE4Mj52XgLTrNHSw6hpwJCE9Bj18+1nRBebpjxJGpeaGLXIvrood8nblR4Hdbvp+xF
DR9J/v26sO02wSUgsJSFMyiDDAAkoOyAtQNsnHr9l9wX72Sfjt4px+iQnUfeCXkqy7iVduhzLY6R
TIn6YzoBB6x/moMOBu9P4R8sE609JduepYvkqZ7OmEZKkDcER1Hfpzz6Ho47YTuOQQxGFlJTd1Id
jeiukf1ctPTY5XwqasmfTA8DHQY6p+CcZnGf5ckoc6yAoTJwMPwFoISZp93RbKF6aN6Zua7L29T9
izj2cRlpaa8bNQoRQijtiy4FM1G/Bxkx71g8OYwzrtJ8absRDyD6qhv2y87Ya2+1M3vETQ7Ck2GH
Hg9vcTsNWp2NccxZ15CwGWFjyV74ChBLsO1ZxTE8DW4Icq7irN/lR3PP2zjbzuBXYhlfLbbVpJp0
Uq2TMYUPRJfxaQStQw9MxtEalVszd6uYkwBtZtIrmYzDnjsJsKcm5lfopnDrY7DWE3yJy0nK+4r0
31d5FmipRwEFduBcBAdAT4z5a8WjVNs0s9VJGGecVmYbSAl1jORZ6EMrC1VLbb4oMi+kbj93VpIY
F1ylSlt2M0A7FCE9Z63kzuN0L829I4HIPpgInlnpee5nO5FGN9YHEDdqdkfA/wfApetWuJ0drX4L
k+plfT5HqYHsaCHIjgBDie6PneHgQJpJkDbzV2Z4n5Jxzwna8EJRIZVtmslrBxCzYyVo5HN9bqYS
l5OxGwd9kosY+kbddm6syVnolBpYlCpgQZZ7xFcruufhum4GnpVExtUE4HlvGxM13My4ldJ9VeWO
Xt7kgpNJNSeK874byx5XNiMwh8LLd1s6ZLWx/f7dMKOBrJYHQLAdy1fHY9yLFNWyWLfIVoLz5EQA
0NFval+wzS+t8zefg/xK3q6rJ+9GGe/SLZgsFnWkD1pxE8QNmC9lK+93BRDvyfh6XRbH/lkcAllu
1LifIzzlTEsFcwuAB6Tw1PEmzd+BGq7EWYnxM7EpTaaW4RqFo3Iwd5rfg1TZRdnjWJ9J/r7BriFS
EHdylxvVBzsCIIF5T5TtB+XqYzI+qA9MI9Tom3kJzgpohiKbSKklkUcFU+LJTg3vAQcFN2BYCo8h
kyub8TnmEMmNAdpsJ+x+NHLhjQXwnvrqTCYQyc+AZYqmfW7+FAfhIcsfBZkXn3lfmvFAvQ4kSTOA
nU7AOscQVf0Skhs15g0AcZSXHTeqM71Sewkxi77ZjWf1R/lFuzNRWxId9Ux5nrtz7Mij3fICDMfD
yowfIhog+jqC53tY/6xTaxafBYlTw+I4V5nJcAYjwhxXgqc7Rvp2ptk7g5bcX7dHXhbFzgyEY6XV
OgUKo/cX75YjnTSejrGtoUKn7SjPafOF11rn3R3jcWSxMBtxwrMvkBNbDExr0Q1rnni0kTz/zQ4X
mfE0G9JH/52iWvX/8N+cTO3TrFGdachukN9UYFsRzRsDBOA6amPB22S+zOShiXhl1m07U4gkahIw
6XXGx+CZUWrhBD2UBicmvhahJ/ai8ornPCmMN5Ew6/730nSaG15QCVYZN2fsSzpxyJs/27ZotIEx
W4rFBIXJQsHPMMlGgpQiE7xSPHTzSTVeBCwXY8uKo/zbr7GLKCZKDAKG7DUDojBjBMzg1F1+DDvl
DuMP/uCnzszD4ti+xYs85lvVC1Ybe4rCU2SDtUhuIqMS3tzHdcM5GU8Q87nA2JEpQYqpuj7sdtjZ
BJJnCkDw73k6/oEkEJKZpqSCiZm8m+DqzaCMzdKPGUanw+JXBiDw8Kda+gsPInvLE66lMA7DHIpl
FAaswBHUSs1AdQVsTV5Xhq0rW4tg1E7WejOqhh55JVBghucFfAvGvdnvr0vZ8nxrKYzGhdGilxqe
QI4EcLr+rmwcI+W49O2DKIpkqMDfBejLx1ccWFUCgpFHFBMjX46wLFY/Zi025XlffvsoFznSRzmS
JJPWrLBnl2HNZph/5lVlVeGv6/dFFZXN4yTxIoRJh5XFzKK6wSCKAVq17hRqN0X6NWzuo+gx7Tiv
7M3cey2M0bLEDMe5DlEDojjs6i64m78kjnIHROF0v7i505S2LgNGiqN5myWFtVxG9bJIHUR9ArtP
sl9O8jFysFS9F0/ikbeLtW1Gl9tktC9WeyOT0ZTEjo+nLw9N9nz9a20G3PVJGAenVI0uaEZM60D9
M7yOl/pNaE12+USfuf0u+M4RyFNCxtGZXa3UgwmBg5c9ESc/GBhb+NF6Gl7Wnd3UwHoMPYlXQN+K
GxI24DVFJaaBBYWPqk8aqUizFNAo/7znyxrveYXmFcT+796FW8CW8kok22CZ+kruUkD6Y8wScX43
nHI3uUWwwuXOr8SvdpSYed6pnaPcZDb3Wco5MdttiVW9DCcVVS8shJ7iBzzcsBA6ohfnzY78/F/g
ZFHv8dnwf18x23YZxCyKysGkGCOADwWH6WDVTn2iY838hakt1MYPt8u4mSRbGkU20fkoTs0eW9ZO
bqcnwe982sC9rrLbGns5GONkzLEr0ibFTRoVdrOAx/dLj3hmSF38tctjHMqiRIsYDHg4wKGgiJCn
UM/Y1v3aU164BVHel2KcyoJ5lKl6L4jiBUFHckO3OfYoUGJLcf8nL4e1GTAOJpoVNc9FRGm1dqTW
Cqavdf71+gfarBzSTEYUFbBkSCw+SFEUmFIFJrWj5hMWEmK7iTtvkMZDoj6Y0xJbhVJYM9GsKjKO
4oICpqAfRa2ztZjXH9t2qKvfwnqargQhzwCzp8yeI9CDSGBP9xTfoLGzX5lf65xgtKmeF4FsQa8r
iazjyUkzRy9QaidFZSJRIu/6HfOkMDmKQORJKzC0CKC2UyW8xs0IhKmcY2m8y2PLd+ZimkpBZ0AU
H6Oe38KD5nRu+7V3DK+gO2Qv1w+1mausro5xIk2D/TG0GpEKd72tyF5YnnIB9D+3SfcwtJw9dmpV
n0x8JYxxIylRk15vEvRqa2JpCajsAhAtl+VBkzkxdjNpWElinIlexL3cgNTCmSJflfbm+HT92ja3
4SQCVkisE+JtZDACNH3slbREVkJ1XAGcVPBWnzGBZadAAIPDvw1uZKvwefgh1FV8vsGLWMZvFYXZ
GZqA1GGZ72Ttl4Y+eFKBLvol5pGPbH+riyTGaaWAs2kHHYBDlXIa5NtFeioqLwg58208KUwqJAup
3FUEriLWHAO4jlqzL837vH68/rm2tfxyGMYjpdLYxSoWNGC6zx2QCTogtU2PxXJQC1+vOVr+Lyb8
Wxq7OV31Ofi1KRxh59B9jwLwsWFpJz80K7vBhtqBC0S9re0XgYxnSvo+SxaKHhIst6Z4X1ecZbRt
z3f5+zSart7LfZBoSVbj72vqESiH8bAzeKDdmzU9hC2C+QMFa+8s5AJo79Im7JE76SDxEdvwDjTh
XwT1l9RlAFkOrXJ+TWrkqeGvOG+fC0EA/cE3MuZeETyaWO91rmvMpmICXkI0FKDjyCyQwZQactCQ
Ea8OcbS7SLfMWUcxov8eNwVHXzZvdyWKud2s7CVpJNh8bxpHqWeAD/t41XPOs6kiKyGMn5diXW5D
FeZc9ie5OMQpx5C334MStkgUIHJgVoAxMbw65mGQBii9oHmDVni1sexJVYElpQcFdrv4qLg8ka6z
kkzjHG5beSQDpCEyAGpFFjwg1DSSiyk2++kGowSLU1vbQMfAAii7PzqhjX7baAGEBt3b63qy2bJA
1cDEOiNQiLCP/9E2jHYMRSBw0ff37Nb3GaD7xTuwDaHVDVxX7hwlVYZPAWAljgkAlSHEU16DBkEg
luoVXuBkL9O9Zo0nMG46E2+Khbw3na4JZOLAe7VRbGAIbdDawFuyRLU8dk1rY5ozsUqpBzbAZOd6
eU6HwZmz1KoUYV8lwhmLanYoLE9tltqFAo8rY8YhLQGH3h8LkWDqTvFrMjtiINkBmRNbT7ODIgGT
MeqOHVFtIjdukOfOJIoHKTC/T3K3m02QtN52c43Su2anUm8ZbeVIDcjulOKc9MVdl+eWNppuFaon
LOhYvTD/6NEdnKLcbrPgm6RUz7rRPi5xpNhGgIGZqv6SqNVbGEanUsDCmhGcC1GxQKN3MuTInyUB
myGLBQM6mmbwrdLI26Q2Lqg6nckwz3n0Kg+5hYEip6xeyKLvQ0mycj23zORJmwUs5hMrnrH4rFU/
JPVNH4abrp3dCPs8PVhV8EPQnW3OhYn7Q9+tSwtbL8LYUvvXXjYPfUGwhhvhuR4SW+01v0SGEVkx
BpF7eylfcgNjWmPZgdFmOGTqjOZc39hFM3yr5xQV29qVysQLB33fTMPRFESr7X9pYfuQBxg8QVwv
Fwsx60uz6J4CFsSi4JjnZtKiqlj2JaqMfV/GwSlxCGwEivhvGiCfUo51i3kGAMgVp/CFY42bj0gV
G1noLeiAj2a8UKwuolYQgbyDFNDQGx4kUBXT6X91f13Wptu+iNLFj4Y/NaWi5QMMo8yaxwkQnqZY
fomSmPMg4IlhYnuuxHKT0IddKZY+QaJuzr2NaZ4/82NYY4MzgwNlETJMqQxDsYT6UXgHwYqwOUHL
Qzo2J+Yjb49n81DYmPuPMBqtVglFMqJobWQAaFflYq8byyFsi2OWiJzi6KYYRZIkCpMiAfvjo5g2
mSR9EOEsu59oaIPd9jgUIUe5twPARQjbzB1CsVNDkO3gJUC5uWkp1AB1HqbK/f74BzzngLpAqioi
JxENdlVf0IV5SAssLkeFPUW3geSmOUevNzOflQg2JQd5ygCeW7SygoNaHXTlmIJnTP2TlHIlhfk0
ZaOig4tTOp30qxsiqyB+wFuL2/78pghyYRHYDyzKQCEB2VqjCLSNkFlT7PajaXV/gqoF1cKGOtEB
ocD2oqdJ1+aW5j0FcabB7qebaOR8kW3/eRHBWEvbgQQGJTik39mjID6kkmoJImhFhl8BdwRt885W
vppxN1owo2bbhMBKnaRngoYMoFV/lgFx/zfnyYSEbIiiYUHe67Qqpq/QksV/2A8yd4iNXs2n7EXT
JGBb6CqBY/voAbQEc15mA/Su/pDemF7tR45ui7egtsGGaeplPm/Zn+rtNYFMfqZ1NQbLFKiDWkme
Hhwb4ZQKt8CeNcVzEL+KPGDW7Srw6oRMfhaFOoLuAnMVD6OLWR0QuaaomgJx6MxLPjc9w0oU4xmG
MlYnsYXXXjJb7yZrAkOKcW4GXqdiUwdXchjfMPeNulQDlANP2dmi0Qgof6DCqna1s0TYukcj6I63
zMf5cOzUMdIGRRgoOBitu6UH0x3fZ+153aztQu3lcO/fcxX6giVKDIGuAyt+4FMuaPq/7pjaxqN5
L7uVX/Ma+JzrfA9gK4mpnknNBHJCR13MgznHVlUZRyV4vW7Rm04K2DGY6QBWHWoFHy2tN+d8bOkT
TJpuR3GnYdxiNEBpHDyBpY6XrGwf6SKM8YiiGfeDRKMHjbnDU+rqiS2f/2a0QP/ji3bDR5vY1v6L
TMaVNODwLkV1hIKcteKHXtxN8VsvcrK97Xbu6hoZ/yGQRBqamSJ9ujI92SG1oxf9TA0a6H+2+vZH
pEOytBLJeJAYe59YnoYHSconfbgpMe2TBXfi4okx4X04qgWf3ePlEhkXoudzBxL5GVriU3zIwpl2
k5UdNWzodr55x9u937Y2ncInikDzRC3no1aGBbDF6wwfbfCavfx12YeHakf88A4lWq/2BMAb/YEZ
rAQygU3SsjGVQdrh6K2bGl4lHATABZOnlsfFtWkCK0GMvalCFxGDwqbrxBr0Q4w9VeHh+lk2q6YG
SjmobhgEYJQfL2/q1W4OIuRPIfbq1ciRl9SKX0MhsvVxr4Zv16VtHsgEEatOBeKt+FFalxshqJTw
Spyn2yWZPLFRQcWc+38iBSAXMnDgDTTLPkohDYmVntLWa7I3B7vBPOkxRwWo8/mk42jC/SOC7XoD
lVHRAh0VoVYEU5jQgSXgj96eKxHMXaGAOk8zwZfRiUMqp1EPCg8xcfNdg3aiJgOSUwY2DOPvSGQ0
ZjnhGANgb3Sv9c2H4n2HA3P5D7xt2U2/t5bG+D1DLppIDhE+sPFpPlb7ykuc+IxFNAcIihh4lk7N
F24s3vJGsgj4FqIbMCW25mzKC8aaCHptzVca9Qsvri35oYSb9WVQHwpvEy9ybUXJtUSqO6tYLGkh
Kh+YcnYqFY0iQITVMrkVs+mnaqqWMhWcVxZPHPMNa1Ik8xwA3t4ITqXuGXFngeXKwgx7OfFYwjbH
19dnYz5h0pVpWGtQStR1doFdYeV6cXp7tqdT7wsuOBCxlRxjw0Lbm2c6miQ4PLvYLASvfwMTy6pc
KrRgQi2dTpyonv6Vsr/ldvEiYIR29gxruI8NLqnpVmqwlspENTmfIlOijBlhWfRoChu2pjU/lbR6
7NXQu+7ANhP+tTDGg8UjSqVmAz9ZnLDk6uV+Z7VOvUfaY/N2AbZc8koUu8NIMnPosGGI0kbWOcEk
+qEuWZE229ePtBVn1mIYb6aiWVYYBRKQOX0psYuNB69lFj4w79PW0YF3cV3cv3g2HbuMoLJDd4eR
N1TKOEQaSmnKt8WLd9lt9VIAc/gfwtPA5MSD7Vu8iGNSgtkA1n1RwZGqnR3Ih7l6yiX3+pGkbUO/
yGBCtai2OYoUADDtFqDo1UBkVYYdAVhU2KLyHUcYPWkdsdf2cdJYBirnuVF66pwcKKdYk1gdPO88
/iJ5a03oKXeB4etCvk/m2J6LDuX9X2QAYkMKEHSB173ZipeoOZqKrMsKJtMYhQ6BwzGgxo5MpnpS
Z0y6C2/Xb2fTPC8C2H7sMAekXSjXQTDfj8M9iFhzlGvH++tSNj/zSgqjVVPUk7aakdqmAZYeAE5U
AB4FZFqc/YpN9NjVdZmMOo0j2BLjbvp7qK6/SV1MSgUO3lia0zvCDJp0kEQ7011lZ3b44/oZt8P0
6pCMnglAo6k0ZAWOMd/GdXvoJKxeVNpRw7RN0gMgrxfdJkx9XU4OQVvvhdT8Hhi9343yGaCpOkfv
ub+HiafdGCyiRInHa5c2/iK7BqrHfgFiS0QJVdx5N4yWEti8OYxtH0KgsqYO1FTMkX8M5F1WhQJZ
aJKH+Y8UXN2h+1P/hq7fsbDzl+u3vq1ZF1lMeFHbcgEzLX3EgCGGfNFHt+CC51GtYZNWPJN+n4cx
wnipGm0SYIQamBwkUPSFhu5VU+8VKXHnTrZHIbOjOXbELLaEScRF8zi83rePPv8GikKooaqosa3U
BnBwI7hGUaiou8gp4anC4DFMEiuqStucVUeVGvy+L3FSFmiGLaivGW6hdrteaL434mCVpNuNyWAL
MdBs9BCXBaAeTbpZtMQStGynj6k1hqHTEfFmnLI3dCPdoU5RUU3tWUwVnnZuO57Lgei/r7K9aW4k
o6F7XjQbwVQ7xuePxr5yFxvkzA4ACChbK/a8eMQk2wpzkcsoZyGEPaqQIENTFE8WjvNwnM3XP9HJ
iwhGJ+csw+uKEmBGDTa9PAU9WeXxuojtTAep+X/0gdHJOkwyGZxnxCkbbCADZO4Vhh3uKbQN+p+8
l/t2GPotje3jNGYAxj7KkSo1P8Z0sfgzYzQCXNFvdvtOWWR5rEH09161QtnPUyqA5i225kUHo7U4
t8dRPnYRrx9Dg2ClFF5DykAXs/zsZ8kv+vZBzwdPb29EaT4mTx3Y8RbhAUPaZ2xF++kYxHZsCHbT
VZwJkc3fIwHRhmgqGH3ZBuNQl2QZCd4iKoiUMlec76bFiniObFP1V1KYgKCP6hABzR1UsOQmrO9L
9ZYX5zfHu9Dt+X0Q+hNWVr1gAKNTSf736F8O7BLAcrrFrnPHE2Y+uCxDCo2pn9RmJY/xImmvDnFi
wotkUgT4wThwh6FwswyDtHn81C0N2Oz0gxyY8GHCPi1/iSHA8oMZ0wiPSt/cpEvrqSHApxY6M9J2
xKqnwdK0yk70wJ5nGVG7dFFQcvOx3Ot565QhsG0r6TDLgochy5tZig8itMfs0/tOVF0RE0RN01lF
Urr42EA/N91gwkKp1C2RG6QpD4tgM71dXQHj0EjYNbmOVS6UDSmWBCCn7qXXTLdUH6RwvgmMFefv
FQbeouJ2nF9JZvycUuhSbHSI87KFfWDMpS9HA+CP+b5wY4/XYNk+pqIZqB2JGCdiUshcS8dIkjqk
kOrXqD9Ow3MVnJLcmXntt83xVTSSf0tiksgWLPN5ksNMaJlZw8a+se+sCBTwlIeu34tgqZjvszPP
x26+9FZimfRRGSLsjk80R9adMngOsYoZn8zosU12FQ87cNsTXI7IeIJsUPq41SHLKO/IFFvJ8m2I
3jhOdjNtWh2I8QWtmrd9TJ+SlHaUIkmk52rXAjS388cdDx5wE85u/dUYT9AWAalTvJWc5me2173a
RpvWFUAbETzlX7sc2GWjQwdMs8Edj7zF5M1tnrV0xggTJSFZMsp/T6ZTyPQSYL07bU+l9oA2dwuk
2+YpOWluYBe+6nDuets6aDcCG4KYE2XSgSo1RKPJ0PRpHOK913VQHxRwB6UfnGSfgvk1oW062h+t
3AKf/j+S2dRALKSgA/4lhhW8wO8e4fHPyt1827nRrnzUQkvlqNW26l7kMX4AWJytlowYLQLZya1R
pJ4R1G+N+SfwUetjMU4ANRfMwUk9Gj9CAIBCYDt1BmiYe0dOZ97Ho9NQn4PY5UiM5U+JnLYVyLmd
uceqTSI4edzeLlWxV4LpUZwCQDskd0Za2YPMKy9tNoHW51Q+BuwuCxVswiDzCM5k37rGgRaXhyO5
UW4Xl5z5rcJtN3c5LOMVFgOjtoKwYA9M7UEaWVl1ndlpX7kYvGsnPBBjXk2LJ5HxDI3YATp0hj8H
ao8VasONTOJz1RE/Itk+zXM7imaPY4/0b376pKiaozRNqUXZWaSkBbNjLOFZOh+UA8oAntLB/VFc
TZR4j5WNPOWVBpLrYqmVX5PKBORmkhY5m0IMMjfaQxo8p/FLB3wSbSDOkrb7vPuriSZeLr3p5ldH
ZVyPIUW9klVwvHGBEYtItFKpeOwi5alFIanpY2euBzft62NEc+j5BmuHnMfQ9csmIjNt2AmlNMcR
7McYfpRN4gNb7qgSzDdmjXv9gjedz++zgo3to7VIVaZizQm5VmN8lyW30SpLKfbXZWynVSshjOvR
oxwdMh1TEHiAOxiFtRdAGHSW6KHvcuQhvW+fCNwiqPWitMCOaLWt3IlCnqFIJBmWSuxKnJ2Gu/Xx
WUeQtGETSNdNTRdV9nWHqXhgusRoPdCZBEz0HilSsfCFVuZDj1cS2rjAj9KYCwymKTanEl/pff/I
lnfYMTnT9U9pNx4lDmANdZAfbe6jMMZ5F+qYzGmO+EdSjLRX6rkfR06n6vM3+iiC8dHJopIh0VD7
UaTXZT4n2CEgHIf1OX/4KIL+hNW7TRzaalEmwB4LMRg9QeCIVeCFPAXig0J4pBqfvdRHWdScV7L0
uI2CQcLKZ5JEx6SaHku1v4/Hv4Cp5lQ5ORrkOVb//ytbH4UyCVqrk0DvdCRog/AtmBI7LV4j3Q4x
HX7dej/7oo9yGBc8I76NRUT3m0Kgrp7Lep+iRqdwlI6nEYzPbTEmFQ05nrJdk5yH2nA7sTxr/cCJ
JxvZwYfTfObWLet6ALq6I0RWnVnaga5SY2j8p3xWrHqPWpP3B9XjjzIZHxvNpSBWDZDuKPQkrQSZ
DfpPFCut8sXc4qXunA+mMM4CBQTZiFXA7RDyKwubPTjFrHoWn4SQC63C+WrvxYyV4g/ioFZLCkz8
ikRWV9y36o9s5g0IclytwjiLQCREKClwc7Y3v2rY3hZQfyn+ooOB427hqft7P/CK+2PBfYQqHISs
ilUnKvMdXui2TrBHNOkoImPPqEjBgFzUlpEZPyRUW+ty9tpAeOnGpxY9NEueZVfV5wgVF1AzKqic
L6iuKG+aMXHG3Te6IR/VivE6YRhIojnm6nvBNLZmt7sD/VP4/i4M3okau/adpfG6P+CEB4XxO6AA
UBoywR8k0vMin9XQvv73uediHE6uC2M0gPMZ3xtTGo/T0bzpE5wKz9x95Qtv41HgrijwIiw7KRT1
kQgaQSgZHR0DytKxOQYezW0x/3KzcD4dx0LZmSEZaXQ4VXBCZgc109zC6J10OOSqz7lK6lmu6DKL
iRGArqgtDFylGngKulZYlhqrn/WwSwZf7FFgR6m9OcXo+XIE0xzhmmDGBzWx0gRjkKn/JCyghNxD
M+lrgZKjRr944UPiaCU73BM3cSL2EvIx7ds7x9t9gMph6Jr2ZKM/acu++HU6vLMb2ditMmz1VnXG
HQ85Y/vDogiqGqAuJSy2mhaN4RyXMwo1mVNVyHN1O+6OMf4f534/P7Cp7V8EMUY4kwWrc/TDmsMv
XdTgozI7mO+MzIs7Ww3Psol35/xwXer2HV+EMoap1qVR5RpK4VF525h3keRd//u822NygDEgRZR0
cGjDqbiNk+cst1rj6bqM7VTt9xnY+F8XsQIa8RJOUy1RHn9Uwp9Z5kalR8pnzXwKIk4fhH6Iz4Zw
kUfPvIqQvZrNaSuC3addQkfsvDn6mUmvlfm1KTg6sR2LL5IYlUgCLZ/aDANZpHUzzW+Xmy7cXb88
jgIojAKgoTxgTRJW3RBs8nzPUo5f5H0cRgFm0mhZjJqxU4UOmSLbzPwoP1flTRV66fQXP3Hn3Bnr
iI2+I03TQmDRuiW2yxMDVSnest22CpiU3l3B9ABbOanKoaykEq/fQFAt8hRWTx02RU1w61jXP887
WshnZbtIYr7PFDSGUslU2dweODetXZ0WZ9hH9nTMOouWqgcXBZxdvdN2OoYeC1/huIjtC738AuYL
ZmHezLkKlPV5cuNYt0nmJrwBn20t/I8Mky2OtHmWa3KFBSkpuIvzh4XXSrj+vUy2JJIEellgEhqh
pK9dvR2xyQsWt17cjWl8mMzEvf7V/iX1uJyHiZVirMrCjLVoAEgAnQjgIoJLHmRf8Ro/O/OGBbZN
7CKMBu6VP4rnJEuNZaG4S6on70y3cRWPj9POPRT9iCs5imQqTVKWQEFCJ010Wyu/F2wNnKuGl9/y
BkF5X4xq5UpYoAnpgAkIlBPKZxWNdv3ULJlVoV5WphwvuzGQRSPv5QIZh56ns5GJIZ48gze7054i
X/evCTaW8F9cink0HwMYlvoq/k+mZYqMf1eNMhQTE7wMffetG08lWrzRnxVNLodjHIiip01fUez7
qAhB7ZJ5YSZZZWHYYj3uu2DkBMftgH8Rx3gLPO81NQNNsCP3diVhn1a2hShCidXgeMZ/eVP8lsTu
e01D00lFCQ2h/CPEIi+Y/v5GMeAx4miHX9FVvit/XLdrelf/7oxNdvVriXR96BZM7kbdfVIufi20
tjaKT6GQ7In4pdMXDrLIxgTNB9V8t8mVGcjxhGUbTG9h2azbV7eYogJEMtgCbir/f7Q4dllk0WNT
rXRkAhlybCAtKMDbaDIrEOxpGXgmRx3gtZtkfEmqVHoy97RaeG7/avYFpqCjF/UbJoOc8YXXcbge
wcx3TVpdIsJNJgATna7E9tYyeK30a+G2GDkh7H2wfS1EH3ShrFFjUHzZKw/hvWljvoFutNEhxvzH
7JtP17WRawGM+6h7YgwkQHJNbikGnrwD5QRQtAVbtxXTQo/em0abt5HFMfDPOHVDK40jHrpp4TZ1
4qqmH2uDU2tvnNPRsHVNRRhPMs26MvaliPIhYijtFk/H8EuHG31/wANPiDOXy4k4LAZdLpmNnCtQ
yQUQIrMqWFpq3JoNCPUMeZdz92U4FsDOsFdRL8fAYKVBJ9ypp/jbsJOeWkfwGx/DkjpPVzZPp8mY
D0WrT8Xq1Md4OnXVHNdZC/atQ20BLxEs95b+UB21U75HB8xGYuLnL/KeR4W9aXsruUxsXcpKMXSj
Up0CiwdjaA3Cqeem49sRfCWFsYSmA3FsI2HZfZxtDL57/0fade3YjSvbLxIgUflVcYfO0e0XweOg
nLO+/i62cWer2TriOTZgzDw0sEskq4rFCmvFrnGHsXSnOARPYIlCQ0x+pGYIBu6HfTXlrY+5Xpcg
V8AhSl8C5K3ubpvkOE8v+yK2E9yr1TGWIKbpnEQK9rBBpY24hbOcAyDbIuGs4+jQLx56PW/mmCeU
RUfBeNMEnGWkI5Jjd0RbDEXzzM7BVYb7VbbR/ncoeRjsnL3UmaR63xcGEDLhQgdU4AZYuHmIeFyo
PBnULFduuoBLmUJwoVLakTYdDqis603n/dGJaZKhGoahfsKUGLIu0ZNBp/G/5FHSyglT/dI9JawE
+tojmvY4argdnCMB/f8S6fW0WleK90ZNau03+gtlUwDD8WE4CX4OjASeq9x8cayE0U1eCRvieJSn
GFmjCZnV1kfPNkbtG5/XTbd9Vpc1Mb4jGHsiJiPdxcYpldd8fM1bYu0fFU8G4zmiWS6DmNLzaqJg
FYXxDJ4YB9jfPBumevXpNlttGeMnzFzMw0VC6Eh7LSiycHXOLHBdeA0Y0v8oZ7kSxjiMojLLoCpR
vMSTfagdEYE+OfS9u791HC1g826ZGRhyo5i/ARdaP/V/awFvyJNzQuwEuA7y9S4bgQ3b6rag33ST
02Qc66HGsXM4bHmtzJZSbih/htI89NMXIK7v7xRvCTTUWdnLnNZlP3VQsrR/1tAlFT1wCTl4Ihj7
bwy1rOIe7SWt4lUKMPqkkwlYsP11bHRO4zlyUSy2kBY1cwCkEmgxbZEIz4UnuKjjNG571A6pE7i8
cSXewTAeAGyWoqj2AF+Z0OBW1I0tVTyQcd7GMQ6g7Iqln2r4ssY8BYqFOQhF5Gwb/co99WJsX8n1
rhsJUHO150j8nhuTBRaknjR/qWWM1adynEQVQlhHlJ7m4d4ITtxs8XYU+a9HZpOrjdDVeZEjYaGY
V2mr2jGmg5dzbCAryKs3cc6FrXMpmM2KZgE2CQeW9DfV+LUUSs7B8GSQj3ZZV2pU1TXCxhI9UmY3
H/HCvwYUNQ9jkieHsX+xQLe2qhYgfU0Kb2jG0zKVVhBLzr558sQwPkCqy7YHGDQGNOqDmN4I+Vng
QvtsVqkuHoDlzpWLdizld+q9U+DDLg+Lr55o6z6PcW+jW/mDr1FZ29dTrWoipD7eG6TcxKvAii1Z
iZMtTnWmVFuZmz2PgY3yLkhMeYE9x2jZ+cC6CkRTAv+BUy/XhWQh/Mbt4wwLrzbOMynGOcwxQDEX
YHY5IibMhKdauRHMO1WzakDA76sHTxLjHwAyJS0lrZPpKIMvT2H7tQ4f9OamkXkUhhxJ7Nj5IpqL
kuaovE/mSVzsLkjdUHVT5VvMw4Xm3UjsxMUCsrlCUtC6QEEu8FjxwLMXXoGx/SAewPLl8+r89Dh2
fLnGuIxG61WxKKhWZk47vVWDYncgg2xyp9Z7W69rf//QODatMa4DGbk+6VK8V5QUaKReUB/yjpP4
4Ilg3EbW1BMRRxQr0vxnU78iO6bInKzw+8Wwt230G1YRkAjKuo4YguKMBp1XJ8XNnJt2o2YD5pTS
wSvr4kUyotgW1cFOo/ChyoHy0GWNLbcYaUf4h96uRfdN0p16eZytAHinfSL6ZajfL1rulqkQW+FS
Onr6TyYplmS+zAOtG5ATUYWnsdWAyVp/M6rUlUbBAoKHNRazPQSBP+btoREaDMnXaLlJtG+EvKRL
/zzlwnfFDO1WjQ7ECP5Bg/uprTSvlV/KcTzsnzPH3WiMt8NcyKwmtFmljMX7EiMKQKaqNQxI9Sqv
+YqnwtR612chF/1g0tuoeUc3b+3gLngq/fGuo/nKEQw2kZu3NtgR1KPJWSbnzaDRb1vLNtFMIQRI
lyxjcjCQvkjn6HqqDHdS7nW4imjOb3vybX9vuU6C8XxDWilmRLv1Rvs3XWzoAuHT0SziUdBlkzPt
xjlLNnUCevniNzleoCR2WCBjMryo2WIvAa9BgLcyNmWii1UYqgGi1/nUAHIHzCF+gKdl4/6mbUWz
Gmcr/0NEDrQdXQXOu8lsJWmXiuQK2mHSX5QWuvAisNZEv2jR8fdm1q/7ErcFAgFUwqC3IrKlW0VN
RakjcIBd6MpGgSTi276AjVE6GmhcJDAuPRISTNPJeMd2jmjTEjtgWa/C03cgECy2AS4I0Sqe9aeM
R2W2gbj+UTDj22dBC5aARjhy6AfpC2pzGh5RsVukblG4xHzjIplswOt8FMn4epLralSoeCNEx/pl
vslPpY/u4uhlAn155fdg3mzAmi48cbZ4O2q8bDHj/uNqSlsFQMgY4AGK26E7h0ckuuFn9CNHEj2s
zxfNRRLjR1X4flGr4NwyVAVB6gFklEN4Rbv+AAclWzxT395QHePQsoGZDljFR4c2FePQZrSNn/i/
44+stZUf0e330Fd9wMc9q0cM8qYco9i8sldSGTca1M0CgE2orGw8SyM64harB4DI/l5uurGVEMbU
zVif5lFF1gJ5hHL5IqaCBRjessi8fTmcxbB5JLHWIw2MZ+jfnm4AJAzK0lTiuC2eCCazHOtoAFZa
hB95rkWW3D0qS0wQLvCGIDhb9jmRZBSR0g2KYyqupH1dkpNSOXL8fX/Dtgt/l5Nhe7TBizqTrAaf
ta4Fd4oYuxkAwchSWOhhRDFJLpxYnI9mjuaMmHgmirqWWrb+GPe+LJfXWSr4nC/aNLvVFzF+Ra+W
bF4KGPh7w4sN8ggboF0HOg4E3+lwpNFf+2TkK2mMOwkNIJXmEbaZDj8j9vOVzvkOBBCPDpMn18k1
YNL2RfIOlv59Fbdk8jBOaYJbKMtsFMdl882cbwHTwRHD01PGmwyz1mWqiZbXLLgW47sk9FRuyMA7
KsZ3xPW4AN4Q4X7zju/W2tOhQdeE6BXoceGB8m7fcaujYpzITJbcjGQ8Okdd9nOkjJLwMW3QEqW/
LACCKZqjWANtTVY4HpKjImymatRnDc304PqStNkS9Lc+ftjXiO0C2WVlbIJKkuoALBogsAf8i238
0jAB17yCwdq0ZLs4VfY7LNe+TI4WfqInlECRIpY02lNKC0BJGtY2FE4pPe/LoWq2Y19s53Vb5WpT
mgSZRABT1uoIAExy7kW0zCXFvVHziiMcrVcZ51EAplaLM9zZgezhJd9op3jhvHH/gx6CMNjUEct9
whEfOn1qhQKXzHyilE7xidzpwJ4Q0Ti5v3fbincRxHiKCj3ioHeBoJqc9OlhTDhPaWqen8/m8vuM
i5jkVAdMo4IGqwxP0/6rJj2q5FlsvgTpm8IrK/IWw/iKvOibqTTR7JGLt3J8zDX/7zaL8Q7oz9VU
gdbt0+CuQXo3HTjtx7xzf//7ynFLGJUwZgldTSXQTTT5pmyfo2qyGumUzbmVGZmrhX75Rxl/zKlq
qq7q+ics7cZcZiBWoGs3GL6BfPlgSpOl1QStpw1HsTdtZyWJsZ08XVRxpvR/MxorQHEzFZahcDIG
m1oAGGFRohirnzCYgVoh1KmOy08S7gGQZzXyHy3iIoBeWatDMpq6pM1T0GkyuIshXvWh4KqawDHN
Tfe5Wgfz3mqEqhIwSwy3lqinMtIcuSvdBViLC0Yr9hWbKu4nK12JYo5FiZNQXwzEQ4pP5xEFt/Xq
Y3biJcll3tFQ9Vjt3DioQyb2uIQKfXrMdLAG6YInIH5GX78dx/2xVgAvFKv3wjyeplr7MqMlfhjn
q7jUXlRj1mxjVmyhVW66OLeDrDxPknhsR8WuiYa3djB4MeKsuk8PbTx6s96hbtF6BOTbcVF8kU3h
rJvJEewtGJaWW+Lsb+O2+a72kfGmWSOnoVHTFrfOtMzKWQA4U3+LMZUXjuiTukom8DRwbr/tpsuV
UMbFKlqULYkYgJQdvLz1/XDoPd0PbWIhpcxxgJve3AQXjI6JcwXDfR/PL8lFPU8p5K5Jen8Zu5OQ
v2WkdwXpscHQRyy1x/0dpd/+STEvAll/GDaYUjN7XB/53J5UAx1FhuGG5ewUPSX++qNBiZU45uGl
aZOOlDlKnyqxdKmDIh2SkTbdVHi97K9s0xOuRDFORAL+IXB8VdQAWjcEBGo0IJ74u+N6T8etzA3Q
xNIYIRntVGV01XSDU2BQKxoCV57fTEz8zapu/d2qGEcSaIFMhAX+fckTZybepFR2EXGUYtNbrbaO
8SJLnwFplvbzBFOIuUIwroWWGMhgivueZ9dKYEXzl/1lbVf3ViIZwwa06FxEE9alfZ39DjjTxBXR
k45WKTB83y2/Iky2yNedWz6VmG6ROAvengg2wfeHfybAPxkTJwX46KsILcH0BRkD/bO0yQ/yJnw1
kOSwK3cAFlLxVXAMNz+3rumEXAAvqo6fDfHyBUxoFSh5XZvLAst4NG/DQ+vntoD726+PuRPzwRG3
WyRXK6Y6sFLdJC7HogEYGl7ouhUdq6PxrbYjD5QsV8Op/1JfUdyp+pVwIcN4e23Q5OBKctW1olZX
kEz80UWy89xjz/vr+Lo5SCfhObxb3BgUbwMAt2QLMFw86KJtH/vvThuMD1ILRRyHDjTrkWxjSqbo
fyq9U+YPVQMGLp4X2s7NXPbZYNwQCU1z6EtkzeioMwgF/cIr/eYwnWinLRhxADDIJYjZDGxWMpnA
Bv2Mmloh8+n0yXEMj4jUezD0FYd9m92+Oi77yLgiVRkEtZ6gsV1zvQw/o9xtxzswM3UJx5PTH9ox
DZa4QJa6IVZEPKH64Tktn1Cy21/I9gW/2i/G+ehjEpKsQdJ2MPO71ij8WEFJURAwpRg8VgFmtSag
mA9mD9LFkRMZbmeMV8IZ11PO3VjXOd4GNFWm2egNvSq81B/s8gh6TSCSiVbs8F6lXLVk3I00kDSH
amI+/RDqDmAyFnC3hKfsVb1OG6f3RExexJ72sL/T23fyRWUYp9NGHSFJifejYgD7+OuwfJm5FSmO
DBYcPMjTjlQEIZRwCG+k3gp8xaX1Pd20l/v0SUKncmCj8/yvVmYyTkUyhwE5ZdxfRSY+jOEPce4e
W5M3/sk7NhYrPNGrVohpd9rgGSf1AG9y7s7zbQ++AJquy1/n+/+d2hEloot+sjCvJthNsxgzpxRO
pVHQpKqcuF0NHIdlMq4EI7WtWCQT4ijB0yY7zID+HWEqM1G9/WPajmz+VUCTiWySEE9nSUWCgdKD
/Pc9qtt12NWmMR4F/Ky5lFd4IsOPgAHlJjsqv6YQWc/22KMxIQamCSZJ6uk7159wbrdPo8h5P/SV
1igYjLypJNBrO/3iliAm0SWfANVkfz85d4DJuJFuFCo1XPAe08h1lH9NQF8Y9Q/ifCX/WWPmaksZ
3yFOA4DyF7zC+tpWsswSy1ud8Nazv3ugtmViE8AKgkkCCfcK9bq+tYLiDm/hRLiqk+fe5F08+65K
Y2vZpCgEWZqRDDenu0Zz2+JZkjkKv52W/nfbQKH2cUVLYvZ6aSL+yF8kLz8kdBAAbR3qSXTQbeHw
OUY4t6kmMtFHP5RDpshU95EID88Yn3VTu76ioNg1J1G0HxkARfTj4vIsEeaqRx1vDu9By6UsP/bV
m3dArLuIc0FSJcycldnJbIC77hNeNMoTwXgKCRzQUUcBZ6P4qlJsTB9YQ/knDSjgaANxqgpfzrZp
q+hWKhTj/XKi1SpNqq2k9MXu5/5ubcDZ0qviIodZi54tpBES8HIUV4ZNR10ofWX6M7zP7diWT4Ub
ue0ZULp0xMHlyKZ6/DlIvMhmwihBbIIY3VtI5p3eaSMmO3CQBjPsyaUvRu6DbfsmuchjPB8wIiez
btCgBW5qY3BL6YABCzSm/RqVWx0aX/MwK7cV5SKQ8X9j0BUkmWBWwXNb5kA/doOBo+7b3u9fEWyR
bIoW2egpvfIcPMZlD4o4pPsS+dEwA0dcUrtqyuP+sW3tIvokVBAHg7HwEyOdGXdJMQjwt+KJVm6D
o4QHb3bitYFsLWwthvUTRTAC85nGF+NZE2+L7sac3by/FcRDVOWcO5H+GKuJa2H0IFfvW3UuTV3G
BInTDeceWLFhyDHnTZ++lsDYWdYPXaq24GoYvldXlNq7fm5KJ/oV3GrefBCuyo7f2EID2L1VMfbV
F90cTqkBFunQvEEtwzGy/FgNP9X5zhzweCjb66IunCJertuBh3e3GU+tV8xYWyGHZM7ofLjZAwWt
cCLDkr+q0BXaoDQeNJfbokRvqb31MubWxERuw0L7PbKne5kXOMVZ9pEERydxZk9v+4bAURp22ng0
9WXpKEhrQoTrYlLvIkXmvTS3XORqE9kR4z4VMs0o6ViTP1zRCWrBRWrtFB1SL3TSf/YXtOWu1sLo
x6ysoFaCPhUN1HAi2rtmRF6ufyvU4S9N4Z3DbiUGQ3SKEs5QS/FEydrTUw1MBFfyRa+7wRTzdQi0
LI5981bGOBMSt7kEFFDoou4LAVCf7pDI3t88njYwLmQ06yHMTbiQRD+MwY9xedj/fd4SGAcSZXEb
6wR5a3N6HUZyK0ePAxE4vp1ntIRxGboQoRlOwCrI1/CFMkCCj+BBuunc8A7Bp8+rndCP3rFYwvgI
UcHwjpHQCY3KjjEcEptWCDhdmdcHx10X4xraUq/CSEd6LZyE5y5T3JzSgyuLa2gjYOHATBAHP9Ca
AYDIzDPK5TCJsW0a9V/aM4ti3xpKmqgRwi3KVYAeBrd8lm9apz12UHsuYgA12J3tZeGQA2EGIpME
fJXsKHupGz0KtuJMJ4DLA+O04WU6th6WK/fBkt2QVAkAwY0kcbwc28UfE5DLHFTpqGscD8IxBRZL
2swDo5ADKKk635SpL1ZP5d/eXu9V25WTaoho5FODuuloU1IJySoiK0aGz/RLbzynHs8SeGti3Eei
TGY6TGjKRvorzjOLkCtF4YU5PCGMD1ENc/g9+aUTQKHmjwPmcafw176joqa0p3SMCyGpIHfhgE59
ineTnrSjdPpvmnR4Ji0zviNbNMMA3Dut/wR+7kqHwIl9OqAPaeeMny7cLGSv9ZvxISNo96baaKlK
TE57s5yrg3yilODGH6AurwSx3bSzKo7tItGVxUdjvNeaY8R7e3E0gZ3ILgwlatMQh7Tox1B46BY7
4+FGbj4t18tgwolAHKXc1JHGAN2DTxGCu3MLir7urLqyD54m5MhDR3hK7MznkaZuJjTWspmEhpqo
whCjbIiClXFq/chJ7d5rjzQvz4M42CyOrWUxwcWAOddSjLDODsMHX5sjqHycAFQM7+4WSE+BVXrR
gQ44hg74ojj5lM388lo84znkKJPySUH2MImtCfyL0heaJgWua/8mmpbihXbzsz/z8CM2Ry7WYhlf
ghiuLrLy3czDQ+pmt/RuMW8wvOLNnuh0fuKGnnRX8UYuOO6FBTruzDyq+g49hlPot8NRz74m5IDx
x7p8GsOrCF0D++6Mc6ux6JpLUSSZUeG5K4g/QbaTi09DbhsdRq5CnnvmhJAs2nE1iwALy7GlGbka
kqcqPuwvhRNtsbmCLKslQLshdxmWd03vkcYq5Zt04HgvnmNmu2rzujfR0/bumJG+RCGHJBY5Isvj
yeDrqv/p3v5uWYyfAfno3GngBnLCFKzhpDpGQO0iIIFuBV4zJcdtsl21Jhjfq6qH8hHjUSuvKjD4
caGCeDIYdyLmmSiWNbJis61bw1GcUOKntLKKNx8pv1Ll62/cdnyOlrMz4b06L5owYg8pMGR1l7rC
jWl3aHmjaEGSTRGKxEOrW7O/f3abPQ0rN8KOiC+plBRziGeN+kjJY+UDxn2yV/MB/OTP6Gd/oG6z
1i3DDW5yjufc3mjZNCQUDUBwzNT/9HxJKoMWw6PQHYXGagG4NnGCoU1QH0m8CGGUc+rHPlJS8E0q
Pk2CJB7KLdmZthFEJ/HPENDW4ph7b1ZjdW5VpJl68bYt/4nm1kom0WkxJ1tP+Z8d3mVxjKr2Izq+
kxptGSAd9gQvO05XiCheh7PxFJ5in4LDi04uWWAKjZ73FYd3ePTvq/g8GKtuESWIloWTkYeO0U1W
MXEIUbat4rI+5o6rhb41zQC1BCO8TbN/0v4QiQcxfCtU3rtw2zVfJNEvWS2nDcsxzShLLfEHdFKh
ro84KTimdmaZ/oAB1wBxJs/qeUKZCFofy6XqVUQOaXJK1Ku2eABigRWmT/tHRX/m84PgsjYmbla6
OOsDglhMrmcbPa3DeJ4TJ+8B+C49mjrHqjmLYnsJNA3xgSZmaHgtziS0Nf2lDKyBR0DKk8L4jraU
orjsAM+UgnZLuSXlW5bcpX+CHLCyZrZ1oG5ULappjDUnuV/ktZWWhZ+CsXH/gDi2xLYLJMMcS/EA
PRAVICKQwJam4lDGfwSpvF4O4y6ERZLDMEXpr8PYEp3SLZ9NF60DdzUAzsjD/qL+g+fVwVKo6grq
jIzaiXkKpz4i56cFyPa4svY9nh808iQspT11/0TSsyK9jOKDYHDRiLe141/RbKBl1rMc9Sac0wCu
wgjPgQGIxHSYrpW8jlLMoEkoJG7Hy0Hy1syGXl1RRcJIce1p1gIQkUgY53Z4hYZET3C4DDr0vD4b
9mWZzN1WYmq2SRqklygZJHi1D+AwftCcDtjVkx+5mJ7iBf//4bFzEcncb4ratnkJFlqn+hINlvAd
vLe++ZDa4VN3Un3pFy2m8PAvubvK6K0xdXLcEgj9nQvCdLlnIjSiqaDQk48cveUpD3OzxQTxczDh
DGleY3qs/dgHmY2T/UODBuUQe7DPR4k3ZMOTSv++uoDSAMxcivj+iKWa04KONnCA+QJq094bHeFE
17pwz5OqyJ4KMffekoTiZI40Q4kauhMf4lNzFo+q//5evuVdeNuO7qI9zIVXmNqUGwr8aQesK7lK
TyDAs0bw8ewf4XbYcBHDeJ6i7pVIpNxcRnHXBy9a5hipo+c/So2X1+acGovSQ4g6tVKE5ryuRcec
fg5HNzOaY5dw1IOzcSxET6jEi0ZiwHqaqdfmixVUqBFxHDbHm7CwPGUjBcU80/RadZNGzw3vyt7O
WEiiocqqYgD4gtG1UQGFd9RB1wZPBs5QcVfDM6ND5HYIrQDMC0iU2L1oSW8BTyG23dZKNKN4nRAI
YlsjkARFr/NexmvP2l2PSoOVHIDba2OQrRat5W1fEbfTYCu5jCaWPcJzuURFFEMigJ1NXSWxVFy5
FKJY5w1MbSrjRRhbDy3MAtQMDQ5wxoCekjudKHlzqHrN0L5w1rXpNlaimPBLD8WsHHQYsmqNLrHx
rkKPlOrqPooPHi8du53QWEmjX7PyjU3Q19okIgVE230FC+PWHaB7M1zkJhpkxoP6tL+8zYB5JY+5
5LRarWa5Qe+PDgacREivgjEDL7CIVxQlDFFVO5syTk3lver6yROvhLKXXEmiRshgHaM9OLrXXSGL
+LJc0YytAfZRPOUme7lZ7NlZnsvb5Cfm1MAuu7/w7Zt29RHM3de1QV5FqFG828k7jovXnCtXwE2b
XQvevjSevtK/r461qqTAUEUUH9FoYg0yyo9JbCfzg5DwZuA2L4TVshjPo9bGJJnC+9D3FxHsL31s
oW6VqU9d+GN/TTxPw1ZUh7qVloE2iVNkqOKOgvsMlvlMTZ6gB8IAKTjvEuLKZLyM0VaZ1gZQHXTc
V0cK5iA/kDc88WzySMsx2quOK4lzydIf3dFXtpJqxArGgujYZC9d50ntau0xJYjy7zEMWuWClfDS
jDzlZKupVW7mRqsD6wd8QZ4CHMPQTf3wSLwMPoAXBm7ehheVYYupYSRXYWxC2EB7FVpraXi8FDwJ
jJcpwwFs2O8Mop6e2RQEGr0lby34UpbT4uaeeccLv3gS6d9XBpcmgdxNA1GcOLzupOe65qRrtv2m
QsDySwjR2aGTITEqQ46Q0BPC2clExZ4T0TLqwh7qf+o0ckj7k2Ntmx1W0kUi40IKKZrmjs4lEVW0
htxT+7smvFaM+6R+xKz4Iro6hk4VnyOWHs1n3b+IZfzJROYpijMEmOJJRV1fuOnO2VmxCosWWtU7
9ce+vG1HeRHHRC8GepwWExOnTlbeSsV1ofpZdddEv/5OCuNF5rTvQEpBsS0x1jbda1Fimz9HDPrv
i9nuxLucGZsgSoapi7sC/e+tu8SW6ZXXtUM5Pjrg5pH/rr16W/HxLFUVU5MktmwQGEAIRY4FGbBH
9buKmgh9liMYxDCbLbm0lYvHFr0ZsEsXiYypLU1mkH4E3wBK1m+5UtyMcYAMcMTZzM2LDYD+mqRo
JqyOicOGYZALWUB2Oy3vxNmXmisTyVL9oBXO/qltevuVICYEk8o4JXqAYc8EI3npqTukR8lNTryy
+Haot5LDOEVjibS8pgmU4stsV0dKQ4zop/UAa3joAK/GzaHwdpA5KFnFwHYpwoMkMrGMMDkBQ9KV
g3SyliU4GqT09Gr2KlNLraFNLFxAt0klYiiltIyxv0KJ2w36CizCjbe/45s6u9oJJhTTxXQRdQFJ
j1YZcPucJeF1X8D2e2wlgXGeQSLKGaH9FMo1Lf1UXmkLuFUTR0CgSW4Hl/ZWSCOXJYa3MsZ71gMo
p0g3o/9QOQtg6Czlb/sr4wlg/KWuS0SvCsTvTfsljb+Ce2b/9zeNe7VxjKfMpsIIojJSnVqqUJoQ
77oQ6O1t+mNfzOaYo3SRw4ZYIDOt9cBEIfd3NhFPgfviNfKA4Di/TWjS7+zuWn3rYn9fLmd5bJyV
GG2jhAr684BSUVdXVXCXzt//TgTjTnpTU7KkxgUqoHJVOVNw1xs8+6G/8emSXu0e40p0tLi2rYk3
f9S2vp6Ox0nG5PTSe0qvwamgb62UMLBknoO4cdNOsquyO3bCiP83blDrJ+Av+wHJCnvMehvgSud5
Mb1QXU7moFtZHgAdTrTMpvpeVaNuJxU6yA3REVPtXCbzy2TC+Tc/Q61/GSQJo5RxatWjhjFO5ZCE
ld3WkkOG7kbPK6/+s0L5avHURFahnt7NZT2F2GBZ95X0nM6APXb3z5BjZTLjoLrFMOdZoN0SUm13
cnfXqcX9vojtWGG1DMZFqao+VH2DygilFRxA5C3YpWCBoB4AYeMxOWW2xhuG3dZ+RTV1BUxPICb9
uHPNKMoAIMRjKuvUg6bHPqkSp1d50f+2dv4rho2CwrSr9FiEGPWWTttOh8HSr8sjDYBQTOUcFd2m
z6ZgiLKMrJsGrIaPa4oxL0W6BaFBIxFcY+R+SjJvadvTaMQcs9sOFC6iGN+rxUab5AEiEoJpUfVg
HEfPPPEbl7dP6SKGOaVsDuhAB6ZTlK/9+LZIfjm+cHSPzi3ubBqb2y3Vro6kCt5XmZxYvzJmSwkP
TYpcVz05gOGzFFLaqsjZv+0ISKbxHDDWFBzWx7NCFsjoQwKzQm32lqIDB6g+WsVhsgnwHarriINM
tZ09WAmkyrNyFUSLim6KMQ5gPtIOieUgvk1nEf1diMeXa+GILgnjmdtGtnmAK6mMSkZ9UVRpifAm
Tk/qfFVVd4i79k+Q/sSnA1yJYFRxQrhaNsqIScTyPKD8pnxdutwyhV9K9Gd1lJUsRh/TPg2qRELc
+hsQHNM26MVbfMEvTsk1jz9wOxNykcYGBk0QtUZHB22I310hbvPnWw1tjqGdosGRx4S0HYaspDGP
jFgOwVpP+wd6dEQ9ib7mxweQL73OP/rRIk+UugZPqMIiD/vnRxVv5/zYFMwyqEbXGCJAbRcvJd4Y
PWjp/VRZ+1I2DM5QCXWKmqGDgPf9Dlrpf4ysa5kO0H9EWb9ml24neKygNSj3gXAPgBKc+Grj+D5K
ZEwcmfMpM6IUJCOouS1Oay+viAvQaFK44WP0t9IY+zblSpONxpTepXXvDkWw8ysA8qMZl/ee+hwU
0KVhLJsYioH/MLqCWqJRASVecnIhsYVEv+mLlJNl2t4+MI5qigbQaIO9zbRGL6IQM8YA4B7dGL2v
mFr9IYEZGjxtz7w+289+CgtaCWOciFGmVa7IveQIgD6o7Antp+HfLoh1HoDdSnUNm6Y+KkgoSUCg
T14oRSBgjDxua/bnG/rDith7ba7jBcNf77h6uM9upwOmf+zcT/7BNoLnUT+FNsivAjexgxveyN5n
l4zqnyQCplAVDZwgo/lmNMed2eqS0003RviaghGmk5+6+STUCs+uP9/fH2Uxej8oUWagkCMhZdEc
89Nw+L7YgF/l4s9ttFBSQQqyMFB5Q2HHYdQoIWM/jb/B78PDcqTgTKMfHGM7Pi5uYwffO1s8mEcu
wSRVvo8ekkrWVZUoqkqxHz9e3fgUoVrMQILrAjco1RzBja/M1qpeB8Duo+/wtvLlY5Baqfe/x5Qf
ZdMAd+U2tTKohTiM8MgWHDN5SqobKblJVZ5t0CV8WiJA/QwDvlmVNMY2+hhYliZohAA6Gx4qbzgE
B2oZtC215XSubZm6TBQF/xApqywOfWzWudSB4Qd9zI+NeqsB23/09i+bz1caNm0lgvEmuhjnxZBM
qECbwFHPQeXqpuOPhveC33SRaznMrgnREIttOlLF+N3pFZ9MF1ynfu2hA5yzb9uL0g3AViC1YoqM
Uc8T4rg2gFHLQn9VEcOT0GSYzaHT5rwS90bOim7gRRZj1KE81+PYYX4PwxaGL2EuLEK6CivDtHF4
3ToLWDuSQ1dbPOXYutjWgqlnW6l70WqCLEwlcaSWuEQinij1HOXYjETWMhjtUOtWJkbfSe+vXUyx
eMGT6maYYNE8OvD2vzfTf9xLRkmGdBYHJYW+i2DzMfLU6qPxKSra532d/w/K+O+ZsXiZUa+VcSVA
GekMtWaXfnAVvVByFbBlWPLTvjSOMr53ZKzOqcpIPCoiFCTvvo3SQc6u48awA5Oj85sX2UUP39e8
EoPSYD4rCgy50aebpRKtqOvfsh4EZ4H2rE48wqFt13TZQiaX1dfSMjVyDURs0AhPrmy+jgFnRdxj
ohawWlKTNXld5IbkLN8HR/VaP7wOj4utn3Kn8lVn/5h4C2J8RrLMkzrXuJyr6hr8Crp434SHfREb
yaMP+v3+rlktyKj0ZcqaBsEG2iOpOQGl/4wsnkenOOLH/JX3LtvUPVkipiYD4Qbwlx93UJe7jmCG
CNTBWBhJI7voR1uXy+exkDlvo039A1+KZhDT0EUW9FZLw8gwhBYxsPZPMlpK8a2t7sfFk+OX/V3k
CGKNF5TnS5eGQCWmJPUY0pDlL1n9Ha0walDz/B8NGT7d9QqmQRQ0c+L+ZXxsl2p5T/qSvlRoVxHe
RQd0s4JWAQwYvnr8g4WthDHONskAA99GsGCx/J5GsVW3niqgMRiF3IQH4bttWythjKvVJnOqFnpc
yVXv6ojTALyE9iXVzlF75JX5N9VQUUVFBECLrLPQRVVPBC2k6WVhuUtNtxR+IKNpRbHOibB5cujf
V/bVF0meJHmOplhgZqbV4EfBD+TEQLwRciRtm/JqSYxm5LEaK5IBUao1eckPyUHXsWt+lW56pz82
lK3kdV87NoZn4TyQi0e6lIjIQDO2vBRmnCsmnMd8wpwepvdPlLvdcGonPgrukFvTKbwD4ZMdPCxv
Iy8JvZGU+yieccbT/5F2ZTty48ryiwRop/iqrbbe23bbfhG6bY+ofV+//gY9OFPVbE1x7gxwgMFB
A86imEwmMyMjFM1AU7L/k6cAnN1h+cA7c46/Puo/OHw9kYJzucN/PH3nFQshGVzrvaIoNU5fs5+m
oGpD6CxPzUGN7hdHckv/zYE4GxN8p0iMtC5H+Kh6TPb1feFlHr1dOL0aYM6yBHVjQhhfEyFFR8GY
4PUpHL8kWsZ5mrGZoFn3uEY5MITJd8yQtvsYtLnFQfldoqYHhtk+7SG5l9XQNr/t+QeI1f6uTken
wTvRT4Yn9OYVK0Z7+QftXp30tZ8dyXHZvFwvrAnPwjFaZ2alWG5Fv0zdsUnChUk2kPvfB2chKFFT
ik00xSq1kRb1sEaInlCdWNXXTsb/sL2E878v+IfZOQ3YePGmGM2nIvkSMbCFeZIjzo/whzVAEQ9v
FryVgKF4H7+WAdTWyzrzM7YE8yEPCy9/qYPB7z7p+yiIfknsbV2lUN9Tof+gE9RzhJASa41toC0H
7rPvbJcfrBASlYD3W4Htah4IpH1yzPmAriSx484tLtOE4jI6WrqhfZBtqZIoNkGLj/q+8xqD0B1s
eXkfZBho1W/yaXQ7WUV1g5jcsdBo0qgFSUD6Qbpjqsy2UixEa462dr7MALGivLNGgNw0hyosPefO
gfoAgif+r1/ubMkE9MbFZBs2GEIAH9VV7OL7ja3jktg9q1E4niZXa590xWvZrVW+Xt9QmRkhRser
1VnGPKBKXGDeWc++2tarmRQPJLIlB3pjCx1KTdU0TRsbKHpq3hIticoSl9HySirmzcm+X8Cw4TH9
uHaQTtIP15e2cfzeGdTff0FzHCt7nRBB6um56ie/io5Lo8gOoMyKsE9lZHal7SAr6gI+qF7tyFP+
4vwcAW1YDsse02JPxs/rC9vYMxRzCfq6hmXzMs/7halNlpICSvJ+6rypSe2baepBJTIdO9ni+CcS
jt07S4J3ZMOyGKOOCNkFyv3qM289Ld+g/XdofisaXl/WRmh5Z4x/6YtUrJ4piSOG92Gefo+rwCQB
1SrXRj2klODUZR+Q//3CktMWZE5KZAk9UHvTr9JQvYmGZWRLvt/GjfluRULGt4DPywDlPZLLJuyN
m9G5nSDegLGhmR3SRBIiNxzxnTHhLbAoUGvJzQKRmb3UGPOs1U+pKguLWzndOytCFmLVWjlYE543
fBjEhMCfEuQ+C/MTB4cXoR27pZSIReIYH6hs5q5XRgs2TacPVyUOLOe2rtv7rLE+NVn247obblWw
LpdoCleqHq9tpET4kByxRMIkoLELRR3yqHmQV9pbtTvL0O+bDqlpuo5qNx48H2rgrZ7rZToCTUa9
YYk9i95Fa+7OpmQEa6vMT9ULQ0JMbKG3MSjADP0eX7JO4Cz45jw4IJ6HzlIGemDNA1nrEVDSwtWk
4pCyVQpxCyrfIDCNfvtOf6NikKjxDvY3C7Rw4PTwURs8yV6Rm55zsVwhfuV1nmYNz1YoiCOdGbLd
j3UM+S9/lhEVbZ6+C0tC8KosiFFmDtamqsAq3VXOoZfSXGw0g7B5aBiqBt7FRGwjsBU0t1SBDc4R
RML1FO/IjpcVZGxEG91y59IS4b/kIkBGdVL2iYXARe6rYE7cVXf5eFS7zyqX3dVudWME9osiffVv
f0U0Q5DQEop8771dO12atLPQFSUAVNOA4A519teP97YTnk0IYdLpSkOHTKoOEj/irepbl95M5Edm
fL5uhnvWh5tTO5sR4qSupZPFegSRAqPwjjF5ViLTUN9ciQ4gOCY00T8TWxbMKdJVNfAesyc19suJ
PDG6fIl0iIw0qiSX2upZQKXnbIz/mAuPWNQ+jeoGV6YGipUZmYCxNwAcvOuB6Vk9836BXHw+e9Rf
JSFr0yUMB3BXDR00QywEJVMWWawrgQ6Pkvu8LnxbcQKzkV3Vmx/zwoywPgrB3DUfkO5HeWD1p7k6
Zv0+HyU4pS2vAKBAxWsT8tNw8PdfcR16VjYVwxt+LJ9qRXHVZH287nhbRR96aUOIeUmlaCjbxrDR
otqCAfeZUKgCfjZj6zWxySdCkjsUeL2hI4+OqYQTZMbMHIpLKQtSfr4hALZE9I6V2RdVWz9d/3lb
26kZJsVzFekroA/vvwDg/1Wv5Ca4vbIwj/0EutVSAgN+QYtn78KGyJxQ5Y6yVCqi1+/G4Rftrd9j
2uSJ67Y1b9eXs1UDAtpG48HKQFwWx4XmKMroHOV/jvWPBzxrTuYhR5MS9+h3Wbt66zq7NCY4aadl
hYIeHg6h8tqlPzql98x2H3UzwMc/ry9sc58u1iVE4iKa1kydY5wHq/MITEaT9mWsBkmGvFUUfff9
hHBMI7OZYgin404z8bzwi722x1iLO7fu6qnA7iWhLCmQ2hR8kDTx5IwEMGfreQ2nL4ALukowP5Lb
AW1X0D7uZPsmsyiWzmqWtipjWCWXRqgSlO/AjeCj0oz6+RC57Y4+yCAyfBEfDsF5A0VhmlU1DToU
hopML94Pu2zXYgK2l6cKfIM+2sGsHIEEgEPEsaQpAdMYBYP17/cvZy2c31qUSiCkZqPKzPbaZ5B4
lG5D3MG97qJ/c/bOpoVIx+KBTmAtVCE70B7qZxb2+/RtqPBN8z07OrLxoe0jcTbH/35xBY6VDtGT
jKh+ZVWums8HjZouSKF9ybL4z772RYVTvvStgSYOwtfIMCUeV3/MIz3NdnWiKC100b0e/YhH21WB
5MqMOByb1ZvWdc9SU3aVbCWcmunYNlr2Br+B36+4At3xPJSK6rPlwQSVW7m3UGbUT3l7SvXDZN02
oywe8Bvw4+LPJoUHSjSblTqBicfX7jmFCO8XtC/5F84ep7py+pmta1+zkFhw8T8wOgihoNAYs6yM
H8zuxmx+Zs4NNMc8u5YggDZd52xGPP/9MiT2nGFLNbDZOPopAvJaV2XnYXO7LqwI28X6yEhWPDB/
vw+0m+RYg5ACo4H3MvDn5j10YUjYJDYB3J0jHviK45roN05s8Mpu8DL1SS8O14+DzJaQMgEn2VrJ
gB3C/Eq3Rn7bPOdgvJjVg1ZLykKyXRLiiaNPDThfsSyd5bdY0wEyHyC7kOSAmwHTskAggko2Egbh
Zo1nA40BR8ehMm5MxlxkFm5Zu6TYU+uOjDT4N9/vbE64YItkice+xqJMAnr0CbA+awp76xkzZbbW
PV83tlU1p9rF4oTzVFlUn5KKt1N30W4NaeIW39tTfKQe2aG04eM+8CwvC61vWbicZH65eeedrYuo
0CnVgEszccz4gCdX+TIAqJXPbWxWiC5WKZayjWRQtQ7n43dvgDNkcVa1XedrXuTmj9PJ+BdvoEt7
wnmb1R5QkwFvoKI6Gf3dNBxNKW6L/xsfAu/FtxPO2biUYBai8JPpcfGiHUj7ffLUBs3NP6Hs37zi
LowJJy0lYHhJRg3GpixIFnLKO00SciXHTETpGnnWsC5GAqv3BmpZGXXnmD3lI/gsp2L1E20+NFHi
X/f/bQd0IIWkq5w+QEgRVrNpBtKifsHfXmXiuGu9r9LdXPxh9f3OKDC6J53a2P6WZ5tCukBpn3UF
f4FwCVt64u4YB+B6/aGH/Q5EX5h8kYSU7Th5tihEsEZN9aZeAU9Ty+eMQS66vlswYXj9U/7NITtb
EQLXXCJSYjJc84c2/M0mxqED8d7xO38O1CT41+f6bFKMXnQlucpQYOPNVAK4RHTQD53voM1X3cd+
9SJZomTrxBEYdSwIiI5RVEnRSM0wP8ffPvmLscOTwJ0b4Ndl/CPbt+lfKxTHYk2L5awbMbbsmGDU
X1d37ItP6Zp4cZL+Ay1umTkhcDWlYqb2ig8Kteome+jK0Kr2Q+Kbo4wdS3LyxJ5YSdVGadoWacIh
fxhunUN2qB70vQxBu+n6Nir0BE9+1RJZLtelczRSGPh+y6EGlatFJ9eqZNoUm7HrwooQHusy6SKb
D5cnS+1Xg+OWq3FKrdzN4zKkbNjVKvlXvnhhUwhduTMXNOW+b4Fy8WDtZ+CEOK6EgLIJkcTTT7Iq
s+xbCoHLQXcqTUd4f7W6VpF5WX0ATbp7/YzJjHAPvXi0xbFKMjIgihR1s8el/QzhxVOqUEm3XmZG
CFaOXRRW3iDvSZH2jL/S+pRNiWQpm4fpYoeE6BSVE+2h6ojKdT+FI0rKw0Izt7MYRP2yp/Zf8NI4
VPvL3gdNTFJklgU2FeDVkh7hyLJc1PSeoibfdSkoXrPsoVBBPGdZgakpXhyn4fWt2zzSF/aF50w6
GEqZ5PDIHBcnA6U3+mZf6mgJUCR2Y9q76zh4lOUyoN717/xBOZPmmhbpMZpG3RR5lhJQ8F8RTO6F
PdldX+H2HXexRCHpmiJVdyDIzO9ucwJhWo4+3I+k9VFRDzk8TjYIJvukQmBR0hFP4BHVPLMgnp61
X0nZoDvRPKwQTkpX8pyw7zqJg+vLvH44bLFRMetNZyopR37k/mp8ZmtQZpLm9+Y7/uJDCrGk75I+
0034yqq5S34gxr5XHhz98/WFbPbFLo+EEE3WuWrHWkdXBwPvR/uIqHJ0Ds0Prr6kebEXvbAjVMN/
SqxyL/iQml8sTgguPR3qmkQ50oTE7X3+son8yQCdXvLJDmsQP47frlvcvn8sjIGhNuKAbeh90LRn
CB/UOk4+WRg4tn81y7PWq8esAsaFxt8NFkmO+vaROxsU8gSnLTMGIRB0NjWAfNtb6IIgsGGYQ31Z
jZfri9sCUiKunY0Jh86kaRNn3B3TQ3ScfhVB6pvA7YBOzO3w2tF2c2B53X3io22yG06ZxL7s4wpn
MO/JMhrQ//Xz9qAlryoaTrH+ZagOHQLpMPrXV7t99s6L5X+/uP+mxGrzkuF1oE/WfbOAjNdhf+SN
+h/NCOdvTAyQCuj8/suik128Qe7k2Oe65E0gcxP+94vFgKW2qKAliFMeT/7YDDsrmUIlTvdlHrl2
lkWSG5dvxceDd/54wsGjJWM93BDjgXSnz18bKjln25tDdXSPdCD8dB6uL9aTg39nnBkyoAzMrfRX
rp8IkwTG7SX8ZUJ8YhgY5yBkRsRKnfuijz4XtiUpTmxvytmCECyqvu8WaJ8ijUteOnY7d8xL+m8t
Xt2Ko/wrNzvbEuKExUpVYToiod3qXkXG0Gb1XtGlipnbEfdsRwgRdkEGQmLg3jhZK5pSoLDObolX
HexQd6e9+a+yx7M5vokXfqAYkUJqqEv6vek57MEs3XqQVB23myX22YYQCNZ5zGPH4Y5wUx5I2NzS
QPnVB1zVtDvJmOO2G14X1oR4QEq8++wRTjEcyX2yz8PxlPYuC5eH5cfvqbnbXJPcIdIVCtEhIUqJ
lBEjevz1Dt5X8Oxod1PIK4DDXqb7IjtXQmhQelONbX6JrODgH0h3bxqTjJ2Uf6SP4ee8ZUJ4SLSs
IS0DVGXkQtOqZyuHOVkDpn79N3fEX3ZEfB3B3DdbOChsGT5nFFX2yR3Nl/9mQ4gSgI9kxVjge9H0
szkfleUw16/XTWxfrOdlCMGhXbs6o7xgVGtPLH1UbXcq7iPdLRzidTL5dknUM4UI0TlRx2Jbx3ry
9svQkr2qDiBQVwqPVMANTrFkcTLvNoUYoaujXhot0D4clciF8OwqdKDoxFm4J82r3q5/zE2gJybV
/3c3ibibBZNRdq4g1HJ75qv+mRPrjd4Soot82x04q8O/APkjMTubFIKGOphtpAJngOYBZ5Lt938e
XlmX4G+y+LMdIVAQfV4XNYajlOCnZh5VXdATPdicoBrU1DfVfe3BSQtXRsktOc+iCtwENs1oXBCC
F9hSwQOQNV6ZRq6RZrJYKAlPIsxmzDrVGHjo0Hf8AhtBsIOi8GEu3A7jC0VY2lLebUkyI6JuNNKq
RVcBw7rUxI1M5QbTO66t9Y/XHVOyMlGdBP2sPC+hbOnb83cj89JGFnVl7mEJcSSeLeDp+DbVPyzX
PpZhej98G08JngmAFsTeesuOWu02MuU+iXuISIoFfFm6YYCMQhns1s3TMnH1on7uB/3GYIkklZbt
lhBOIkeZYoXjVUe2eABZNiBk7Gz/+l5tSAeghERs8NiovxFvQtKhplU6Mt731lGx6S1IHr6t5n2q
fB2zhxjdfeWXCmLxXjY7xi/GDxfnhVkhkDRjvqSLjUcPq509LScXylihk0cBHdF7NyBZOFb3TppJ
+sfb5ZwLu0Jgqaq+mq0Y+XwPiCRvxGAa5K53bVcHrU/0JIuXUntCEjLSiFZthk00nlEa+N20C40n
43b6Wh2g9xXKykfbl9DFAoWMpMonta744MSf6P/cb8EXGXCtniKc3mQ51nY3mVALw+GmA2y84D5t
arcxs1CHKI3swDTLr8zBn2b6SMBo19TVyWrjV5K0O6tRUDZQvVaP/XlYgsW2f1TzLy3Bp9cVIC2h
2QpCzNh2ZB7Og8FHVzv/RMHVesPuzEHDFmCiyUHXNA7U3ifQptVDaDyDOTy4fqQ2z+3FJxFcLDHs
PiENBuH0uH+IWmvP+reGfL9u5Hej/NqqBMfqUryr1BygrsiojzrKdoM9FJ5WvEYze2ptM2imzstz
dVfE9YHO5c7ss0/GqOzbgcvbzbu+MG8c8Eu4S9O/InpBaHV262R5qIfp2Jdd7GbY1myww0gZ72P6
I1fGPxLmeNTCJNjyBQPNwZxXs5tksaeYHIKYeFq0vJRL6hXK8jA7STBm09d1RV9uMb8pqACUcetl
1Sc0J3dt3fvDpGee02iHanks1iVcR9VjyNaK6A/WAP9aWT8iB1RKcw6xkVry3toM5g51KMi6KVBx
4hckiaKNKwoi02gFU3o7Lckhr0kwGEwSybeDrIO5EfwP84Li8Mioq2u0FugWmbv0J9eyikccyeIT
H1ZRWXjdNTaT7AtjwuWoln2bjCpPsul9maehaXj2+Kz2XpXe6Pmwu25tO8JdmBPSbLXKoslotT+z
UBWjRikoCbvQAXUqhi5vZQFO3zzOF/aEa1FdGDoevCIDuenj9DkN61NUugW4ee64uk8P6IrzZPkL
mmE1ph8yP/I6WR6wnYBc/Agh7I3NrM0WwTdOUyXQrMJlzmvevhRZ5lczwI1NGqS9+qPQrYOx5oe4
6H9FhvWWlYYXzdMJg8KS+sSGajnu8YtfJEQ5NWOrsS74RTq9W1IMS5/s1RttiI8+UcN1+uPCvl3f
+c0r/MKiEOcg0VbXTYsKjNpjwqWId3XOCkAqirs6irwe8HZtxkVukFoW+7YC+oVh4eBGLIHq1ogs
LK5rgCeqx35sQbhpq3u7jhr3+ir136X0D5H2wpxwo7a23tOez0RN1rc0Xo6llrqKqhzWmuxAI7+P
J+vJMOLGNczVhzLFF5I5bs/hJdAlvG31zIdE+Yu2UJdpCeaREQZ1KKgMGT0W5vhq0+poN4Bo6FDg
LcgpSeg3RgpvLNuDav5qU3gxLYJ5sTxDHcC9D5hlk3hFn7hGW4Sr1twp5ms1gCqiZ26uNp46D77B
B07rNdA0+qkkxAXjQlDW1bMWQWE0g2uoVrZTWnKEuN8xLkhQOQsK+kPsAqH1HJlasJadq5TTA4Y6
wrR9KE0HcwoNK90EGDxPdewH26wir0SeHbfJfrG0YBw/WzlE85QqUOhyw7THtIcgTGoXrjJStx6Z
mxmDNylPWlR5qdW8dk3u1fjZjL1ininsGNsVGvAwSo7hA5rbX7J1cPvK9qA3uSur4ajXkHwZzdvG
jHfzPHpVXPtN5LiJkhznvgfiFaDxrly/NsYKDSw8QtiMyWWzwMJKjMeuMYiJMzPM1NJPKgzwdX18
Ii0HfGMSUxsdX4u73uvwSIpq4vV6AZ2D1O3V4XbCG57YueX2zpNCf6oNdrzQY7eZqyDFMBG2dwa3
vw40N/3Dcr7gbeeuihJCgM6zc3twSzvBm5z2T2sBRv/8kxnRoFi7myRSQ6d1QE7LXjQVb+oy8QZl
Gb3ViWqPxiM0AEAHHpF614zzpxGnjOJdOsWZj5MGLfTCtZXsNq7Kys3r6C4fixwEM9YjpqvvC/a1
HbJvCri3zNI3q5+V8itq+ueKTa/Eyn3LrJ64IK0JxtMsTglWZ/2crPk5a9fQ0fOQTOofgIItbqk8
ksyo3D6a/TGtnnWlOTYxtNiV6C1Nh8EtyOrTBZHZYWwMq2b9nCURBLRM+onozQAuc7ZT4uLrbPY3
WvZTG3KAla2nuo5faZ56jT4+9pYasAFT2Vl7VGLzMaOvLVMPoLx1E8LcRT/UI3I4i5buPDS/1Iz4
NjO+6oh7eVe/kJkDFfT1uVuVey1pgqYn/kSUvaOYhzFn3pJUQE8Au9OYX+fkMWJraEMto21Rf2rm
oGT0Vo2a+3qysYlJ0GnOaYY0SV1VN/1a3tYzBGdIdlqrxFWhz9rM7UtbgGgDHe6kXPfXQ89mIunY
poUZeYuXXRAHL2rOo83WMu5UFEGYH8WJO/FETnJ9S2yIY4S4x6yiMDMUdNrvOuTok9Mc/bdlEKGu
WEeKsoCQEMmPmTxPZewbVP80TbI2Gr9uPobpv74WEdKetVAiAv09lPu0xLWLV6J/VoxdZ3xxkKP+
p40RiR+U2dE7g/HCGwbs2jlFL2B1IRkvMbN9wZ5XJGQ6RdlnGdGAKTV3EDLcZ7t/VmzbzhfPZoRc
ptTWuFk15PrVBOVaMARXu6y6UWbAn/EiaGWUbNtly7NbEyFTKXOjjoYVeYO5+/0EB6AiDVGZT26W
EMBjH5n4SZ6x8e2/5h5CtuJkdQrFXE6YtuPaZesprUA9jpHjkD2i/CCdYJJ9Vf73i8PbVXo32QQl
qi5QF7eFxEz1KwLLGHul3x2QaLdeeqQHzFR7sjf59rvmvJ9C2LA6TLCvBrxTsd8a7eusW5Dixt2t
HK6fgu0xxvNGOnzY4WKJthKx1Frgn9OxODm3NrZTR/4fBzSwf/Z7lGqP9RfDU93snv68bluyRpH/
uVtMmigModHM3HwA20CYoAS3fr1uhR+wKz7jCCFlgsiyjhcyijf0aC+7uZb0ZSXB1xGeTsraT0YT
pfCRrrvTtQQJV9H7EGD9dH0d23iKi50SIglAYjpNF+Q0Rdvsi/QnAw9Ja7SBWVPLVe3hVos6Dypx
/lATXxshWzX/dPrmdokxQjX0rhLRsGezqwOOTVVy6hJwWcWapBEu21QhEI222vZZzRNtOt9TfQ2c
prrHOKULCUDZi1y2tUIQmkA1H6+gfvItPBdRFOJqRNBdar6Cpguc5Zmf+OrT9V3YLs1d7IIQgpQy
jkyrQMlmKCfIYiCP71s/raJd3+J5Vjthlv6MIPw09voTbak7GIvsyPK79ppHC1EpSedVi0wAFNmB
azFl+/VUvpGdHY6fZThcye0lzm1ZdZUMjYrVcuq1DurW0O3+B4hwyRkS57ZMqy2saoWZAqJ49ucY
Yzra8/WN+10J+vjVzpUiYeOMSdXyqgYeKG7p/boyd2hAFzmDHLozwsbJArJ+IbSDaB6eBG2xj8BZ
aab5H3W6fkGZ7mhDjtecf4Hk7FFdAcM3E/UwzMoDIw+sjf8APaTtjuXyNrIGBJFkYG5jaDuwYnzO
FXDyojk6zeUfhfm66lHojMipIzZ+XpLSNYs1vL7Yv7mez4sVro+8wRRs2qLFNzHARKYoUGrDo0rt
53YEpcUs0NfZneeXNCqCZv1ZLuw2W3SXQpksQpP1+q/ZTur++jFi33tkzJ6dET/GRhkbc44uwCWe
lj9kKEXKeIq3HfZsS8xT06lCtRbRWEdvE+jEPVecKEIZplr2gU3hVolpHDc0wst0DGdABUuft22b
zy0uTLpjp9ajqVQLbRvtcS52is1wM6eAj7d4JvX+n0zdzS/7APrsu3FXesM+9mV6ELKvKVw5KSVZ
qfAsxIRAT4m533+WvG7fGedNE+6Mqismreb9BwxNeHzqt4mP5mIHhfLtuifyyHglBpjChdErJkgh
BjyU0hV80oNfRsfGeqg1Y6etwVzJTuF2oD6vSwg5HVMTxTHh+MirjpgNv8UNERoehEICGbRJ9gmF
O6Gz6Yp5ZqwsUXeRDdm311It3aiXgbb/pgp+XpMQWYrRrjOL45vGMNoRII7ql/WRCwdn4ThJLnh9
+4L/y5jY68a3w4QGQxfGUKLnoUPKPWnHtvjFquK2hljPUttfEjIGZRcmkC3L0/qgO63LzOZObbOn
tVQ0N6e1NzT0tMxcljGegaynP0Cfd6d1ra/bsyQdlGyE2DfvRqrlQwnspKM3cCkIwjnTqSxSFyII
krgqMyXEoNqq7b5UEOvS+tZS/birUcg7OFXrXj81v6eVrhwbsWNOE6tzspwXicFZ0qnV55KuYbOC
zEF5BXTq0Gpv69reDKoRVCnxWA2cbwu+Yj1+XqwqnBvzzrRbVH5621Xs5cVq5r0Sf3eiMigb823N
TH/WvhV4rI5AfrsoooRQPH5aUNVMZuXn9dX8Ta/j7FRCUMOc7oizgaNi39J7cJffZju86L4YR9WH
kLKvHa7b285tzuaE4JaSqKn6OEHCOLxOyi9DPeqT7FRK4rTFPeXiEUfKmaS5giVB4wmiPTxO6+E/
UC/hHnXNEYSApvWR2dsO5i6H4xrqgbZXH/jYnooGjeLLeHBlixJC2lhodGga9KSSyb5tJ31vJID/
NyjPl2OwRGblmmDdUR0Z0FZ2t1tCiFNU1azJiK+JDrO7Qjai2bVvDmqUv4nbuHAWegiyWCcJdeJM
dTPVupHpeId3YwaNR9DQT/X9dU+UxAtx3MCpFBphMh27N1unKV7A9Bt5GQMsa5Kpe2/yWGnnVMUW
YtNcjgomS5E55DfOzrgBRMPLbvVPvPzVhWMAoW2XHRPVlclfy+4nW3iOr3altGzA/dT60Q5kaqEG
LWWf3Wng2ytN//oXlbmKLcSSTC+izFQRGTHjAGvGm6J6nY+W0r7esVuODJGTt8m2UQgoXTo0EG2C
p0TO8xjjGb+bdQhN/bewZQshxRohgTZYyDXr5sDIbe08R4PkqvyYjUGn6kIrTtiqqnLyxlkgAb86
93Hxo1Vzd4hPhv6SOIc1lfRWP56v98aEnaqAEeirVIcqRncz0adUBhjZKKS9NyBsC+ZvM8KSHiqT
kLzLw+gb+kJ4MHMe9uhhjl1rp/ppQB/UUwYYqVTe6WNofm9e2C9FX6yYNviY/G2AY+dT4mbe75nS
HXvUvl13/I+x+b014SKIbKW0WmJAaxWqLOZNV5V+2bw1y6kqTgXUdVKZXMZG3eW9ReE2WNJ61MBQ
YqAUO2N9jTe+4f3tc9Q5VBF+Xl/eRhR5b024AnqqstlYe2gOd8chO2ngw8MAEbqmYWLcU7JXlF1S
u0P9ct2u5ESIL2W7nWwwUKSWX1aKz4ajYd0qKRqP9oLOuFuMX66bk31UkYK1QfVM0ROAvNhBC7mw
rHooXT5hBy4pFLWvW/uYCL37puKTWTFUdZ4nyF4O2nHSDI93aDXZHLLEMcUncttleaaPufX7xfon
NYkNF5Gedh6b3mdC7xcjhBNzVhvLWqFxrz9Gu+roPORvxh39roYV0EDrN2eV5ODSrRLCi6INxRrP
8Mg5zO4wdeFBi+9pBCm6vY9D9vn6VvHje211QjApjAKHLYZfUONJL9/W5S1tfjjo19YyNuWNmsb7
DylEkh5SeYlqwFQX5J8MIDlHyB0gS+BkEL237FMPg9fXVydzRCGUFGuCT6lDTlnTv8z2o1LdFZGk
Ci4zIcQPQsaRFnph+KTT3G4hLpuWsFUa//pKZF9PfCB3+pKMjpJy1ffRrx9QhrpdC3cKo3AJ0336
HfCJ+f+dRb7bMPGB6xRzFaUNlqatIGquPBXU8lp/Q2XzoxIfFOHhy0AgZzRrph/p36bUcMdk8ClA
KF3VHo0p3km+5Pb96UD02oCWsiEmx40yNrRzEJ1YjdqvPv5S+urZmSvqAvRzcDKUbeoeT1ooBNh6
oNod8Abqvzzl51/Bf+XFQy4FtEUrMO/iV0ENTnYUjZzD73eHsjP3IJmRhOS/uefO9oQUrCt7cKgq
JfcfyBJ4qBU/JiA7znn6KvnC20fibEqImLGWNnacQIVbyTpP0fHkbpp9ZTrh9Y2UmeF/v/iCzEJn
WuHiyob5ozEsN9P+UHvZY01mRIiPUdUNSbMMhu84D2lyyKz9mEqSY/5PfAzB588lxkUIUzSVhlRg
gH5Qan7WnG82zd0VXAnXP9jf3CxnS0I4zI3Z6goLV9kI/h9gP8PkVgUbD8eaU19/klj7WBNF+ABf
JiFc/IyIs7jjqna5pUDz3USpwjoxfwRuf8H0YHpkEmzw5i6dTYkzuWbdm7GRwxWg7e3GZue3i7Ib
1lXCgLW5UxdmhJZDaWcQJzIREIGynlDnIUBfZG0wy5iaZHaE2JAzRek7HhuM8WQ0wQC19fYwz5LV
yD6aEBFKSKuyBqgt1FYT9IPskwokzlr34XU/2IzuFx9NiAYsmdeCLCmiQQtKTeMlLspvSUaCqYMm
GFqO7nVzslXxv19EhYJN5ZyYtukbvVerN3px33YSQOsGePedZxt8/y5sgOUJGPs54g/A/mDAs3uX
T2yYp/+/Gt17Q0JocGKS18aAxZAYlEXNp8Q8mtFeHSwfTbXr322jWPrelhAcVJAwZYD68GclgCEe
Z6dn/v+E9pSDI3mly/ZJyJviTLHrNu0M34oh85UWQVZGOzOhEieXHCXxnQUPB4SVIOQtwPHGTuNZ
ANsuwSR7YEmWI76vErRKCAj/sBwwSFP0jBl0C3qJb29XHs5n6cPDqvrflccdD5WHgwksFsV/bSjQ
YT7GN45VmD03+/JW1nbaXqCla2CuhaY0FVwxKSut7cDD7tdZhhJHCZTrgGzCLv7/MEruh2dDgh9W
2jJFsxFbwFBmQZZ2O9aaJ0OVAcW3HQPwDqrbXDNeiBP9SBpbTyv0IxjmKhu36PdVu1tQmbp+rmR2
hFhBzcFhhYpqzdjjONkvNcVI04pcc5VpC/EP8yGPALfw/1Yk7NA0xhNlGgJt1v4s/4+061iyG1eW
X8QIerOlPb5P++7ZMOSG3nt+/Uu07tWhIIq4T1pMzEIRXQdEIVFVqMpU9wWXO+V0VwSTpauf0dnr
bC9s3SFu5qh9mrkh1LlKk2193sXFXlKPWr/bNsH6dhRG8BjDAWUEXv8EEVnHs8AXZp4kmHv8Iyz6
sRS6qzbMYr9SxklG5Yc307ywIRXlyVPmbS+H8cXoztqkqSehaBEQ5eFDolyM8ksvPW6bYHwxuqu2
hS5GVNZIperEjdLErDu3I/3w6BbfNsRaCxU8yLgpxKDE7qfpqRAfy9HOa8Y1y1oLFTiUSSzno1zB
wapTFH8ZwETe9k7F4h1YUfAhgHPbfbLUxW0uCGE3Qx7yO996e83dEd1CgxlBn4jUHH2I74WYU4pc
7iurUPabS/dmm0KHGG7H5yU8j2jbkgeoqbMTL7IGezg1d1xsssq5v4ldbhYplGhCvx4DA3iEJ3K7
3Qs7dT+44Q4Tn/u/8xAKH8KwE3SRQxYoysFBR9lYEKNjV/9ZfW6xfRRINK0R8WLXybZaWhmSKNHr
QKwnS9chfwsQt/jHdLakKjen5JCyFFkZPkr31AahijnBFPtXQyMGUrDSXdZbTcpIb1hWqLyj58qY
D7UBhZj+2HSnurlIxRH8jtsbRj7Uxv1Bt89GfhGnsYy6+3T43lDVuc2e/bTMWgyFHCnK3JzKoyZX
khag1JGjL81Um3L6tL2c9Wz35hg6hR+cwJV+mhg414pZ7knPKBgxFet7X6NvaQx7DESkdUumXkjE
IiHliOYQYziMC84y69WA9e3Ivy+gShOgFdeNJAHNHD2wQOVuDrVT6y9/+ekokGhVVDzaDKVatBtb
84lU1/VHwtQAwnObOQspMhyPQooYl/yczz4BYNLsFkLyIrOCExH4nnYsCdn1QurCLSi8KIZaUqMC
axsVtTfTObzT6xedx9SXUGR3KAO+y37uBhK4DdKyAZcCiOzweIGZMyfKa0aJdeVZ+afLh+6HneZc
5BFIoR92Midvsup9dV9Y+F2TJT6GlxjlOe6J1drMcFVaySQycr0pukixx9pOQslsc8do+7+LEAyy
60tfBd1GwmUlrrb8TlL+abjD+Gc5yY+7jOYOLis+qDBViJR1zh8mKUqtTC09vu80xlpEAkob2GjQ
WJJzSg9talI9DS7aCT0bLgGUyGt5TGCi7QB0djYoEaC5V1u5FSNe4Gzf2T6WrG0j/774ovmMbgej
wY2aJVBw/1freeycu22DhZoGBTGZ3HSZX9bf3xnI61Nw3+56y/AKN7hjxQhMaxTQcCKfoaMe1ghx
EOQLvykX8W62EI+ctev4zlgb+e1bu0gBjdJmRhtVuWJziAZAyd+Y/5iC6V/lK6EUGezx0/9Agb5a
BoV0ATo1JFnWJeq+qyWoDqcqymwtGT5Fw6Z8qScHM7AjXhnmzB6mU2TsezQzbq92dbELu5TLpnjU
K9oa1x9YMZsCs5HH0bik/su2FfJXfvmkCyuUT6aYATF4HQdD0r+oIG1rfP5x2wJrHeTfF16fJEJY
QShItofC8YXjxGF+HPQlAuNzrR4uCCiIEBrQJZHmfAhiXReaEZO1fn4dgsOcx+YkMzIalg0KEgVx
TBu1IFuSnPzhIM7XomJ8rdUgbrEMytv4TJ8aoUKZpuFO6njf6k/lFKHP8pgqVz+1BrmwtrdnPaFY
WKT8TBEHxFgZFiX5B4xLmFz8TzM8yWXo1DM4tB96wwrb1GZYJcDwq9/dtovyu1LTuq7LsM7kBWRq
mA/kuV1lpxdCOCY41R7DHphMLGKLmUCRL7hlmfLHuFTDkOc+6qSDE5I6aW72H7Yhh2dqHHs2kbWn
FEgGgVwOAZRK7RAdduInGTqvgZNZtRO+Qm3ZCY+JHbiIBq3AZRGsrTBnID5Z7C4FmWMVIQxM0f6T
nlQPCqm79ogCNOgMrXqX7UEsYIJu4DkpGPtL/uyvH1k3FA1JogDB+J8PfVqWsxZVcCpQLzyo3Neg
Ek0/0SyhQjOOACHJIBMZh3P9hRTD2/+x+UsVKMlG1EqAAEaJN8scNBwTMscoisxmzJ9av7RVP7vo
+pOcNHarsV7415H0Zp5K8nIhzH1+mjDrJTtT0Zk6/3n7zDC+KV0bmmstiGbwiGLiGsQTiH/lcw39
IB8ao+PTGDFqautx9uJzUkjUj7wRayNHdAjjJ/4FjZN4T4g8FWPDktOCh4jZRvwbKLp9QgqKWqTI
ehoZeN+sFLPiwGVnaHdiEthGoRwF6NglkooB8ATUkjUDBtdvqZtpCo9iPeeVEMxVduY7yBJIZja1
9xozM2NtIo0+YqGhX0cjX5UoFgsuYdINMRt9KPY1ppTRnn3VrdEVHzh3233WU5XFhlIwhFS6UDsB
GwqCnF0Es5I9H9vdfK+ayVfeLL34PLPKjOswf/usFPxAQE8GRwQ+K8boHiK/vpZ6ZukgJhnBp+JH
CiMIWI9HF2ukcAepQ6nmjUxe9iandAmHeX4UvN4h1E/qXzoNXT0y9BaENB2qR2grrtXzpJ64wTEi
1ssew2fo6euw8vNo4HHi57t8DyJfULMTWUl1n0FHySwd7b7at1ZbmfqDzlKRYZwLuqgk5QaXRuT9
bY7mvR5+Q38lRI6j2pW0iUEWyABQejw7kJQqyQSkR9BAsbp43E1y+SfNXjf3oEtKQ6XOUa6hUhFI
YPyRR7MX+8MYsagkWW5I15JSsQ/jBkqupHSVXDBCaRbf1Cd0KH3oqe4kVsMB0yAFK02e9UqNmQ9M
/4oWih6CFdqKkwNJnNwZdlznbIMJa68oLAGVz1ijCoOmSv0x1p74ivH3WW5H4QbyV79JGsQPcYF+
2nOqP0L3J88etldBQH0jSqFnpifRT8ehnSQ7Bl0b9GO8UHtKZNazEWtz6BqREkVhpyYo/yoo2TeX
3O13Alq30DXpGfs/e5K4+ThdHJoDJZmzFCk5ab+WrQRiDjp84Xt/ubGX9tvfkIHwdJloUNNRaVV4
Xl0hJa7nl0ptXBBseZkM8oKA5RgMLKRLRl2GCWVpCNH8J3wbuFeu+WZIFp4xTUyijxyr/3SFb5OE
zz/uL7puBPqcOhEChM/6WXsTHemo7yO8QoDiM8fk1mSTAdFuh6kqd3htXjUGIrKubIOKSrSsnXxO
R62zdmVPcEPwb1nRObEU8Lx5k13YpPtbZfU2rucrt0VTYKLqjV9OPi7tj/aYneFEe/KQxmIsWH88
W3xcCkTCMk2lokALSeMQObvE8W3x/QsGD0Hg7V84xsdkHHaDghRJFEoZL8WSncoPTfCYTK/gMts+
CwzUMqjoQ4POvWQU6PxOW69H+bu7TNNlGL9tW9leyC8qVCpmY7SZB/aq2qWUnlXtkzh83Tax3qjy
Y2tUuppSxZkxZlWifIAIQn83+4ZX/F39SiRLJSs2w3v1IpnxfXdkERYxztyvalOJrzY9cT9FtFo3
34sOiE13xXPm1cfSQcnW5M6CMzqxCdqQR9ZM4TaeQcD+58xVq0W8cCl43srGu6bwFJQ/tMhqhi8q
I51jbSO5Yhd1MQGPTXIbozlimLu3Lm8wW6WcpIx1U68/j6silEpRBzAMiTplftyK4TwCwtKT8Ege
KIYzGKe8/IgqQOnMFoTMzpxd7fqz9idXw8IydeK4MuKgNVfgZXd0Esmbq9o04ke99yTFYAT+606z
sEUdvUoSEyXykVeB9jn6N76m+9nOkbAqZLaqQZVFu+9OwR5lcCQCIMjdbR+Y1c28mafb1PRoirUU
vbn2UNcgD9eOWqG78sga1lwNuxZmqBrDEEWdPGtYpd+VdjdX92HB4stgrUT82S0HHV1wsgR0qY1z
NnmGAhuMsGs9IFosgzpjvRH2taKiYxrNdjl64AqPf0+Pyj/VHspPLuuVaRWVF9aog2YYYVjPPrBM
Fp9GxWv0wGyjg9q9bLsAywz5sIvzDKrOPhA1xF2CcR5BdNa8jxhFY7GmrF+ai9WQn7EwU0rF1MUE
/cX7GYNgpJQo293bYBMR6cBmVg1Wnz8W9mj4iPihHshzv8BhXMWvzaEHK4DFF+cSNS7uS58ehwTj
izEjVWN9Tgo8BigrZmVcKnhYtVrtLMxnvbQTwdnetN98TgUDKuhxB+sstWv+xOmKGiK3RgtDfaou
ySGzWtPv0OgOjgOPPRP8G+e/WaQ3MA95nh9Q+QZx6a4VLbwCJpbkDTZvT4mFPmEmNx45sr+kOZB3
++8aqS1sgzCfJ5IcxnsyOFKNt+SwsLl9UDI+KvlmW/aorQvmtpJT0uUgp7ZWvwaBVyVP2/vGMkHB
vaZLgahUSOSr4pK3l7BxR5YoCvkTG6v4KFYuDtrMpXWsSFiFalzL7L5MdadXUdXFbGmyi6VXgUVz
yfKMjwL3wmITgxfE19CUS2qDEg436aNIj6SPIn9mPUazPP/j1yysqYbeJ6mEuwQk6VeMIbv+18r2
H8GWbNZnsA28bu/Y+nn+4YQfP2dhbpSnMQczMqSbsrtBPCdxb+qZm/1ROnrz9Y+q9sJM2E/RFJKJ
wbkZv+W976ic+Cb2eAiv30RRYoQdzC2j4CMRQ6PNVawqPI0u4V3zbR79eLND1IBY8z+sT0gjRxYp
uh4Aq8R8MsvYVZrrpH2ZWSNTTM+g8KJOEKklZFSRaL1pbmP5VzCTJtA6Ug69N/j2n/UALnaNQoyk
gXBthY5UpBuCS3wxboDCIzRfay/1ph3LGZn7RuFHmDSx2JIJ5++pZ2r7775LMs/MTc8sVRIGknzE
rguf5MdpHmoOxmLhEtW6yUWm1iJ36S9QXLEK8XkMGSVjBjx+EFQuLIKMW02DBK/6eetgyNrKOYeD
2Mz2iWYti4oUxa4fyOOxhJojuHlAoDC4f8Y4iBLMzTc+WnsWawn8jtdUDXlSj/mz7h2E4HLL+Fzr
b10LG1SIGNRKJ2UJYjf/OY3M7AL2WEt+Nz7pj6KbOsPxfxhLXw/lf+ChSCFH66t6b0QYfzf8p2J4
6aZPaqA4VQhBgfsmcNL0fswOUjJavX6U/J3/7e82j8KSSBxioYlx16T7aIfEfqd4yJ0OrFHS32Sf
t2VSWNIFA4a4J9R4erfeE5IXzuKv7Wd177uah3vtLFxJPtYcWOUeFoqJFKaoQ5TniYraWXqa79RD
5oRu5NWB2bn5Rd4ZNotOjPy9jXiBHpcsc7TrJGTYAVoJe8xwDuYoFPd9wHmaDzJ+I+3MmhPs7W1k
XAn04GQ+N3ou+YCWKTtOsxOM96LeQimL1UDHOiEfxGOLU5hWaa2AKVP5uBM+xPbwAGWTqbnciezp
FVLy++2lsTBaovClLbLRGAwcShIoo7fsHEFwNDsRsUwQN7Cucsb20W1ecTqKvuTDXYJGM2t5D94B
k+9TTC48dXhcUwrGYBsDoiUKcozZSFNuElEc6e0MqkDRyzzeb39BcrY2PJIWi6oCP9TiAplGXIeO
1D6148xBIuG1DpN7IU8YTe6sBVGI0sexVEAHByUQAUBtGMcsgpbEFDI6btc9HkNfUFCTVGgEY9EL
R2yMKfcr0skJogExnaFluYtKe4xYc1/rt9vNDrU/eGNo/BkjtlDV0l0pRqbt56fQeOnBz9wN4I3V
cXUnxeP2lv3G6W9mqWtB45rK58F5iHOmfEFf1E66DEju0Zy68y3WEVvfspsxastG6DpIJf6DrgXE
UBBqhaIpDy/bS2IZoW6ACFy+xqAQHJ4KEF4HD+CCdmp1Zt3hLMeg8F7utCgYRYw/oAKIopKlnFJQ
3fNf08+zN1oYHrWa0CSP10/b61vvWtFEjYekn6bw9Ohokky+4LcIy5X6vk9BFsxdIxBYzvGxS120
XJhQdml7xtle4RhHWLSwSqFjxOUa36ko6w7WaM8nQrEvXrXYMizVDvblMdtLTnxA64ytneRL96qw
AHO932rxC6iTKA/NkOCA4s1ZQWsqZ3JJ7ijyoah3SbVr/Ws5H+R+NhMmp8PqTi8MU0cza7ikDlrE
FFFWWLl0GvuXgCusUPqTEhS0/SSNVwRJ5glELKBmnCKxGEcB3QIq5E/+1QoTHbgTcyp4FaZvZuhC
Q6+NU5jiGrcV5bMEvlkOA+K5pYa2pv1RT/HCFFU/nrmOn6ceNQ3QsBv5WyI/cKoZsJSq1l+PFmYo
3wyCqZWkBBske80n0QEp41E/aQ/qU4/BOIjcufV9BJ2wYgcZur/bM7rM0EljnPF9j2MxdFak6RYv
1jsu+tomvL197ldxbbFIygvDPmjHRsLYYZz15gxP9COzDL5uG1mPYhdWqPugqfue6wzMnAp35Um2
wAHu+U+yKVjZVUTLFqtWyPJF6kaQm4ZPEhkuL6tvYaiYkxCAA9wKO4wqsPJH1gekLga9UCAehSFR
e+JeW/5Zie9SKWDkqKtR3eLzUZdC0XEofeqoz/iKbyGaw4SQnKFrf5+qbxH3lx5B4QWYVAyOq9B8
pqf2MFrc/CzOn7f9Yf2d67YgupaQK3HXtgST8jftUf8XtRK739WKKV4LS8pMHd2ZAnBfeQ9euWvr
sV6HGN+TLiy0w5TqPCgZbJxukI1IM8b/oO2pK9acfxLy2m55pvgfQYtfwtjFkik00Y1YkKoBoDVY
ypcInYuhPUkm3AZjr7jhBIbLrKc6C3vUvVaWQwvpXiRy8Z537hIHdD6tjQmae0JM2nzGp2Vs6nqT
9sIiBSVDOvsGaVsEXiIZN5N/9PfoPO6059bh7Q7i28Y1tSbj79yVrkBMU8F1Wo/8SoWCs/okTW8Q
Id12V8YRFyk46ZumRT4KE0H9GRpqptCcNNbI/AqBLYmEflzTIoUjUpRDryzC+5722NvJrvCmEcUo
gQelJiFIrC3tOnQoxkLnjtVsxVofBS+DOPJ+QYatdOhix5cGhcuWke+s5iGL1VGgooTQuwuICZH/
J/afINXatE6hPef9XZdVUMhz/mrL6IrCLLUYyPYRzfp1+hDKyTe9hjIs/0dUTLdl0fUEmRtBuBKQ
CiWkc4PQVOSj0dnKH5W5FmYo7BDzmZeDHng1HfQDapTnZM958YEFiww/+KV4UAzTLKTEBdHw6Uv5
OajeK77Z/93WUDCRcrledBIC7kG5TNUZJP5St/s7E2Shi5C37frYFwd0MMn/hLFgdl99qEVumyC/
cgPOafIloesFThNhouIqSGKqdwEneNsm1rcDgyDQ/1UIgdnPq4AQp5AIGfqyhUQ/J7IcmnzqWzwf
MFrKfnNV3AxR539qoPMxlnCv4d4/t5hRr6zM05/INOJkKy/s+Ow3V8XNIgUHE6i4Zl4CHMjn7t/4
PQW9LmfpJ6iUfuns5qS6pVe8sia8Gd+T7nP3xUosRwn3U945w/SmlCe/ZsTt64HFj3XRPe7ikOLN
qQFrEIjIo3FXpqcRDJK8fo66DK2l7l85CN3V3gS10MwS3pvm4BM0hJvxkuSMcth6JQe65P9xQrqd
vYwKjGgH2KnJm13FFXZyaU5XGWOqklN6PbMFfP1c3exR6DC1Za20KXg0BjD+yxYEP8hc2+xJ9/En
1Z12RsmkcCfn6NejfDNJoUUaNP0YB+h6gmpsrewHbp/1tuafkiaztzdsPeW/WaICCb5vxzgKMbuS
Sfdc/zVonyChgenAbSus9VC4Mat9poA0FaNVUmNW2W6a3nx8S8yID0X1l7Yo6NBKHrwqhNBZmepd
P39u/MzV0xyjJImbGqxh/vUBePS38BA3NXjwc/0MiamWZWDJAm1MMUcW5pxQNx3sQhXOmQBt1zqD
hnZp5r52rfxyl2WQnSXbisJHxiuONKZeV+jXfigPdZruxkR3ImN45PL3fv5kRDKjuLWKN4sfS+12
G6m8UmmkVTe7z9WjFOx65pz8KuCAekCWQW0JIQwqyueHPGzrFOk7Ynu0yeff62h2Y8WuetVP0V76
t3JzSxtMVovC+upulqmDinFroVcqHNQQRSuBSxxpyk0RjYrbzryKB4sFUjtexD5UH3iAtjgGeGtO
HqQoY7xhrL/uLWxQG1XwXKxVcfiRuFwUt/LU99RM9smBSG8m+24PjfBL75bPrOYc1jekTmon1FUf
6nDnNrXC6WsOqWXWOBLLQagDOg3ZCI5y3BFF+cWoDmg9U7oDhxTXCPcxi8tzFd8WH5K61rleVfnB
z/B4CGk3yNqlwkHtLV9gMRAyvhtdPkhiFapLE4rkEugtwkuAV9iQcZOvX3y3tdA1gjJFu2CTot1s
1DxFdPxor4+82YUJtOntfDpwUC+V74rMlaeE4fOMzyhS4f5ACMq7FiJFWdPasYYRVfyGbNL2vSw6
28drvTK3WCYFIEJW+YUfwj/E+2YCAXTuhiAoMp71R+WgWCV4xxgGyY//5bZdGKRwI++zQZxTjL6Q
+c3Unj/39UeKC2kmr/gMmuttewz/p8sDiiBMfAUCN7vooC8/T2aUCpbO1dd55J7VbvLEZmTc8utP
CoslUngCzdSsrAoVDa0hGuA6j3Omq48eDMLexmo6Wi+lLYxRGAL60rprJpRW09OAWVjd+2BLcfj3
9tDvWpMUWceH700KreCyOsZXY42FdQpe4rHnssZHRFOhlXZOcgvtQElYXEfEoxPIfLc3k+DHlu9Q
+IKxqdGffdyosufDUz/Effbs8iDj/NHFg7gKxVRUwPXBZ5FZRC+K8ikTQwuDfIzoaT3zun0+un6Q
DUaEB9oARTpwKoz7/C64V/fJt8hS7jPUPbOIKSTJgE66HUGCXkUtZzh+xbzvuH+Het/279u7xPAJ
uozAdbLeawMGJgz5a8H3VjzeicrDJGOGgcVExjjddPuBHAaF1NaY69UhjjsUI+SIv01TeBwj0Srj
+B252L/bi1t/FVpsGfnAi9qCJPRdp5UA53gP1mU7OHBWZOl24yFLeahOEip102cNfZPqhUWDwVot
hStz3ZRpI+Ooiwi1mtjhpQPeVcwYaft0aSRGyY7lKRSw5HWfRiWoTyDI9CbJ1oRkIvy2/TFZJij0
qA09mYsJz1wVx9/JU+6IqABkXLz/OzMUbMxcBJ9okRCF5ZPenw3M0rPGvVgnmR6daYxKC/qZTAEe
Oie74CHbHHfqV2hN4dF+PJfMdkzGt6Pf6zNeDCeFx3vCFO8FrjAj7k5XGSeZFQTRTM9jU2ZGNaCM
qp47J9pVHhr79slesgoXkRcLDRmhgUzFIryIEo0f4gl5hNTn4IEf4CpcpjvpIDncvoydv/IKmQpE
kCMHWtK1YDXvrEl+9I1zA77EbRvMD0h2cYEWYOOokMzCLUoJbMiGBV1Li2t102iCPdcUaFLvP1Wy
4cnl/F4Er1UePTB+AQONZQo0MsH386RGoVJ47ByiuCDdERrKwNEu6p1yxg1neKkTOn9GqnYDSpnC
j2xK6iauURrQzxMYimYzttsdbjb0SyZ3rDCIHOGNyECmkATTXgZXEQY3Ihws7BLohssuv2OZYR06
CkkGefTrWDaQsGUNaFZna44w8ZvEu+1NYyS9tMqO7EeFEhqIc8rkH5Xbhdnr9t9nLIOW1JFTeRir
HD4RR+QigcpHm5ot/v93Zsh5Xzi/IregnCOxt5Ziskox88yZclbFkBGs0VqxUZ8GUh6heM0Fnlph
4il7T0Mw0ITu9mJYmZJC4UVU5nHtQ5wAjZy9TcYy0STFOZEFWl8reJteWQWW9SL57QApFHbEetEI
ZYddGiwywBA9lB+5mZJA5iH4SmRBU0+4UxmAwfINGi/yHHnuiOQlFFH+Vx/5LnbFlMWsxUAlhQKH
Qq/BdU0mn+RGtHRQLTS+JUPBZNYdrWRRarGWRIGD1mh5IA6kKbZS3irtUpetWcefJgy394JiCcpg
8rm0K9ElUmXjlyxoj2SSOTUws91xjO/Lyg5ptddcQ00rbv4zxwYUsUlHt4a+dfFYMXCEsXBa41UU
465XJDxPhtozH+wk5T4XGSkZ+XYbwEvLWGVqpPDQv0OEMOYmjwoJpgLNBl3O+v2IBvKY9R7BgEZa
57VStbqYNXRwD5i55V8Ig1BmTdfeIvNl0WPismp0DHyh9V0lrpTUjrTpcXyNJjPJETjwzhmVaYgS
IwBi5fK0uuswhGWE64UMs01OfzfanNmgesC9ZG+dLUCeDlwktnwsLXSdHZk0HQSOt7aSwpuyEQNe
lcjlBl5ZfFhXfVcu2al3SKe6zOIsZ8EbLfg68dN/tCB5r3MmBw12lg9aEu5jZEr6F89LoLBNPv8R
ihs6tENkVQWb5s93Ugx9hYSQr3y048NlI8dwArwTOGTox/hqvLNUpdfP4M0g+eqLS3BCg0oq6KjQ
K82BR7aYX1rmzpHA+Nedu9mgAufRD+aprvFSrOfXpHwo0p0eXxCdhL4tJWZW/ZNLnohmI/6hD1m1
2HV2Fygv//eLUvdiLMbyGHd48yxTy1egX43Xn115zHfCYXbme94lZcQ/O5U3o5Svin41GbykoNKc
WkltCeNJxvsTi0XjN1h9M0NdhkOlN2MrIgeu8bwy26EVHL5PsoKGzdn2zHUgvZmibsRJUaakqNGp
L7aaxY925eNNHI3HQ+VBILBjDW78JjO52aMuRVXwBXBJA2t48H1PjmrNR+mhNTUPkzCPrLh5vbtp
4SRU4OxDpGVME3iohO6m2e7vwtCU97JJvIO0wZkCoig8UL5ykr39XX+Tmf9YKM1blVWiWkZ4p7R7
AfuXpNacPibp13xOPic5F1uhfI0qq6j9XTyjEylxIaH5XOIk/eXvoJAHKiLpIGBW+SOcA7ADYBNP
sxwNnNacfc/Kvxj+RDNalbGqSiMZw64yrxedOXrIS84S5MdGbhAks/oN16/J21emIGiudSELOZKA
5Yo7hE9BMBTIjqR9VsgsZifWsfyFz6pMJ0M1oMnSuxJuqugwDabg+XeEHjFnDhKTjdlAV5q+aizU
yAA/OLkyfE87Rk7Jm+PD4KpIMH1WmsG4Lmji81HiGjACAE2joNz7Y2GCPsKRC9lkeCPjyqCFtKQh
qUpuQm4meiDmtpJ/AtGNXwc3QUN2ZMuCE7CEoVgrowCnzYQmq3oEo1L9lvXnILT1P2pmv6EMzVxV
+chsxREymX60k/gEhNNuyBKc+k0e+F9PN3j+5wvd78aSzwryaIu5crT5ONk5eG5B+EwIv9Dtwxw+
XQ95bwYp4PDDVKlmA3edVtRf+0z7NqT6flRHs8lTi1P1p7TVTAlN513UjObI15da6J+zmbsbx/xl
22+2UcXgqWhmbFWlMXhoNsTS1zByKv9FnhxBOesJ5wSDz/LS1aNnSJicNkReEWXq2pjL1C/GCa//
wnBVZE+c72v5nPNnCEQr6YWPBFPGF+8GVkccwy5dgMnDOAFTKe59IogEKkpcjiJYl9BKwZSpXd3d
2xLpWszgt2XZa5gf6MvA0mboixXCw/amrZ68hQlq09IqqKImxZNF0p5EkMqLB53FQLNaf1uYoOBf
LMWKr0qwOod57RS5bvNy99jr8Qkc0uRB0EzlMLarhPX+yPp65N8X0bU+FXWWVUS4BJQ38cvIavBl
rYt82sXfFzXO6H2iyhVOEDWcMysfpX0cv0RVZWet7kz+SU9ZNGDrsdnia1Jhp2a0zTR0mPeo33q7
eBB2ut0fxDfJAh8Hk6+a5R1U4JnXXCilCbkJ/Jcqzcxs9E1e3G+7oLQKHIslUejP54Y6pAWeetpy
gBBcb4mNbxZzf0jV9FMyBtaIBm00djy0pfqJD+InvSjeuznw9Ca6oD3vrsjvQ15WzACdXlXBu3mD
Ls4U/UBVYGaq4ZVy4syZCIXkWjVLjrMjgz9Kc+tpQoetMkyN11MTvFOm0SWXkgve+zI8dSrC3kye
WMD1q1/qEgZ/JAlDIwJY66hLQq3nuW3zllCBhE+jHWmofhdggEJ8DWkuaMJ6UOfsGFZXjaoYIjB0
UeE1uhSqBQ1kaOoc5QPtwrWBObG6RX6t2mFVCwP0aZN8tQvUBqG05vXqrhrOGFqE5GKuMGjbf/XJ
nw1Rx07mh0ZoUbqyY9CKKzsp2jfybtsjf3XIn01QZ6wvIcDuG4VI+nt8zLYW49so7wVsUvIqG+/b
xlg7Q52xpE7CJgsSvKWGn8c2Poyaz6jDrZRTfl4PdcDkglegr4i9EUGxOpAJnJ1xEa/5i79DhdrJ
0AUYNVbD6p0jjvxzcPyzWQKgC4AcOswJ8BHM5ici4xe6rUkIVOQjazhhpThGLEHkRdEMHTxnVBjU
cF3X80II5/uSXZDWnDMw7vlP01VF8ti5ohvsP2oNVvyMCSCeNQT0a4Lzs3nqEjWMMa6FGZdoxZ2k
/D6SHpTGTfm3bUdZP2Eo+qPfX9Rkmsu5kLVhUEV8TqO4n/jdhDR5js8qOllrENVt21qJZMmSfhij
QWrAy+53qb14L7n13bzTn1RMZRLpkviQQBaP4aPrp+Bmj9pBOZJziask1Ir71qvy5CKUibu9pnXg
uJmgdomX/Dbq0RRiZ4Y1CMe+OIrq/baJdUe4maBCHW0YxXqagLLGfPU7u9YeZRGPZy9/Z4WCWogr
5JxMJiSH6kuXP8eJ5mpS+xAnKgMHV7+YJmLoX4P8sE6/xAhCwSVaUWGIYBLNQonv44B78mOGX69+
tIUVCp2aKA39JvfBwYtO124/z2dBcLn/fzc6HHphhQIjLQ2rrEiB6SAuEHxoWu0G4yUur+zC4Crs
3SzRLyuyksQ+mi+ICoV/qKwAhL6Kp7uJ+wf00j+tiX5gUeVpzmYdV0cFWcLv1Y7QNpzGLfZQCH5l
lY3W75HFyqgTlHVVn7ZVilLKfb4f970t2OQtABINwn18IYOI3Dtbn4zs/y/XyMIqdaiyaFD6mosQ
8YI6kqveo/JcqI6vfKcPqGRr+3StwuzCHH26ck3K6wLh2VC8DOGhnhOzy97nIDD98WHb1Er98ecN
pGIZrdQ6I+EB6YPFW9kF5Son8wizRWB9MK8fDFb2Sj7W1sckh3FxJ5eaFDRyiWOA4PODE1HyQafR
4AWpfOi9+LmOWTcJcYoti1R8o5aD1nAGnDQ8fZ8SCs7BfrZ4G97C5tljgIlKgYkopMIYdSX5ooMz
vchWZcV3/onEAUR8ZnTAebSTrox9/LUm8PM+UuCSDjNkRApwX/nn2cZgjQVytb3iocR0YL1uMDCZ
1oDiwyHBUBJcRhC/Bsol8g0raETWpjEWRAuB531YSyGHz0gkFrr74JAjUkS38DlyWdyB66HG7cDR
qk81z1fiOM7o+o7NHIUcEcJhvpmqBzl+xWxm35R2G54R3pl9m1ldzghTWR+Ughe9ahWuD2JcDPkl
HtDTe/FVb9s/1k0oGMHBMmWRbjRX59wvE5IbNfkxy1ITxy+sn7dtrDSfEh+8GaFOdlWV9WyUWEfj
SG9kGi+089cQBEGK09j/R9p1LVeOI8svYgQN6F7pj5GOvNT9wmgzTe89v/4mNHFbbIhzEDM7sbvz
oA2VQBQKhaqsTOLJAfEKL3QHWz3wkrd/2MIP28wZr5Q4yZf2/UmLSabLcINrCIMClN5yvFEmm9c4
3T/lH/aYU17V4aQqc4uXRVlZmupIVWuHvWopNa8Vzds65mQXWFmo0lxrUHy4ZCkf4jG4vnMcEyyk
3MyWtoAKB+a0yGTHZW/n4o0mc9yDZ4TJr8MojwVNoFF4ues0yRIU0VJCnkD3Ti/vDydkIeRznSix
viJjpCiF6ghhljvxEYQuDqXtSIPEKbwEssa2yCkK7F/avx2CxZUrU9UJeYESTwNVTKP5UUyBCfhO
Kx3ilBPsd18qH+eMxZVHBMppQ4YjrMynPHmFauV1d9hpmv/5DelWbq7oOalatczRqXhvLJ+zU+UL
9o/V7g7FYXXprblyTPKcgwkdZICejlLBOYpfYu3V4n0offsfF8VECGFs57yoESFSyBZQ/ez+OyBr
HnGEGvAcClgLH/Le4Vjdv8Y+3IKJE2KcJLJQExAyQZcIGGUk4z1EIRVXDLitGBoJPuc5H7aYSNG1
umIkLbqc+kzcQp4s+i5LJvBbp+vZMNEnKKA9Gqq9qxqdrwijX+cvVdn4eifahkgCcTQdAzeQnj8v
oc7JajkRk8WgV6sZqmIFr5UxDdFi/k4EpJPkqU0wiMT56jxbbKwRpnAFwhcVLTW11Aqz03442brh
m9UxFh/LwVPH53w8SGJppc3rYPoi5Mun8Avn7xCv7wiLUC/nrhu0HEGhG0HNh324zGOgLF6mGnYS
I79v3VngXPU79fk/Ti8LVM+hRqI3A87SUNujQyX6Irc9QRgNZWkXAAKei++n17/djoWqt0pWShlo
uhBxJbAuB+Hhh/Zo+rNf29OJZ42elys+zs5Yj+msLCGNfZIeaE1h6fiqgyNGjmo4ifjA2b/9SGuY
BA17IqusEtaSx0kdEolSWEMJ21aCEAoQGAjMH6pLhKeDeeA9j/YD4YdF+hdtQq9Uda0ajrIE9eaf
a3cal0vBo9DaPRyGjNo/IGaiyb7ZjUgkhpxiv5L50uh3GoZGJ5JYLfcu5hmijrNZyxjWiOkGaqIa
eQsNlwz3Yn+UKs6DkmeFyZ7FIivjtR/AINh663TbascFWMhS+MnxhV3P23w2ZmdiLckw3YfSQz7Y
VNmejpuQx+S+sKObwWsOeLv+RRWVMcbPewvtnrCNaeY+LkShU8ALTFnA/xSXAC4Jwydc5cH9ELIx
SL/5ZueUdEpAHQC/l+9n3JV4Tfr6bXUmHuYmuWML/2AN/NUSKsumwrI6g5GEdHWKx4nsY2gtmEE/
1gfLBbq7gRiMqXN9I5Xda9L4bY7NdsNqHGSFPtDrMpcsCP4+dQKgZcr3xBgOxrpc1AoPPWO2miG+
jYvZK9TxoUYwLaLuZVRB39oMiRUbUSBGig9BWy+qDF9JBqcKZ8us80O5/Cih4FJlX4Z69jIh/h4b
okWk4r5Z0csh2mRn5ez30C8Ch/XzLH6VQuFVKSJLLnLv+nL3X2Wb5TJ3ITQy+0poNGBBML32Uv16
x+1+nQPhpf1FSxKSLx0lG7M+duTwyD52o5lhglhBk/BfFseDaSloNhFcRWX9NJeHrL6X/r3yEG67
jQkmwdLasu/7FUkP4kxYurmsW6XigYqDcwj3w8zHUpjkKi1UYyCLITkxLtI4ANGHpZR3iVlz3HP/
JYuoLJsqqGUJ+5AYNDkE9SpOg/EMwrMjvb1Hq3qbUY/r7djlXag0bH26UDfmmLCWzm2fLR16EkP5
U0qe+jy47n+776LN72di19jnWQYoEJYTZU46vDUm2HMNoBkPY8Vx9d0t2piiP99ELTFNjHwkONjZ
t7zz19irhtPCo/zgrYd5RhSRZHYybfTF0rnSPTE86tCz7+OjmX6//uX24+JmPYxrS2KmN+2M9cxv
FPKeuDNG5ieveKIgOO7swu4ls7HGOLi+oqSXy+gcjd7i6kHqhE4MyF0cZJ765d+zYuPUfhhjHwNp
n6iSKiExXhabRHYzHExeXrAbezYmmLiniSTThx532DRdxNxWlJM0cWICzwT9pBuHG4w2rPGskZws
Q5vtVUDBgQdd2kGTGgoUEkUR3wP/aMy2SJVC+sxAPWNCMk8gLRUd5YNypIQU/34g5w9Tnwq76gp8
FAISdH2OmvCXsBx0gdeo3gs3mmgaukJUQzdZLbAsLusCAtGUkqkB2mb19bL+DwkhmCoVzFAosiaz
7PVE7hZDBrDaWSULVblyecClq3EhDbsr2ZhhAufcx+Mw/10kee9jOOFkqbetK/2id+kUSF94Rc49
d9sujAmlebVmGhSzaPv90EKNFzk7jx1hN+ZsbTAxFBPAo1aviDkt9LHQSbDjx8ymSPjSRa+EUzPb
4TaCx22+IRNME0OMRjPFihZMFdiyjXqdV0Jb46Ri2A09ITBZW8UjFSE1Hd6wzV4g39pmomsbyqRo
ZSTVAhoYWmmLGLxXequcZBuALk4op48Q9pbdGmNOsV4teoOE+r00Donh8jJ+D4O/W0I9ytNc0tTd
LAKKgoBDYc4EVX/my/Yt/ulKGWXQ/C9M4HjjACFjcANFUvGjirtvSLhPAmbFplKySQKB2+pkAg9/
fdk7jGjY381fwXxj0ArrjZrJiMGtRcesMU54Wa3+CQ/pL5lfu/QLVHcjGHjxrnbyZ+1BDv493eaf
fwPz6ZuYFHXYAi3bSKsVLbonDd9FpeMslf6WTxv8sVKWvjGVl3VZZJGWnftD7vVQrv5vQk1YjKIg
DZV1VSPsgFibQdNzLtGJltb1MpTScdZ6rwUF+/WN2400GzPMxSYWbZINKfJ2+esyVngMOZr0fN3E
bvjcmGCe7bpext3SIUpXha8Lb4vGaapR1/q0IZvfz4RnRS21oa3xpTThbooDOb5r69Tq8puis0Ze
LNnLPLfbwkRmYU2aekBK78TRQ6S/Seghzo09c0fpdr1ssygmOie9HmaChEcIJdQD9OFIwQ86FEx0
l3KSQ/8XfB40O8QcEVeLYjeGbYwzIWVt9AZAarwUMNVGm7KxLTYWJaEjWmBiQngJcoGTYO2HsY1N
JoBkcz2K6UD+1pDLgtyrUYW77d3Fge4rNERveW2c/StpY5EJF8WciYSoeH6pVnIreJAqqw+FWzy3
p+wm8luXisBK9nKoLjwp5/1U78M0i3jLhSGuSwlHIoP04AEl64P00DnpLS5jnzfzxjnhJpMdC4oy
a2muSM4i+e1yLienzP5DT2dzKNgZLwF4hDwqUWdUowfU3eX+iErj9SDCOeRsfdZUyFI3E6ql8urW
xiWJg05/Rq19rH7OROIY28+NNvvDhBTBKKY4j1BplN6W0bAG0QcigMy36kTsaHqFNrilTgeiuhgL
ca4vlBMtP0159ejMriMSJVV5SYovXK3Xf/A9HQkD5liIwc6yNK2irVKFwx0ZkC8vvTEQH8Ufi1M5
JVcA4x8+5G9j7ACLahRDXQ9wvvQ8/FKga4hK6kG5j+7QL+XKKexixsAEKmNQx9QlgAj/fKW1oa4K
s0aDpmc+RkHp9afUCx3p3njK0M6MbPE1tA3uGCC9Iz9dQHizQdeGEENhEcGzoAwVwjWeIZfRke3B
H79Tuc13TRH7v2ByNECPdV1EbgAQ8p9r7IWqmdICrhnmGDY5SaKbKJwLe7ezrumGasompgcgDvan
jawfmrYA+eM7sKk/GDcYPnKlIH8llmGJTubQkWo54EGrd7SfDKgDaaIh6njOyaxEkJ6UmB4vRRxy
DAMOvnGgQbi15ID3EfcO2cYQKxLUt7FYzjI6xL3YuklLLgOpOWniXsDammDCbp+TaC5ATutU5e20
WoMS3Sz1scvRBP0Vtzknauyi0rfmqI9uChStPIgFirAStgyAVkuykqC6pxlDe4rOqp8Gij+7FW7u
1tMe1poTMPeyla11JsUr8iGLjAmLBam+DTCyUX8dvjUIlJnbDp6e8V6TewnK1h7d381qU3E122zA
/Tn/GEFOQXv80V/zEfSSdDTJi3lsH3t36NYecyC0UgAcjMAxMUEWvY6e5uvecJP52WQ1b6FnXDSv
9RXeV93LNbdWmRxQ7qQ1lkW80PvxsRS9avElIE6i8u36jbNrRtIUA1hyXVfeM7PNx4zVudIzqlEB
jp9zAmCcsNQnPNaP6JJy3PR99IcNlfrGFrNx+UzK3oxx8MoqBigIapCiGSxR4WLOXTHbN03Uj4UR
LtYUx3avfKvkzIMA1cGUKkdF0rkkXWLN1ava1Pi/rAdwa5xTI3fDNLwtS8ntCsPJULSv5DQotOlS
owFDwuox7obGWiXg4ZTsh5bpboXpsnrMgz5p3NDoBUtPl+MgtI5cl/6oiOdGAewYokZrnt9m3esi
Z74IKIOSaKst5+BcMsbuPOLPSHXQSlUiCOGvb8te1WL7qRifk8tMbjU9RCGhah1EECOMLSOZ7dq0
geSwrxvbvah1KCHiPxrqdezAh1Ln4wCyUckZjumBBt/3uszgyB4J/ov2NgI9UQxdw/+g3c5cYk0S
FxhmRLRak3Ms3jZjENb3aRJwFrUbgzdm6M83nh0Nq1DKApLG1oSIYRLggbs6klVklulm59XtH6rK
qiiNoCNwO2K7MXFjnHlerKGST0RrMDsGy53fBr0bB3wGkt2Hk05wbmUoieHaZPxEFTKzm3JgMVEm
ADdiDnIu3ZXwPqQvp8TjNfp23XJjjglKQrOmmBkakRoPtpKkEMSWLLRGsvwCeAHnDqXR4FO02Nhi
3MSMm8ScVbhJsYBQbZktlZcI7KLit1+PcZFK6AW5nIEy6VyaDJeP9WvoZQfJzY+5bZ7LG17Bhff9
GLcoKlWC9sKEKn/pl+Z9NNeWrp70nlh9+czx/91r8uP7sf1voxGTNF3w/bR7ShGgIhvWnPUemhn2
/LwEi8+xt3veMPGJJNhA6Z99pPW5GQtr+/4xQ3/5CgjcESzXNBceX1pa2v2iPvUo/0UODxFHnfyT
p6D8aRA0m0y8bf486egyiSF0ElGW6Y+iZo1qao8mr6Ox+77QdUnRgKvG5J/IWNGNKJ4aeZFADLq4
QNUcx1OO98V62znVe6tOP0SXnjvVsLuNpmQaIvJi6ZNyZtxrK5ruYBcmvuKNd42vtja5K4PF62+r
i+AoCWcjdzOCD4Nsehy1y7BWORqEUQqOFpSW56oKolp0ScFD8e4nrhtbzDdFC7wfEo1ec27+lARf
dYvyHDQ2SFd7qziYrRValHDMcKeAF8v2b72NcSZrNksNOcCEhdIJjncuHKc/gTD6nQpH42Wtu0d/
Y43u8+Y6aqGx0Jo0a0UaQh+K0P2D+p5GhWw6XLS9DzanWwos4nX+dx90+sYyk3aNU4FTueAjU66Q
/i25feeSeBWAm9eeZhtggNvW1w8TD0qxv2KcS/RgVTxZ6c83K87XrlNHDQSiY1Vb/XC7pC+Vdp7D
R4PwuvW7UGYIBP22xURy0cDpJARrpF1t5SwFo6W65A56ir5hSUDhrl8KHukYb31MMJdARq3MDR0n
hH4jmY6SYbWJZksgZK15Ap+7hRtDAjZRBZxcQr/nz4+5VJoghyvwFT0admDXt+bvBCJV4MnyyMP1
SP5esmDj6dYW+zGFuh0w30Q/pkKnuF3BXn1ABOzcm4POW23Nk0/VCYgpJz2Gdutdt78Xzrfmme8q
VJghH3J813JprcY8V3JiJdXbdSO74Xxj5T00bbyzVzDbEaHK4vTN20IKb4KqaYsXHkRugl5pzqUo
B1ptur0AyvheP2lVBzb3xR+azgcx7nkYs5/X/6S9hGf7FzHBsE37XkzLEQiu6KaWn4uW0yrZC+zb
38/Eu6pOSBUryPLxZCqiw7LaRXOvRxwrnN177xVuvqtSxlofGni31tg2Lf8+z1/bKbj+pagHXHFQ
mY1oCbCEk4jUhvjzefAzX/KbQ3/DrdTzvhhd62YtIhmzWSY4CKpVvVAwaHwxntb7TrEA6HZBoGFr
kSU8FSrn9cf7hvTv2tjVMlKEbQLYjJFnzpApVrxkXqjxaFP3AtjWIZiY0g0Rjholg1OQXevGz2zo
zrmZ2plC/NHkiRXSqPF504BxkQy8ME22PjuSaZLy2cSxzhMffCkIMZakemr/a5Tv4+lw3UV2bwQD
V8//m2O+obl0UyFRhLWK69asLDzFPMFu3fXB/ErJBcRA+DlzszV6Rq8tkvmkmZGulQqnQU4BXMV5
BQk4pTNEanrPu9f3nfNjgUyUlgVjGnM6Iz2tbjm8mOhYqbYQc/KW3RRt+x2ZaFykUS4txgi+hHv9
rPmhjy6ZL90aB1SgbRMgedx6lojvC/r20P4Psrd4TnxsI9ssm01j1UIF5o3ZrYXTqnpcpDDHMdke
2RgOSbJqcEzdxNU9nECNkov2AOH4KPWqgueYNMxecRG2X1akEFEqQvTL8rNwoeOTmV279QsdaqdK
7tePwf4R/+0k7KMsFlGZnVLAZvtqDszE8Eg+QrFeA/OR7FZjz/GW3XrEdruYyJwpRbVM4PR8z6nb
pxKHrg/a09/IIlm0eE/4/Uj5sT4mQucjtCEyqJ46SXdO5WdNOBa8T7jbmNiuiYkksaiFwoqeOG4b
KikNRQi0QCjv4r/nEfvT15ngUYS9kUUSFlOTh1G5oEt33Rn+Ief5+FpMyFCVYTLXEhl5i3mh5TbK
LEpd/Td/fGiVR4JHl4eBF44T7kcqUB3roBgGIJR5+kxRKwrGqkNgvbws2d00+WF4qWYOHnD3nWNI
H2YY3xtAuqiXIO3BbHx/6PzsZo2sCLmr4mvnCkQHKEHcRSHg7zwP4a2PccI2LECNYWB9eujJs9OH
J1M9LTmvD7F/t3ysj/HDbgSQ1qADPVHUn3v9PhX7UxJqDZjHRkuZRJQ/nisJ+Xpt2BLGAjnOQ3fp
c9z6MM9457pWdZHMoM7MDDtCTXN8NV2KVod4Bx34jhzeO4Tu1zWDjLcucSVUIp1zDPGk02+NjPdB
9yPxx4qYqw3KJ2Gtiz0S4pvV0701kB409DgVOwXqlucku8XGjXuybC3CVClqphu01lGOlgSxJgNk
mi6xSisExPM9+Jvj/3b02NLYAPJNtciwxGT+upZWUXyTIz/hBa7dUoqBspioALem6WwZeuiMtG9D
lLsllKGjE4pUt4OHeT06hc0tQu8et40x5hwY6hAZBsE5qKLWUpaHRXVH8T7mjkfz7DAOr4VLtGZg
qKYDluiCY4oVtanKHoM5QlFT9ORLemse+f3p/Ut0s0DG8dtITMpyREN1smmxBpeoI9jhmVh0+gx4
cA4j1u7o0Hb3mHOgi7nZzBpO9rtujdfdZm4ERvo16E8a1FsNK7Klm+ZxCsYvXKafvdHZjW22Sl0k
/djpDX30rq4Z2nF0bGM3EX6R9ghlS3MF7R4Hr7QbVj6+Lit3F8t1ZuQRBqXM1iXCA6kDTqDczUk2
BmjY2bzeojZUs4U+dEbP8DE0gDIfiFWD+aQjWxb8/sb8sn65bpPjquwwUS2NcaMQPDtm45IqVjF8
yatTMvCyu90baLMy5oZts2xU2gw1EzOG6jHQ7+lsZ7mfYqi6Mf3Q9CZZsUztThW9/219zA0bEZKL
PU1jK9HPCivV7ocQQn7udSu8MKYwkSXKugqoeOwcuaHV9sHvAxkVUhnXm8DtWvD2jAkv8oR2eFQB
66VF91P4IGlv6+BgSpGzpt1re7NnTDAhBuSP6hbuLvrlAW31R6pVoqJHiDq3k8UWD8dD/+xPt/bG
HhNMTNHsllrD5EdJfq7lmwyHb+/a0V0Nh7Oy3ev7wxI7XCRN4FBtTUB/6QvfoBhZrEy8E+5Lt77h
DWxzlkWY4tyCutYI5nw8ApL0rLaC3QGNMZarj5Hk55DE99cXx3EOllEga7W5nWRcqCWRrTj50pEf
qXyRZU6s4oQqlkOg6+pGEUw0l8zoIdYOZZVaRfd4fSmceMvyBsipsKpCguxYGB9j4ykaOKeW9/uZ
2NBBYyBpM9RBkm6wB7NyTF4mwNt7Niy0stQMNY7Q0kRunrTBpH5LE/I0mfUh13hz+7zrmNWsI2Ea
K3GKD9aiX7O4pdPYxkF/rXxoKCDtEM+yVduUYyx/5t0jPH9ggkVcqaaQUJq4Tjxo4Pqs+sAU/rru
D/R3XAkQLAS1yvN+6NBjxX4ltjZ/W0nvDYkTQ0ZFtRqDE/84K2IxqAJYA7pkQZTNsqOa2UXvKJV/
fUG8fE1lYkOvdUsTSzhFsWyB9vaBsrKt9CkBCiw78wAQ4mRsvEUxGYacJXVeTnBIMhSWqsR+MeQu
wFS8hXEiLPtw1wdVEHMR96EQrN54aIBjGbzRBauSxVfe5IQ8VtoOQkzoT8jIekdUCaYbzfgVtk9D
z/E+TrRg9exGTdA0saZ7Va6HfI7OcaE51/1hh2YcdZyPi0ll4oXWouIhhwDlVEXhxlERW7rc1pY6
FGCHyb7GaDkn3RRo7WBp3beMNkriLH0Ws+m2CzEDIa6WSLCxMnFbTXHbdHSiKXeSPr0JOwE+bFza
YRBtpUkCY/0ay5jpJ2kQE8NrjeFG0qHNBei4Ms65lcTynQpRTz1eRVtqVkvKeQqLvE9Kw+cm35WX
Ql7jCJV2Uzvo0rPOlbXlpDAqE5U0rU5r2Zz+RgbLLiRrbqRb8TBCLksMAL3jTS3zPJFJYfRaSzuj
XDAWVfhJfoqkX2oGzOLzdTfhHGK2HtCHUlOYGBd0Bll3QxHTRNJpgCb2dSv7ZYcPZ2QrAKaZYJi0
wbGKvhUnOs+j0j6Wp9x2piX4803s8mZO3qfTrkR4Vh5P7xuh6BXcyDVRLqWsYjYLCk/G8zwWrYV+
AgbBG+KRujmqfV9YuW4ATxZCj1aYM1uCnsjYLU4qF844C47Ui45YqoI9j7/W2VRtswl9Jda+zVCv
7RZAfebXtjCtXlE9TfqWt5FrzM/lsrrirNtjXtpVlj+ZYmrlQtsfdP3XJA5nE8OYeZsE4IK2xCUH
zdBUWwao8ZtCeVTj/NWY5tcumw27HuTElrrMFvXQhxi1PWS6rcjt5DTK915EWtss8stUk5M2qI6e
ZJY+JLYOdUU7SdFEI7O22FMV/YJm9tGcQewiz9/NXvui1MSe5/o4Ns/VOL4kZn9uFfBnjJObS+is
Z4Pdz1/VcHrgeMRuVEeZhuJ9AWMymePUVnVaFtmMChTYjkoAmaB2dywOVKo25PLl7QaHjTHmLMVq
J8Ykh7EmvOvrx6JxOavZDQ6/DcisEk6kTRJq5gRF87e/UXyUBUsHI+Ts5m5y4WHNdnPBjTnmridi
01aDgRq9MT637TEy3B7AmTE/xePh+squfznMlP4ZVqWmNqbOwJfr9UBG3a7l5OX7kJLNUuiX3cRt
AdIyjT7QdkPmGXELJOJxWO18ji3FeDRBjjNBNKvF7TURzpz0bugj0JzGwAcGddiYJC2VkQrA2jnx
2Nharrq6mQV9qXN8g2eG+YIo/IpxH+K2DasfQFYEY0nAQhHzIuyuSwB6KJmaDgIxltconvJk1pMF
19O9dPibywXx9SF3wAFogYP1MB/jID3iRr/uIPvlig/DbO1MqmZRVulDIT9Ht7STKECEVPVFJz/y
YWT0oH4K6htjjONr/byEfUHf9fFzlz8m630MaizjRDA8pmgWgvr11e1vnmaqkFuAJ7KcQmujhCmp
4Z1LB7bVV6MNEgjMX7exv3MfNphIWNX9GAs9xI2F+Fk28Na+NNILcDdVGVw3tPvxNpcwc9SKODXi
MQX4r+ujw4h11CaIFjQMHITla4QqAoZCQWLIk0rZDSEbs/TnmxOeEtyPYYbC7kTGm0kXb/SUx2PE
M0G3cWMiC5NE1xRkMRpGaA1iRaTjbNJ+X2+zCiadLqdWGVJ0lSEeP78JpWVeiC1ByqawG8Uafggv
tducaSpY8+aSd/1jY5n+fLO4uW/nNK+QyBB0DjX03VJLK622fYihpXPdQ/bxKhtbjC+O4OMQCgWd
GlLbClI04262NIdYX87KvezloOXgiWzzto65mpME6EWzRa8+LE9ZdV5X//qSOE7P8swUS5lDCAEo
JsqVkBwTn86ut1ztMt7zm6UQV5VyKMmEMNi5eOKg3m6A3vvUu6Gl2nKQ2wsv8HLcguURN0azIkWE
hVXmXUvscLpX5s5dMsmKlK/XvyHPFBM4VjIpiZIrqHEi31BHyS4LUMxFE/HWrPTMoc6c6wZ5m8aE
DG2QlzFXgeKnOpMDSk6Sjwoud1p3N7p/eLvOhI0Ggl+ZJGDPDPVUk29d/CAq366vhGeCCRs1pm+q
0sQrfCp8Iz7G9V2XeP+bCSY+iP00ZwntF4QThIcbMMseG5MXhDivUZ0JDHhNhILaoOmSSlCGiGxZ
fiTza8K7K/azid/pIAga/wx2MgYNdCDKaBeQwuGr+wocqAp2v7nw9d52/XpjjHGzJAyLppWQ3FbL
V627ZD0mY5+y3tWEt+tbtP/+3VhiPc2MQugZIcrNXvOteujAzCxPUKIYvPJb9KXyyr8q3mTBrudt
TDKel0llOKr0woqylwrcuMqrmnCOKd30T9nYxgTjeaEBbMQiIgRFFZ4f6zDZc4xucQbe81X5mhpv
2sIjYdhdFflIlpjrIsu0Qu6bCOFcO7WjV4l3Gi9N2nX13yZAhvanCxp1NIE4DPikvq2OWdMFJYpW
Raz6WZVxYMr7t8bGFpPPEqIpWt0BDW0+yjYG3JFQtCdgWSickYIxeKX1/TRmY1BmFqfEIkZNYbBy
F3t2ZDc74qJqU7suID0NYg5kMKU9TtZ8p/LGSa/vnSIyZzvHfJTZYo7IQT4t0lFS2Vrq1+snbffm
2KyPOdKmoK65KoFNnviqpwSmO3kEg9G8/iL9NZ88f2OGOc+JHAETFOHmUMtLFD4UvPY9zweZw6uN
azFA8hxDyq3phf2PsZvstCkOYcTbFJ6lT2c4Jg0xYanSHaG7X6ZjWTwq9fP1beFZYa+PJCWxmsHt
ijlYlbOhPGqp7A3rf2sWbDaGiQ96MkR1O9F6hdeedS86jtbgFQfK+FXavBDL8QJ2SC0BhQTUvlFW
7KIlwr07/ujzyr3+5XbvqI8FvddPNtn/NBlyHna4OSL5KUsdE2Wy+Sy2zlpzMpX9q1cVFVOiPIYa
S7kxRkZSVCngG537t5pz1VgoOh4Fv/Dihssat3tSN+YYF4/6JauSBU/5ghxl1dZar66dRPmZF8e1
v9QTL9TufsiNPcbR1YhMaQptEzB7jGcygd4SmfJX7VC70Y3kTw7mDCG76sWoCwfXt3DX+TeWGecP
wXUn5ZoEJJXQWFH+ugI2MkJns5yerhvaXyK6ProGej+RBeBorb6oqw5MWoMB+jIwlos0QP+xgt6V
zh3X5xljIq2+dmKXNPTh9ixcshc6ulz45KkPxEP+K3ycXcVdAtwhMwc5tf81PxbJhN5qAlWdCGJv
ZyCeEgJNGH2TZisZfl3/lvvu+WGGcU9S5PIYpyjbUTgavUgGXCR8whmeGcYrQ2UxS7NB4Rg8oqdl
1g5rUh3C/ksfKRj3aWcrB1tlrLxeXxxv71iPXIZa13Iw+Cy66ZqGYLUaJpblyjb0ziMjT1+LZ44J
ymD4GaeSdpVEUll9BxaLb0OEnEr/WpucbdtPcNTf+8bicWoFiKZVQdqbHoAPBmNdd1PZE0iTLc2C
nIzVPsfPtHGsc87eP4TPD8NMKidgJn2pOwCBxrfBpXXQ1PASSFT4kY26yaGJvet7uP+m2KyUSeXa
KhEnU8MBpB2UAvRInd+f1Mxa3jMe6cvwyoPQ76erG5NMBiePahQrBZAZsydhEpMKX2W2fFkhfNX6
2gOvzUHP2Kcsa2OOCTELmlxk6bGXZnFZp7t3iaMeEZpX9uIcQlbnYwg7vW1CjO4vQ/9DqKNTmTyn
bYw7yfQAS3Uk9NKaKeIU22igurY6JsIskiL3HRmRqjQ3qXZUJF9u/Os+Qs/xZxNIQ6hUmgh2IPx8
kzyAvlEXkxU4A1UWvHQEy6Da3Q0JDgR4dUwlaawmXezrNvc7OtAe/X+jjF/KelPVEZWEodNnlIh1
PdVBc6bXAe9m3Z8L29hiHFLvmpIUlDtDukiPEtAh2bGFpgOIEVzjiU60m8+SjaEmn0Aa/ZH3Ctjf
wY+VMv6Z5QW6xg3ev1lxNy6HUnpLeID9/SPwYYK57dJWU6sctDhOF/e2MALProAQs5MsRdQ5AWU/
Sn+YYvwxzXoTIA8ADorFTobzop/1MrFUcsdTJv6HUPlhif4lG7dchnIq9Bbnuncw0YoZBPNWeRAP
lJ0GQs//6ydkLrtVWtppoMTpRZ/YlRY7TYbmPmbkSS49cnyfd+DYmy4vpiw0EZPVx1K2yp/dAzgA
0YLT6IAKhnUfgHuZHPNIobzVK8c4PVh/nHYZQw8KtLNE/Bv5O2M8VNR51YGcw5Ck4WdBcjTOdEKA
3j9LwBv8pL59xRgLHGmyaVghciY6q/wSmg+VGnBWwzPAxK4mSzCiiHIgwsjsrFDC/FZj8B9zrF/L
BEd6iK3o8u8vuD8/IQsaWWIJFbPu3SjV77IoSEV4md+JbqW/Eo9rkK7i2mdkAlgcD3hDmmRFujIe
yksMhtsFAu4AV/pcCjn6u67ZYsKVqmb9kq61iGO3eu2Bfk7lZrWRovuo5ns8xNSn0MV8SyZ0tdqI
QX89E51qejbXc6cFRLodRk7U2rVCJKIDSqKpaDVj0ZtYMoxhWYfpLNJBilV05uIgKgGC2HVv/BQb
6Vo2VpjYODelDCCbCOLJ0M0AEqrbxM4n/Duxa/+6qc/R8d0WAbuPRt9wLP0q9MbSNS5wsihrF5qZ
lZ/ZvVs8ad78V+T8axQnY41ZmbEY9WgoBUjRtYeeBMAaieU9Z0WfoiJjg4n3I1HyRG3oihJrctGr
MtzK788EAz7JTXUGLsEdToK/JE7t81TDP93RjG0m+hOpSrqM6KsTapMj1XUgGeZNKvIyLZ4ZJvaS
NJRaY8ISCzn0xNmwSFZ5fdRy/HDXjCrpBlEhpwbZnj+9XWyWRBREHOFCv+vLu1HxwvX5+m595tGn
X+zDBgvoMCc9zSGmRgNvcoveNh4znZ/4IdjjUCsJNORzhqPeN9DnVNzaVzFs4/CYsffXqYKA9Z1R
i8VdFK3elApwbU68Por9TaXf9LxRUp4JxjHiThUGiOqKzkK8sjkqwlkfebOdu9FdNTSgRyRsGFtS
yyVJhh5ChRu5fckLvCX+j7PrWrLcRpZfxAh6gq+0h8e0NzP9whijIei9/fqbbO2qOWjq4O5EyEVI
6moQhUKhKivzRpTPBT1q9Dai32j8YhC7TTnHbTdWbYwyJzovBkMSBOxfF35LaTDnX3tyyEdv4Yk/
7n/Bj9Uxx9pskxDZLy5LobwA3gjUoh3yVB14NphdMkSQh0t1ITqhSO/GUjwmcuZk3Nx39xbZfDPm
XAE3L9CkwzWslBc9fGkzT8yhUsp58a0/5dMFjKBuyioxNVlZF7u5q2KijlE816LTNhWYVG77vv5F
Q8Wqp+JeX9QLJAQAJB14F8ruvb8xyzhEW83J3DXYJ/F+8fpvKIpgkvOHoaEesop88ZC3u4nbxhzj
FvHSEpLMOLsyeMW68YfBU/n6jFJZI9TGAuMUVCNCZIywkAXd32VH1HKHk3Yx/FWRoLsU/sIjVdl1
ROQAoqiCZltR2FXpCYmVCnu3ImPoWRgcQ+dMNu464cYEs6xGE5pUXk0UYepMevEOLB4L5X7qOYAO
3mIYdzdyox4nglM1m696pFhyb1NeMfozz8O6Sx/LYStx0Ux6Uqvaeo+EPq0sBRLt4lf6a4KkgWxN
f4EH3Y5vebIVnI/IjshFshElgwRnL6OLmV8USCBGB7PgjRuse/HpKBvaKpBCVAIA6e9HORNqY1jU
XnQkjK9Z3VSgqAl9X2PECKD0GIYYohAzTgtjf2kfNplzrKQTmOcX5Bha2tpqOjkSlAj0mrpmNb1c
TwI+FxffN8/E/kHw0BBZaAzilDKa2iyuoiy29mMBoCm9lJrdOpM7BhC6usgc79/3yQ+LzOoKo1KK
phcQpdLHFewuAr7OeZ7vb9qHCeYMTzJKAXgtwCMlX1UvFTloxn0xpI6sYQ5G50T73ThofFhjjnOp
UiqJMz5h2r7oIOersu/XN2nfHz4MMKdY6Hqoz48Ey9FP83KfxbehGbTTr+tWdi+tj2WwYkOaAqXN
WMQxRlkoXBYLBGCCcinll4lAzepXNh2u29tdFa5HIsr4A0S+v58sTc/jTMhxFedJQKSDLvhLdRdp
/yv4e/XvjRVmc8IedJBjhWcB0RRfLDtrUcndXHXuHywGNGOEYMYBBtcEcXPjh9CaxTgrfEDQ3F7y
WurKsdfw1HJ2j87GyloY2liZQByVgRVQdAYjtcLqTMKf4sJjTtvdl40RplKhzS3VMHaK6GMEpu4r
7albbhvt9foH23/9bsysp2qzlllrS0nJ8R7FlBAYFw/h7FPPsDVf97rFR9+G86LavaaARVHwvDcA
82YnQdu6yao2lNZragRp56oMl7sDRgxlb/ZWXu7KFgIecuBzkRz+t7HKToSKeVQMmoTiiDI/kuRW
Vp4M6Uc+XFLhOZnuOgnsE8+yGducr/uJ6IIxy/pjIerN0OIKUTVw+ZUZuHUT/QwesFtaFOdChirv
lN6poORSx6b4g4C4XTPjpjppmnyZW9HBhRNkyxTMWcMJHvL6M9h7eWuD8dIhyxIylHAfmiuYGVEq
q6xRVmgMv6zSJwwCWUqoHBfQarZVh0sgeyQzMHmLfhOak4f36DFUl+MoADJUSIGop4FpUm8Mp0eU
4jmR9XM7jdkNxtcjwRzDvsVoWetWAQYoHOoMVnfs3LXTjLZTcH339yK5IismclgJGs0s5f2SDHoq
NEibU9Fd4h9y6ebD91Z5jdPEbuoz/nrd3hpDP+2FYugEkBLls9T2lEuArkQxJkGWztbGc6z3T9T4
nkLTHNl0EIXpj+sG9z/oh8VPpYtMNge4gPh+luuHlZRzsJObFQOWg19/frhuby/uQjVZ0/ByBDsg
+7yP6JAZc5OITkyXoxBXPsRjgNDh3YjrjffpO6qGaUqgLfss0pxHEekHOcK7IPIF8rCkT+MCiUP1
m9B/vb6g/WAIDSHZIHilosL0e/RdYlQkoxAFi9aVPHOwwuMKSVQeJlvB+BDpQMLT2Pyp611PMWRR
VXQ8i0VWdQcwSBXDyiZKFkYgLD/H2C/bQCdPVWNRk3Ml724a5OZRkTFA6vjuQ5sLpo8bSCgZeCBE
jX7GteBoleaNPILFvdsSWIB/rDBHO0nqOJ7laYFkiGgV4GZt4gBQLmvkEVt8JgZcg8jG0rrezXrI
UA8j9OwXAFX0I4SfDitWXgWIk3ec11/5kxtuDK1L3hiq4ypFz3dYnLqXfE0DWIvwXva8vWFyPyou
Yk0J9kafXGBhpt6Tcs4zg/u9mMwPg1Y6iiFYhqQGYHkycCvMBfblkAxBC40TIOhnmRN5d59T201a
Q/Pm28Xr2Qb5ORwcbBrZ1/iIwAT6LmIN32SoEkAQlrPMz53x393i/d9vLM6dAmGaaVzeoRqqi/QG
FNrgfwLjumqFt+axs6NbJYCy4YnvKryPzOqRkUKWUpBVwrr8l6p7xuRX1I3m49g4UXc7Cm+mVnOy
C943fk8NNisGjnWRxmqB89yvepHSoXlNbk3buJj3c0CPEF37k97CZldZlul6LOo6V3HIq+lUV+dK
Oja8fHj/0GkGMTQEpU8arGEfoX9N4K1jEcNDq4sc1871oL8fqj5MMGmZkcdtO66eUomeMp6JcAzH
c86LHvtH+8MKk5gZVT8PrQIrmvSraZ2sPFRiz3GBPRtofqtr10zUdVZBKAH9pGKCrtEZcJXUZg3I
dG/XKqd4trclGyssGXBrhlVhgE/IKcitAq2omfcEWj8FG2ghowzRXQVMhtAm+j1Y9FqSh2WNtKJz
JI/o1iqQqFpo1Maom80nIfijN9DWIhPaoxkC42K8vkYe5aPsNtQSbCq5P1ZgFxR8oPCa2AJYmb5f
97zdIwu1BAO3sISnvrl+6s2RhQxkE05rsW4EuaGvugm0LwbRGjCKsNjDtwQDyzyewT1v35pkPu4Q
hkYizRQpYnSJoVCn2ZEZLDOnVPdZ2RXhV8WbX8WjH2BcnVmZmGIqDqWTxWkgDze7Jng9q8E2XqdD
DEiGoVvNN+llpVDiy3Hv+qdsgFMBKpQ4BMxdY/RmT3plRmkjfNTUUzlwrpb1///knv/8fJOdj5lV
6JQlM2L7WP2UcXfND/2CKdHQKXvfiIG3J39yrDcGmaS0kwVDTAwYTOvZksmFwM7/zEL/vl///Wgm
y3MAnjNonlJ8tGKsT9mcedrYW+E4OXlVO0vCK6bwviEbDXVs3mBiScW5C3BTnWZvxT7xiKl3swAk
8//xBVNk3HDujXJSDHi7roMWfcHNH5kWiBoD0sTIsMiD0EBJWXrDoxH5MAkotOg6jJGK5Xw05eRc
mpUvTrhEs8oTyuGgqFFlc4LAun3X/Ik5kRT5mCJT9Cvno+Ll7orx6VzZS5AX8QB7u4d/8zmYOKdH
SdbqCmqLUfkDJCqi/KoSf0rd6yvibS6TxZI6DZOiRm1R0Oc3aYLDSuW3vMiO0GgFVBCsvoJ6I9DO
v252/U7XviOT2MppPxDwOSKxFbx2DPTmEPJQDrudN1WBko4moyfwSZa1qUA+SNF2gEZf/k19yZx1
PFPt7DwQjo0fOdIdKkgcB9l7HG5tMptGs/Y/vdkuv8VkelMfEbQhslN2vvhH5xK3rilB2By9HfZc
JorYmjXCtrIY/pK9Dalkx+G9FLo4Q5UQ2bHAWd1nwPoaeTYmmSPaqk1URwt8EsQxMp4fVmtTx0Sj
ZTz3ziv5Eq1E0DavSbv64Cdn2VhlDt1cmK2BAQdcg9JFnp5IfgslyoUeovrxulfuPgW262O2r9Ir
LUUbDe9Tavq5LB0kuQIyeB7v5jb6QpTpiAQ3sxVSfRuilteE+Rfz4BiCGjOclq1odKI+DZ2IvBPD
ojfaYc2kNDyQ5QMPXrd7/JQPQ0waDWBpVyUQb3Bq+V4hT4LgdpSTVexv2ocJxjulUoYaWoW1yGDR
niKol9apCwEV1IJaC9ViThz7zAH57pof9hjXVBZIli4lIjMESn3ABU/xjeGtTE2RDz09oHVTL3qU
3BQZIu/Q874m459RKeW5Mq1PKzNIm+cwea55o/m7l4EqghgEOCoRbSwckU3yOaVoFccdTMjzrVqd
tPi1NX2V90bkWGH5Jyo16ejQoH22RIUVt8uNYrYHBFFvqhoOIeO+r3+siOWgMOlizkBJIjM7rvJc
6TG6jGC74JOD8xbF+Lo6CEVolHBE0j4sqALltelR+hoqMsfj911wsyTG5dVOjXXQT6zRcSWN630p
mLzBSUH9T4Fiqb/QGxkI5+FN5CKcd11wY5rxfq0KW1ONkBKO0ZfSnA60+0GUkXNp75asVVWVUAFC
w9NgcSXA2pWVrKInLRykH+TXqiMdX+Y7uXbyAEyKz0niXA/I+8v6MMikCSYpFVVpJ6SEQN2jzZGc
Q4O3a7spHeoVCpQ48bpj0RE51cVObfBEzkyrhfARua2iNzV309ShsFr/yjOvzf8EbbeWbv9rlblp
ZPAdJO2Mlal++w1UC4flYfQmdx3/UHhwoN2kZGNrDdWb4GESmpZDDVtheUPFx1mTrJlcQuWvTsb0
EOdg78Z9TRLXLwlApMEcAlCINEMZIYZk5luB6Se1qAIiVI+F0XimJByuO8hu+rqxxvh9pxaUFGsT
JRRvQ9Cr16gG1H4CZVrizcqLVPLYm3Z7vqqmwllEeVVjZh54lZIIYr3OEoC/xh0fItd4UJ3FXiVi
Bad+vb68Xf/fGGNilzBAlIuWyLeaPrKFTvJ0+YeuVt51K/svr40ZZs/EvKmHIkVJxXgM77O73l91
G9aVdUc1GEBpoh1LT/hqOt0zuOvt69b314h6ioxOOpqWzNWWCiQWTB2AgLI89fpdqp4LntLu7hWg
/WPi/S7aHAAqgDplSGEiKmJHFhJbbtJDLvaHiQdz4SyGnYAHGH5Y2g4RUjduyuJR0wqrnV/+4IPp
kmIQE20ojQWdRICCiHOO5C3TXWP8gabTEHNM7N/OGxtM4DW0vJDnDDMKefOihLbROGH6MifnMb8A
IimHbt5zTvL+wdqYZPxAx2RETUd8uvhlcDpQJyerEnIJben1scbD6u7fZR/mWKhQGzZhZmaIU8bj
3/KgAJre/F3M+1vd9fqm8ZbHomuUQs7iQcSudU5802D2L35WoCigIOALAW+MbL9YuZbgVRPy9Pjz
95CfTX3ekAmgybVbP6YWdaJnKJI6K7eE4GRQ6+FpD+16/sbiegY3ZyyVSkWhEuLiZBzS8TC3R7nn
TNPzTDD3WDsqWTV1gCAIgjfFt1pti8S7vk08E4zfp1VZKhnQkU5c/ZqHIOqONP7ruol/8QQia+AB
NyFEz0Rbs+rSelFgg8rqZTHkII+XxJb0X3OjjlZXmsehSq0ll+4kYz6maEnp4OS9/kvsrtOQAPMn
mGjXWW9MwJClFAYuFkHW3XoqgzzB3OsYcg71uumfXu4bM8z9pUgY4YJkNZxiSP2mzkGrSHFVF44p
cl1+N48zNElGEdtQRRYbZbbVMBchsu+uxeTHqkSy3EyIXGDK6CDWfP377YcPgwBNgRRghWP97u5S
PhhLVmO4hVKnCZQDqawEWiFAwwyX0G2c9jXjbNnut4QclolTjeyDVQMls2YucwwUb99904XHOYws
VXkxM07FfDd/IxqKWAZERyWWwZ4kSUn6AgsTm4emfy3EzBLlF4k+LsUz5xuuydkn7wDcEPpXYHHR
2MYrMHqxPuprtQXSMdop8bLvErZs1RMDcOMrZod5PITvP/KaScYhKfLgPMbWvSugyDfNWb3QOxUT
XuRMHYxqQvyudfQf8l36fu9MvAfN7sCSulkzc/iLpGqqGWOUKFNInuzWl/AY3ay3XbcSQEBZEHze
/ppOZgdoCyaH4cIfh12D2KePgIaLuFLnwIGZm7bH5ZDogMc6eejK1amvIb5QH0N9ffycwJxncfZ5
N9h82GObkDQa66kzcdWOdv6Sx7b6DM5vwZbe2rNkE2+81YHV+bOqzMYqk6iL6TLVoraeUMWuhhNN
XmMu8nzdrStfklUmHSvJ7CoDMUe8N28nB/QWfm6rQfdrdohX+bze524IMFcoEF5X6LUyQSeZwpgm
69sjw0MYhOdSZ4EOeuayPexCq9SNIeYaHMcG6DQN6xrt6jyBfihGeUZ1ax+MTpYwwz3R3P0+8W6l
fcf8WB/jmEONjk2q4YKvRj3GiFbh9R2kM4pet6twdrSmCcxS4zzFdwMeKhqGqhMVkzqr924Sl0FT
q0lbp5pH8SjOb0t3UKLRGiOf5i/XDwLP0rq9G0vFZJSRsCLHZvDWtfZc3Wj1I2kCLZo5R27/xH2s
iXWUro1atLBhqTHsPI6BG4vxd95E+G4A33w6xk1Ss67DZcUvNPK5Dh9U9XD9g637/fl4fSyD8Ydu
yKZMCwEuMIrqMFbtd0lPLpKZixbVlptxyRLIF0n3SaRzdmrfEf8xzGIzdaxLN2I8f5SktLKh9aKi
CWrdOOoh/H+JnVlJeWGSZ5OJV6CrjaW4fB+4+1nn6CvmJ6pcdKWDtAn/JuR4iMJchE0WpmmkkzVb
Ogi6LwJB+SeDW+qHd7D9KWnIl6gtUHYS+wcJ6O3iWc05DrILTd/aYOo/hjZRkHvh8M7Hv3FUKQbQ
peMafHnCi/vB98MnmDghSFOTQGgGU1QmcQEJ+6sgxB+k5BkvSd6yeLvDRAqJDKnYTvh0sxL/MOjk
gb7PTZTMK00lMIj00Da3wtIG1Eg9DTNxPUgkgc52zF6ziSbydII555yt+6ptlw1RDFAvGJvflKX5
KlX6q5Ji3L8rnHIglqjlbkuyR4gxq9aUoumiGIcl61/HmcfPxfs06zHaBNF20FqImeLT0L78Uqaz
BRmpJ1WnnGybZ4YJPYtk6EKnA/8/xbktzZqFhqofyoV3PcLtmQERhC4BkA0UM0shbHZDPiZrFSID
Wq61dD2AkPqfmNBFQCgVcBSz0hGdlqtNRjELE0VPfXjQTDcbg+smdo+hJn7YYKKJ2Dc91UPYaF3F
qyMr86K/isbqneJBPtS8zv7+R/uwxuTQlaj1kqGgnJemVSBK9FDKk5Uso8NZ1fpbs9fPdlVMcCkE
oU0H831V869V7Ti1o3N9XmHl1YWX2+0lB1tj66I3fj3MoOKJROABR/IYxnbX/yrDi5kGmvlwfVk8
Q0xsmZUhNdoYeXG6BJP4EFa2VgQElAVL9PO6pf19wntV1tcyJUsA0Wdtn5ciZirMzKv0t1B/mFRO
SWgvMuHJD0Qyyru6yHIvVAZNoE+CDCHsoNwFdkUeh/MuOE5bYf5ExeysycY+UekiAbpIIL05r3ho
00seBRs0h4A9SD65pYfKD13jzJ8z2B0P2lpmIl1aTFTM14JGIioOEWKriKTBEkIaDCa1aWYeK+D2
rKloHwGgtgn+S1Crn8pcukh6+paR2ZlD3VFoByIi2r2mSurVA1B8QIsZesl7W//Ll8KEJYCr6Nyy
nR9j6uQGiHX0qP3BGZ7qQxZoHuqcPuAh+Frybfq09ncjj0cLs5cmaiCNI/o6METYYlaYFVIW/k1C
s9J/dIfxHaDGg6Hs+trGDBPkikHNBcxhIilM01MvJB5t/7p+YHgWmMBWN2JJ2hnlsqEuvTRv3Vof
OanF6jSfYtpmEeuvsAkzLdhdaZ6ui9A7FzgWRxxibxLovd4nrtIoQd+p/vVV7QYc3HCyLEvr6CJz
lSpJ3rSlgjBA1FNufkmVm35+DRNvkKzrhnarO9BG+q8ldlAxU+K5mhdYWiAQuDSd3S+6Y1a9m5DO
RenMnqTKR4p9FuowAN76VBXhfRPLR6U1XNCh2aqZuWCm9bMmBMEF/dnJ07M0Ga/Xf8/duLj5NZlM
XzIrIZ1UBC0xP2mhlXV3k8LJK3YbONtPwThr1qJoOSqwYdw2QX6MLxlQyn2QHXmwzXf1708ehWF+
jUgoS+hsJbQFi1w0rc3DUJhfSYukEImCNS0R/oHYTZI5uVTfK/l3JJB2BIhAtRRe2/yQwGtcDkBt
l09p31tVv1hz37vTCLG49q1axvM0hTelJt7rmLRaus6vMDGsEwqYq2SVpehpi/D1+s7sRpLNWpiQ
G06FSdt8PYCefgSU/ST5dYDxS06P/F8c9eObMUdCorOqNQN2J31ZPHT/HSSATumHTnaS78RbyR9Q
SC6OyX17Cu3qCy+S7Z/If8yz8zapmpOi71FHkltgIoWHSDuN/W1T3KTQS7n+RfdTw49P+v4pNgEH
g//ZKGQUEA71Sxp2vkyHI5F7d26+0TE/dvV8HIobwYRfhKZz3fj+QftYJ3MIuqqVKODYKJlPz6gh
Zd155AHMeSaYkA3Rw1wm0bq82puzO6jlJganIr8mZFcOmMyE7NEs9VouENWE6U5PUDmdQa7pqtS9
/rH+ZafQVcbIAZ4ibIMhN9NuLHR4RRKsHL3TofXWQnTn/+HMlaZ/2GKS0DaNzIIkKHY01RPqKRh+
fhzUL8LwRLTEaoWvtXQ/8bAiu1tl4AoSJUXFdCqzVfqYlxIRUfaO5adIv4maL2b88/o33I0fGxPM
VhldEUUgagAkV31oDQI9Y0dYnvUWUn0/1dYfBI693dt8Y29d8uZwpWRJBa1BwVQv7vQ6sTpJsaCJ
G6lOOviYEby+ul1H3FhjNq0bSTZKNcoA8tR4ejMFmfKm1uVRpap33dK7dPEnn9+YWiPYZmFRIQqz
qcIXh3xoLcwwOSYFxziFwin0fPs0luxuSHEd5EMwQFUyTiJIO4+1G4WDYXel6JJYDZIo9To9BSVz
T920Fgdr1vHrQnhXhmbjkkZeJjxMVLiJzEWypG5ILEnMrbqpnTRWnTlJ7CIDO6+k26Ug+VmX3WRi
ZM91c4MejodpANRuY1fuqNsUkYPXjgVCzqdcHL7hkgPV6Nui924I/6YhTYB6zcH9Xlt5ntpLWXLC
xG5fWUNVHj1CTdIxw/77NwM1ZznFGeKEjIddDDUOK4GooXaMF19rPFG0UhzmwUlUXuWSa5k5WWjM
Y4xgHevVbkd3FbIIPc1fuYxTh9/X2b28NstkzliVtc1IexSdjQxDSiKQc1nmCXljp+VLDIbq6574
nr588sSNOeaImekQ5nIJc+uAG7Vhyg69+pLbHcob4/lv7oPxIHBOwO70wnY32cOmAVKsddjNtTla
Hktf/dlE1gLICCRwbONOqqz5nleE2I1fYIBBb0AGAp19TvdxWgo9xWLXK6D3wbmK/EfljvqsW8R+
Ux1ZOnwVJa9P6h3QMe2rcMXCjNDnFjyzfLi+aXuRfvvzmW+ngioxNWZAfkH2VxhHMp4m1bpuYv0R
n5YgyUixwZZDDBaQPSq5Bs1rdOObUbZWqqEQFCRd356abOa54Hpwr9hiYdlKD0y2tqZQSSB50AX2
w7vqpFqyV3riq8Ap9u4dL/1jYSwuO0nLJKYprhRJeNOkB1mIrL782kHlhHBqN7tdxq0pJmDlKCOI
QoQgr9yu6yoSK3JBy1hg5Ltwochul17sjSce4HA/0dlcLkyWP5ah2rcURytdDiao87P0rOiGTVqH
1I9ZcTcuqZVrLoSYOU6ze7wMIHHx+ANIhc2FCa1AYS+tEboJHVJId+Ykup1s2qki3ynVW602D8iR
D9ddde+0aRurzGemuSYVw7I+NwErkpRbReBt5BrfWQfdWmDifyGYNBcnWBD05TY1wVAQ06ehSBa7
iHInzAVLTXSrTKpHmi2uJLa4wbvzHKoN5wPvR83NWtdvsckb6jaVNJTxAMGP7VirLLn1auNcN/dF
f4dJ/iG7n4Zjj+QsP4PJiJQ/ioR3DfM+BnNhSE2VdoWON6Tsh/54E8Ole2+AmgeAjP8POhKeTzGx
bszUKWtyNPLiGjzFmuqqqXBShMEfR82ajcIeJbwXyMxb5uo11/acydDMqujbUcaeN846NKwDItCd
YlCvQMT+mVdk2Iu2WwdjTmzXVFESLSiOV9LLPJyVHgIR3/Ke8yznfcr132+cpzLqHg0uLGmVX01B
e5EGOrRCeIOdu+DMzWrY7vIcCUlOCDxEe8y+pDeqO53MG90JD2WJoL4K1wpP10MAZ2XvNZzNyvRQ
SOdxrTf8LRAU+/+/CuluRN+ujAk1YosSEVWxsiizikCwRr/8y3BbB9gN4Koke4WfRg6PvH0XjLc1
y8QfI+5KTTWxvPC5c2QbfBrW8H2V4mzP06XARXL9a+6lF1tzTJCJiyEu1BWWEJFHqlgSKtu6+ycm
kFoguQBQlIVo0SnRljjHUAoxKzualrMOsR4jnf5nXRdMzaFwB2JQUcMwMYso0nNJKVUD0UM0WneZ
oBdN5pNB/iQhA4kXZIVEvL6xot9PFhr0SaXSlexiAaPgbbp4g/x4/Yvt5S3AsmEWBKy3mCFnfEDL
dW1eBuR8KbEHekokXwqtcPLa+ed1Q7vTEltLzPa3QlwL5joPP9rDes/IbnUeggmkNeUFtctjdxxc
wW/vmnuQj154tbvdo7xZJ/Mp+0KixQLeN/S/a0tXLVGMrAgMGOWdET9pmDpbeMBT3vOO7eMJRScZ
FZ7IUCx3zC/Urm0SyE8kcsDJ7AuVxaNG2a1qbJ5c4u/e0kw0iiJ9ffoUYAKPI99sGmuC3vsiVtA5
mu2y/5N2//a1xZTkQTenZHRAH54WvZNSwdeMyJmozIkcirF3bYIwAUPG4JrTMCH1+9oUqCh18zjD
Tdv0xcyngE4DUJidDrkXoL/Dabk0dfEQL/EFhH9u3MiWAqxYNyM7NrrWGcbq+wK91zyq7bwfnaRJ
H1MzfNLNNAJd4HiEzNxDPs0n2ey/CdN4kcXUpWP8JnapuxTS86SHr1Ief1NjCap0ojuIiYt3GkG1
frBIpN5j9VY8VQeUY1+jUTtpOEdjOD6LkXY/tPpJwuxuJUiemAy/Sjy4rSxUbfA22KmMUaEM+M6y
628o6F1rgfp5QzEo3pXABOSGbIHT0hrG6K5PTDuKJq8B2bFcoUEYh4+yPIIBccG7VoUk4ADR1UXS
DlUHpJwQfVXK/Fjpiqf0sSOkaAZUi0uN4UD75YZo4XdD+Tqq0TMo0w6jIgbT0NyE4Tdl7J4MNHUo
ba3ISH1hMZENxoc8Hw+t2X2nKBjIBTr6SeJFWXMc5eqgoUlkZqNFSXg3S+CWmOa3UJvsZqxvykX1
RXV8TaXsMVK60yw1R5LNaMvOzySqIU0CqvJY+Zmb8ikZiRMNza2RJM/NMr+141OeoasPklBF88uM
lCDvwnRyq0+W1If3cd9CTNco71MtPpmVeIhIeQkTI9Di1qPFdKm05ZSSOrLV6kdl3oVE6CylHB/a
bvALCo26qLVq+iZAvE6AblatGrGlkPJZbYqgl/8SI+W2LbJgJu1PusR+00YnAKJ9ZaBnk8aOqiv+
aDZfMZpomWp5B4yApVcDBmZ7O+nnYBAMqxMTDLDWxBK03odMpZOqeIjOtY+hZWSgzSlGN62IqKP0
qFmgGZTK4U9Zyp6HQrfMltzWcf3QxdGJjNq9VKk56KhrC5qu91UIASda1oepe5woGsjqY1ejcZ0u
x3DuJlBjjl4yFndGWAWYk/DSJMY7I58DMAPeKrHwM0p7FP4GmxST2wo5Xna9nwkQoir7Yxf3h3gC
2lujQM1rgxf1lYcW9mPVoX5EgOaQqvtBCG0pLS9qW1uhJgVGX9mmvvzEy/5XpkagAdCcFP2rQqjA
fEkx9ZflvjmPDh3679OSesSIUHYENhbKWk1dHcNYfNa16nuIfpWmlM99qXmG1oO6AKPBw/QgTMpN
ZyruEIW+2t8nquqA8rmxQnW6oWn/K5ex1SYG48BmYqXSr7DVfCL8CA04zESaUyrkKCxWdlYJp6WI
rGkw3GXOI0vKgE7M59wawHRDUkQOavwV9bEfN9CGzJQv06TZIDcMjJw0niqSg9wHdVE6LTajag1I
relQyFz0yBJSw5kg6BuPOOhgNiZy6le1eYmAR5jKxsuU1uqF2F7lt3RqALBWPc9h9l3RE1g2XjRN
cJsUhc+6hRQN2vQBjpNXRXdjTj2qE7sz6sTukvgmzQD5HQZ3lgqrSBT0b/EMl8afU6k6RiS8VGJ9
23eNC1m4xa6Nh0apv8lmdpCa9jKT+iGeNEdbfnTL7OdhGmTamTSaJcTRm9YXrmAggOpkcKdWeFhM
EESNGK5p5wLsYfop7M1X7MRZMOXMMsqVume+reo+GCC4gdTCSTXiqcAjD4V2o2UkALTlEagnEEz3
aKCJqRWBTGgUnxYkIIoZviA/9K6nHbtVCyhsY2RNVwwDudrvN4cImZ1hBrs1qkBrigsCVg9KXe+y
JrwXyt4FvDXFvCmJMLcZWScMhxkHjwBGktkS0IXacciOy8gryKwJE/uU1I1VJwaMr4bBItSkUA6n
bBlAg9+mlqklZ5RDOE+79eNcM8E8TNoyissCYptOkw0WhCiDJBttMkzO9U3ae6duV8IkoWG6ZMKg
w0wbB3V9CqGgNpuXZfojHiJMbYGkG0Va1NCYp6rRaF1TyMhXFuKT0ZLle8A4ysJFwiQKXpjfa/VJ
5mW+eym28V7sFAnBfBCzOoGSaQ4XzK5A8fsbZqAvU4UxqwoYTKVXLKHMH69/zT2/2NpjEu2MklJb
KrBdF7Lh5EjK9Dnmla72XB1sK7oKnQzNBATz91M1aYtZgzAKNhC0VWM6QF3TEjBoMFL5IQ5BUR4t
7lz8MBP1POhISfLIi2mGiwERU3xQ2soRmtEb1f9ZOhgvM0wsgxlQBa0eJnV+/8WUzMwTYahX9NeD
VAVFcTLDxkLQ/INvvDHDfGNd7Kkqoirn6CNwOWNyD3wZx8Tn9wPel3iQKWhKYV5ZZrX+9DQidKwg
PV666Pu7hVMDPrc8gLHchUodpzD1yWl+N8Zq/dFBbsz+/0i7rt26kWX7RQQYmumVeQdlybL8QlgO
zDnz6+9qGWdEtTi778xgXowx4NrFrq6qrrBWZMiIPr/VWLLkKrj8xXjqfHJXLaq3C6Iohl3fiGUB
7oFS0dn08RjiVm640hjPJcpZOCWzRN6kjQ+NPZ+Io1mSHZ5ijIf8R90Yq5ualUgg61Xeul3gJQaM
nRV6nRMH5Nl01MfL4j5dPuasGONTirSt1K4mTqzfFKpXg3glNZwQN3AcI58HM8v9lEwE1QZcXl0B
w2z/VrLs7DnQDgSsxwA3cHh2+MlZMroxMRQ0JahVKLHqRMVvlZyjYrBy8UaVPfUfU1sxkthKbGXG
Rl3A4vX+gBK7oGLj7fnyQcmfAhsjg57ktoDYFkNiVD1BzWNym3skHzdKIFwv6EUC/g409LGFasuB
wjn3vunU+MSLm/vxQeBe8M/VPua3MC7bHFYAP4+18vZbRJfiuo2B7hJL8P8/tVOO6p+6b6HWR7mO
J3et32eD/JQkw3GZdCeSeFtbPElMEaIziyRWhQqP++pVr1przX1SZnibWpdPk3Pt3moUm8Ps0qoE
QHapOoJ5NQKhTsIdj3zZyF1YaLHWPKfCcclsKJMxb96Y80wcY7Zk3/B1jy66ajJgua4j+wG41s5l
BXkfkvEro1Go4opVO7DnojiWH2Uztgb53M72ZTmfK/kfTZFlHpJHMR7rMVHfnHPtpV57moOGOGUg
elgdeVqCrOSFH+qCP6SyjEyq/Ob0hKUFdW7SKs7iN7/fVs9f2mDFS8dv/cQL3X/BW/0hfLN4I11f
5uGaNgqGIkdU1xVnDeTDGlCKrPBcHSKfBnK67Gq+ZGCudznf+FPqzujLuB6lr0KTDMBQ7Nzui+ol
bmWbdooxDNQ+fwDy1wvvpReOTN43ZlxMn9QSCu5YqhJ0X1d91TxIoWBlYrCuL5NwP0gY5plvUlSg
5oOcqJz7+fmp91FlFpuElGbdkgJfnLZrOrv7BSTAB8EvPH2yeG+9/buCLgAYhgi2g5jooUlJ39Xp
Shw5vF6NyYvka3WsLJI8Xv6m+8f4Loc5xrkc+8wYdLCfY+S5KVerML9PGYcp6TME29uXe5fCHNyq
9qkwYyPuLTZI5+k4uKKbuSCtqdESSn+D1prGKv0wX0Ve9npZxc+zQh+ls3O1pYZRTSnNCM4tu89O
iduLlpiCFLc+tRjonf3EATLKM8paoHjnyOacIztbMM6d3A5z9ydPNG/AYodZJc1u/LWwxMhd7fZa
DMbU0Tnnup/n/PXFWST7NUR7X1xoRZp4XXZIpkMRP4WAExB5jmA/bL1LYnLTNk4SY5KQdytYtZfR
45MC1Nsc4yxpSIgXZ/anU+UaV3Vq/ePdT+ZgmYAizjEm7spMdUJg/Q6/FDEQiS9rnE/5N/f+XUN6
h7auvSk7MPh0iiNJFgWxLHzlWniaXbTUfV4fiXMf3zK+jSwg08XDoo3ESYXKVlc0DsacDjLxQuSe
XVIoU4p5gclEdqq4L/IhK2OEq8kGfJmdYA6T3gnTRjvH1YIWcUM4TYHJGWPazRK3cpkwOesz4HQy
VGnp1tZ4ADWMpx1qtzrkbn2V+7ye1efJE5jIVh7jR4VEKrI2e/M8s0O9duKinizekgEk6QpI7Qsw
SV5VnMR87xS3UhmvWkRq3sU5Cv41qESrA4hbiPrtsmfZu+BbEYxLzfrM7IVCk53BeGiWu7rLraK3
R1RjRp4Pk3dSm40oFigEHEzohjVIgHOUOAUL40IexQADmMYJZNvBZb3onWXzqK0wJtsWpQkbViYC
n6r8bOvmqVWz+8sSOIdjUnU3V8xcS81YRKgjoujR+mYSKOmXyyJ4Zse2vZVBntJRnujDTLRRd7RX
0Qpf6sYf7QHdH1c4DCjzowPgXBYsc8yCpUOoJnNtBnR4HH2Jz1NynYQJOhP6URe7Q760N+g3Psp6
/tAv5kkaU58krden8knCZF1eJVYhosjelzFaX4qtCPq1mBYIi2agj/FVK3d2UXVY669yFP5L9AUl
bC9eVmG3HrC1AMbdzobZFJOUKX/AgFBTj44CnpH0usZHXhrNMwbGH+XaUBh62iLP6s7FbHViY+UN
j7WOqxLjhVopROuc/FWbUoPUKWzxRsSoaHzHo6fg2gDjfdq5J3FE6zfZKqADgjhitMGsR0GRpg+l
kf3Ste+9CAKhTPHiApOcZRHIOQEFmXREo+rGAL8O8GysWjQHS64L7B8NwZDHX/o+fR7LB6IB1oEY
35MJ7VvMfPNiBM/fMK6tQrc9TwjCOsXyxH4QOphW+fwH+im8n3ks7rv54V8Ghz8wgw2mQAjYjPEQ
pvLWA+YoUqsEkZ7xs3VnV7UxTD5Z2j2Kou6/MnVFA5k3mD4UlTF1uRxrvcPINKb1BpfYxI2O5vUI
dg/ZkZ952dLnTeC3WPgujbF1oZ6zZYgRCxt3+K16QEdzVj+6qq5MNzlI1/0XuhlgFJbyiI0Ljqb0
3/7s1t9lMzdA1RNjyfMFbt0anfI2B0iANb/Wz8ZthpSjRMEh6m3zBe2f/yiYuQziKIujIkIwLZEJ
ONemseIbwUZH+g2CLg4AfxcAAJ0jlxrpJYUZI16ETl7A4ABHDCBL2e788KADS02wkzO6MtoNpON1
jiLS8joE4v1l6fte7a+vzVbbS2wOo7OCLKsSFw9zSWg7t49Rq/K03I8273KYYE1mLQuxfITXY9PI
eDomxzZRTzXd/hG+lgJ3F24/OXiXRz3HJnTLWp/1rYlKjnhMAmywXkmBYCv3jTM4GAm9wguueL78
JXkSmddNqeTYWMpKZHK5145YX/7H0LQfL6VGf8BGpamPa3BRId+pKvUkZ6qbTOU9/ifHqfJOivE0
0zQq7ZwgqCqGr0S3KWVr/TUm2KziIcZybrrGeBlliTsgh2MGRZJ/AxrRoqtWGEqZeWkpz8ZZjyIL
Y1emeCkVwm8JC2j6ueAtqvJUYXxHEWnLpNKm1SSc8yXGsMeXSL5XeLhCPE0YVyH3KoA6pgLxGsU6
AkDpnyaQ+C7b8W5NFCHmf6GGrZcvYT810Tj8L8hJWOpoA9Wdbdnr/eQhdLmQ3ByTY1dWRNi1vK5w
DrLffKflnuSbeZ2cdcgU0ZtAWfsu8ooTr8PD+ZpsGR372wT/oTCJATBLEK6m/HuLObfLn5PjFtja
+VxKRGvjkDhDGuTaak3Lj8sCOKanM25hzMthmjNTxu5GYPanvgzqebCw1siLj9RFX4hTbK2cdGpP
1hrX1WwkAB11APkDYyrmz9AbHqy4V87d9BXjgk67ggisibjsKrxPyfiLnAzS2raEViKMu/YgPqUP
oZNJ3miv9ordjBjQo4N3+evyUiG2eA76mCopgCCLkqBx7H923yc/ck031S2K/gyUjxvzdvQxaPbC
m1L/m7fA+0VknEochcCmlGGf6WF06LUYg/UuR5+g8CKPx9fMlcb4lnBJkgwVIFqm/wNnMJ4iX7PU
Y+/nPrcHzzlLtkLeLX2xkAYF+tS0CPBw9dt8PiuYf5GfGtPWjC8Fhv+qcxdaJLuLeAjsPGVZxBkM
g6wJOJAJiDDoRIOGTnL+CuSLgwZ4G94z629KWX8dpMEkIxFQD03sQxMnP0sexaGSUrRARlv7QTO7
1K8FjtPhOFSDyUUUbUnDDGyBzlw9JqWjy5Gn1j8wI6xo3EyL/lsX3ILB+J/YWOJFkASaNms+LWCk
zhiUwWqHlhZMAbedxEmX2XpkkRRKn/bIs3rnLV1GK6l+bfwsyL3xWT4s4JEUneYmia30V86D//0M
y/IxCTMYH0TUtcR8NW6J7NcHWuDtjwAYsRIuexxPTSZp6QfZIGGG8QOjsQfyVdILq5y/pbqnRU9z
5epjzbEZThwxGG8zz4XWxSbyPlF3xOxUCLJF1vsIE76XPSon6rKbMW1OMJwIvFanUDrXnH4ba+cN
Eg+Xj+NfPlUis0aKTB2VjUKvbUlZ7ou44IyecRQxmSfNHDd9HYYYYwCCeFrcKaU/1TxuG+oZLlwu
tgIJ4L+26RM0EjuQYtEVPcFuAesxOMQTg4S33srTiHEbJclyTTTgp4buLGRfR+TKEUcjjpWxVccF
TD1KVkNEIx2S9DUWryTMVU+cNwwvaptU081biRYbuxiMBk40VCjjA51cwlS1+dhUoOvRTPRJdLfJ
lueepLWVRdjTkDE8bZDAGAEKUIA8q+6xL6DbTdJyWpy8j8x4EAnb2RjFQXrdowEGIIkKjWnS8pI1
nhTGfehFHyeSgbKy/jCim4EnKQA3rNFdgU0u2SDifjWd5PnyzeZEHZPxILGkZqooIhJEo3GK+idB
VX8ubXUzdFFQr/98afmjK2apZ+uEgOyhROI7HJWb8Tz4sVcH0UH1Z7dyEo9XML+sHWFrf+lspFW1
4ouO8nnWXBVIHOvsJOFLs75e/o6Xzw67cB+Nd0m6CZOu9OyEu1B3uii11pFzQy77RyJSx7O5IEWy
hKnaI7dUB9SxpceJx+d3+aJjbfCjAL3KqqEc4B314biKFdANf+pC5Zgjx9J5x8KkH6IYD10PPnOn
MLHhId7EuuHkpLImcuikp8sH83lz8M3kdOCfgcLB0FkO9lDIBWGc8ZhLDwKGEH4Q2nPAfjhqhT4d
o0FacKq+Lh5KTNgU51ngvl28S2dUFYTaCJuQFhnWIAJzdSm9DOrA+Z70kn6OOO9C6I/YGIa8jL0G
SAeMqIqAqUfkmWbA8GFeJgPg5Dxk1lD37uXPun+E7yIZjzglS4kXFqYuSjSMsglbL314WJreRRnN
1lfduyzub9Lxd3n092xUFPVSG6sQ9+vP5ntnZ7MFlIy5sIavo4ve0V39j5GXGMNhXCPm55JO62E4
bXEjGFadDP5C8F7uHY5u+2nju27sK67rTCMM0T8Sj+MB1OqxR9eoy2fxYByiwxs/nT28xlegHDCu
C86g4P6d/0s4uxc/pJVAKtpO6s3MmXo0fmXVWsnipxLv2u+OWoAW+H9Xkd2I19t4KdQciqrW4KJq
btOhtj+DbLzOH+ebKoyvVOfKbJsGM9XpoT8kwEMFNtLbu+3y2XGuNwu33kaDPKBTildi+FhhQUu7
igcOVcLueNX2qzEuJNeqfAZPN3FmDy3tn/SxhlK/WaFrSp9NmTec1pfqjfliOPLqbX/z6n4/M8a3
qGOv9iCQkwH2PrjrOfdib8Sl8yhDLiry/7KA8i6PcSyhuJYCym+o3VzNHkY6fMGWbwdvdSkuDU8a
z0oYr7Jge74uZ6QjoQ54lOlgktSexKs2vSmr22h9lknCu+wciyFMO1KVqrA1aZZLXwelk3rqdXTM
Rat2RxBRojV5hdfbpFv/yU5ZAkWxSCYZK6gArNec3rAiwH/qd5dF8CyFMFcuj+p+IqDygosGZ7rT
WbQKHZ4XEMz2VzxwEq40JleRpXjKkhi3oi1yLL1i5zqKAk2LroX6WyFIVyJWrIe5spJi+aq0ky+K
xpfLCnM8J2HupQyoHWnNJmRLjSNpPm6FGGMV1bsshRNo2Q3EdirNclFSrFlqr6J6DIX70bzNMVXI
I6XnqUP/fhth81gXTKyiOOVyW0hYONYfiX4MZ26zmNrBhWyFMJeuUrHorunIUlqAu60HsJljp1K5
o6s84T0vDvCuGxPExzSeh1VG5WkaBSsUsd++lKKV69Lj5WOih31JKSaGr23TDiTr8XitTtn42Kr/
YsNqEwRYlOUOvChdVWCiT2k7oAxiujXmEXZyVFCZJ0xZlSp6vBCxJt+L9Dqpv17+RBwDUxn/UINB
ItMinPuiiIBVGDzZyLDl6oyD6F+WxLkzLOioagLwUQFaiCMtt/Nod6BFjIIkvu+Hl8uCONb1hqi5
uTO6YISa0WC+qO6Oo3FXZZ6k/YuKFWYcQVtsqhgk0Zj4S+IyNrsRvQwNsMGNUJ6a9XdTahwvs6fI
Vgpz+bsGoHsVvSZSc8jmIO1ecx4S7O7U3FYGc+9zoWxkPMRos0LyiEunJUJPu23dyaGpmXY92TwI
pt3hn61M5vo3RG3EtEHcm+zwqvcWuz9UdxjsP6S/I58Ow/Z+/LScYo4B8j4n4w1mUTGGokD3ejRu
zCoY2q/6zBGxd1s3mrEd38YosqSMK9VpVtDdlk8Tt2i/56e3Ehh/oKRxZyQ6IuyfKUdKPI4v5+g+
Wmc+z0/vxvOtNMY7THIEHtoJry06yUMwFjY/a85oC359jDyZ400558M2eEvAf5imjjnKRvMkOTDA
H8dbGeKJoOe3cQ0J2C1IUtSqI/eyHRpfZTX30vbpsv+h5stGHQVryiCoxLS3xlad1CxcZHFG/T9b
MNdnL1VpmfWXcDqjJa5z17b3VXqXxhyRGeZwEQRzzy2GR73Bz3x1BcltZieJJXqKmx4jJ3ud/0Xt
dasjk+hJ4jrrAkGlYSiBW19oQQ9A4kZpncufkqccc14SkPENbYV3whq6NjxGihXyihh7YWmrCf0J
G5Ooqj4GiUiBCb3ufmq/ZHhjLzdT8a3h4b/v1ry2khh3vi6SLNUdNkdHrz3EmIoffA2rAEF4S+cz
ukPjAenzOj7KFphJAv7MJX3EXLJLxtVXVaErWQT5g3mdd7OVgUBAX4LR9Lr4yWhmK5oxOjQTTh1s
L8PYqs14+0IsFBUQ+3gT6Idqxouu/raY/mBE7mVb2Xs2buUw7l3Ka3FZFYywjrpvSrNVVkFV34Wh
lWHNCpXfCgBSlyXue/u/rt5bi3NjOnnXhPPQwHQkqV2t1NT8TMv/RTKz0eqterORMfTZYFQRmhwy
EJ4wXnNcieBXch5cVoVzSG+BYCOGrEXSdUCDdWZC/LLI/FH+rVbaTdzFXMQO6hsu2OFbVXEjC1wY
QgwUcPUtqNCZwsjVsC+dX1eYxgCRO8eH8FRjfIgqCnIUmngEiJoVoow25B4xH5P64fIX3M+kgAUC
ImQdeSyLgwyutxzITHD707E+ACb9W3Ylv3SeZuFlb9ffopvqxFvc+EyMhGooUPz/J5PNN8Z6DTU1
hfOfbPko3pEjuTOO4Dh5SjFu27pxsHj9kW6EyYgFslP6PNh9ntbsxFkyTs0gTqgvrDedC9YHEAjL
wJn0ZA9IQ07q044+t8xAk5xPFrRRm4l5opwMsWGgwKcI2l1UP8yJcd0WnS3UyTcgfFptm2FAAxMp
rfo4E17tbzdibKQzsS9qqrI2FTxklhVXUXuptfSsKsBsGvvBarX412XD2o2BG3GM/db5KObiiLSI
DE9TfOyl49RyXCdPBP37zY3s68Qsah1OBtATgFmzJvNQgl7jsh67Ex9bY2XiHxCtslFIUGhuKjeX
g0w+FvFBwRj4kI3A5YqsmCx2yWPS3W1SbMUyYY9ElYJJE7yge6y/6d4fbuno3GL0vkWcVR4vq8n7
lky4m0heCJWEx42yii+kya6rXvarLOS8QOmpX7oCTLSbo0pO6gXvgGUKn4zcCMDKyGMz2PWc75bH
jpY1AtixhhYdrDpyRSy0Z+FvID5E0+hc/mSfwXI/ujF2iGwc62gWa0SE9LD42bWJcjaa0I72SDfe
KkCuyKjA8uIC56DYWTIV9igJ6oS8BNMzw69stKWRV33ddRUY+wdOmQmIS/ZJMytRv2g0uQRMJ53p
wgQZUEMTjAHPC93BuJet2B19EGb8q8u2kcx4DTFN+1EHnhhYrwCZ5MU3AIq+J8H/QxJPR8Z5aGbe
zyTEsAKtnVP/r2OdJvGjo3QfOjrmjgF17GHls+D1CfZfpxsdGYeCSXGwSKe42bRmqdlKgOa4o15R
4Oj6ircitfuqQ71HAd6xAnYc5sIRMTEBZo5JwFQPrXk5Y28/Mn7rs9UoVtc8X74R+4H9XRqbWoaT
ESeokND+eIJ2S3jI3MgV3MQOnR/RsTyNdvuFrtLOL4VnOto9er2Xf8G+t978AqbQIMVSaaLaQFOL
yZXOUkBBwMUztpQPHEm7rmwjiYnmXSPmS0anNIivHYlde8nRONBtV8kefQPjWbwx0l2/thHIBPAQ
RJxhXGP5rA6PunAFljZMKR20jlPPoBbxyUVvxDBXMFV0oQccIxJPDDwP/nhSfP0ocylEeNow968W
aykqE1QJ81q91srSqgH2Wpk32ZTwbGI3c99oxFw4dc1MvaWxDcCLuTX4AK+xlW90QDV3s9iauPjH
PN2Y2J2Dc3ZeevqmG2bMpYC5z7SFFem0+YtjhDzVmLAdL025GODURJYwOmAZt5urypYPudVgTT5E
4YYX83YFAvdKl/CfKLHj8IIuNakmo4JCNyBjuziGt6FHV0M0DzRNB9562m7DWtnIYxWkjBs9StqO
9q13Qn89SM/CfWdXtviSwEmXAKCDmiYuHH/BfL/iC7oJEfQwoqGy/TJh1PM0pDeOXFHgHCAkH6Nv
y4uyWuo9sSYnssvjEoStPfLSv93otJHMmGyum1I5qWgGmLIMAKSf+TyM9tKBx974vWSYiufY0a4z
28hjLLbMc9CGxkil4y5ISdAK4Li6JQvG1AVQYpm2Mj4O8r0+VIAOcDIwaiWcytzuldn8AOac1S5W
1oQAhSRqfui1Y65PSnXdyN85eu5mTxsxTDiMY73Aoxr5BejC6kPhhsA/e50ja7SbA0ihsUaSulMQ
vXLE0ljwyae+i2U7bkinikmskVDFlUV5KefTMFnCl+QwOYYnHHrVviyQ8zXZ9tvQGqbUqhi+y6Sr
ZqmttjtPZiBjO/qynP139EYxqvjmCZZ244SiCJoTk92eMfxvNYuvR1ZvUbII5bg4rQ2UZ+MfM9LS
zHsjlnqpjViSLHmmiJjIATD5C3aCrFrBIVaJHJTrdwUjvBw1OdeD7c2tlZHNZY/Ju/ar4cuuAtya
0eo80MVNDl3haE6td1kkx1DZfe+4IKi5LthfzeTSEhuzs+S0tpUFmdtlQRxPozKeJq4LrTdXFSW0
6iaff67C13ZerWb4jaldjqi/sRZDBkwV+KVNtoRWrDFpFjDnIlphmkJ0Cxc8BDfZL9OmWZNql4Bh
vuH1Z/Zf0uq7VHq4G2NZplJv5w6Hl54xdeSAXAQYbwndGfuSombN22rdT0E38pjMJsOyT5M2AK9L
SWx3InhRc0yHNkluT8Q8aip4zvXuSg+zb3HGQyDaN5t3XZnTDI08boRJQ7c6fZL0uwTENP8KsUTZ
6MfEioggHsstKoYdqJat1SmAzhU+Rkd0CNwWdUPMVikvXOzP/cTjXTMmQIi1Fqs93c5fH7D4A1CC
zA2dGYD2QCEBOIbJR0jZTYQ3ejKxwtC0MTFmgCDEgHAaCkfKIwsFc7X6noAHYSzsnOe2eabD4o9J
ZaGFcF90ejMJJKAu9AAzgSEdeU3l/Ufou3Is2hiYHYZMA3ILXi9J0D/Qzpt2I2FmjDznNpffZ7eH
s5HGhIklqkMjTHAFyzNGNa3uihx0zFCKJ26Nlf5LnyPtX2bCTmhXei/FWgIX064esOQo00Ka3+k5
cLbd1OxOuXzMjKPYX3fZ18uOdD9GvEtm3AyQ0Q3MotOBd+E4Vs8tb/1/NxslqMlgb8808AfGrwjp
VChLFNNGHJ32w9MWW4v9aTzNdwV4rpYgeW1eS58H7r6XS2zFsi6l0KRMbfGYQe4i5HcKuapHR4te
Ln+9PcdFJEWWTJlgup7tPpddW2BjC3UKuflRjQc1/93wcLB2l4K2MhgrVCsgGywGdcyH1pN+Rtc0
padQ1qAja7A2GAfYA3LUwwTO7sva7X7DjXZMvhJnTU9UCbUCOX7IpdzShCOaYdbccbJo3ldkbDCv
pDBdKBZkDEbm7lsYOZXCSaF5IhgrlMF0k8sZsGeT8tQpz03r1ClnjJwngrE4Is5qqtPhrkb3pEyz
R+Oc5LwX1p533xoDE8VKU8MTnTrArDmJo1uS8zJeaeqrBEjw6caQek7ys+cetvKY+NUuWimqlPin
k7VD1zYnYRC9y1a2k8oR8C8Y4H3VkF2xPr1Qp0VoUxTX5QzpoqD6pgIAu17ztFE5CWF/uCxu55g+
iGOuU1XEZbiEBp7mcxnkk2wtU3OKgCh9WczO3SEYVsNEChAIAaTPGBz2lPqpq5HS9MoPjL8MWuMQ
4SYOf18Ws5cmfpDDWF0mGqTVInw9ygpW3P/xDMaZZqYp0Otizij+7tfbqMXYH2h0RqkYoNZoHkgY
GKCa5C0B8r4cY3ICxjbmScLkRJUGBAAuZv5rMEHd8pPz5XZM+8OXYxIlTdT6Ll1wX6fj6FTXIJ75
pZ4itw+GH90ZA16Zq3DaSDuXdyuRXTQhva7LhQmJ4XKlky9p56NyKOtHLfy59C6ZvlzWcPdivZ8V
u2syiaNaFAt8xVIcZXK9tj9M3V2wl51zjIJzYuymiSFjGlOjzZ06P9frjxjsOtEzaH4uq8MzdXbT
ZEm7vAFNME3+aBFPfcbM2iE/9ei8p0fwwVUch76XbX44LyYutbGC1yRBVkaJOaer+XkQLPVutSlO
n5paA29FYW87iAAPGe1s9D0IyEE+vvn0YpqIMkh4Pnf3S3KVrs4ctWh4nDXtLBBLKgPQm4VT5lz+
sruXeiOWcYmqUav9qmCsIGtfm+nKTI+l4l8WQS8tk+B+0IxJJfRqUZNGjoALIL2AwUXRfCm9KtRf
6xSE6t1lWbvXbKMOc2zFkDayZuDY5PkbAdVTvb7GxoNco0jnF+XXcOw4vn7fUDYSGWcPaih1EWIM
KaSHKKCwz4KdPit+HNSY5+fBPe/6rY0wxuPPzQrbmVBFwppO355FlXNUu7fZlA0ZpWPQ7bC9t1Do
K6kI6Yxe+lyHXlRg16l1MEzG+Wq7Vvcu5+1VuSlwxOY8KYlIq31K6kfDaNWT4uJncZLY3cNRRAX8
VSjeGBJbvsE7AMWFBS1T4dS5UVB6xguxelf3ZSyO8RAP93zuVhhje0oj1tVKH3LJYqUI+cC5qgtg
uT+XvKR575i2khibW9CKSrUF/Vg9xzpEf1KbxMXOCsk4zn0PWIsoeLfpMkEFDPHko1OSRB1rUwuM
WzyGx84vrgyn+ari64nBYM23/4LnVtI+CGTckThmlWgW1B1NTi59F373CadZuFOx0FHM0yRNlXRV
/FTSW8x6FKZlQSW2vJW0+wIjTHV4BxJMpJureCfId43BgZDYce4fZTKmIQt1GusmRosWEAViSgU9
7WXx2i4GHGdtN/BKynSq62+awLsBn53vR8mMqcggqE2NHqWv/LzcN78nV0ZBsfayK4KZj/I6/6Ic
KTImZsc4kj/fho+CGVclT4UJ5kY8wnPzphkeB+Wka49S8Vo3HLDoz74EgkBtb0hA/JY+vSGmMgIZ
3oBva5qPiy7aQpZ/KbX6P0phDFPvIo3oEYp5QmllyU+1cPPx5XLs+nyrPyrCxMlKKuVEmVFAlzHc
UdzmmWnJgDqQ59C9LGjnWn+UxJhjvBhyP+S41vThsHyh9BqFLV3LD7Qqkx6xgvnP96w/SmTMsAS3
ZNhjQdKp8udCFlyz95TkV7fw0pldc98YA2N1QGHttIxCQS61YmXKSxj9wLybCJbXNQt6XmH5czj+
qBW9A5swJo3rkCotvFUxCE9yYYCBPDI5qe+uRqYog8nMBIkvCz7UZfksqw00IgQUoNBDf0wUN1Me
pNKteaTZ+5bxLo0FITJJnoi9gO48yjH1D3LEBAJGDzrFir/PLhAVQKXOm6Davb8bkUyMAfv3JDQU
lEiuFyucxtiZi2exinjj8VzdmCsMfsxS0CLE5/4ryMAf6X6udF+7g9McKEl8csNLCLgSmRvdCqva
CVgsdFrTat+wt+RD+ay6GlbXW4uchleD43X3P6ai0YKKiroKY5GjLOh9BrIq5CDftNQdq+sl44jY
Sapg9ea7DGqxG6uPJmUd1QX9N7DjgLrUk04FuFqB/Us32cSgHjnuatcvbuTRnH8jb1SKETQj8IvS
Q7XcFakzFF633l/2iZwPx6IKpykmo3QTDkqTFs8YFjeteqeoefGYJ4Yx9rBZxXIuEayk/rhkt0oD
vtksty7rsp/ivH8xjbH0FUlPPeQoqprr7bAehRnApGe5fImyV9Tw7H9RxP1gERpj5+h7x9pQ0UFt
PfoWA014bvqnFpI4etHf/fEl+VEOE7dmrL0Leowb/D9Wx+gYPo42QC2BnqRxLIJn52z3YplztO/A
xuvokvUG1uSEj9K9+DBgTja7Gblo3jzbYGJXbBoGplo0CiO+esTGW/JBuDZtvP3RaKb74SWF1L78
STl3S2P8BZ5eXd51BdIaNbPkPEIB+9BGnhD/uCyH+zEZp9FM/TAaI5FpYFF/GEclUAurezHv8vvc
/X+sS3wuBHw0FcZpLECj0tIOtdGrzu0PsMgAe1j2eCSH6E69H+0ZqDmgO3dMgKnxeiecg2SXRdJh
KuUxhS/p6h8VkVDsQxFYEX/+t0/KboRkYpblsYi6yvxjdFQv90IHD4yvig0CcoenE8dQWOThrh5B
oY69csA9lH6nGIemfUY93ZuTntMR2pm5+HB07Cy3WqViWxl43Q726tFR7grDuKkzW4nfObRzLrzw
6AN2HyvvDpNFJF7LqdXbCI1zdQBv35pnR3XKUbTHUk0U34wKbxucZyH07zchrVBiMSwi7NX03TEX
TrPuGB3PWVKne8FZ6ow7CcuKRANlB0oHO74lb23DwtaxsOMvToz+AG/S8q1TfUki40zKeZZ1LQFY
Rxmav1tds1dlKS1hRL3WmO06Cn8bRXW3ZulTlgv+0plfuiz1SnM9g/DPHsbcVfrJLaLuizb0rqY0
TqeN9/r6Vc6Fw2pmnBovz6QZl1SmEYBFMvzcdHzoe5u0ha1kgH/gVP55tsV4oiwNh7TVkATG7ddV
Dkj+Ok7fBuFKW3POkXOsil0jEfRGl8QGfqckGKXR7TqFgSWcr8ZRhy0JpX0rJoKOlnTcaBEA3QbQ
3oNaR0uOqlIGc0Kcy26OpxSTyxAtCXtZh+PJFrxXC+kpa0rb0BT3shhOvGDxh7uxkBe1Rfk9bIpz
n03Yf66tBJlm0o52nNeeFD/oiI+Xpe4Xht4dDwtFnAhSR5YWRzZ6ile4b9R5CRZWMJvsKbwG8k4X
5YNnZYGI1XKS/4ys0lWD6r50oqP2SLA3qdjdQ+Txel6cC8YiD4+doGhihIF5EskWcBrSSHJCbO8B
hubyZ+QJYhyPTvIRFE5U0BKUsl00ht9Mp0jqDv9NDuMxZk2SCVCCkKH1thYdquJ7hzIorzvJ04Zx
GONYTkSN6LazcRB1T418SZCsUvx6WRmOxbNPfT3LurpQcbGIT/ly/mDEiQHvEbzvL3S0wtHb0j41
w+vMGDMpxTh8Ir0084FkQaLfpipYKsOVYwZ/Y9/vsuiX3YRVpYpTcRjx7ln82VvPwBe76U/lM+WL
rryysnkRb++kdBFqQTuMOLG07KEc1oKGtgVwY9Tr1XzsldUD5UlstRIP63pnrUBXtrIYP6gZWETs
dHTf1YcaoAbFXeUr/0fad+1GbnTdPhEBpmK4Ze6WupVHo7khJnxmzplPf1bJ+KepEt11PAZ8YcOA
dldxp9phLTBUfa9O6Y/OM/0WxZnwEeRGk206CKfXlWX3SbkVT7ONzdUu+iCZ3YBxewqHkgXrTR1U
B/rs4qVie/5+K4h54/X1MuodrS6M2o9JKX72uW4ls84Bk91NMrdi6M/YnAdcu7qhanC8J2LN2EOh
OzZ4IZzSu/RVby2EN0zdedcvkXc0Rj0FUgHAOcdji+h+KN/kwlc95739qQtic7DtuRhXCFYSUiCZ
xTpiZ9i68gyyRr/tkYH1y02jSnaoTpxT7SyVftRMxivqYhZngM6lMUw7xtgOXIPxZr0BtIFNF07m
F/FH7vPUZM+tbM/JOMksNtQuyXWY+vC9NU7gMsKon6/pqZUkC0/5OZfKPuiUtM9RVgaygeorHt4j
PuYYbeONiHbtUugX4RADSGmtrc7lLe3teenNOdlHXtyW2iqJoPt+by8DyRPDIiCg5gIcfJZD+71E
AlWbhu0lFr5Q60A/je6l4pRr/lMNaw81nb+EXPsSdZLfz6U1SsmrJs3OLGeghIlRKCvlp7Ro3Uxc
vklI7RfNrbBj3g+JaUVteKsvvdUkb00JlOOsqd1MKzxRfSDq6pO6taWwsZdC5inj57ndj+dg/FQ3
tlUdJgAMAwPJofFDzCP/PWrKm0f+rIAfBTF+au5j8Lpg5d3phNsa8OtECSb9JZomq/33OGsfRTG+
qhrzfB1pWGvS0JK6wa8QZ0DAefi37umjGMY91UoUa/pcAFMLOz7KUymehvHLfxPBeCfDHMsIjkkG
TuB5WnxJ9CeeO+IpMuON0k7K54xmT0tyEAesFRLJUkJ3BlBIeNdLN+bq/rcz0R+0iSSjJpbaQDGu
a+IugL/J1nNV83Ze3lOJj379w8dh97Ew12I2higDOaKqHVyi1Yc/ozS3xmUEf2P5KpThW79qqGdp
5yEB/5WE+ZNFtqd2fOkz/UcmD4diJV9Dre4sUYpdUwFLp3rXYfWoy1Dn0GIn6p7aui6twRRAyF68
9AVAtFulupk7wcvr7lQIegSHK/2sCoR+eb2bahlLTCE2C6UvdSS6q9ZPIFg6pSNxydw9JqitCdV4
NgcxA2bv+lWaX5oxPmri/Mts67sUsJRxbd4WGbbMCmyeRhEa45Jk5/Vya1bdaayVivPmooZ57SaZ
Enw36Woi0zFGInxrs4cs56QWn6M8/VJovRiioitEZKy1MVYhm/QSkan4ZXYaKi6aDWo//7rW7eS6
H8Uw1iqqfSZoMzoJsi95CeJtMdnDW+dE9yDVum9u0j9Y9fgokTFeFIpjbaVkCZ2qWmGqWBNgwrrk
ZelaC0TNPWiIpJeau4JFv8fn73W5T8agszIq16YnfzersTBsUdhsHSV/TLhyLvWdMeaaLMaWiylu
ooZWUARxBVNYFr9JI1APCIrWrSzZSxKfdDP5Mk7AYOuyt2EiR9DfupXZWBUWYC2Sp4cmUb2m172m
e4pThMfmVzwBDThODvosupIyHddQ+aEXqj3nMswZcztq+ByWr0bXnQ098ZvFuK9X+bwmjQcwT1fK
niXVtPp0vpOx/K2039c4PKf9EBTr6AMr4XtF0BiOSWOLAihlV+mZTFHQzhmgESOsyDW3cUEeVL30
FHk+VDXgn+a/sm4IjLb9tSbabd/nt2pWfCtE8dwa6aGbS9c0K6/Rqm+itNiaLJ0HHfzY8D1NrD5X
kujoRmtnUfQKSjpMsejKN3Htj5GwWAY6twkeyKmwZJaoPC/D5JJVP8dYwc5lrFpeN4TPudkHrXx/
uGzcbxKRyCQtymvK/CoPtW3E5zZ31+pl1qxceboujGPb7+WcjbC81se5bBToYn6slQPYNMaKk8FQ
u72igu+NlI2Iimh5N3Rw9A0KUfLyEEXljzUEUF2VcaaS9iPlb8Nih+NAzSBg1g+9frpQRQsAkxcH
YsBLLXc/kCSLEmhBJAma8DE+Kh1S57WgKLHhtzl+KzPDEuvwoMnkhKWh45RIHAe881SGSmwkMqkZ
RhjGdZ3gMfIKnTTi6a/gFPDnI83a9XPvCuilRRh4Em9K/w8mlT8KZ9x/bsi5MZWoRYnH6ftwKkCb
pviqp/sUBUlweLuivNtlwkCZTYQMpYbOBaoBUftrqQYr6Y7rkNia9i0LOdXfXe3cXC0TAwRdUadS
QKd3EJ8z1FeEG7l+SEKODeya2UYK4/IrdVrm0kTNSJwKdwYMEnpdQP/ljYfyxDDefgaZPBKUCgFN
gzuz1ORcNBwb2xkB+aAObE2+UtJUIDk8xviTDq43fvICMka7OBT3Pbb3+TyFnEOx9fkwEZdOanB3
sZR6uak5gGr0llnifCKO3rGgTiqRi1Kig1Zt2aKcF56KsXaqxrg1m9xPlsSvpT/yjBetYEv0bVI0
cd2hYCmT2pKjv7rie9I9KDwfz1FxtiRfTcDvJCoAAhbx2LV2mHxR5XPe8MaeeGIYPxHKhVyZES5w
bg4lhp+7u7j6peklJzxSg/wUTjaXRn/GJpyEajPWhgx0IYlgejeNHK2mKcpiVYr2QxbU4HqA/Aff
S1TVNEEfIbNrDGKZmaSeMMRAYQqz77Rckj2Y5+xIMZWaBJ0GwEf4aPmfcp83/LSb2UsX2UyJNEmi
UuoLdDwBfK4Oz8mf+YvL32ci2QyMnGQSUFvrpS/96KkSnij29fvbt96LCDZ0VdlChJYOs5bWJMxW
aD5WAo+9eF/1LkIY1SvUOK7TFS5CaA660dwC4c7qchDiAl74+nF4khjtG6MI/AM5UowBWzrFaYlf
5NGKCG9MfV/JLwdiopKBMZY0LFEkU/38Hhmwp45YtV/uBofCebR+/WIemmD4wdsS530tJk6J8yDn
S4XUpusQbsfWaYT1sewL7/ot7hSraRC5nI8JVEQRwjDLa3ww9UXGJhAIfh/DJnps8sQdRflGVGs/
Eb+kczJYupx5WrrYhdxZxiy0Frp+vJybc262GBGted+Ccwuz3Ulnd+13VGKPfF6vfXPGCiUxiWFo
7DIKUVuCQgUyKSM7xtpR1Pzr17qvnL//PvtyyGO02YwQ5jwIt4l5m8QvReOELSdj2s2yZZnuiSuy
ZurMt0urKFOHEfUorHAfimMfTF534IOT7X6Sixg2z6izAYDSlAu1zO28CdTIzRuOGnJOwmYW/aCJ
maxBBF2J64B/rviUBunfV/ah7JuTMF68wECw2tBGV4TpUoxwJ+SMtS5XzxxuSWPXb2xEMQ5dE+A3
qhjYSs38TRjPQoXuxbha2SBbZvLjurbtavNGFuPZh6iJJ4GgS5K2jiB9l6bn639/vyC0EcB49SRK
sWW3Uk66xJJtDSTD2r10XsEhgJ1FN3R5K5I8jWN8e52jEQ5QSDwfV/OxzdHhF/4Xtj0ngd4Bc/+o
Doxvr9SykucS95bfhj5YGJ4lZwDmZY2uruC3r+8NGLt5yv+nnSMuQ9bO2OJH6YyH17A/RkJ6yNLw
S8UaSOdMg61HwVDYRRUIWYCZckcDmlvPQ4za9/qbD8p4jsrojEkPI2Tyh9BXXcHCEo+DGb8n/UE/
FnRl5yTwns4ci2CHAsayLUhCF5Wyv7Cm6aQ/EzfGFLGFGS4NuVuK+kCEWTWLT0a200b8cNUsOXEn
gUNx1YBavBzT+9oTzsq5OMUh3uzpuQQCp2ErwHp55LJI78zgfBTMOJylJYmUTPjGo36Qlqe5v5d6
VPKDPnkFoWQxAIzAr/IHjrnSv/opMb98XZP1PRIo1ie66dZ7aOa4uSO4KXRa9eQg93nrNxxbZTmM
h0pPIvgHRIf6YZhPBXCgB/ONcyJqC9dOxDigrpz0Ok8MjAgcw4feM6CzlV8dY28Bg101WtWtgb56
7QvPvG4+73iMKypJKqPKiUd2Xd718Zs8HGNeYs4zDMYNyVNDEtBwAO0l650c9BjJl0juXRmcqdJk
cW6SpxuM14lWQRy1FKbwNxuMZKWOccCb4O8593+/EPlR/xk/A2HqYLxXrMh0P9WLA9YzP0N1p6sW
a4yK+8yUrWFVjiExObOR+0GR6EQ3RY0oLFxlqHWGOJu0AmM8SelDytsY4P19RjFA5wWs1hopngAy
7dV4BaLp9U9F/8Bnnb8cgFELaer1sjGQE2XKA0AXbF2rLROtEbH767qgf/BSF0mMToRxZqD0hrRo
fp8UxDw78NxBq07BiWuBo4E7o7xUJy7SGJ3oNC2eYM8yNi16pxyRUHRA0858SrpJgCZIt8Lov4Nr
x1mCJiiPgqNwfsQ/ZDS/fwT7zCBrVWstxaDsASivvgD3yGsDisJFaRaWoHq9fsWcb0mYxqAJH2kW
gNh2jBBUlBlorGvTy2fVSireGtAOMtaH+yXUA2zKMmar9wR1VGAYgqKmAyMzYOxvTMDCnkEC7XQH
I8i88mV4BRj89UPu+7HLnTJhZ9UlEI/AVzqjAAgXIntLL+ZWW+VeXoFXYo15Gyb7vvkikMl7tWxA
w78B5HwCEgcJZDtVZb7IHW97hieGCT5JpnXSgCTMycCnQGYnnY/c/SPe3THeRK8EI0lLOiMsPZj6
8DhOGtjUZ6vNdJsIKcc38k7EuBYcJxqjBHuRuQmwULdNDrLAeZvyRDA+RTH7tWlLlDqrJvHWBtDZ
BNDZXGxXjhcmjDPpNbGRmxT3JqJwW6aNNZr/zQ2z23urkPRrW2IoXdfvzMadykeSvUY8dIz9Yr6M
NVzFoM19tmMWTiuKPJVKO2YK8pvxGTxtQfxKyRPKI/aJXnnggO9QUZ/jy0UiYz1JU4H2e0ZDWu/M
3pLqxionE/sVMKNysUylAxTN9BaG1Re9kWx1Cp/k8VtWohtcY+95lBrKAOumY+O35a9QKo/zWgaq
9KLqnaeqmIwxidd3KsfJ7OvV5VczxihJtdrICorO4upOy9ey88SBN/NNlebazTDGWFd9X6UAcMS3
iAJaVyluKRYQt5+3b/SXszBmWMglCNhCFEsnbCOBd4amtTT69VYb1C7m8Y7JPRYfb/49dj6NEBe5
jG3qxtJEA+BeHClDp1Info7efaP/muWIVz6lf+rTVaI4BZBGgvk/trDTTcMUtiM4qRbM9tJFsjGQ
XmMl6C2UUa3CiSM7tNc7sbDqE5f5cFdXNsKZSFhW1dSVKW234NWgACOV8lqoAIB2JVvz0Kh9IqBd
uB4EdyP9RiYTBEMTqj+JNPo2KOPHKDWtKF/0SKj6KvgTUQAUgyoa4DFlfJ8ZV7q6jhTBMXJLydKS
85S4/PFsekufP+FvMWyqNDS90etTQvMJCS2X1DPLQH9ZPBCkO+ZbKHNOtf/RLuKYVElvkrIyVKS9
iH7Z7JLhRVN5Wrk79wP/A1QP/GO8p1CbFCkLy2msgFTx/gii+Wd0FDH3Q6dtBe/6R9oNUBtRjK0J
uVQlyYz3Vp1Xd7MCwNVkca+L2FU5VTYVXcdrR2JXb8IKy5ombcsaxlOW3SehZMfhl7yvOK6XJ4f+
/82tNWoT6QpmQ0GYmwM6JKjLg4qh6Io3ZrmfnG8OxPjFEkiAi6CjpLAcx1vJyb3YMX4lt8kvihIR
uv0f5ZEbecw3GodOABARejxD8cvQHbN5jQnv8vbLfRshrLWCXy2We5SCMsOOpcxqwdNYPfbdY9PO
Vio5oDZQdFeBs9A4GQxPNFt5Ay14Owkrcgtk4XhvuRRLWTkRjI2sJ361bdeALwdli225QISpQuBH
hP46tU6v32a8qXmeCMaxm7kgJLKCZSlZAxelSB4xAGZPU8tbF96d+N4chXXmEciAsYiD5lhQmO7U
LqhPinY02pnYO+3s9SDCMHjd+93sYyOUycuy2hx1NQLXJu2FYKjYnTwNBDq8/G/XMW3E0DveWDMJ
RdPMRYhJ88ERl8yfypXj+/bLzBsZjMeQxnAWygrZ+TR9MzXdKkA+RixduSsGK41t86/siQxBG7pF
8la2ANbjgcHtP4Y3v4B1JWpdiKkMq5u94mwcO3u90fAkznz5oByb595OPOMxPvJgkHgKyniUTK5D
KUfxy4kWlyRvK0o3a8wrYnD8scl4lLYXgR9dYx+BzLNVzS8jtn5l40cdcfok1w8ji9RKNpqSSEaj
zRQgU1sGq+86S0u9dDxcD2LXtR4jfR+FROOs58lIhWR4XAyuYX7RAYoJShvtWyv5i84JZjv410iC
f2sGQPoZgVpd1SLlnxy9KIBeBBTDr/+RnMIAJXpUgeKH+ggyXzfi1Uk48U0WGbciL4kwjhXGuEEq
BQKNxjddBFXsyiKl8tAD4fl/3gdkPIqujEK5jMhJ6SaweErcULEoWQBycM3DCIONWfywsFZOlWFf
P0Gbp+gqmPMIc8xK1udSJcjkJOGbDniA4mDoP2TezP3+4S5SmMMBg1HWpBLlxG5xdfMtKuyqe7qu
m/uu8iKC/oSNAYxZ3E2lCieiJ7On9iZmMmKOjf1DjL7IYFzlGgukXikbCCWWptvTkS+iXIf9aTCq
YP3r+ol4n4Zxi2bR1JERIisV2lM9AB4ds6SA/eJhcP9DALicivGDE3CP1HJG6axzZ0dyxtvSi1zy
CLB0Z7iVQC8U3aFuc/1sXKGMXzRyZeyGBtlB4y724mqgAcOzxdEfE1v3G68ESbbHgyT8h0Dz+6Rs
mUjvp05udFF2MKqffKeYPoUvP8eiFR00i1JJiJbg5O7yyu2rUkf16X2mXiQznnPO40SPUmhO51IG
xew4Bu0N7WAXlAyMt3O976cv0hi3WYJQZTIk+e/ayN+TGur/R3byDz7yIodxHiNevAhtv92z8kOI
LMGma58VFAcYoZL739RGYxyJSLpkKlKcLD7MXwfsPJ8psEllA3T3r6Z7v8/I+6Pu6ebjMa4lTaNk
AdMsyqQlXh+PYv6ADvj1g+3bugm2S11WgAHN6EdOlkgngBdwZslqxG9NiHXW2R6l/yiGUYxGb3Mx
jFBsGfIv4eBqjSsvXih8vX4Y6pg+K/vlMIxalNGYZPMyoW+jvwyl22T3EdbETLxnxuC6pP24cpHE
qIPa1XECEnUsYRJPq1/E/E1YR/u6jN1PQxRZJZjekgHR/TGwTEsrGEuL0opZwJRSDKIbja2prWsM
vC2/Xbu9iGLfgIWiIYiF2DNOwBHU6gUem8964RttbEfqY7+6TVc4/+l07EMQHXsiDfOMoersSWiO
ay9benU2Qt7sLOcWTUbzlm7p2zyHnKa7TSLP7P9Xm3Y8cYpG+xeoaeBeANQNEBA/fis1acFaVWGo
IgcYd+dTwKg4aH3es2z/MBcxTMTsQ3FRBhXWOvWtnQ+/ltFPJCfBDvr1j7NrSOQih1G9MImkGHVF
PB7SygL0nV03hVc0j5EsPMWEt0qya0wXaWx0lFFtNqYE2X21uPnyCMrGjDfTxLk4FjADbFFKhjF+
QHvlTjfcKtoDyY86zyvwpDC6FiVrXiUtPk9Ocg8teruvNb/QsTOoZ7yARH3ZJ1+3uTTG11Wq1nbr
hCHVuVbsFebZr2MATmG3iFurX7EOlxpW1XXBSIjVhYMnje0NmEp5np338RhP2C7KEmcUUSwFdVuP
nUTsJQPAjEdqxrta+jM2WXYkRKU2AfTWIYDZqX0p9tT2kGeckRSO3mv0V2ykVIYpZLGJLSOjSa1V
VqxmLm0i36hzZvWld93Idiig8cjcfELGaZgNEceKzvjRMYNusSYgZJfe2lvyZM1H4q8+KBPt9Kg9
LkgSQ4syM2s8PaI6eU2PGJdChzFkIUIxokHt5adqS9YchLdLDsZY8LK7PA/GUxfGs2RSD3i4CerS
YlOz1dfnsUosQ9G/Xb9bjhgWOGMOh3UFfg4S0fZHMdtzGqwiJwXYf0lcPh+LkGGAWrNcKSgobQRm
7hy0olX21hpZObguKbKvAVI19HZ4zwne4Rg3UyfEkISQ7iOtB+CcT+NNqnFe5zwRjHdJjEEgzYCz
CcltLTrV8DDzIJ+pYl1RPBb6sIlGae5aoC12aCqXib9oWJaUf4TKY5r5JQ9G/X2o/po4euKNaUti
CCaummqEIlpz+KvsAnk6EPyH1PqmekzwpVpe3eo9fb4mlXEokxobUj0jLyBW64DOFpQWltf2IEWO
HhJMmK5ud0ehjGpb9VLXdFYufhLvSzJOZs0GqdNEjMH8Xd5pTuajBmwS4UQHPgFoZ5tvvA7y/rjC
xjIYn1IZkbwsKiZIVEAEYL8nPKhvxG0OWvC+i3qI//dHCzEbiYxb0VdTn4oG7wvFCOL6WOmPXHe9
X4S5yGA3HQytiKVoGv4ejhQszCJj14eA04Mya/OWETifjW2Nt2M2j0TGgKIZuUN1W5Z+PXOqSjwR
jBsBWRhRIgEZRNwHS/0Nk8a4v+tueH+2WsP+ta6hBY1Y8tHqzFYVVSVHs46GuBl1j8qvg+hhtCgn
OKilXYCqYiLM4ojdTY42YhmzKzNdKQdCMMF+S/HY3hHXI8hcbdEZTxid5Z1ztxe0EchY2dgDtyFf
UTIru2cj+dkZriHktpZ7yxhZsfl9rEBtwKtS737AjVDGzNpaHNqawp4aynAQ1uZ20BM7KUTObdIM
7pMP24hhbCuTm8hADxmLEPNT1jaiFWLRnCNjf33zIoSlKYtltZnqHhgfNJgC9Sl5qCVbt+9nrJFU
d+gROaKTuvkpPt1U/x5iGHnYRjZTA2llrKspKsY9TeGhDn0TnWv5r4y39bVftALGFVE0ikbADt7H
+qySWUHNQNXtEqD8M8p/AAcw7lZAQtMVfV6esN/F2EhkcvOuwwq2pGEzh2LnJQGWOO6T4/yKkWQd
UJ+q19sLaGXFAP74F8cCqfP4rDSXwzKGXwjdIAB8gTrL2VmdzC1OxJ1BHY/BGm6dbD/gbA7K2PuU
GlPf1RiS79zQLwJQbtnareQPTkrZsGzFMp+vn283edkIZOzdrOo2L8hCpz6nM12y0+oiqGosYyrT
Y5+rtqJ3vNbvrkwdXSmCIIRHPmOHolZVabmgl2GIy3OpYta77B1SFne1uLiFDkgQFCKvH3PXw1xE
sla5pEVCwhovlFAEi24+3God+ht9ydn+obf1SVk2YhgDzIZC7JIZ5fGi/hlVAZnPWTTYRneMa/v6
gXiSqNpuskBlWhIFhKnEkbTJ7uIRy52zU6HoVCYi4Ft5lBVU764djEmjY7nO8xr8ek6x2JVuJ+Op
W7yRt4HH+0qMmatVo426CCXU2wC9J2HNLRNrYtdvbl8IwEZ1gPSJBktKkAAFAbkPMoR8UF1VjGzJ
xGynGXM0bj/LAifl/8lhTLkpuy4HjN7fTSFKRlD46oE6jsoDZgVnDnn/+1yEMWacTFNito2C/iqY
j6L/9YC5W9P7CQCC/+3ymEjdk6xdSIO51IV0D6tZ35vgizKBwnRdDPUAn9XtchzGQ2QKmapJQ29r
UUX04m1S3w3R0ZhvgAJWiOf63wOZI3BevhX7ym4Uw6xTCa+bQVStESzNoRpaWuvHxeP1g3G+E/vU
DjEJOysVUpBFfCadr+hPa3UTjd4fSDFEXVFUtB7RDvnoHCYxKnqNbrqQ5JsWYwirvF8Ee0kfrovZ
taSNGMZcUcLVWy3BYqk0aDZm7T0zBbqV9EcDIBsx9GdsXF0Yh5lshLQ8sR6a+blT7yvxttE5h6E/
9pPKbaQw5mpg5HuqaOIbS8JprvIXvRQ5Wr3vEjYyGCuNZL2dC4p20DuiDSQz8CdlJ7p/W4HJXeOU
APcLBRtpjK3G6RrrRQOlnurWSYTqKBpnNDbRF2uxz4wVq9YYc6uPJjs0C573oyp27ToZCy5msdJ1
Ade53pG7+A1rx1i8xd4TsUxglyw3vIYtRxdVZnonFlOUp3Mctsm/rLqdS18xaX5d3fcXyC4XqjLR
PZrkeZ5SoGItx/aAFWoXO6BeeZax0MuVReP3lftj0WRLtRNncX0H5MAwy2rRYcau9ACaa1HmzZrH
GbJfwzVUkKSpGh657GSSauTyamRI6vNDc+5vVbs4Nr7hhF5xMu3l6+xK/ui2mGWPYit+wYZI8Ec7
qJtfQK9kY+e6GU/xQnFHZwzJE9NK15Ng8MpI78nl54vFAYmKpN7UGMVscr2TVMrJDsy2R9mlK3mF
ab3PzAXEDY9SUPht0KIaomJoaHg1g8qj47jAHDi2fuiuvzhatfviNn7/IDb2tKkoYiUKmDsU/BkM
oX7tUm6zHjXy65L2TeQiiFHfehriIaLPNiUHVQjKhZonpD+uy9hNSzeHYb5hXQiLVmBN1THWYEWz
d/k6SF/UDLiOYXBdEu80TIwr6gjzBjmMsW1SN0melLa4iwXe2NV+bXxzICbGRaNpdqjyox4HnxkN
VjE6oCCJ1V8EMOBkPsi6rRnHnNhhG2jjF6CF6bzF6d2cYfMT6E1s7MJYEP16AQsQQ/WrV1+URrbq
6odgfLl+ofuPbCxu6LpiKLLOwq6qQ5Um+oLcTsU8oF96GEVZHwtfc6qvaLrZCtD3oqfYr1z9ngcb
uu9aN7KZ6LtUkaCOPYra6UH/mgXRsbyh80TiM39wez8Kb2QxUTiL00HQBtjBcNT86EYK6MDN8pXg
fCWX4IC6k0/uZiOMCcLTnDVKQsEoKZp2cqyDxaOjbrwLpH/mmhjGq+WmMi91jfLkHPmVEFum+drr
rrh4eepWJUdTdk3vcqb3xGOjkIKQxxpmz4BQ1jwPi+4l709PLuXvbka2EcP4qxYIrgAHBraM6A8u
wV5TNjjkPAD8rIdfbm56nwe0yTsY470EVJmWqqIWkD2V+inHPPM8clck9qUAzFZRsMeCLP2jPWdj
GisVwQMUxGrmV9To7PYOU3SH+xjPXSRHMXB6/Ou2veuWgZz0fyIZL9apWtasAspKWq/bUvua4Jkj
gNNgMJf7Mk7s69L2lfEijXFYhZApZZ9jesCYB0tabkQM4grSs9YE7fRQm39dl7Z3nSAuVlRTUbBx
xmZlYle2MpJYPKl0u1v9aj7O9eN1EXtGvBXB6AUGE+Q0oiO+tKarBBS3iQ7F/In6bcUwiqE3iwTw
CEzJ9aIciEaDMkjk9guvDE59KesrJFEFtykmw4GxzfgKbESEoDunmE2GQ8bFGho36e9N7muH/twr
clg3kaSRCP4iuL7JloAhm3vmGeADNsVTkgPTESPr+lfajdWbg70HmY1fMkYRdEl0Nm86jg5wE7FQ
pWPTtMCmaXUre70/WRgBvy50T9e3MhnVEGdJB7OfgD2+zEJN3Mo6jB4Gc31OASjXzs51afu6/vvT
vVfmNyeM+nKQSYK5QJpezbcAmR55rmI3PG5PxPiKtMuUYejhK+hni7E1aNwbjgSgMvXG5ILv7rZL
ttIYXxEnpmRMEmIJwdRIeKJzzCmoIG5SB81lzSFHw4veKEtOE4g/TE65dhcaayudSTuw6gekpgWG
TaUrVu/E93hB+hrA2Sob1gGeYQlwmxIIIQGKEP/BrN1WOpOIzImhr3WGsXHqVuiQ8eTRNwf3i/K0
hslBGrDZmCogdN9bGKCa63yhsNqbEohUT6NLyevDx+xVWzjK+g+ahOk6SdYNPCqZ8w3V1NT1hNvF
ivBRQusEENKPsx0HBahmeesf+4Z4EcYccs2XNq7pM0oZ/Ti1K8NRK6C3J3Ci3xTeoN+uCwW+FNEx
VKQSlRHWFHWjFC26JiroFiasPFXZtzkEaPoQXDf43cQYoN+/JTHOWlmichoQf8BBmZ5S8QFOHeMd
Q3+OohdBEp7lTLXyFuUIrLdlhMsHRo39kw+/iGe3oscEH1CiBrIcZy/8q8OgePSC0SAslmf3vZ+j
J3X9wHuZyua8LIQMYAIUs6VcIJp5j2qEtSD9KywpP8Y8ohvON/wEIFPUY46kiC6HgOmkshd4mP7Q
rTzWdN4VMlEdC81iFBcYQa0G4WiW/RexyL3rl7Yf+TafifHZhhknEz4rDbU6kIZiIA1hHwSkr5gQ
PgMs0xID6Y0jk6bf11SD8dxtN83D0BHkXcfksfYqf7mrDpGdHykw/HVZu7a9OR7jpvN0GKsuAUR7
P9pD+nOSMAgKDOE4qFIQS/OMe7e/vdVBxm8VS1uWggrN0HJUaul1Fg+Ci07zYJNjZIsBd+qCZgnX
7pLxJ/kUTZqR4vv1zggqNQpnZDjRQfbemZ052rKbzW5uk3EpWakovVxRl3JI3sMOeS918cIOx5LZ
YWhVwfBKtkBMrH6Z5drTTI+0waDoVsQbit6PNIAEkE3sbUoyO2QkdaSTQwHzAcRCfcah1eY50JzF
07z0gffW3m3Sg4fhtzQm5xszkpXtHFNYSe1IAvq9aJapWsWt4HcxNqB45WBl/5tdRDJOhHSmOii5
iFBqYLxWwDKnBI3MVSuKez8DbxseD8e0X9y56m/kqHIQCW+GrrDXCVE+L75KafQW6uWpKMaTlrcH
acBobj99z/PQUiX9UOmFY8i9lYS6P+ZlQEzpxhBLTx3k2F0TADq06Y2Rg4yY1JkTL9pRBkeUXWZq
IC6r38otx7/s52YyoZwX9JXColdIAGEY8aSleajhd7MDAtmb9Ek70IGrwRmPlNMdg8T31X3uCm88
QItd7d1IZyxy7JWuRE8QregEmdl612OGeh5bL+qcpXavu7fdj7uRxRhksvZJbKqYh1iasxB+Jd1T
DnbPBoRPnfkqGa7Jm5XeDX0Xge9Xv3lGqHiXpQalqpuWQ9s9CENojepNPHLy2928cyOGKeB0hSkT
oURKVnZuWx/LNWg6Tt97N7huRDCmqHZ9nVURgqvePFTlYHVaYV3/OPvRYCOCMb1KW5KkNnFZ5I7S
XJLXMUjs3FKOwwEjOWdeArSf8W3kMbEcsDAtIFAgT7+jxYb2xiJ+impD6Dqck+1G8I0kJoIPy9wP
TQI2TUySgKGscQpUs2tRP4Wk/jqK0cEYmyPpyYNRm1ZhrM9/JN/AULwkS5rCIrq0erTMBSYrHQGc
6kM0eFE7Bn2hnUpTOQilEYjhy1oRu9PAKC88Xpe+r5wX4UxOMRltEoYGlFNXgyE8TuUh5k1v8kQw
ecQ0pV1rdLQoGz9KRnhShMhu6pAD37FvzJeDMJ5qXXFzPS39klly4ETkSXNp6398uH5he2HPVCQs
92qIsTo+GJKYjdcQtSlbxAV1oslOzuUzua1OCLFfQ9SpfJADgwio5bX+97qSH2QyxpB1uaBiAFUC
/KhFKzpKZ5vn9cd4E/ngdvLGc+qWdmpnluZXQXxcvwnOH3SWP/wExkq0qhzruFNFp1nvKvVVI4/g
L7t+tTsB4IMIRheRbU51kZYAWRUwDGfaTfPSrgGwXAHAiJFVq+fBy+3ozAeBrGZGQ9tAT8BBNoGC
QPqZE7CZa7GdGYl7/Wj0AzGZ7QdJjHY2YBZTtKZGbKv+H2nftSQ3rmz7RYwAPflKW7arq736hSGp
JdB7//VnUXPONAVxF+7VnpeZCE0oK8FEZiLNWkd1/kbJ99t//9Zg9m8CmOAp1AM4iFUIEHJrLqx2
rwJaNdi3GJIGQNRktW59l7rmFx6sHWDdbqvGNm4JiGVjM9KJI+fCNe2jANvG9EJq81qPZWv3SnLQ
BHFfxdkj9pJ2vRRYZj2/gXGnoN3JbF7DKTyqsn7R9HAXylh8y4iHVVKnGTU/LERHJi9Cjs6iOh0l
0FD05tcpBYThSO2iAgpEKB6wImwlwHIq1NBOlWqvzrMtlhHWMtTWarXwmOiGH6SdTRLBk+f6ULXA
aQOfpC325fco6O7NIthVaVU7Y566saKfmvRDEEByo5WvDagckqHYBwnaE3J0mlrtDK7JQ6ebezkX
71o13WVCcU1JjPIxqOr6yNOi0RlIegyEBngO9SELXvIFTFSaXY1MMWYvW5fIb4k0+VjFtaSpfySE
+EkRTI5oAqLBlD4itXEC2pzbJvejXjqZ4o9aaXcGIA8sKQTHpZke+r6ym0z1aJC5WjE5Wj15oRxE
lklAv2pE+8CsvwP3B9tuwIFVO3sg6PKjP9wahaUbxWGeE4Cht3Q/ya0fJKoXxYVtZqYn1zPYyMMH
UBYCt6+0qg6r8dG8I5Joi0OPvAxwA3nnR8q4i0AXImvCjpDsBZ7zKlPpWjY1mDv7fZq3x7qJbSP6
Jg+JNei6U6f6Tmrocco1aiHDfjMa9TCDZm9UpJ1uBN8bVOc62j7Fde0AUM1Wxd6VhfYih4FFWxJZ
QlCCi3WabTkcQeqAnalK22HYCz5jbvDgn1Ls52j9j0S6Wyhu23Y0922VPyLB3FWV5Jr6iI6M7MWt
YU0J3pem4ND8MhDtapD0kg3Ke6hHO/A3WQq6UrX2zZzoFaR9T2KlYCEAuJidpPvSjKEhsTIB/DOc
x3h8mCjx5yA9jSS3Ys18NOUHuUHJTwn3iSx6yjSDF0Tej4V+VlP1EFHopgRemzdfKJ2uATqIYa91
oH98UZTYAk+GM8/Y2Zax/zKkYEiRXrMoPRZxcih7JQMrYokGVu/oQXRGka6z6kj3ELdc2vQ2AZ0a
SC/tRuqeg6S8UG22J+ABNLR/aYfqlAmVK2KicNjPrbjPK9Vus+cK+zD1rF2SgDg0Fo9aPvmp0Jzn
EskJNq4eZPX7OJP7cSRe00xfJWG8a6Pmbhoqb9JMJ2nmEZwX1UWulcYZx3fgFlqCRPCfupvofWor
c7LvIvFB7bXBUpKvUjJ8HTMNMAJvemZc86A913HRWHiiHcU5eJa7YLLTPvTikN7LIRCOWxBLFimI
GnMJ1KHKSwc+j5oKTzSILeTBlWVoYKwcaGER4MfpgOM4jL2j/syf54lc9AwQAvhtUjdZACJ6VxBM
9VzazzjkfpT8RhfuJlF35BCz9XntaYCyCczIUUnjGZPxUxHBYtD335TKOGJkHNv7wUNgijtsWOPV
29rDpF7alPwcwyCzuzI+1kaQALsgt7Q2SL1KS2wy9a9NSA5qIrqKWthSFzoK6DEFEey1+nwIonr2
TSGwaw0nN8XqC2kawGgVTmoEACGbn/RKcIU2PVISVBYdJkcezFMn5o4yYkInkb4OcbhY9rtSFbaM
idFMiaxUya0K5yWlAX4YJuCm2DhWWfQw1FdqNLskhRVP8dNUVO5cxe+DXNsaKruzHsJs+10yyqeM
imBbznqAk+e+St8AVhlbavVjHM1TnU6OEicXzFWdQrk5tZXqZSjMamIt4v9vIgsIzk6uoWBaqrsm
ji1higerU6Z9MdNvEVxWUDe7Fjhy86RcSBztO9lw56HxorC5auAIkiNzX461pwNxQptHV+9KNwZq
uWSmnlFnzgBwLIJ/iyC5zuJkfzvKbmSy6yDLjq0WklxgbwYJChq6RPbV/C5UeeOKGy9u8PsQTJ9h
YlpVWQAPMqY6zfoKAz2ogRmHpYYZOMlh6d5NHqrAy8qdD8oO+7ZqW++73+QyT8gAbicqKXTTzuh3
fVlqbwkoh/HAwxj/o+lw8Vo3nl2/CWTy6M4cAHkNZiZnkg403CWFT9tLhm+MseZG/BoPr2nudw1H
z81PKGGQGb2eBX2ZyZMKIWkmuQZS6zy+FijlzHe04uR6218QU8fYR5YlYN///kAQ1VnFtccweKq4
kXGcZ0BoIgU64wbd/mZL0vhHUil9CmKSylTsAnMoMlBCwqtn6T6pnkHOrU+X0jgS7KndlvYfLORT
HHt0AKyW2rQWfy3laADffiVfKmdBHsLW0bk9q/e3BW5/qn/lsZXTJipFRSqRndPGq40vGjKvjgeX
s1UyhRV+CmGLM2aW10OuinjNDa7oVLapWwlqmNhS8xpi8dpzyxnd+GQac8sKOQPNmlQB5nQve43f
g8Rr2dv9i6Lzb1oxd2toxloaerwGdCxQBfcGQRz/kqOLSziFp+3X8Or8mJdpXuit2cnJwiZhfp+d
xW1o++r7MsATOYFdcsc3t1awf9NtMZvV+7s3x4n0E46w986y156GO/A5OOQ+w7P/zjiNtmjnbu7n
SM2ezcEC3c9ts+SaDPNMLSW16+jULRVZgmW43JlBeaxYC6Jw7v/N7vVv6jLeRAcJa6xVLSoZVgr6
pkXbzB4flo48ej/PFIfM0W/zQYc9EM2ElySgT/79gFtDH4gYSwCp9Yu73Mt8TCBYw6nld+QXM/zj
NqwkMSepF1XYmiJCAPE1v31anqyCLX18L7+212knf9xWTNp87st4waqGTgyTXdjUzEDKATYMx3wa
HeK+v42nJbyOlhVh3ljaRy6aCWfzOruAsjhHj6ld7YQ9b9piMzysfgVzY0ZshwRoX8DjzE95eibT
fda5MugywGF9W+HNosNKEvMh81lSwDMAB5qF5hv4M/DGKidOVJAXj/XnN/w8VOYbqpKaRmbaYMot
kRInzfL3qC9f1WJ8M0PlWiXqEUm1Nef5Sa3Uu4gOVxM7LKQQfnaTeicBUccCytdVLtU3UxX3o9p9
VbvmoxtaK83H5dXvSEXnj9NoyXFmRYNyF8jpRzmiSWOG11zsfGDachK9rXkczNF9asXcOhAHjjXR
YzjQx94ZAyv1ksqy1FeglAPlYXBGXPboQ0UTFEC3vFxsM/CthDNx3WxbvaU5hE8N3irTrDlh1gwW
vibnqm8mECtBTERXBVnWw2mGHzGtwRjcaHpK8dQXg9cwe9VHTh/kpjQT5Yzf/Uqnp0QQU4p0snqp
8hMGI4noTdWTTL3RfPgvTB+ymLAeVmVotEuRVkQKK8qzVfOWNG86E0hgI3muieMkIU+PNYC5Gich
Ef2wekBLlPORtgts//eVIGnxoquAN2pSJmBdA5n5NfDVveQrqaWg1Sq41O/tAhQ/gFu1i9PsZg6/
7rsd7lbiGX8117TQxVYU4aTbU3EAVulJswILo2AHLFBw3AnvVBmXFbbAwp5rFBObMLLG8NKbj0P4
pQRh32372MzDVkoxXkufASAQVcBaawPgFWFFxqq0Anydgt2UmR+N9G6WwaJkNPPutuCtdbRPz4Kv
yXiWWUzC0pBxufPTMlIx75T90p8vuWO0vKNkvEiqkGIeVFzuIv0Z53Y5P4iBm9ac9+rNaAZ1GBfS
NYOcBSGysVJX7KAHvr1hacr3SPdVHlP8zXBmEnaQdkwyWS4iiFKbwwCqmW7mWQXv47CjswB/muZq
SEQ88A8kfjMnD2Tnavym0WMghSDd8HJeqOF8pl/Xb3W7xSBph7FAkG4GwTKqe72nDu39JHu7bXg8
OYwXga2Xykhh8X1+QW9FzXdleUdj77aU7ez882L9ei+s1MknkpYiQUqnWsReDBxZB1gpO8AUTfft
kTymXxd8+/mLel/bpc1Ll3k2wvqPMtLLVsdpKsZjH18pdW7rdzM0wwaXU16pl4GQQ8xpgfai2e3V
QLgzJWwvhCOnmbktBhg7ooFFJOCL/C5GmWehlBNUjvvUy+K7AbW5gpMc8kQw8YvGcdzNIuo9Gbk0
3c6UfMob6Ng2uU8tGJMD55Q2RxpqLXoDuikVlWex8doKrQUeDMR2+0v+FMUEqXYM5bobESMz1Di1
drBpXXz0s+m0qGmhFGxaTSm+RGCBjWLBinTT6eMXLLrcURO0rBo5hmim3DaVbc/4+ZMYU6xCBLPZ
hKMfc6C+B2gMhM0Zc5X7aHoNWh6L1fZDfHUCrGWGatSIEyxfepd844BK7hHMio/F94VQIsY04sAb
Cdm+a58KMpFsGmg2FkKNz5tndhKBLR7k6rfP8D8kH58ymCBGy8TEDcFbO94vzqTC2LQHkJbQWV6/
047ycKF5JsuEsyEWqVYVyOp65SNMvDEEGmv6rrSje1sxjhy2aRoUjWQUAYyj7oFaHhbXwYx3o/CD
/s2uBPKNf0+QrVm3FZ2TukTVzgDP25A4E0hnet5uJseZ6IwzwWhCKOI1hqRGl666WF7VebQVjTuH
vZm2KVgW0w0MHgIY43e/SKU6q4wCKYBGOhcQJtaAdS5LweqWLP3Q5lywsla6yi09xSm1zSnzKdxO
UitvtWHYafNTVx5Tswb9GcYvw4l3IzaP4fPnsfA6zRwCLrZDMRHYUI4iC7tCl+CNek4Q2ppzNuWV
HCY8CIArUvUBx70ULYEIC7aTEnUa5Sm10AwHVCXKbhyZm5d9JZL5wmKlBwaZ4V468dpr14qXOGxX
l1cCmGAh5TWm8YAziy2Qdp861Y92pzzOQEldHtnNjvutNm/gSt6i8CqSywMxernDvRCMi5meS1y/
yJ4pJ93fDAIrKWwQmCY9VtIZUky02+oM3drnMgKiqGFnf8MF+5tZMCGgomGVCcArxkutXPDIMDS3
jP8OXgCy29rC3vLFsIMzgDFvO7Pt2LPSkokESatqWVqiRqn49V5RLRWlbYQEeyT+wrIbHqpv/Zfb
MjmeQGYCQ121KKMP8AT/LA21vwrpfN4k3o1mHI6htCQQBWGJAs2+G8yHuB338C2c28Wzfha3Q5Ab
Ojcl1FloHZQfaEIskIrVKbAkqz3nvs4bKeMoxq6L9ooIwlYV121KAaKISZMi7HdhMnOehzwxrNtI
p0AetVJ0psnWhWMYuOpfTDCurV5hHEdi1mpQGDC+bHDM4aUBlzovDdnWQlFFGYPWCqgVfvcVOhW1
TMowfhfT8IJYd2iKxulNYX/bprdmXqHKpxzGqEOpz/S5xeOpcTHY5KVOvyMXCbA4+j3Pn29nVitZ
jGXrUS3NUydiOOWl3k/P/W7250P1a0emO/J6Jttu8P8UE9nSnxyX+QDie+LUEXiPJr+b7gbDEqV9
w4sj2279UxITGks9zbLIWFoKxmsrY2S/srIGVUDOyuR/cHmfchjDnqJyaMMOTH4L1818AhCwv1Bu
9wA2q7wSCBE8UnGOcYhsGVAbe7EFMRe8+6G667Am2XjVHiAKAJrkfa7b9o7dzN/tXQpzI8pKA51X
6ax3P9TgLs7/Llf6PMDlN6zib6CHIc0mfKhQ26ein/aAz3Jv3yeeLTDxsIiDBvgeiujkGGpSwwxz
h9KVFhj9k0a95LhwnokzPiLXSJu2MfRRiWbVgd9M1A4xJ2JqdtN/3FZs+7n77+UVCeMo9ChqGy39
ZQvL7lK/a85Lm67/OTkLZA4InUFiyF1145kF4zLkoCFZFmKwYWplMGOdO3SU+/GhikY3meijMGNG
SU9dYBvd1RVWAuR4B9raIymwqhmbnG4C58ew1cBOD40pihExceQdKLMmDD0WgP7mnPRyj/9ob32e
NFsRpGKFsRgVJ52e2n34fRmKWWCHzUN9jTyeU+YYLFsLBLCO2OrLdADkFeorlp3sSjtnKQ/9afvs
lgkYXdMkhcV+nMNsnlqxF+EX95nqmMbdXHi3D277OnyKYO5eZ4okoUjSnB7RBTu5+XPfe9HwKuDV
clvSpjLYPZYwjI+JG7bVMzUkrsuliWwCAlQJMCurdKeJcNc0ljziD0tYyWE8/ljRMo9+FWoRnLGe
70Vn46nzFtjr0s9e/4JPz5RX4pi0BmXhMtOWSoQS7dX0qiVea9o1b1Bk25OsxDCuvirFeNAFjPXH
+9brHYAKX1Qga5eW9LSQPi8wxgEeYAUXUYp3nMtnXft/qU902iEBBYYaBm8Wqjj9ofFM8NQCR/mR
R5zGs5I/7LEmWp6h694Lwb4iutWM+dP/w5rUkl/cshImDIzVLI4axTyMUBXWkOLtlYZ7dC3sXCd3
ZgkM8aHHPPXsJhJAAUNes3C7NLD6nkxkQM8nm8GRi7zelg4iGOKqc4skUr+Gv5CTa8Cz89rV24+X
lUwmLpSB0vbTjGmjBa1ZB1qzYKvuwoS3jDalIOuwbt/4TTf5KY91/WEaKpOezXD9+dOUAnmgeQ+r
wKmBTXFb0HaSvJLEZJMxlfpg6nE7AGsieroXGlb9GuyWskT/gG1LXla5fSkMzAxqBui9WVQ+Y2q7
OS0hb7Bn7xcy5qE+9gA7DKzyQD0ep/x2t0YD2KGsaaIKTvHfLyHtSglD3rDWZWG4AgUehk3vm+f+
PnVCL7LFw+guS/Pq19KeWgtpoH37gDdvpaYC+xrY2wrIc36X3/ZJgCG/xfukWBSxSfU+jk+3RWxb
50oGc/OjghogjB7whM8PWFVxpRmlkcrAog82IMrs3JHGicre1mLNzTrjFFS9RZuRV7vcNNrVz2CO
Op7bXlBHdI7UKHWGSrJB3eRPUWaBa5Tz6F7u2x8+aCWK8QHVJBhggMOppvt2v8C4qCjC1Bgd4Jzs
5qDYSg5z72kCBrpQha8JmycSSrY82wbIcRTErPqI6fmwxUNI5bQEOOfIXv7AqCRdXErNWmnnWMRW
mssAjgadI4Zzhmzel09mA0Qw6DaK88XARkXRyUe57O7QO7Km7H3CjlOaGtfbR7p5H/RleV81ZLy7
mKA/SooZd9h6BkGkC6TnZPZSYXdbxBLQ/zCOlQgm4ItNN7V6giS+65Zq5AeeRbcF8HRg7vRs6EUJ
ejbizI1b9neF4qLoflvEtl9eKcHcaTELqKZF2I1o3NlDbg5vJT/8A4lncgf2luty68SYm2t2Uk+z
pVeTt/4cOXP92Jv3YmJN7Q8uCdXyd92SxVxdE28NWUvgJcbiS1A+yON3PRytSXsP84fbZ7jt+1dn
yNxeg4AoVFlWEsN9ewpPWHi5iG/Au3Wpa/5DhFpb+nnh0F1Yy9ozD4eVoyqLqZNUQkGSGPJF2QVF
R1Cf9FayQBc1ybz21HaW+6krC6eDHnTdBzXGwXqvOUgH1ZtD0KKRe/IR7U0MsOtfkkvi8ZJrjuGw
0DqkVaO8MjCfT6uXWPgy6LUF2sUgPDW0ctqB47G2A91KScZ5UKAA1BFBMF+6QoKFueRv2Rn4T1b8
kB/AkcMrIfPUYzzJDIacMls8ydzI2HIwAZgq7/qpxLwm1kZoA3wmHp72lldWZF1CAc/AGhuL6F4S
qgxBhXufB7Pdtm6PfcFWtGpomr7TWgAdFy/Z3JwJWstk1EyCOBwwKIn3ZRbbjXjqquceVWDN6iaI
O6rFs8jLWbZOFnMfSMgwH7ZUneElVm+juTGDIFbgcRTMf5LWUw08/h6j0jGLozlwcrBNu1lLY3yO
HBJB6TC488tu2ifNHo/kHruzh/oAvsDnv8n51uIYv4P1m2AyZpgp0R+b2ZLbZ4xs3PZtm9XZlQy2
naKTvCxLAtOU/AUIR/fwCnqN7NYV7eJLaac277W+FfRQyyRg9TVEwLEyQY+kRiS2GFnD0u9VJYWt
gLu65ezDbFaA10KYqCd0rTEoy66FFp5l0QXHXom8XbMBCxYIH0r1hPeKXf9FSrIWytgioc3UJL/G
WBTDrUIsV4bBEdNPvE8mbUS+tRzGCsVwzKQ+hM1XqpW8aAf9GOxjQBpglRmrON033prDVvhZy2PN
MK6nMAgiyQnCc7hsbZexO4rnCBNyRcPtkG46rk/7YLPWSgoyI8ferPPSeuG+/I4RHV/3YqcAr1H4
KN8pjtu7pLf4q0Cbo+wrRdlMNkvlYVQCgv38i3IofqoyKBcSl/4wQRmFdeqn5KQfFHBWabvc/wv4
IEAq/nst2IJmrBl93ioBqi7xSWjsSnRnyTXIjzL6uH3jOffvl49becx8rqJEnvA1VeVBBrdq/mUW
OBbKE8HEgdzsU6pHOoqzU20V1Nz3KWDlqnr/32nCeBJ9npu+bDTAHiQY69b60MpIdYrC0r8tZ+sd
tf40jDNpkiif8X0wuIuXsewX81uGLd/h520py6Gw+exaCuM9uoJ0MaUI2F3UnIN++CIbEUeRzUR2
LYPxHJhCi8AmjJnx9k11ohfwPz0AvRQ7YdibcBK7ceaH3o1sEwyZ2hE7fbw0b/M1sv4BjCtpzTAo
RAAU/wqgC8WRmf3Tvt/nmLsrvt0+Up44FraK6EqgjBJ8yYKSJ1iABziYbor9swITcTwwZs4H/HX4
q4tlAFdnDEIcLlFVNwwwTY4JRo5CS2J6w0h+od+sZNRKqmVdA4WaIrbk8rFID92cOxr14rmwE/Wj
TVAFfzeUXRW4hNe449xriU2b5xa7kuDWAVnZhwEisfRnETxxNOTJYHyHjNXZIq/hg4saED0LMl/0
HrZWvusc01fPBciwcn8inMyOE3TYRT5dnIcsF9HGXWZkEhjJsmwaH3jIQNsJ5KeX/7V3t/p+xEwM
qlGUZGqYpA78gdfCjkDoIy801zp2abk7irzzZNzKBAIPQyhx45Tieyw9D8r3oeUU0XgiGK+S1oVa
ZT3cfZ08KP0jLfdAw7htFtsuWF+2JiRwqbIzOHInVfq8VHsSs7djSXVaLbKLhBxrNeVVlrfTq09Z
y5+vvlGQy5hHzrB8JY+RP+TmVTMxaqRWT5KWFpaaFfskAoBg/IhVI2sGHLoil5yO7X9wXJ+/gblp
fdPHdRihLvlrxM8bX+l5ehNdsjPvic+1Sp7GzJ0zsmTSpgYaL6DW+X3u9aCzkQ8Lfwc6tzwftm0u
n7otf746X7EPzBbIInjrvyxOGcS4dnIwnOkyIMnKHOl1wee6bT6Lkf/pNj9FMhG8KGMpSUZkzDNG
r+PRCoY9Ld9j802OuI9gnnrMhaNJjhiLpSkU3JI7emzsZrSTZ+pjbmw/PdV2EVoGsHw4p8q7IMwd
BArLHIYp7iAAaqwxsSNE79p0Vd5FXP6eWye5ONLVxwvMNDRBqYCSZXyqkpf0W/HdtCVyVxmcQMBR
iK15KWMymhHW6RxlqV5HpWWIjTV2D32fOreNg3fZ2JLXLKRdg6mrpbG7oKoLd4md72R/mZsvfYPX
3Vgu040TZEtdWkVzIwTRglPKpZ93+i7FqP5tjTajmQZaHgkkQJqpMyY4dlRIghEpPikGXxh+gqP6
ohT1UQJwCboAvd0myX1O9b8Rq6PeRHTTkAiLqYvVEVVpW2SwsunH9KONv84j0KmAsyFeFeMh7jir
P5smspLHOGq9Fqk4NKgktHW36wFmFZfVAVzlTiZyK4ZbDRyUmf7VjXHIaUCactaWqgWQDBZeHmWf
LeNrXF6ezbb0WhLjjNHrB+oUUggUYOmuOkTX+nWSrR4sGIs/BjcjNjxrT+ZUTDZNBgQfogarIUjR
f7/XAuCyhcQw8cbBfFBnWE3q6IltZADOMnaRnllFrVm3rXT7832KZD6f1AMWJinxfOu62h7T7F4v
UotkEfDpuADMy8//49Kt1GM+H1o5Qa3P/T+fb3KxTHoMvH+WSXmeeNP/r0Sx38/IZTDLY7MhyPyE
virDa57wuu2b8Wwlgw2hLQ0DbYI6erFr2pOQAViqBNTlxRg5H4mnzfIRV/6eZFWopBhTc8oaMROv
37hLXLlJ/du2wFOI8VhEzcYwA3UrSlrmvhn1196UHmIDQwSl9GS2PJfPs3YmWsqplJfBcsfSU73P
3P5Yuumdsvu7VGf1nZhomQn6/05uLlPK9ZfUoQcdVODAabASdIpAy+bzoIA2GzgL38v/3mQWCyjo
Bryx+w7TlZfiLnGjxCoBbbk3n+8nEGH9YmPcAQ+vHv47S2EXMTGsPYgxEi2nyfRdliYe8LncVEn/
yul/qsd4jTAhMy0Xp5/O5EiAjllT0x9N1VcBjHfbKDkOioWvjTM0aLUAour+sYxHn/TYFulLB/Q9
325L4twyjfEZsiljnKVcGie6nwdPs3imvJUXnjKMy4jHUuqMZXqt74UreIbsoe6OAe3cpiC818tm
krgyQcZpBLKUCmALRCXkIAHqfnimbnauc8twhB/aBZ/ODZ8Dt3jUYptHxcBTk3EkaBDpSjghBxGz
i9p2VwGs02FFrXiavt7+Zpt53EpJxodkuTEYoYAkS0yonWeBJau84XKeMoz7EAShECmFWVRpY009
JosAxrlQtXc6p3WxXZj41IbdssySHkxRHbzGgp2v2RgTcOiz7jZODbZa7Y63FMDRjF211Aat7UYV
n0kV3qP4bER3YvJTpLxu9ua9MkRTlXRFNYw/GAFCAnzIpZhEivuufDbMS8sbDtjUZCWCMYN87uNK
H5DFDHlj5cSLqGxF9ZOmcOcVF8/2Rw6zksRYg5yC7KFdYKUHQGkt92opZioW8XIXZFecgsu2QXxK
Y0unQ5hmbRoBU7h1Brf80vyIfODwInC1/gKtyJPHOUa2eArU0Lyq9MU9gbNF2ceNR9ojSFJv39lN
xwTCI8PA4BMACBgnqHbTpIxkiY15fdCrYkc0TLUZmVUqka9JEQAxJU5Y3MxsViIXxVcJ1EhqqmKy
YYHiML0gQ/reKXcGeawlQHOk4et/pyDj/sq8V8ec1Hie13uD7hUNHIrACp6tcHzOw4/bwra/2edp
MqZPqzDIwXVFHC06oKG07DAGyvMs/ZUbXB0hY/jTjCFhRWhQ/APRsrpXwnspukw9xza2e8afYszl
Cbj6UmpRFn2vQsx06E8yUrXSTZ4okDdym9dR3e66r2Qxzy3wn4ZBmcAQFQDHmV7stccKXIN+cxIO
BFVgdV//zSYDFmoIHncaUAj/gHQbsrEPwsVR1e0uiagTBbVbmwnnGJePwXopFdQjMrYljD+5IiXT
DLCah4sMzF7sti4UdQvzJa+TtOXZVRVjVwpQsiXQlP7+saS2jwD7BW1IMLltoZzqKHFUY9z9/5v4
WgyTmBEjxfJzgTgV1nussobhJeltOnFKzptntlKGcUuAvtBEuvSde6/d594/G7r8M9vKWNbKMK5o
CuJBqbG06WT1t2hwJ52TxW7eoLUAxvskDWpOGFoBJlAWvQbJ9NJJ2YduAN0SEDD5aLyEZXoWAQSt
yT+EIue4oy1Pu5bOuCMUMDIiY/7UmcJ2NxLTo1lnCcZgzcnsx3Hk3TaNLfZrcy2PcUtJEmtKAgQf
1LH1S4CkKfZU3YqeI0wLmHAeWH1CnxHKuwDYvC170/o1YoLkCBfgD/aqrqiFWaXoSJOi9LQS74ae
7jNxdm+L2TxRDRI0VAhNTWE0VPPZDJIOl0wHwoD5UwekiHhMEFw4X27bcD4FscVeQNK3RRWgdZoI
5F7WsZ3QhrGjtoqfDtOxpPNDGc7nWJfOcwCcej4cxVZioK5+AOOPq3GsJ2mscM/7wYqi4V7vcq/s
M08k1z5srCrkLjBspXNrkcufr8NNpBWisnzD1hHfJjdf+MdKbLLjBeiSlt9637aZfz+mynjMMMDu
lzCgdRyf0LZyOl+wGmCqCaD0xBSI9YuFjNd32coQ1joy7lOOzSwxc7jPUbSEzJN6NwnO88B5vPA0
W/58dZJtO0kBZtiwnx281pFySCjZ00z7fvsybGbEa2UY9zmDT03IRqyB05d/GtOgxA7B4qafBV8d
LfCGOrcl8vRi3GmQzvk/k1CNqR9LSTpmWfUtJSonQ90c21wrxjjOGfuxKvYCMa4TW2L1lienULkM
o982p6k5jODyRRHptmrcw2RcSzXqow4Gj2UyI7yfHXW3TKEMX5Z1odFHkfuv8oXPC85WxXDX5qAO
EZqocIoqLyrPYC+5rdNizH9kPisRjA9RGpqFtIAzzktwBLwQ3vTFZp9q9Z1YROwwoFMwU9h5FdaW
0caWLoOq4y4UnwXVJ8QLJV8sTyV1zJLXUdqsKq5lM96jJfPSYIT3ID4geJfE7msPSODG12ILrByu
gs44RbeY15veTI1Wh8p4EKmvEzS5UE3vSObqreD1fesUVPmaCZ0n1tSrixAbmJ3wdvtjcjwXu/cr
jYZBhQo4FpPRORl9MktXMAxfjVvOTeBZDeNVRrAkKLOAyZOq/KmC1qbnPeR5Ahgv0kUU28UBbvey
ckhelOfYmwYLEEjOso9rdgBC5cLc8E6P8SiKNJZ9F8FaDDO2owKbW8lrVV+av5k8UTWUrSQC1u8/
GB9pQGk4R7AOtXJq9T1I7MzwbhvC5lDoWgajy1QoaSZQpHmFO6E2pnooZHZ3DUa/y91oY+vPUV5l
HzujNjkKT7eFb5/jp36Ml2wq0xB0Cigpk36NSg/wmjpIJqaHv5CCPQFZNJecUmUsRBa7JBBD4LfR
Brub1WEIdsGc28b07bacTXhedSWIOUoT/wAuukU64AV+52Nw84jJ3kvo5Ucdy8ySp9qRA8p4ixzz
M487/dcqwB/+eSWdOUzNpKiOTCMGLCtxpwSVawjmsc7POdBss/BdrcihNSIrAKvloGVX0aideK5A
aZhbLcDAaTU5aVPYpAiBE0vtWAwPURx/zSX0EUHorU2B1Y3V0UjoY2aUVyOojl2qn4Eaj+mhFI1p
GaBy31rMu1fDQzV+YFbQuX3Am+byqSEb5EI00JJKLVCQSf2G7FEMtxL1IShrjs/iyWEiXYbEVe9H
bBWXw2Mx7uv+Q9Le5YZz8zZd/0ob6fe0rjerehQKfK8h89Vir3ZvuXFFbylEA019kRLOXdv0kytx
TISbwPnUpiEykpIsJGKqI/HHN7emCFYXgO3zjGpStF2CCxCT+6A7qd2dIR+K0Z//h7QvW44bB7L9
IkaQBLi9cq8q7bIsyy8M2W5z33d+/Ryo77RKELtwx/3ssLJAJHLPczIVC7ax3WatnSqC29q3YGcn
4+Ljsl2zoYzQLVZ+Noc8tE41EPxjT7qJfDZUYD7+3Yk07uZnVTTOvxvDmibVDcA1maB4+XiJijGR
YtZwif1Y3ymafqgK1Yn1XBB77dI+gv/MkomFfSesA32UMzWFUiQVzkgD+htrjj6Y4RpYFtM1rmXf
8sBfh6MOoAOaguYJHJBPoirlfkh79hOYgp2lIcqaSDFp8BNyzLWloRJiCsshgewjaEJJT/TYd7/s
mTjuy65DtWSjgRKiND9Syxv13Kb698sGRSSDGYKzI8W0RPigsDJl508glG2RVwmahbvP7uwYnPPJ
1JVM1Cxglc2bUn1ccvfyEYSawTkdrCApykRxButxfMViBThBsLVu5w8AonLyQLlnqGGmPb+w1W8s
8A+u9eXyTxAdkXM8W0W1Yh0xX1bXqdcRK6SbEV4WsWuR//mKKPJ+vKhJz6rWGmakwONVP96q5C6m
gz2LelB7+qCDdQdc5gSIzjy6m9VFNawXlsXkPARgBxhqoza4fJLdZ3Qug7svrIzkc1whdlx8xWdg
YYCRuFICFqwCXOU5fb4sb+9ydBmpDWrVVJb5QL9fq2JIgLfgdvOvZL4GMeTlv7+bOZ0L4N5QKlUY
nakggDXSlKs4tPw3Fp4XCpYyxcMMyIIOg6jysn9T78finlWkjpHUblgnIlZvG5ESFrJsJ+qfYBed
H467LD1XN01iLSClnuxxDksM+9WgUMXEPlkFmsH+Fh+/ncvinpEkjTKdDEyEgq/iNOeb21bK3Urn
2UVfNDCzxk7kSbTK9NZ4vCCVb4zX6GXkcQqVp9fVITuAmPQqCho/PgIy2tZt8MXmgfbmXgA88t14
EXHgCC6S75QnawxclY2NkxFwROWZX0fgX1X7w2U1FYnhgq3SWsrYaIDeOTfgGsQ8GWrni4iWYLft
hRRDBoE3cInBFfHRTC3LNk2YXPsbChDLVF4dkMxh63XTq2onXuQI2+b7WvMuknt+uRa1mlRDQ6PY
uDJmCWu0PXXXJfPypAtz8leu9EKqtM9xnkEMhCK6jE6zavEgz5VW5jKVJBArmjeD5Kr9KysLTamN
DrRfUwdjS9YgevI7dbyPUrkYyCi00kKuT94GBJYDkpwDlhf85Ph/18mPgphNPQsLqiXq0moFgXjV
t25keh2y40U0u7HTFPgohVOWNYpVOps9QT9Wdigcd3ocQuk6CeGk7y5r/+dU46MoTkmSmSqF0tWA
PmTQtcdYPxXqgM3F0ok2n4KAGMS1lyV+fm8fJXL2uRxLjFeMJqbl+oeiQUXrQZ78yyLYn/houT6K
4Gwz0Iq6uW1b6g6JO9UHqyr8mD5ItVM30f/ZenwUxZnmEfv5lKga4OaxlYNJgCw7zNUm+GTsEj6f
B51r3UQ/ivCI5o0sDebQ5NRNxsdkfMmz4vuC3HuRRkHU+9lksNP8I4jHJk/rFr3EJqOuBYKzJqxA
vDonD73xfaPPW/l6+ZZ2qrofpXHJdGHF+ZZhWx31udlTvcynYJm2ywP1u8C4s8LL4kRn4+y8YcXq
UG/QdOyOV1qoAXMsetHLl659rUVDZYIL4yEoSB9hjzttmBV0EOQHW/VLJQSc2rFAM3ZirI/fkDNI
2Qzyy7zICGp07WpvKTY9GSKw9BdD53t8W9528lu5dkW7+KIj8jaqnxNNKuFQJL0L1Kb/ZeVgF9eV
O6TDokMyRbig/4T9ljOru0TTsI4Ee6WTPnnZ1gXDCmhl2j0YRVT5nZz6Jbj8bE2Pw7jDvsz49bLq
7Jus92fBmSyamHJq9HjkZlcHPZ4HhiMOiip7l8WIPilntjDsHddtA8uYat+y1LOi09D/mEWgVaJ3
wFms2IoLYG6O1B3zQzzdbumzMd7pcmJXGbG1Xjjww3zvhcvjYTaWaaFFnDJ5R9AxoDhQojgw+qP7
N3DkHxQjPrwIylmVSALTX5GA2nlw4TzBeRu+TScYHmsvpygaCLEN2Ru7dELOshRV1kZTAfNMmi9N
r9qLeLWO/YlLIrgAZ7a2vpRqCyR8OBSmi8DshlT+ygqmoApEiH+i83A2xVB1Ey1DCNMw0jEf58G5
rOf77vmf50Q501Hka0XNGnpuzSAcSN1++cYg7voHfRJEN4KHSznD0Q6xPpmqRV21acNMxoDRUP9Q
9O3+8oFEYjj7oCOF6FAE01xjzK7JsLjjTI6Nsgrsg+DlUs4+GHENtsI4xgpwY9fRQ7k5jY4Kfeqs
mWVriaB9JrBG/AhMlc59RnoEUarhxPEjGKvtQZ3srqkFIZQoDuBnYKRlVFoaTZSthoP+3d/AR5HX
GO9FQdG33FJwMKE8zkLEQDqZI1g7DJ1p3wxQYLCnZNwrDuNEWV4u64bIQ/Nbj00JGJA1HRBhgyVU
85XQeJBuulPvK0dqAzXNa57G2Fb+m+bzMy/VqGoLtXLiGulVJz+UyYOSCUQInrHGmQmSb2k5t8hS
NuNVaa7JeDOnhjdoNzLSPcFHFDgRjTMZQ5OuesTSlMlvsKqq2FhDvBve6JQn0BuLnIhA9zXObhgD
JUQvO+LqFfG3OPGVvPcTGT6sG4PLRxPYDr4F2UnmUkUxLirdDgS2ECVtUTokEsHZjU3vVNXKC83d
Juot9eB1XerJ1BKcRPTRuMBiTkZslnV4xlvyUKlOqmCebHg21fDyBxOI4Vt9XUNMfcgavKfuMKxX
RXbMWl+mguK8yEjwS12aXvWmHuPZTj7xEV4HtWSztvfsVp50SIVQ1+zrfPLwxCQqI9PWQeqHfz+L
cVulGPSiglNUHkeMK/RBAu7WTLaXh/Ra+75hc44VTJ3xecrs3BC8r91veiaci2DkaG76JoZ+DzXG
4VCsKdwCoVoqsBg7G76Izc7kcGFMI/WYDC8i6k7yYmc0vd6oZZuR6lmZEkhrhaFD2SZSFsj9l3aR
CrsiwEHRlDuqtwExJsH08a5DxcavBSxlrNzy2+J5XCR9J+PndGYcqvqJJr824yVOvZYOXrMKsBd3
7eWZNP4ZthGtMxk3LMeRvZHeplJnx4Z0NeuqHY/lw+V3IhLHPccoyzW8eiRNke5mi28RxAnltV5g
UEQEpbcbML6fzJQ/6m4layBWnBAqtNWNmRJb6Z4un2W/wHcmgXsdapNFjYVQ7i3+TU9KGAdsh1kN
e1FwsGsszyTxT6Gfm5iuGhBPYy9+SJE8YE70KrqKwvnbG9A1Gpqi+uXu8zuTyT0LjC60m84SCOye
l+SY6NfF9CqRx//4ETmHbc5tVI6WDsDDDnuxmNq27CS+GogJO40FO1+zHqtFoPT7T/7sbOx7n9m1
rFemVVVX+oawsrm9M2Lu6sZ0m8QpD5gl8UzDNldXtPcuukb2yc/EWkZe9yUgvd06PwBU3CbWozH3
juCLii6OvcEzKSWN00Vr4Iuyg+bLhY3J+2PkY5ffJx72uHyk8v58EuVnO41CmNGzb8pZEqVvC7yH
hRXOFL9E6awPTBcGhQS6PzwVTv9H/uFMIGdL+mkBiUpbouytTA9WOYOu5dtY5KEKkk3BJ2W24pMf
fBfF7yLpOSHUohU+qezXUuZJWzBPz0n6q5kBF+7o0reh8gUyBfbL4qxLNY+zlo3g/2GDgolT3Sau
/FKgxwUgFFt9xlyWwDYL9MbijMy2qOVUZqhRJOlrXl+16u9aciuRBxC8AX4yhNZ6ZZoAdXK38naq
w2W5NUUzgqIvx5mUJVEykgHtzS2K4bSi2gkiy+fLtyPwYxZnQJao3ySlRFgJDsYkXR2rWoCQXDkE
+MWVICAwROfhzMaGvKkcFgURQVNhtL06jhg2VtMNT1tCFjBOL1NuOtL2u876O8RxLga5D1tWuMrQ
++u6+on1SylkTyPVkaCZQvSxcFRF97Y5fUhGTD1F+SlbKic3x+u0/NaNhr1U6V2BWGfKNHdWmq+W
ieBj2IIh3QiA/0dbsyR7IdjEJ8+jnt7HRWMb7ewozdPaRpadbu1ib+oKaH1M55e1k0TpUTNl4D3V
JyNfHkBJaOfL6BdVZ+eYxYtaoKBX1rVGEVGCzZJ2SrhkL1JR/ugtLBBJYC+s4m+0KQ710HhdBlis
tXciOQYCi+ZVW/Kqa6sA3eBz/IuVW0wjEADaIxrjIXSkhMxAEdwQrrSjY6husQA4k6qONjoL/ZYr
4OWagsuatdeU/SCTe4aytVZqbsoMk270NrdyM8TcWPixa3gm1a4CKsCL28kqPp6S8/RbZEIJDMQx
nfs3Jn3kRlejr/qlH/uiZuVOH/GjNO51jnK9DNMAqgVds5E0Y+NlfFF/Kl7ua3eaK/iYnw33R2Hc
O20IWSXMMyGBaRJvrY2nYmk9Y/u10BWlZj1UKWtJqPptaxa/L8sWGTrODVc1kPe1EvW3WL7fktNo
vo69SFeYLlzyS5zPbc0O3fMFrp75XDRZfHlGs4rR13RB/0OEibtfNTpzg5zHHSV90NHzI1CU4iB7
BVTTPLRPAEDwtaPpZx5KBSEVuCVBsIahoI/xDPLPqZlY0rsg6WVswd1JAzq8fGDj3kD+Oyh3qggV
TBDNUJ6bq64ic6QF2oCa3QCUpg/YahZ9bK+IA5GuqCC3oyyWhqKvoioqkm2Z+7JSNfVdy3JdmYJF
Sl0fRyV3MO4smv/c+5jngt5ymrPgcE11qVpWvL458sqvDdB2FrbqbBnOFui26g9B9FAFbXj5Lex9
zg9iuWAm16e+1HW8w7iwWcOl8VPPdLf7De1BELxYrmg6aWfO0PggkTOjCwYIzHwbsFaxvmJd/asc
/VUPBuZo9NAyra+T1bjxMNpq0t9NPbgG1uYlosmP1rLsed1uu+yrNpbHaR6dURtit0OTbUy2BznS
vMvfZieU+PBDOes7IbWLNK3DEEwRTtW3TB9tWt2DUV0XgTrsGHqsjRqqSg3sHQJ+gzNJ1lhXzQoo
p7dZPkaXsSlgTZJe2ytGddynAu+5kyBjCYRYGrFMEwvo/LQxxlF6OVlRjEWL2TL9HDO42yGvX2M9
sjt6n8r3wEO1L3/Oz1HsR5lcsKTk8ryYoM0AA+iXPj4kw52xhUSEtbC3bawQBe1U3dIZdgV3a9ZC
FmkmEJMd0lA7ldcEXC7VgJr96pd3bHgqC9Qw9smd9uXyAXduEUD9CtWpCpo98xOu35hY0mxOG8vv
0hBUaZjbYg67rm0pUE+GiCxj5+1CnqpoCsUt0k+oLanW6mSqQXcy3w9uFJRe+YROwTe2HtI5cyh6
uTsX+EEc59NoUfdkZHD6mBMLSY+MvIqCpfkN9h9BdPDZ6JqKDo40BHcAYQBbxUfHooKL3tQXYIH0
kZcMOjbmVFuLKsH73pMCjFwFi2PQFCDmfpSiG1uT1TJr7Cw+TY8Yyeznu8sqsbfJgz/9jwzeqlOT
zKtsoKw2+GawXFU+9cCeBU406aELjXvTVu0yAVTM4OT+Gv7B6PsH6ZxxL2aMnDYZqlOp5rfzl7Fq
7CEenctnfAMH+hjrsFDu/YycQa+iLmoTEFsByQJV4Ofk1nxpfhhPq8+YxuVncpcEbNXSFvkuwf3x
WgJomkqNa+DgNH2YmF/QeB6JwD3upxnvR+NC4laLyZTFb42kOGRwvyNAOkpfhIguCr15+5/otVmB
OI9NITCeHXApHOUDKwtJB5Gv2XvFZ5mTwb9io8Igdw6Hn8qBNtlZOoNa+GY1Xi5rhUgM97i2aOi2
pqHIwwdHqRhj9jFev6Z/QKMO3XvPA7kQFGg3GKxG283tYNmn3sau2ZCK0jDBWUz272ehmRbLoCjO
EJqB18AY7SigHkAXQGnqSrkNcu4UlZ/Yyd1YWOrdV/H343FxQapW6VhRmChD+7FhVqQEYnEnE8EL
Zlr8+QG/S+FUIplTU+oTaHmvVHadpVdYBBGUSkSfkFMHjCFUUl1jrGeFIZjTKpTL+dAmpiNPm6iG
zLzDhePwNcEk1qaiL2BzWX2uR30uczsAV66pndmyPYeo0VzW9d2Y40wL+YrgFI8UW4u4puVWux0O
jb/BZdkxyBQYGq3HGG9HYNE2QeGIdlJ3g45z2Zz1BdiulPaRynodjPQ292os7rBZH+D/XwsTTeYx
Ln1bzjNTKulqn2KieXamN2y1LWQ7qW/IagLbu7dRcP62Lc74SlrS92RDnt6CkS97Kb6gNHnSMie+
Nw+pI/vSMffHMAnVE8S7Ftb8BWHI5wTgQ42CryVaHSCgLRmd8D57HJGJWABEX26k2JmkX5c1SBWJ
4kxMGyt1MVdI4EEAGbbgZ1baxTViGOY0ZZyUiGAfky4P26G1qYroTqP20hjBqqi2NOa/xlHyC2wm
Z8lrE7VYlUHmqMW+XN73yQi+AcBLp71j9XPQRDCTl3+94HHz205SpnZqJKF7knXYqLpZ5idlDZTx
y2UpIidpcWZKHYDMBTQM1KfuVQd0F4ihDG+Fk1SfRQ5ZdB2cuVKMDj4F6OMubQsbg45q+nPUfmTA
5VQfBadiWvzvL+pTEWVqWhT5WCGsqcEHzLJ+5SG5Rc/bGw/LdRUk17Ug7mXf6ZJELirsrMKUhp7V
v3S/1G/y7vuWPMvNC3i7XdKJrPFli0Flzj5pbawtpoaa/4TxBEIBlR0djPmvClh7cufKy+SM8UM7
hGkjsB8Cq0xlzlZlTZr3JsGban/PHorsp8Q1HoYfBpaQNgxvyUCiUbzlGg7hP8U+VGZXfhYvWBnN
x75A/ys3H1d6HOhtlqAIl03/9YQsfDgTVClpa44EYSODTQZpGzZpDccIlJBRNG6A5ZfDJKgOcigC
ZRKpEGeuMrkwesXCbGGFbxo5pmYX819LfsyTm8T4Knghlx8jldm/n50ykyKjVoq3Wmp2x3In4yH1
yqCVUFE17QygeeQOYy7ZvcgK7CbY776VyuwznEmWmq3tDBMZRqxpztCwnrfi6GnhYIvaIUpp5xK5
k8oWS8VPXQq+Crq5+mgJhgwum1fK56lVC375YmarCAQDcwp1FA0Fov7njCU3wacWiOLT1cXA3qqc
otoZPQHD49gHNeCi7a1Erzh+yTBQFLuR7LiXpe7fryVjjEm2NHSqP37luFkMs0Zn0I3rmzr3mOPr
HvTEiyXBhxQJYqc/u06LmM0G9FTqLtV3w0pcYiTBlv9KdNRpZNEO337o/n4qTmvX1Mw2fcOpatOt
rb/i7Db6A741BEjvIjj1TOI2SxMND0NR7NJEa6+XwR432nmlOJevaPcwiqrJKsaxKJaKPn45krZa
0YNuHZs+R+YOAa+sSYkgjBAJ4cwmat9JIbfYEQGi7iGTMgQ49AY494Kz7ME8KKjn/3MYTt90a7XU
YUAMqwLf284OCgb2CDwvAuegOo1u86oe6m9SYIZzKBrGEJ2RU0FjSGkiqTqGasbXODmMUu5Oyc//
dlmc5gHRFEvcHeIkNXpsa6xRXhWincPdoOXsE3KaNw1J2utWjYmEPjT6myIXvNSdbghC7zMBXADW
bHK1zUUDQ3Q9uYxcMjoA7BhABIOdHqRgCKprJJKXv9t+IetdKA/lbCJHVdUKVXg2nzMHyzOJ7fGF
op3FlurXkLzEv7EkehANdO3ncGeCuYhs7aqMFjmqGPp1/1X2sJB6134b3SwsvDH8o7LZmTAuIDOH
SS+6joCcbi69pFacclNu0MkXZPyiK+RJ8AajMtuVrUFpwDR87JAVT6FlOdITAhMfymlXjuW2Iqp4
4SVyViSeayMaatjdHvBrBCzukrM45stkb/dGQLw1NHt7hh8TJYuCJ8G3VPp2sfSyh8bOq1Mmvxoh
Qf1uIH12b5zpiHMs2CtrDDf5OnsLmHWq08IC2a+gHnMvvwT2uj5lCGeieAuij1OcRQjvplQCvWrY
F2E/vRhzHZiI9zJ7nUUllF3XfCaRMyjWuOqWNqDXtsVfE6DAYKSqekqre6kRbSKKzD+/HmuQlPEF
IMYZj/JxcSma80qY+GDnegTWDwYO3/YE1tAitvVFfrj8ZQVawq/MWsqW1xJ4+2Cbwc8n0+c+NQXl
SoGLIZwx6cpui3uKhGvFukrc2Hl/b5LD5WPsxonv10U4G1JZkiz3rIfbqgFNjmv0l77c5duPy1JE
J+GiDhPZfhPPBXFlACi2V0P9a40Fqdp+iH92Es5cqDUmXJP1zfSy5XkSRofSya9MO3Y6LMuJ9hv3
9RywSybGlgD8zV2OvhFazZSVxacT/H8LkFJrtskWKqBDuPz1/sUSvsviLklZpGFYCsxIMa7OHuuU
A6YlzBc8L3VEdohGxu142u6So8h8iA7J3Vs69pMMYjWkn/2rsiSY8qu8fv6aAfAEdGuCcI5Zhs+2
6v2U3AUWkVZOaqewfsa9TI5pfJx/Tfm3JvYlRRSVsC92SRYXOZaRtjVkxATY2xd12r+iq+L3BGRD
GZPlzSy4wH31fz8ZZ/BNtUS5v0TeNw6v0nRXjl/q8stlHTHZVVw6EWfpGwpyEatKKUZ1Mx+o4LOb
1LItD0WQ9o2rFZ1nzeD428awaYEYptWnjaCdNzfhujQg3yYBSFO/A6L5oJjZtyje3NQsQ2METOGW
BbFppNgQgcMdCnspc0cj6Zdmmb7kmG20Cg0EWYMt1+Z9gb3iMl5P5gKIh2Q8FInkbnJx3yurbeD/
lTPgTzppAXCg6ZSq6kfEuKr0yB03crLI6mHb0UuRMlA6+Pq22dMWeasFmMQsduo5fjXX503a7uUF
nSIqX5X1cgT7g2c0bRDFsztskz01mmNopo2Gy5Mata+j+tPqZvxuk3qFxWYIAD09AOuwWw1b6ppv
qiGBVhUBhhw9jEl9SIe88ZLUvL98RyI14Fwj6aR5SlRW9hyuquGkGmGai+ZBRDK4cHtYlQJjOahY
AUj8C1DhEGirL/rV4kgBPVkuOaS+yBLuj1Mq/6g336YBbkUGkGjEoenX0WNkwtEX9db8ZQGGrvLm
sMvgfv/Tl+TbNEVkjGU8o9SqluoDKapjZpBgyTT/v4nh7K7cA2c7pcjxrNS4T6MSybnRQXWEBLz7
Ydr7F+TsbCdbGKxV4B+BZ+yzVW/VK++3H6z4N/vTcWO3F4KM4VrMniYSzVndihCVSGqF4J5ITlGg
5kANb57V3o6MzZUaelpGYssWEXxbgbXnWzJdt1FdjuGus+SpIlcJGEitA7FOxdQgWBWhbwuehcVZ
4NqgA4lkFFjmxsnLwVbU0m7xyC/ry7/EIO/3yBnhwbRm3WAzhqyMy8je4+MUMk4p1cf93YrAcv8l
An6Xx1kUKdbrTErwDtiyIkOO090BM2fND8tp3cVjrWwE+eo1DSpHFBuwT3bB4VicpdFqA0AgrMLY
rZXTaEWJdlZ6bJMf1URTQWhwWZbGz6fSupgGzcCixhbBjRRoFnWlXSrrXVluAr0UieLiuq20VLUp
YKTXPLFH+VDGqb3ppWNW4X9SFhSx8IHPiphaF9Gy6WBdiALed4pGWFHZ2TP8GRbg+0cxfiZ7yv9+
Y0A//iiw7+p+HCSEIbp8qOpjPf1RvvK/2qjx3ZJhmixts+AHciSzMgb1Ujf/k5VwVlB6l8Ke+vln
2+RFKUsMKTG22MptnyaMQgE9iM0orc/SlSraCL4cBINQ6KPAXDXKOTdhOzQQPpX+Rm7ayi2mzBlA
W7MeIjnMZ3s1Tpt+nNDMVZdg1ibPAOThfLisMvtDaGdn5+xLZJgkGth8x+yw6SKEMf4AzMjxAfOX
N9TWjsoRg2guq3hKBxGQ0mUbCmLgj99hleN+Q6yIKa3oNZ6shzrabMU0Rc9CpKWcXSmWMmorFUhy
UhWd+uULGa4nU75CFuZ1euNhoiUce8mzKvQbqy/RoPgqWdxioIIcgR3nwmvhOyg5TQ2wcCGSGiwM
VEdXmJi04ynoG3RuXir52+Wr3f+4Ftb7CFFkk0fdKEFUbTSslJ1mIfRqlU+JKtCe/Taq8o+MT3gb
HaidjIllc2A02Nz81Drxd7B5eKNrHKVr9oDY6JMVCv3Ufrr1Lpkzqk0+G/0KVisMT6I5DgJa4NpZ
T6PbX6F7G4oYFP6lCvsujrOss7rmatK+zbZsvnms/OzR8tTb4pXB3QqXJPcV9l0aZ1YBLZPJRgFp
+vykJ09S9keK+P73uQit3hTJAocVdocU19p+6tMJm7tsaD6+Iu33y2r4LxHMuzDOuqrzMmdWBguj
2enNW7neNTwlwO4uSvWRJ7Ip+972XRxnW9VI01ctRRWtxb6b1Zdf6l734xQp4mI9CI7GlOzzg36X
xRnPcVIGzO0zWZoZNCQCXDaqk0Pe22One7KMDfkSi3yAAcUwswMWXEEdXXRWzn5a+UpXacQMr6Ho
tpV4UnqL/ALstII0kxnIS+fkDKhcw3t2I4Z4RmyVT1d6dZdP11E+2UvtZ60zN4LBEIHp4oE5hnYd
MrnBudb6joypvcKICYOlfWv8z+XxsBxqUwKUFhggLLL+rWAGD2s1IGy9Rnsv9qmNhV23CZQX40q6
E7VZBPfGk9CUuZQzIEbV3ZSvhXLXpl/V+iVbBNb5ra1w4dp47mVA6K1dr6NwPh+j+/LEMghwsRxn
5BGVr79Y6BCYdosl8yYkQX/ID2yTSDyoKtAeHrA/t8plXtmMAg0GAKqmwd8g4SIbLVIazs6klrSV
YKOAkipftP4k4WAihvX9MbN3f6dzxmXuclJpOpZ6c5uNOGLQ7NiFGnblkUULbk90HM626DNpac3G
aFoEoMo1phMAoGkLDBhzJJc0hDMgbZ+ry6CgMZXqq5tZqbOlEwgUsFcm/5WlhtvQ+a5ogO8Qm34z
rtdkLe0lNkXrPyIfoXMGRq86+FcGytS5is/GeDrFke9mZC2d01B7DGeBRRM8fh6RepPokmsxLjKO
ZjsG5EE3OBv9XpWPivGsRwJ/u9/vVMExKGMp2VLfyvFnGYaSKKvZo7aPJ7B6DahKwShyVzz3/uQB
tSuof0iHSDR5uXvEM5nc3Zb60LSsj+62cmVLyo+m/Es1v7QUPV0XEzSXNUkkjLvAtCWNkhNYbAsM
vWP9FM+ts+QHq3zQqUdEFMS7+dP70fhmfG/SVmrY5wTlh1V+KxXNbs0N4B/X5Z8QhgHV55+re5tE
Prs6uZmnoTCBqlUchkPh5wHWZ90qTG50LOWMonb/7qs/k8bFmfmqLOpMUCsoejQtfiut3cuvl69q
/7GdyeCiy7LQ5DnXUWYxHrsrLP8EklOFiB8C4pSMatMRyBOdiYs2hyJP5ggYcm8lJfpauLGX/7/F
1fTKCNj0xCTSEJFM9u9nt0ZJ12BYkJU/laNcvfZKbEuxITCfIiGcN1BnzRxWRHauSb81s0+sGig4
vy9/PZGqc25gSRVJmzvsl0xw3cUBuLQa2s/6Dcqr/00QZy6WsSLgAkaM1yitM42AT+zJdNsDUycz
zF96IZp22tlLR9XlTA05k0G7xiBLCsisDA9rBR37G100IBNMmzigKkKlsQhE2AK7kde7UL7HDiaw
tcwTZFZyFvtpcVQ2t1yyMI4Fkfl+wngmiKUOZwo4pGOeEjaw1nvJHbDyQjCJ+Fbwdz4smlsQKCLf
ch91jYwWhqldZB199TTrXt48XlYPdhufIoWz83BGw1oBUZLR5O/91f//IE743ThjYfVxonQWivgM
4zIN2wCTtOQ7IwMGOp8zikaC9r8caLZB5w0KRJ7MPu56s5kXOMl1cvP0Vz+fjPTn5S8nEsFZiUwr
jJpkOFFahrGEmrZ5byyCXdL9hhlmA//3HJyZMLPJ7MsUhdLeW9zqjg0s5sGGAh6jpTV/FIEI+pTd
w2d9eBfImYu6zvSIDsgtqr7/ntdYKylywaH23+q7CM5AAKVYNWPWeGw1P1/CSPqZlaGJmtl/uh++
12hFppXXGZJ4kj2l0/1WnaxK4HIFH4tvLloL7buedcSiGkyf6antvlw+w7/49H++FQ8DJckJqswq
ohSQBiDJS5HJqnesDEeBB6O96N5leaIDcdag1xdtADIEpqW3mzi7MUXmU/T32b+fW8/cSqRJx5xS
iblv4Hw42yAs3gjUi28XmvkQLeCaxYT0T3CxgsW5OlU+C03esHQd/XkNoxuRpd535+/3xBuDOk0l
EDNgjnnKHnr5m9Ebhq0Yrauaqw3Q9ufL97SfsKpgewCOg6oB1OHjh9S23NiKGHF5dqhvSkzKRkhX
ZQxYpi4RPNf9O3sXxd2ZCaWQUVgEhkMJEsdsu5EsUVd73wm9i2Cm9kwtrFxb5lmClrMZGxLmAStb
oP4aXv5quxYbRXMFX00H5wbnu6Mu7ztjRHqh4RUld0PszOXhsoh9P3cmgwv0iwHAe6MJDU8Ok4sg
BH3d+Lp14zu2160IrmbfPJxJ49RAByJFUSw4kRUmd3/jN5lX9HZzZLf0C0ckT/QBOVWYFUPd9Jil
u/RkZncU3LKi0a5dVTg7EacK5bJGShVjHjsHXshI1Z/5AtyzjQRWg3oh9siKZHBI/SfMaqj/vOsG
94Brs45rCXS5UEEG8DfnQMRpPOxQTt4b893LKMLz3bVTZxI5195uRa4sPZS+36IHc8EEVqI9yPqv
RYoFfckd+B2E5GeiOKdOyjFrlAqZIcVk/eZidMJlFdHyhjEHRa75a9OAUjW8UaqAGo9hKokS4H2L
dfYbOK9f1LqhdKyMNxulU40R4BtWO9qwoEo2uzFutEp/3YoEGHfYogZGh3P5YQpUl08QctKmeT0j
zpWVA9JWVNUdUsbuZSEC5eXHcPuhrRN0tTG2ZTwa5kE1rsb1xiK3meFThDiTIMJh1/YpVnv/pHx6
UOp0W9IWGtTNj6Z0GHWfqKGcfV/W46aLEh9mSi4J400NSopSbL7N2LOV1cI179Q7FBYd6suA1slF
3N/7eeTZ6Thj0/Z1X5gdiun1bzaxrdixh3jRm0700LqjSwqM62bHUhZ81F1PfiaWM0C6qbXz0uKt
SObozwP9llm/KlU9aim5XigRjRsJrABPXDPG/VytLFHBIrfV3bfTtVaeKBUEqiJN4WwN+gUGLYcB
iGb9z6W83hrJIcq1Tg/54PSmKnhrok/ImZtEleNs0xAW58n1ssT2sv2Qqacb39NOxLYsetacVaEY
ulYTE9WNcnjo0tuyC9s/msV8VwgqfwxO1q5IEqvFaQDSFi/3bXoyMpEW7IFznVtoyoUmGFOY+kVi
cCPSdddcx6u76PdV+3U1C3sune1/SPuO5rp5YNlfxCrmsGU8UZIVLW9YlgNzDiD5619DftfnCKaJ
e/2tvFCV5wAEZgYzPd3WT4unS8ZxViqTqWTFmCidjNkS8QC5mEDf/2rfpMG2T1zHElztH+M4gPg0
oR2EpKECpYMCNRfod2hH8Gg6EQH2bHCLu8Ivn7pdHvCyct4SGRcyW1OpzxOqQsWyS9JDb3wSzcBs
HqRiF6MvYnB8JOcus0Ot4D/u01zFhFyqpeBe+D41CWgYXCHn3GZekqkyyUo7lGXWUf4Aotd2Lrjx
dOrAF5i/WdJoJ9ExNgxXFZ8nCHIOr//xczKupKyXLjRVVGDLk+gAGgIQoYmBkx8tKmGLs3gDJbUG
54pxpyWco0Q/158hSNfAOiuKkBhiLrvV5qYsCniJzON9nJ+H+QdnbfQqbxhgSwZd3Rh9RR2X0oJL
QzgXQJ8T402uD3rkKpVjSq6o7LaNchbF1hDkTAfhVFqoLlpJT7P2XdXyp20L6z7y97axNYRBH9s2
VGBBaL1x8Y3wVOicL/MX/3WxwVzyuoK8UTXjVOR7UCWhfardFHuCNxyPyoq3GOZKG7Vcqcuio3g0
PhXag66/Lf8EsFIua6E/4eo1mkl9008Kmqfx4GRxZM9W0In329/kLyn5xQhzhUUjXqKKzjn9IotN
vHHXon9Pmyj9sdz1HpXyzJ3lNQXRcPG/kCT7y9vx8guYi9yHPQGVOvx/j94sXjznyknAHkt5R81j
2nCZdbgGmbRAbdpFrCnXMK1lvtey/CgYYVAI2oBfyVw/KZZliZKhSqLGrE80kyIuZ2THZXtWTSxM
cPqBl4LzjDBrgqZ9kovgn3RF62FagPt4HQWOg1g1QSWBNROEUn/M4adaBebwkpKp6I0DKnVkBqIr
hgnHzGrwujLDXCwddhRFRNmsqHMn1fYY8e7r2ZZ5fPC85dC/X92uMG7HVIqAZY7mEj7WySpIlfH0
49b90dVqmOuFh8MQaR3lFRgfQuVR0/eZ9jALeyi8hiQwK8UpF94s+aonv7LJHDhw3hiAxCF6dNku
HZ8HXiLK+0LMWYO8axuWFvx4XtROm4Goe5Jae5YhA0QhFtsOav29frUaJthmStHNRYUdTATLy0TP
Mj41043RuhF5lASv1G90ubVNXlWEczxYCIAiL3KXQTDXXcCzN1XNrott8MV526ujW/VHoL8sjq0E
1iCzAVMuHnnZcErm1JExzbLMo600+0W4Hwx/2xz98lvmmFQ7QpNNHAQIFAzki1n8lIt7qdXdyNxl
1cR5vq6mvFcrYwKxInWJqNOGUTR7RemS/L6TP2XQLh+gQ18EtTVx1sYzyPiNTpPEhZSACtPaLeQT
d8SnhOe8ZwRvCxm30YbyIhAZX2xID8j9hNZNxp3cH4TxcftbcW6ZTP9+5Z8g4pALco62nmU+SXLz
IlfFTlRajCRO37YtrQ/rXn0rxmGMZmLKmYA1Gb1T71UvFGztftyJtT34s28d5F16Tm6lPdnxqnG8
W8a4khzfLJc73DLzS5TsQuuwcKWE6It168wz/iMOraw0C4AopFsNGMzSNTHz/MUKcih5cXMLznrY
6h7ar22/NChO1ZGnGndmeVtpnHlJngnmhW7MiSxMVBIymQa7yxY7jD2FRyDEOXxsRa8Vs6Ecc9p/
GzRMxNS+1t9k4vzFyjpv+/Bxri2rPy0avdmSEO6dTNZ5qsFy2Md+GZlPIcTddehCk+RzqxFO2svx
uwrjLFIxKYyF8pBM41HG5BmAq2AmrC1nrs/mzLlfvC9G/351k6F10gyDhlZC2R3m/ECkhznkOD/e
92KcRTVWi55lCL7q5FmmLRiPke7lvAyQZ4XxExUZlniKUFeoNXA6Rhg0G5zKxD8551Csp+gXj6Qw
fkEXQmmRCDwSZcPBJQrql0ZzOgwIll4ZABUw8CCivLUxbkKJFgMk+5jhkZPeVQmGoszSC01M0iU8
WBfHFFvI0/pMDMsaH2vIj8N0kJpjT+zB4iVONJhvOD62lAeOeKtOJZghh8WXQewDUNyNdADuCR05
HinHenXt8sXYKl5vSmVf/ZojxVDZXROImKF2BnDgGJ4K7F+KZySqUTiVwcLpPnLul8qkGnk25uCU
RM9baSW7EStftM5y8U80ZFcLZFyGWGIkqItQutbU1G7CJMiLyMds2W7bH/KOPlu86yLFMPUFR7z9
XO5JEB3AEvCYzjYVEZx3emHzSgDr4OGrlTHOA4dEz5MQR18N6EhudLAcCWO5rUcFRGfE/HhfcQDL
vE/GeBK9BsnpQqmzQZwB9oI+fYgJbyM5mRqrQd2HIOdOFeD/xAMoSAISxLclyCkNp/8pPxhB/86x
IqGJ+53zBXmGGVdShTMmEXVcvARSKsYReClI4oxH/TS4C/yXeISUuJNwSaA4boWdlWvGrp7zGgcn
Ws5d9CPPPzfqCSP6nMSeZ4bJP6CdIEsTgeCwpKS2OT61yBL63Bt5iTbvIrBq1HiqtGM/AZ4F/TBg
9nN3suXXX7Xdwrf2MiclWIe4Xa4BC2VpxXhpigzRbUrKFzObg1A37T60AkuMiE305BCDFyLPAccN
wxcMXnkR0XK7UDu70Qweamy9tn71cxh/k5ZtseQFyi3CzgyWPUVRi3fiLbSGAOivBc5X5T2zWdnq
FhstALGEiNt5pjk7FWZOBOCNdb/rXiD4bFSFnU5uw3sB0GVsRClWv1rXdEGcUWh3e2NXjI+FzsEc
rHoaE/pJEro7kmowwUEShDqPBiRfUhTvUK99HNMfoHbiORv63/yxjCszzNfKSVtmeoOOO4TEwMIu
QagdQC8AYCjmXfgH1W8AKa7M0VVfpZTWOExg3wBKJFRmN5cxLlq2wLLltiIK3rY7e69BbC2NCQ+F
ZpYRZgCRoTvZV83P/RBkiLFrPtYvyNDtGbrwmWu5+SHC1BJC4uu2fd4HZEPFgrpjVqHH1GaPguar
KTRD/W0T667majuZdLPpy2WcFpRoaahAJ+mLfId0KUhOyoHyK+lqsG2QtyYmQhSiqdWzCXrCnBwn
wW2khzp62DZB/4uNr8YKHUuylSsNPZB0KA7kyEGy7/bpgdcGWa8dXLaOJRWTSgE8xeDPAKRnPjRf
wQjhhm5vx774qgKz1HsIeYf5yJvP5uygSZPfqwtQESsBaxQ6qpFq2ku3POf1D6PuOW9t+t23NpFx
HnNvRXU+ojmS/Ux0p8sPVhs7cXcTDk4s8y4azxjjQozYSMca7VRwVt702XDApFeQqbFPwtGb5wkq
IxLH6a+G8qtvRzf5ahMNdeknzYDPT0Qxtqc49coq8sY4OasRT+djNSm6ssV4kUqbwkwd8MEE8Zsy
hvasekaCJ0I52D2PfY53OBiXofZjJCcGrnOT7vQZTEs24T24V8PW1XIYjyFMEgZfaQ1cNo/98FM2
ePwxvDUwLqLWWpEQCuEaBV8NNTfR9pbBQ61wnATbZyZ120HmDkdOB/dZ15MzjO57MQ4mK7lNa2Dy
yvnUGDUn+3+fr964V2yvGQX9EQcPU2iCJKSOkBhBWorfs0y3p6Fo7ST8HqXkZxh25yIU7TJNHpcZ
je/IcI0xdQHhc1I1sU2oF4BSIAuIei+K4PcTktdUjx1x0By9Hb1Ebe2yMG9HSABVei+CwC2OnEQc
HlSz8o2IfG0hPTvJpmjrbaPsJbl6bIHMk8PShkjRWy0ntyrU2yy9tAch99Xui7Y0j1U9BFUPirdS
sjut98RMcTLRdJZaCpYWXIdld6s0Q2NLpIaAre5J3eeIgLs3TDj4i+0zor0/7K7u7yKnRmWNwGyR
dBdbO628iydvO4xsX1vtHRx3ZSJeFiGpO1RPayyo0IeHYez3pTq9hvJbkRq8NHTbI2nsHGsf57rS
Q1HGXcrPSX1WzFOH+FU624vi7RtzeTujzHP0aRHa05cmVmxBPGfcghLPCHOB5V6WQlnEBQ5rpzY/
dfOR8PIWjgm2R4XmYja0JRBNCXEnMbO12TGEH/9lrzBb/DFGKOWkt0qB9EvHIPMSv07ZQ9/w8q9V
vMvFm7Ly313aL9I8Geh1RF4b7lsJajFAx+p2OzxJVeJoyc1kckBS25sHofaPCwvNopYSSl6QhpaT
jvKXWfmZ1rwZo3V8xdXS6M+4ukBQvSlls8X7gziiU913mD2PnQhKKyC3OOgnfU9Q1+mDxG2Oxp3u
pU/c8Vj6hbacLRN59arLoF+IhVIGJorsEG50iEMJ6ICAY57n2jnGmNCbq1ahjKDxd6N0L6OznZMT
pL2VnAfPX0flXu0rc4eVpCojAEdQVD9FO/EcfdJd5aA+UvJBr8LEL5Uc5k3B8Y4Mc6WJTAorpuCi
sn5szOe287mNl+0k8E/aOEEYx06EaxoHJ2qfDPlE8q8A/gAppY7ft68259mjsXLGmplWC2b+8Pb+
TLn/lmNYg30BpWioio9AwkBAWeGBE9arjb8/3B8ccnWVzeWUz7h3lS0fIMFDCT/1xwWyzZhKP6Rf
F68P/mni5sook8iXS6NOSYF6YzHfNuSVJF+X3uXs5rYT+4NLrtOlOlJnjEJl4YuY3VjTm9UAt7Xr
ix+98DOpMzvhJfDbB1ITGefSN0SpqwHOeR5yJxwNv1ugEqjEnGfQemnsavsYFxI1kkzGEbVveZqP
YQ/dBcX4LPbTKeyMxm7z6UuctEFbWfa8tBnIBzGUbI7+ooJiWhg6jude7zVc/RzGySAR0pQCMrzv
rGDRTj2o3mIL96HfQ2pP/tza0CVzuze+puk6e+WVZcbrWGWmkL7B9QT85H72OqcKrPsmoAVewam9
BcOwy5fENSObT4zP+9iM9zFVkkIqEatG0aDIj2X93PPY+njZHj3iV8FKEsKI0j5j6HYIhKJ0utHJ
JK/s/ZgHUV6vN1528v3vV6YGdchrsPzT+fV3HnxXf5WCZl/44EbikDzykkomhakrMnbDhI55A/K2
0ZHq3hGKYwMI0bYH4Hygd3d7tSS8ASAJCxUPsA0+RYZXFwfI322b4C1F/fiBzFAo1CgCp1Qea8Go
PxaDYc/gwV8gEL9tiXMUWGSSPqRNL0ogcO81wW+tLyYZMaX4OVowZgPyym1jnGiuvWdRV1tXZA2I
SbSY5iizQ56FWxlSxZaXP9MJwtETXaDX/61hcjmCrEhImAtd10pIjOKG3FZh6oTJhLdNdJAG9RNn
gTTA/D0JQ7X044ebuiQSdIKXNmo696U/HduXobY1UKLIdnSbAab+uG2Rc1JYSRA5niRFmNGEEqYb
pT7M/WjH9U2Fysu2ne0SgsbClBbNlJcsxsKa7KAkkB8xwHMZKKBDLohdQcai5Hj/91fN1lYy3n8Q
LVQqlPe+UH0SdjSn7T9TcrXxaDwpIEl2K0whl3a3H89gF+GlEuuNmatjw8QAmFejrkYWqL1zdHV2
chCcEXSuCqga42B7e7nWGK9vkKms0/gd1oZ4Y5Oz4BmO9olClSO3eNm2xrn0LHypL1VzETpsbYHH
nhF7sZLA05yr5EQSi3NweIkgO6Sopn1ayBT5Y+ruBJ2l2o/dEjKNtfNa2/ExRQhVXrfXR2/ZxtFh
YU3JOBihTumEO/OhS57FxNv+/zmXjgUzKVkxZ0WEhqiwvAjFXUk+4QErSv+t7MOCl0D9v8z6AnCM
ar3MyoO+3KCstb0Q7sdhMksjbQZ1rCj6MLY7r4aAUhzb+Yv5CmLZz0swes2duCOxv22WE0HZIcRR
nDpLh4CMm1RH2fSW6ZbwePh5R5z+/SrSRHNYpNlEiUzKI8k9cTpo+cNE4b3Bf1sL4ybisP//BD0a
pCaUW6E+5bxqGcf3Koxv6EQ1HJsJQO9qcQhKDIW0k9WXNsncDNzmyrSP5YftRXF27w/o0mDmlSiV
UCVePODnkfr/aGW/Sh+EikfrynkJs/ClzIzEMUIJ7T3Jl53uPkPRhLaXYncEub9N3NbuIaCaPWgc
PBHnFrNQJtSCSKkbwMMQ4lbNSS3up8UZuCOjvOc3i1vKYiWXamDMXSHJEC61x8SoTqke/ajRulCN
+Ccan7ZhRS9mMZwlM9zPo2UvasnLTTheUWVyEy1udU2lWi/qpzAAeUxQONLN4IaYawZUzIPsJs+7
cLIhFuM0q2JcZlAdgt6K07vRrtiB9zUAQX6yT+40J/9k7LfPLe+T0r9f3fpMyXtDTKhjrg95dlD9
zO9Szj5ybqPKeBbkJHHaZuimgT4BsNzmaRp+mM2+Gm7MDgQO//FNzsKbJCOPQ4ixwtxJP9R+eLcE
J+KCVRaM2KHDg2m853EboZNl+xaJBeTxiAydvtcUf9oPzwtY1RY3dqRj6o927Yk+OOqc3gHd2eMC
JYcYAoLxF56IAydGsDCncQHDTUeLVq0ZlBZgaobTRrzuG+dKaNLH85KOaW0IDVYrz+dE+VR1Gif7
4RxIFtwkNHMqJT3eHuaAYmz6WEsHS3jJGnf73HPOJItpynvIow8TAmpXf1/yT+0YQRLAj/sg7Xwt
/rYknPIvx2lrjCtRaiHq8hQYKrmSn9RowrPqc62Lzlh+1czlZkp4euIc/IHG4paSDnwIGW1h0vlF
TOvgPSB6JWg0KXyRct0MLuiIuBQ+vLycxS2JuZQsMaZ33l8Bi/vrFaACpal4KP1w3Nf6GNnlzcHO
EAqlrotZj1WKh3eVlndW4GHfBjxLvIPPZC3ZILdjMaDAoNbf8vJ7yMM+8w4k/fuVIx70WS1lqqdd
lcgnx9eofBmn5yrN7b55jscvY+Vv3wCOu3hvRV8Z1ItKg/IDys1D2gYEI1bCXBxkQ91tm+EcfJ1x
GInYlZiNxMvJaPctUA4AtEnpOQVmDvBxQ3rZtsZJw/7g9440sGlCjsgt9TdVubHArC90MPMacSXu
eKZoKL/aP9L0M0YYJzA7QUqEaHZUmA7gLzkylpY7088pobNM3sZiZKHYISOaqk9dZ8dybmOysKwc
w/DS2Jm+8kDCvNUxzxx5niaNTHhKRZbT6okjGDeKbleZZLcdJ2BzPD5L7Z2m5jTqFjI70/LCxDEa
yD/XKfTNea8C3omna776YoPYaBVRegB0ZR2cHaE39q1fSv/GVHXxSTrrKoqxJRGoJ9/7ioIdO8uL
Bag/rYGP5zLgcdrzPD3L4S0u0yApI/or5lO5l53Cw0yDXTmCU3yudzlYXSXgEOPJ5vG+897CLJe3
BDy3OcnUJwbmQbLr2EafzPxOocgqnTD8oUY2xoa87Tu+7lFUXYNCjmKZ7PsnH/Ixsswa2BwFLZZG
cNLwcTRf2yw/5vqp4vGvrp+aizn546np2jqRY6qNhRBtRt+EGukrZ0Xrl+1ignElzTi3lUCphtUw
u5OheihNKHymZeTOavWUmjx7f/lwF4NMNpKjtznMBB0TzabaQzG6NcWn0KVkUcYBr8dg3vEqaOvx
7WKSbvPV5cOTri56E2cl3Y8nZOV7KSAndTdwwg3vazHvmXTIh1SwgLqMpedR+wLpSjs2uRW6dZd1
WQzjSSQjywxzhIzL+I32aEC2dQuyHJAiKo4BksfWKR0onXICNu/cM25F6LJsEBX0Gtv5oRgxOwx+
Lfl7ne1pe6BPOQnyXzoPlzUyCUlVaG2qGPAqxCkhMWZbQG/XtyFkDKWDcYb4yOKBwTDgrZLzAdlX
jDbE5jK0CKua+KZGnigc85BzRv4CPfm9NPYRMwjA1SuUlg2UEK7uVBi+IkcxiL93NiUx03FmXlS7
vGlzW3RRCgPNB7fNtx7RL7+BcSvq2Mhq3DdIH+rw1ZybnRX2d5osumHxJDXlF6HAuEE7BUuVPm/7
z/WbaELm0RQN8PGwH7aE8sKoU2AyVSAOgBLEPLi4CzlObf1D/jbznrlfXfgGPVOrp3JAi+D3cuuM
pgtiYc5rcd1zXoww2WUUNVYSTyAcSop031maHRaK00xQ94pkX894F5+3JvajpUvURBIOZ1N/q/XJ
U+PaCQuVs3Pr3uWyKCYclIrQFFKPm5fm0ktpIMApxT4xkk8D0r7ts/CX19rFFhMJcMIiI2zxlQh4
4ClZVOwm585H6dK3XB42ff0NdTFGt/fqSGQkNcQpHcDGLMhe3Ca7ueQ903h7R/9+ZaJFSlIaGUYe
s+WMlp4qd24Y3+vR7HA2bt0bX9bChIBGkwrFMlBi1pXQTy3tW1pZ4BX52SytQwTZbmXNA1DZE7rF
rszGDdPOSePqec7VU5hA9MiK3Ek2DrOV+JyfRg/9nxWpy09jAkVSVo1GekSnHNkgsk/M9n0r9nRi
kVfK/wv+5WKK8SWkSivTrPH8ls/yoUxtaZe/xEg5TxhvcOiECFDJPCQdZ+dZcGc0JSA3ixEHTfEw
KI9Wta+kYySf5O5R1Dl6WKv+BRpbsmWYGOAzmK/cmbk2ySFBKt8+Z4VnkJtkqJ0CWj1t8n37s62e
3CtTzFdb8spSBkiQuFrm69WDGR/b6qHnDQ/yrDAfrOrLslJG3PfQDCWkmJ3fqVVvy1DprmKehu6q
u7wsiR21aS3SFkaCTkWjiY7SjF6XlwFM7bd3bv0BdGWHjQJCs6iFjPyZOFQcCiJw5+oHnlyvVAee
zpmJkEHMg45X+109iVd2mXCQLeowmiPsWmnnWsVjFmaOKD9rtW9pRy4jGXeZTFzoxnoUSUmzdhU0
vKH60kvTg55ITpToeyFZfMmC7iMkq1Slwht3hvBeswvN6SadDDD1FPY8WWBA4NWdOUfKZEJIGM2j
XFMM3GJ9LdWvveGnkEfmKSeuV/quNpsJHmU6F3L9rvkCZS5oEQyWVwPUAP33Rd3P6MbKpLOLgXMr
1wPklVm6+quAoqcohMgEuWK8H1BAzbzsrD92kFDE+/aJJ5KyGiCvjDHuZsmEBaTTuDBk2TXWczly
Si30dv8RGa7+f8bHGMYUD5GCxWjSTwmMSmniTdA2m3sMbDS2aryJxN++m7zDwfibWYL+chXDYjjv
2/YcjrtZiWw5dLfN8D4TO7DTa4lmVgUSwd5/162nLdE3qtUNXb1bi4O0WX8/X/aRHdORyFiHCuV0
6F3DpjFWetPvhtf0pvUoEQfZkcIuv/3HJTLeppgtuZwpUmryQwArk0/jTsMYIZWTj5+444vUmfx5
VFSI1Rug87TYTmRdLaB2pjWJ4UAbkZkn3KfYUOKmaC5HrsRpLa+70os55potYy0WS4LGZ9R8m+TF
66LMFmXHiEApAUEDDHBs7+Z6YL/YY27aXJeG3CWoR+dyFuj9l8HEOBOqjm1zw2VM+8vhvBhjrt0U
JXJl5Vhc4xGI9Za+dVMfqQ95B3Xeb69s/cZdjDE3TknCIs5TfLhZChRlHxZuKty1AsfKemj/bYV9
ps+KpKrLbGBQV4t2qf6VSMIZmnPbS1mfsLYuVpjA3o9Ea/sB/rAFEEp1oN/3INwroCauj9MxcVAE
nyFZlXoWsZsX6y4NZs4v4H06th0pa5Jk9SroIwG/OWqx8K2eTCdeSDBFmSfq31SIooMAxS4EKejm
yu0kEmxvwjoa4moTmLA/y4Y2iSU+aHoq94a/YIK+cYm/OJHTOv8LHYDVysSVPSaeZ2TEO0VCD2XJ
TolwT1ujUM2uoXBbPS+V00imLyVvnEWuR6bLl2aju0TaeTIXBc6NlmR6l3hgtvCjp+bc7oRn7RM6
+CjEKABR7k2OL+DZZnxPmnQpEU3MN4qHZCft2t3sS177b6MWV/vKuJyh6+OpBaGrW8snofei2LRb
gZOu8K4l42msTFLa4p2+a/areAcN5Mr4pyeRCe0fQ6aSFcxxrJUu12bK8fyuWKoIgFlrfgHKuLAt
HKL2HHPrH+dijjmNy9KMllXBBcjpPjFdIgRLFzvC6JJ+L0u9bYacTv36mxZ9hf9ZIHMUk0XJxVrG
7AiV7Y2A+hE1Z3KUA6UXGezKM155aR9vjcwBNDu5q5MKHPmt/lT2jgbMbn43pYdFc8vwJeR9wfUR
g6sVMiexbxU17RLg4szxq5x800rtlEbpztQidBaVIJzua0N0OjnFq4GbO627l8v2MkcUSCAhJpSm
j/IvaMfJFpzqpPrFLQ+PvB4IL4borl9l7sagiRiaRhmktG4V8d40gmHxtfFfaFQue8lWI4ohSSC7
hESigmgvQTCATm/JiULrt/r3StiRA7nsx6kysRIsyJbnz3Mf9Dnn2PNsyB93S0JrQZNjRJm23Vfl
AkUfT4k53mltSgjE8JKpGIaoSDrLiREDri2B8xdMyYNd/GxPYILyBGd4bT5DvN0m3151m2LF3e/R
Cye+UK/EpLMfLDPLS4u8R6cX80ngI8LDGAcP2fPNfJvt37MwbqlzLXH4YJBxk2k6LpZJR5CF3S/5
hn63BJTnSrZj7x+e4B+MMU5yJLMWxioImIx2p0cPsr5XZbuYEpuziyuVxQ92GNeoTERSVNo4KU8T
kD2AnPr6vtgjWp55t/d9yGTrizFOEdKawphWwBHRos50otrU1v0QKL0tEjtHi3k84LRQVB+q/f4o
2CUQdhBXe/2Pa2acJdrbvRLXDS54Kt6AE+I4zIYzWz8W82kZR48QyCHNZbSDfNJnqUufOObpp9va
BsZdxsk8DoOAbjeQdvUe7VPM06mPU+ho0Bic0Wqc3yIeox/3njKuM5rrKC0IDq98tm6re2VXOPUu
fTBd8btxXpx4VwehQ45LatcBLxvj3Rz2Ka9kVqZnFR7Xc7D4yW7ZGTfzXYjpZd2PDxOPEmWtqnZ9
ptm3fFn2ijlT9ZNfUytQlgcuxAZN3Iv6IPqlpx4Fd7mbwI37uP1pV6L+B8OMSzK7dBSXEHmGeAgP
yq7fTYd4J+9MzpDf2vvhgx3GE8m5ZAnKgvSWyghYEFyM4HMTRwnooHv3xsUwr8TdD/YYZ6Sqc4QG
K3Coyy0txXRB6Oqn2E19wYkxtgb6tGACj7K7vZuce8KKSg5aORqkpaWtuTlmU7Ink+Bsm6A3feMq
WoxHyrtKzyOwR7kopZJkX+U3bdvbinBf8cCAa8XOD3vIOJ2+kY1uNhDxqfNLjsmh3lG97uz2P0YO
i3EvFWqq8qQBl9qAzat3W+iRR0GSco46b+cYf1KkwxSFVY9qwfyQGL5hvC5oz9afypQnSraSxlxt
nCHS7PMq6RsqYDPGCHBD8P0aiS+KflHtt48B50IZLDsAGWalLi1c3MmXfNQkgPFu3Ba06qb9Lk1f
8MLu9tnGZ/+4qLaWFD2CGJQrfkqeh2fJzf1xFwXGvfAlu+tuE7/7vyeDH3aRcRntPEdNPOFUqMKw
N6PGw0/wxFDx/uNO0oVffS1xboAy6bGwESXN/jbxtNRROjr9+dw64DV6zXjeibeVTAbTNqZSLLSI
qhlnuQ/C+JWzJPot/nQSmmwoOpJckR0HaLqinqIOk+JaL3hV1aEpM7rGNLhC9prVgycsk61J9Tcr
Mg9QJ34Cepnz8f7iPH7/BLY2p2uTlqs6UgYhF+267vxh1g49Wn2zvPjh8iyAtikpmru2iz5zVr/y
uMPBuZhmCnZQDRFDzQSqJd2Lz0Mw7saDcag/8atU6/f8Yoi5EoakR1oVo6RqhGfS33bZaeBdgjUE
1IfFMLfAHJWOLC1spPt+n7vL23SMBlx0LQD0ySVv+aE8S+h533E2cT3LvqyNuRVRTppEfO8CHeh8
YeRBXi7QDupOcHn6a+vX4WKKuQ5hkpVRDjVeV1ePivaF8G74eo5z+f+ZkJk2E8YBWkxzoHizyw6W
pwVUNokHCeUtgwmXpTURcYrwpcigHqX8RZ4Ipwz1l6z0shImUI7VWDciRZYTpz1RoEwRAKEPuKS6
I0cexGGtBvXh6DEBMx2EpbM6IGWoNdHLfaB3XWhIPxK/28vH8jylnCCznrX9Xh87DjCrba2otM/Z
d5ZtYGqpDHdNbeuY8OMcb7pTGx6SnQjQkozUiUSA98bjwrglP5NdEwwBfdho5x4de2HGgB0eNtzZ
FN4aGacRtYowaRISuGxQbLUx7craa+NjPPLiGicI6KznkA2xgIQRTYF7t99Du/G1cXVbcuY9//G/
7gpNQ0SvTgQcmjkrpd6naSLgDjdJaEPr6iHPUlvVM86i1q/ybzNsocuy4ii3BlyAHMoD2SEJsr0O
2CAXzb6+dxc7TAhRBBKVED4Beulk2ZA/zuzYzZxsH+/Mt4ireszZPJZfI1GJJg2TifkoxUuXxJar
T73OYyP6y3W+rIk5D5mZhVEmIP9dvkl40lZf+t18V/7UbZTo/dpp3nho67+4q4tFJoYUIo5FIuHR
F54lX/WqQK7t8pjth1Pll8Hc8i71uge+2KP7fJXJzXMrRqIAVpT5oH2mDgtSOfmb/jC7FcbMIB8a
DLxU7i8v94tNJriYUzvNdY0TKQ/1/TIap2yCFp9B7DlVT1Na2v0I0IFY30vjsgcxhVOX1UMJeFWv
AhQUt3dCg6HXInvcdnC8I8UEo6zoLU2P4WWi1lfaoAE0JcNMy7aRdSd6WTsTjpJcz/REgxOdzNtI
e5S70gbQpxzfSHQi1b8Fv4s1xsUQYMZUQ0XPhzLl4fmBul94agE9KPz0/A8IcMS+38ZYro3IyKN8
VoCsbMPeHUBkV9SlXeoRZ1HrweBihvEzsRJ1wzwiS541gF8KWzdiUKFHtqT8Y0XrYoqJO0IP1F2q
YtRu9NO7wgv344EOA6F65pAdL6VbA6d82D/G2XRCvZQWla3vfTPoH7ND6IYn9THZL05xJ9ogLnFU
nng71yjjbzoN9dqlQPvgl1omVMB3lAtd3bee5FDISOkUvLf+Gjzgw0oZp9OQOm+I+g4PgE4RXsWR
bhufwXkGRZfpMEsoEgMNfmucKfNhHWh71J22r+FfagGXT8v4oMjI+gzPul9IoO6GztdiiuYgOb+k
LNT7bXu8Q8v4lqKOBCns4Vu6Foj6oThWSWsXlrEH4cWPbVMcD8MqDc1NnWgZKHzdEiI8xvQdHI92
VqqHCEzfodg7hPBmDnmLY7zMEDWaFZoixYrtkgSKZ18wclj/A2/r9aFhmToiBIwpTjD+ICb7tHso
jH0oP21vHe9UsCNqprV0Q5Ni7xpPDyhocDrq+3b3C482v3CfC+svxt+nkCXmUMSGzDUgOe7cnQzl
q1I9jgaw0S9W93Vqjqp+LqEBLX/dXiXnc7EsHSIRxKiwUCSa1G+pBf1CS/3Sda9tqbxtG+IEVJaG
o4v/H2nX0Ry3zi1/EauYwLBlGs6MwijYsrxhWQ7MOfPXv4budz28ME28sjda6gzAg8bBCd1D1c0j
KsZl+lKCFr2ezkLHmyThRUxsw1szifqQRbAi3U9oIu4P+S0qLYCQ5g4yf4f9JXEOl8rAhjgRhSR5
j9RCdd+P92Lf2gY6mpLKao3nmYvOFBZ+fXJd/YOBDZO25xomur5Bt3PWDrRjsUAHsSPdqYqlPGjW
4mYuJkRNZ+Yx2PG8hAlU2qyexEhEIFqrn0QAY3enST96bmlyM/6UZEklmqxqkOL9b/xZpGM2FAsi
FEO3k+alHHhVFHpH/7KFKwPMFxO6MUoq2gjWOJRoQPFB+ySCQ4FOwfWQdeA4yHYJbmWP+WTq3Gtj
TqOgNqtAl5g4fdfbKi5YMxxSS15EaFLml6qpvxeTaJtT7JRktPsAvCPVfOoR/RZheTvG/QEqy26s
1JybaPvGB6GoIRHTALMoE2aEJinbEMyOOC/Fsbsk4KnpLBVS0YtNuVZEi0+PswkEK5NMkLEMIUTB
Q8RRY3EOxmcZjAIp5ztvvnJXJhg/Uiuz1OQBIUVRJnYMUWozXKxUl54QVdmkJHaffh5D9XUfDngL
Y5xLIpAVCGMTTeZdelbk/JhCQBhEK8e/M8P4VKuFYWBkgLiZ5HaJmLdOpA+FKnBWw9tD5shHUTY1
ooI9pAOGih9jwJD20/EwdKuNSRZX34r+jtWbM0izEORPyPoVDZWh+jRP9iDnVoTxv6zwzcwf26d5
vBt51bltrPnp+WyqzOzrKoo1vOZJHz4JOQSNFOnb/pfazuFf18YmyTopDyYpnhHEVw955MfYRnSW
dxBYyY7xEkCx4ds48Po7OB+OZc/IykLDYCgwbgqOGaYpIvVzJx5n1SeQk2ihciT7+8ukDvcrqF53
ksEQsVdkM0gwT6kV0fMgLbYhVQcTRcFMiL1MnZ73zW0/GFa7ygBIbgTmoiaIMJV7OigkOcONareY
kCsx/Y6mGcu4z59p7lHtMAQferyUBW+9DLoEQz83Y4rySC/NTpRCslP6oQaqG6qRPWTE3V8uB1VY
Yo0prEHtpaO6tiiPRHar8XPKayXkmWAQJY3bgphxiw0lYDQtMztMn2s0Ce8vhOeXDKBgQrrpwI0D
MpLqXJdf9O65y27LCZwr6m2X+0rP6enbjt9XfsIgi1ZJApkm+oR2MFXllafgWH8yLExX0ecztzN4
O/aUTHScQlwDfXZMLkKuFh01H5yDf5UIQlc9Vu/5FSgR/NGhuxqjkc4KNmVT1MdYQGSxyLGVS7dF
BSb2I7puLEN09j/cbzbyaos54Jke1SSlVZPmU3XEE+E2PC13xv3o1Eh7hve8JpDNYFOWVUTPqiYZ
BvPdilpvUeBFY6v6WY6fhOjemJ7yTrP2V7Xp9FcrbINSly7jLM44V/GPIbopVfABBhVn5zaRYmWD
8YikDmphkNAEFWanPDxOsi+lvkScTuPMMm2erZUhxht6iaQhwkpQWXi0UEHZAIRDcuJV6OgR/QXp
V2YYR5iLzqwhKATV++QY1f4yH+PyS1x9wth+rx7/7vswKE8UPcbdQRRHM4it6pI1jv1ZCqpP+2Z4
S6JusjpHYjilRa7RouM42ZngCO1lUq1x+lTJhzDlQCDP55gIsQ77rmlHFFLn9nsE11M1TNPqf6Dj
QZV3/j0/JgPngZz0UdDisTYs5zj8Jkl+IvD0O3krodu62raoDXOpSIF1ce7kMSouGrRDe95znufW
DBKEIMydDCoAQaV7FV9wlcM7JdFh3wf2F2Oy7UbRWBlaNcLMbJYXxWicQSk/CCqPq2071JUJEA0U
IKLM0tzlXT3nSYJ8wXyi5ZzJD/zy2IDQ8g8fWStTzPfR+iVJAtxSjt4Pr1KXP4sx3iIVD+C2uytW
dpgvBI4LeexbPOZaN78bnmobjFWiTYUzZc/wMdPlVM78wmuu2L4hfm4kG7urqaDniopM2RC7sD0R
rzPciJcW3naLqxUGvcdRl5OAakOl8TE03TL+QLiqKtvwc7XBAHeDeeiypgX7f5g7MnQGY34jfkgP
8mV5UA6SDbG3s3A0GlDPc27A7ecJxn9kjIYqhsaS6FeCDOHTDLm/tIgtsQqtIgVxyHgQgo9FgyGS
27m4CaS3/cNGcfvXO+RqlMFAIy3HGVVNZLFCRzMb5AG/7xvYdo6rAQb+Zk00kloU0EPayseikR+U
pHTkyjjKNciW9m1xt5A5Z4U8tIqOtIoTyYmXNJ1dCrVV9B0qk/NpMjF8hBfXAm6GUTT/6DK5rpM5
erqWFEEejwg3cwR9mgZFvrm1pV5JOYt8bwrY+WRsLU+Li3pSQkQX7Sm4jQ7jqbuJfdqBrB1DiAOo
VnRXfjUPqM7c/tHAHW6zn8tUmFNYzUFQd5Q0PWyEu2kZD11APEHqOf1224f9akb+74Um55GuJ2Bb
clI1ORrT9Gzm5aEK04d9h+E4J0uhX42DEPULnlpm+KUqbjTtsiDh0SWc7rPtwPO6GiZ4qoSIZJCg
RPAUH80MKkXdZZ6e8DJoVW7TAG9JdGdXoUC1JGOsigjXO4x7Ls/oqfpggkTna+8odLT1lYrBD3gS
8XLSvC/GAElSL0KjSACSNj316pOQnvKc84TkYJXCQIk0ReIohxSdpdtc+WoGHKjiLYFBjxHKItO8
4DOlVN7zoxwfJLQA7Hvc5g2jyLomIaOumaz4YFEnSa11iNQQQg/hTW7eNuo9SV4Ew+00nvTkdoiz
ssY4ngHJOn1Ehvd/WUPjOKGKGtq0YM2tl9HXxi+wtLLFOJ4YpLEOljCUUd34cXFA+naSHiltpWJP
t+OZ19O0PcukaJKpqyognc3mLXVEqrRGdUJDxf+9gWLy5WNo0Zbnwe+syS7ucrRTgVsP8xE0qtMr
K/8TnFr9CAan8qFOyNIrSJf2yjmupHMhdB6R2z+5XFZm6N6vDrUhSbi8TDxRwD3eq2jF9ISZq5W3
ebxWRhhnadS5w7sB8cfgKd5wT6W1q7N6r5/Q0u32dsVN0WxC1cog4zFBhhGwLMbmJSnY3SPhGZ3B
vi70rlnyShC8tTHoNKLmnmktciZ5OaPQM72Yc/+0f7K3g4/Vchh4wvBvU40mMr1yJpxVVbiI06XR
qjPaOPxMJnbQaR6m8V1dEicOqmxeMCvTDHLleETlnYT3xVw2dpbrJ6Eb3KqQz+LSe1rP45Pfzq2t
7DHBDibSE1IOiPXRcQ9KkdGKBmKR1jwDQu1eGqwORHRkquwyXXwlfZI63sAIZ8UsTa4OHiwtnoFs
PSTZReVktKXVF/d59bqA3mT/y/JsMTGPBq3DKOlxpaaNJ5uQPnzuDCcK/ahw9g1xDoTOoAkxhoak
mYG6bk7zX+XJCJ7Sdr4dRpF32nlrYhBlVIcmGwilANDUUz0FuPAwcYNalhXI0+cu0n7sL23bZTQF
6SEZQuLKO5yvIEw2qjlVCYi2RhuvbbvwUNy0xXuQIjrCUeAk4DZv8pUxBspyszdLsWlwHsB/3RbT
MUfXC6llzvf6zf368w7SGTuVVClh0qB1SELtg47l4bVYlhYm78H0uHCiyM1FXQ+dzsBlGkVhrtFE
Ug3eDpSHi486mHj3PxPPAxmcLMNukTMqRZGoX4fKH8vCqjqv7jlLofjwa6xw3TfqnStnSFP1X03s
oH0YyZMidS6GM5Ac6602bl0NnOWjHHGi/fcX9J5ZBib1uFRymbIc6k/CuXO0U3mCBPQ58lK8mubS
Gu/oXAjygZ80LzmZTunLB4yWn/6AUFkWV1+Sgc821EVoS+CcZ8lNPR9I4iuyt/8hOTvM0gTqWYOe
jg4ze4NnnNITTUFHPr9ezDPDQKMcT0aiVCi+VeDpicdnPTI/m0rtqUHhzXX03SxL2+xTzkOAcxIM
BicFda6CjoZ+ReM3yWihXBzxqCO3Aev6kQwGIfs2knKxxtLCHjHmBNm4pDg00Z1ZEyfLczuo9MxR
k/AWPPGnqVAOrZK97H/E7d+gKqKGhJAJVmHmnBjzPEuZAA6C0a4wstLawcV4nmw87j3kxr/tW6Ng
9cvpWBljT0ejm8AzPIYXQYCelz8vb/sGNj/bygDj9k2s5UlBE+1a4EpyZheBG/W8vqz9VUhs9rgZ
Fxmc3tgysXAr8yzzUgbbcwc/VyGxk6o5xFBpIYl25Wcm6APoIADC1g/hof/aHjPABo/eZX/fJHZU
NYtFOS9G3NU9SIHQ8p9CT30Z7P2Pw9s3xt2LyejIKCDjUmZPmnZMdM7/37xZVttG7a8gvxkRQ8mm
BO/qraWzF3SrGfJNaCycG2wTkVZ2mFsS0zRdqVcQioiWxVmCxQq01654CLvhWGXCZC3GfIg1HqHY
5rN+ZZW5N5dxlGpRmRH75+SURMYBHV62tBjPdRrddw3xIIn6lxvKYIM6thOSPfCKGeli9B+JQeFO
8VOsckelKZz+HhgkkQGGrBzaUKDDUJQkEa81TzGdHoPZlLwp7Szybd8Tt6Oq1WYyONHmgZwOAlyl
x6ym7ue3lZs+y2jsL7hKY9sdd1db74+6lVt2qtYqMwwiXVYcTZ+SKyjnwNHdjiCDQAM5LbR4LSuc
s/C+ASujYQaCWZICQqqvae0RBbHcARJW+9u4iRpEAS2QIok6mrr+e+DSTC2LBNplDuQN3EoorGUO
T73GO2+ba1mZYe7iKJ26oYoxmz3MpjUoox9k6ERoPyvV4P/dghiEkro5zmIdeW8QNhVTi/GVT3E8
cuCDt2sMTGHKCcPsKWBQHZxgdEGNpqScnBE9mL8cp9WOMQgVFGPcGfQCWVRbj4jVFIdOu3QCqvfO
/o5tN7yuTDGwRKUWl9bAK5kmgynhaGZYiFw842h+6MDiXEJRJqot3Rn/H+Pk2zflyjqLUGpSiJOA
hBIkw70Z3IPhiVbT7PYGsmVo+Yk9XkcEzxkZpJKlulqCCcUmQ3qelRF1mDeSukn8lbOv9OzsfUIG
ocReiOZuxlOskgt7aiCzHSBfrC5+SBJnqcKjZsbWuIS2PuQ3UtPzsvwcF2JRa54TUvXNgPxL9Jjq
L6H0vavulPSidK/7K+VsKItU6AQdggrU+84gWeJySJKHRPGy4bhvhecp73HwChD7dJFHbB0txS9I
DnT3NDlQnAebkgUVt/xZge3I+uqb701WK4uRMKeTkNF0xEODh2AOKl7xm2pRpuHZJ5z1cUDlffkr
Y6qQxbWQI/Ad59JtRXLItW9DO3JOO+9bMbiiCnEgQkwMnKbdqQme0Vddy5ck/DsUfm9BWK0lTBet
LwleCV1VHMT5OZOFczWYLscj6EndOWHvc6orM9WQlnoCbnKn1DDYh2aCXFIveWPaINq39Lx5qqfa
Cuvm1tBEi6iN00TZLerMj41Y3orG4oBd5aTkk8+/h+gVsPfTGJCpVLlZ0gJtQ6GB26Ezj+K8cK4I
nsMw+II0TIVtnpAgaI7t+KoU5yb4yNlhel3uLIOdPVdD0EPPEj5kMFn0AEwdrgbVIo01g486dUaL
R+3P2Ti2IzPPpi42wXYHnpjPeYQWr+/7S+L9fyYUAVTV3dgPEJSPRnQ9C76ZE2/fBA+p2DSmluNK
y0V0O1PyjfoBWHVJPNNF7EMFQNW3RMVtum/zXWJ970vRda/OgiIPzWDKyD8v4ewUtQICGtXwlHG0
UmLY+ZJ4TZkgzflFzb/nGboPhOIsRQLYXUVHkRuvCUO3lytbNbTTAmJ/tKWeI43cJklhD7ppFQg8
cgRUU5ofxcT40Jnp0xSTi5Yrj2Fruro82NJYuwGRuE0vvG/GgNYCrROpp1SftEsXWqpOJtiCO9jZ
3XQQz+F9cMfzQg6yvGsPr3az1OMmRYf8O2ulFj6n46sAUZusuYzzx6rLOa80elJ//XZg5VRkQyWE
1RHUNSVM9QA+CVkLUKiJtmGWt4RU57TL3KkPvqgjiE/M7E8yZOSnWbY8kpK6VZMKpTX0TKETsDip
ioS214Xjmts4dTXDvDGCRlLTUcaVYyxHsjxmMThU3H3v377VriaYQw3xOeTVenTpYTBXGCCBA9mr
PhrdruVpTPIsMe+LLjYSVaiA6/30KplOl/kgYtZjDu5uh27X9TCHeYprPRnpgI2Wfq1rSL3L/RnU
fm4cSqcw4Mqp8L4Qc74GIx/ncFRh7kO8HLL2PAavf/eB6LauztOo5WMmz6g9RhVqfxP2LAhAYoIm
JYsEvMw5b/eYJ0UVt+rSpcizkCK0Y+VTtDwWyWQpEC1ZQECxv7LfBInXb8Xc9FKUZYtMQJsiPxiH
6bj4xZlg7p2AHV+//BkuXY0xd/4yjZqkiAi1e+Rz5PBYIS0gOGngC/1NGvD6ULaJPq4IwRYICjlM
IqnAE4JYWNs76R5a+ytLoVRxotMdBAfpWTewuRm67QGGlWkGNcJCEZVxBm+wcg/yaE/yBVsHdeZi
i07i8mnNOOearRZ0Yt9rRQAsLKtLYIaW0L8K6qklHMjl7iiDH3Mzt0QXwDiuBuX3PMwdtEt/IqCL
I5XqBaN8o00QXBhnNxBSR53T2opAdUk6tJQ2xWMwqW4+Rbao8sZeeetnEEcv0ykwcEE5xthbwpjf
9ZJmFdkELmrT3z8xm8dTE2XVRBOyYrIdWn1t1GmTI/kumF9IDKYrSbHH6LMxBlYzck7nJrKtbDGH
s1NjYUlEijsSOLytqLtkxt+VkUUGPNGh2icIiFBnkr83Wmk3ZezkkuTtb9o2zFyr1SKDoNqSLFo9
g5j0H1X52MXc3HN6pAKS5MKbVNruEV9ZYyAUIpkYaFbAKhT+CO+gJf9IyUxw8MOb3nknnzqikucR
TsV3+9CvzDKfa5ZiHVRbKMkvEgAH43mTNWC0OYUwLyabMbjE5eHjrpRB1AAtpKMgaBi9/BrejW7q
I1Pias7s1U58UE4ResVs4cjrht8+Az8bHdjcTDgH4dgW8MtWeihT3cqCSzLco1NW47X7b8aW1y1l
kzPKpNUyZJsR5A2PqvKSLK7a3De9lRl3RXaZcZVwHJW3NCYWk7Ki68cY56Hz0E7tUHYYQbeUs3k3
VhZ5oCK9YmfFnSVcIh66UvT8JZBeLZZB17QM46E0qZ7DJw1dmels54VDcC9GsdOZz2RyRuNLoyaO
KDgRlwKX575sCiedtUWShn/ctzrm7tJZKQYr3l/L/7/SxCZsrxbMgI8eaGoN+UC0ezRImWYXESW/
3HgTuExqFP/3dpaBn05qJL2gfSUQDlXmR4FHcsfzGhZw6kgKhIpyT43nASOtYfc6t58WpJ0bXgrs
/fG2txYGZfo2a3RjweGbyeuS0KIH2q01Erky4lLDSNwuF3wlhAbIYvrooveWKCwsiNjf9pjIUYbn
tABjeFS64oDCDN6FkRw6uSbeKFN0vzTZ4xxqJ7P4IQ5/1D+9+twMWBlJNDQ9SNQoybI8ull6mnmv
te3C2tUGm/IxcnOc6xaAOENW1ADTf3cRI0ebXyXM/GY+oX/fQKTLqalsTyys7DIBX6u3fS9Szcru
E0WN3k+OkGNxI8+0ySHBIFnyplqDq3o0/JMf91GL434sG2GPUXjSTzp6Z6E8Q54K2R+ghdRYk/lx
39B2QPIT+Nn5HSXtmrqsgI5D5pnJfdV4WvPydyaYo9orzSxLIrp6JOOehK+RcVeP3/ZNbFdEVx+L
Oa75khvGHOJjkdCV0XlSnYfppmlPCzpOpsc+t8PqJu9raxScbkjsonBKhSOpyNtJ5hTPwhRVcoAa
vtSepNqNpAdD8feXyTPBHLdWkqdamdGCNROQ9usQ/qoMP055NHX0l+7gETurY5hGpEY6QFwdZi82
McMCGgitnO06C20zUI6GoHJuaZ5J5rA1cqQEEVVlGVvZFsbvphk/GEFx6qXUSrT5VJQaZy/fj9De
Kpm4wABnVWR2KDVnN8GD/Cg+QEnKld3MiU/tQXALPPBim2pNiF+Fw3CXcut+70HV3i9gooOmJKVh
iu9pRAib4KVenSm3f3TiSahwbuX3XO0q2wGG8tSMaddF2Xh5CL4n/VAnHmTm992TZ4a5/BMRww1o
wsUJ0A9V0NsiSM7rG5MrHsSzwwBKVdam2WNKxMmQc4DctHSzeLKbPuQfltzKPkqQJckVS+RydW2z
hlxRhn0pFjgLmt7juuvwFKalafBYy/cGuJgNS72vzlSMpn7X1659yAtlhz+iNVj9AHqMVh9SCNJh
ykysPDVfmuxDID3pUQMWeU4lhwenCgM0gLGq7gs87ozbAYXG/hBc5FeQOt3/TyPpJvV4JD7bH1UH
0ZUsaqKmM4ehbMT/KQCo5JyUx6zMnTaCuhWvXX37Zr3aoYHlagsnHdnfWMYWShkGb/JvUReg0Xq+
TEZ+mtOBc/f9JgS/mmPOhAyZ+3yg1CutGxzq0+IjtVKcxfvBNUCFG30veBkG3j4yh6PR2yXFs1wG
JwUIb9vgUc3thvu02L6Jrsti7lslnse8SpEQXnQ0AZ01wRN5gd92hH81wfg6UYxWUhvsXD18EOTP
IpfVn2eAcXJ0scShSELVKT4J94pHzqFbiRYoh6zwOfJTTDRbPCfnOB+bvxxEAZTnPQZRm+Gplw+t
oaMELFvB+FHUeKPn21fqz/1jJdYk1O8bxUSuNB8g+J0cFNOS689kuaXT2TEHMTh7yaYrMVdbS2gl
VB0pfZzb8jFcas5J4ngc29mcBEorTQoiBPA2HzWV3ARVaZWDau/fYbwD+4uIed+lfTONtKtjcgRL
/B66qd06oGfycsd09Oe/tMcAREXqyNACVKPkQ/KMzBb6jXCL1Y4JTabkMww6+wZ5+8jgQ2Hm8xgZ
OFaT8ihOtqDc5r37dyYYcFAzLYO0H0zkw4cgumiNA0LCfRO8g8SAgyCNYp0m8AYphXgAysBKBDSH
HlsWBE4tZLzDtLlrdMBBl3TTFFke15JUSz5B6hvjmNAcBvHtIkN4exw4H2c7KF3ZYYLScEaU1gwY
+atdyktGZRG1S3EfebEN/uQ7Og+9nPDWtlIvs5Vjdhj/qBV99QuYe3gkcVPWiYpWdPm16L0p57Bt
b3651f+nSLK6f4OsM1oxIZCXlCLLRC4OF31MvqLjTW156QmeLeZsRYSgm3RBL1+FOrKOckZrd+NN
2mLwdeT4PM8Uc6xSY0bJNzKR1vwRxt9KxQ5NT5lR3+PE2Nv4tNo/+kNW+9c3ojhFDcp7VJSWKiOj
OCTdzR4VQJzfMptwAGoznljZY07agphI1Vt0uendqVhu5tpP5zNJ3/7gPOsKRssxFa1j1P+/q5q7
OI/z9J3O+g0SrXryQNInPcVEKi8lS//TL4+uqyU2073UwtwqmqIitE3v3kf6QMReHshdF1q9Vx9z
jwJ96EWH6KRxsjrbuayVceaZK81iKaPaTMHeOBVefhhO/Q0lN8BhtvZ3dPP6X5likGRQgzZVqVyy
nt9XZo8Y40UR7EB+qUq3KWcOcG2/GFbmGNjIm9nQJwEBIRVPBJWiVTzpodWOFtjk9APlQB/fRPTR
8rrSeZ+TgZOmyBelkWfFEYTTPPmm/EE1bmfxa5b5RunMCs99to/DT0d934fV8UPbbJrnGaoU/4hE
4uJ5M46NjvKz/IQrGxJA8yG7kXn7yzPLwEuYl3LV52jzUEbJHsuzkkHpQXWzibO+7XvuujwGXep2
NHpJwgsXIhloABZkxRIGg+Oa9JvsHUEGUnI9mGJFWMCgrLpgMZV4Sq28zWLAJE4jeSAyglFB/V6i
7NJirE9/1HTeFAFns9jMdKSVrVTEmMyUglMgJY4uuFUccyId3sliGxCrfgxyaURAOnwKH3WIDHYv
pounij+4zV37NPuay2tY+c0l89MN2PTzNEGXqUqRy6xd4yC7sQv+vMKfvfCdiSXg80htZ9uv+MG2
KBoYaRHUBbDcmBY5NhAojezyTrIkv7RTu6nehdepfgwlZeW3W2xf39cFMzAizGXYKyE6d5VksAvD
PIUGuAGC5SWN4qNqZg/74MzxUDbrTrpON5Qips+l0mpICbrio9Z9UhMe6QHPEIMbJRFUY2phyJht
QT3WcWrNnWu0PCZMzpGWGdwwlSwmmFFGX0NyU+EmJdxSPOc+kxnQ6LuyUA0qeKEectzbmj3c1A+J
M1iF3zvjzezhpjvhKvVAmPJ3H4uBEwB+Y8oRDqAugZRlHp0xiQ9NmjtQVPT3TXG2kc28K12VBCEl
rJSq0kvn/hy3E4fXnANaLBeWYqCdoZ/Q7ZIT0GHeDqLdEk4lZLs35HqYFSb2UPVyaacAyxCML3Lo
qe1NhXr3/E0cDzlozYL7Rjkr4wdt8Pa3b7ubaWWYiULkCe9CdQFZKlQnbd2LHysv8rLOki9oBrYh
uf4ptEHn/CTyXk1cywyAGJWBuaUE2ZbRVk/DMXWphpCFySH12DqTW3r//C0OROQsmgedCv3iq5Ak
UEpZAjk95U8MDqqdYXo+etbRoaZdZip5Yycf6xuotkJFz3wNedo73JUzEKNjdFmsBpqYuaFyEtlR
dPtDeZseMktDvpgSJbdPfMTm+TGDOEOrpyJGIJHHaA+d/kDmZ0VzOe5Ef/pOoMIq36g63qhzCfQc
p2O0fDIShOnE0vvLGPuUd5AYjqB7kB6YNVfMS7i4nUQ/xM/7P4NzN7HJ+GVq0XIrwbWE1u/M17S+
rUw3Ue4ID+g4W8oK4nRoG0tjgz6NTJC9l8VjMo1uEacch+WE7GwupRgHXQxbZKgT6Afi4/kdiuiQ
O+d8ve3V6Crms2WwaeuMg2RyRUrwDCNuIikKvrGjZxWof77uf5ztxVytMNcSaIsaKdHRYlPOjSN3
GvprmgcxLnyxLc4j2u9QeVssQ+exLGzfFFe7zKWkiXU/zpRvVsf4fvJi/hEbtP7z/7OZat3sDa2n
oh5UuuFfNug/ZGZcmWEexK0ilUVd0/gk8Yv+ErVWlh7+6guxqWmipRMRKOF0ZRxKvYYWYG/Fyb2S
O3V3lwxOzXur/SZ6vu4dcwvVdTrUaovuf3QN0rYrdA2mdkbbrv7pGuRPhG8D1dUic/vUSWPkbYfR
K/CW2lr4VOetM4ToGuZdNhx3Z9V1qol0sdzC3Yv4s1K7s/JSNW9N/6NGT9s83WPCZ//j/SZjcl0Z
XfnqchujAAgsoQ+6TY7pANLrcy8+GAJavruzqQxWEj8U5GwEzxy7HPQwGPQYhHHs4gHv/AUD4o78
UbISJz2IF/IAVRs3OU0YBOY102/Paa1OAwMmehkFmAZGUxudKxKs1k6eJN9wBju+YKLUNvhD/VyT
DI50cU9MPcEBHLzBGY4RLjDLuEC5zk4eMfDs1d2fTdRdV8my5o8yWtuKFPPO8dTexErjmjlPpInz
9UwGVgJtWLp2wUamveaYWek0emKTkCdHwTPDxLlgMSBxNKK9U+nJYcoVLxTksxFzfJFzuFn2zUAD
a10mJBh6kC7l6BMIdg2j38UcnKQe/Wuw8/OkmQyGVEkmFPNEOTlk1VJjSlWQ3MhaDtx6ExuTUzDk
LYpu7epcd7UEduMat3Nn5LeYEzzoaewro2rJJHb2zzJvYQyEILNQCQrGpJyhehjQDzb7anQqm9s5
4bx7eGtiMCPSQqnQ0TvlVOOTlqWuFulWYYAZEvmh/SXxHI8BimAOBokYMwaNRX/W7tT62IFAf98G
7xozGWiAWGmYtAHiNEp+p9n1QQkt5W4ANFAOFYh4Chyf+M278V8XNFgapBT9rQg/0ZvRObT6RWuh
uovZ1EPhgm7P21/f/tcyWKqRONCURGiA8FJ1O9QnMt7E2q3Gk975TfruuiYGI2JMmUmzikGW0Q4O
1aVwajt6Ks7mQ2Dlzux3duTyNJ/3HR46mf89W3MbDCCaRX5VbL1hdqTY7ZODUUG/iePwHBcxRAYz
0Jur5v0Aj4e4OSRkHmsb4u2tFR5HxzwNt4KTv+1/tH3HN9jhFjADz2AiRnUyaU5Z/BIJPwweLSnP
BAMXbQHV3HJCKkteaoyxLaeuRJa/N/5o7wzR0AjouCA0wCDgUlQzSeizTrulBD6SP/gmGg3kZ1AA
gM6h4pHE0G/xC76v7DHrGmrIJSYqUpxqh5aGqT8nQ8pJX2063soEA4BtnsVTnYN9TpdtuWpBWK9Z
QeR2aDnUeH1cFOL2lsNAoCAOUyo3sCViTq26qeoXvTzLLejd0RHv7nvdNjCtFsZA4fsbojTh5xjR
P1DZ69KWX6ksU3fIPvCAifOhiPjf4ysO4CYaOpTSptaFkioZn/dXw9k5wgRHUS1HcVggOCqrBrRs
kx2H2WjV8HJwRECCJTZzq+e2NmxjxXUPCQOES07GxuwRX/wzMJZAIHlCeoxybbsNWLIqXs/G9ijV
yiKDg2o1S404YSMhBu/TAH48SOfqxfyCYapjZ4OB+w23mM6Zv+NtL4OJkTnpkIQCROnCeNbJIatT
F4wVVt/HliI9CH/rnIQBkrzM5yAhaLchT8Yh9ZF6A4xUH2mhhC8Kw91UBkZUASQMdQTJCPEUgmnU
vKeZxsECVX9smw/VHcxyBR43X52rD8niSoGxMHHClubFOWw/pNlbTR4N9V6Cms90F4fO/gH5zXEH
wRo4yIhM3l15FZxGoRyjaxPNHLTHwjzX9uAvdxPyx93h//Ee2gxEjKs1xmEMA5QHsYimwC6/L6A3
3L2OeNf+kab2ygrjJWZRDw2kYuCWbfkZRUsraS6VUftTzRMV2X6zr0wxLhK3caAWE+qikC3xkD2C
oI96pEm+7PRHDZUrU4xndGAw7IUBWBao516ztfJS9B+N0o/bI8cnKOr+et9cvxJz34R6kxSjCjBZ
pBsNvGSxtUTOJL4N4qEwAV6RVZSHfZtbSCLJhqkZugInZCu/CTH0RJEC3Nhyjnc5KFS72K3wLiei
jWKlMxJOMpN6GrvGtUEGotumizsRorZO1VbW0i+WpPCikPdC7p4NBpTDgFRzRgkrihvxowRexuZN
epDOim5Fb+QQWIaPsVo0t8m3Ixr49afs1L/weiA3sx7rhTJHblLnpCtK8P+Re/q0aZ6Q3LGJm96A
D8eun4qD/Lj/KTefAWuLzPGbFNSeQ6QIUFEPv4gfkdpxBFt7XuwZrJSjIzqpJyXWvlGe/zDnUM2a
ahYNtL8tjWaL2duieCDFkdtztLilqnOsbYH0eoXMUaxJGmQS1XCRxQelexalgyT702RLkWpDqL0V
Jnt/eXTL9jyJOZG13E5aSJB9mfVLXNyb3/+PtO/asRtnun0iAcrhVnmH3u3O4UZwGlE5x6c/iz3f
P62hNZsHNgz4pg1XkyoWi1Wr1sp/R1tluyQm7YMOMyaxF/Schemhkv1efZ3T5+uLoLtyZRFsx1co
KkslJah2IOHXz6d1uKSxZg/G/Tq8Xbe0O72yWQ3b+Z0wGiBbQgnYzWt9zi6yU1JW1JP+lmCgESQh
4LJAE+9SuGVgPFqHgeMfvJXK2InNpQpexUyMVmBKDJCPmbmnz5e0dnLc3on8dH2pezfqdqVMjDG6
MRsqA21gsT0rhUPM2p3rsya//JkZJopY+jpLOa0y1sbBIJ7Zvi/R137iYEU4QZlt75JkkbJ+xWfr
tfumvuPOWXCihMJECWPMZquYUdKv43spOhjNS1lUmN069em5nHk1bt6nYaJEn9d6v8x4haYJkjdC
vDoij6AutS3d4EFleTvHBIixrEAm36i0gEVL+Jj5DMYPqpg7CW+OJYQeOI9LhGeSjRiRpI11haJS
ms9hvuanPuHFWZljg23TqnU3i1BVoBUlLMuDpuVtc1GPVAzScKKHLgUH8OL2TvpeAiL+IGCQQHB5
k2i7OfLmjLFd3DjOBFX/mJ45o67lz2HtoXDxf6wYnFDP8RqViR1lostEXpE0SP2DXtzm88ESTxpP
kHT3ibpdExM3xhqZprrCYTpvdocLTVwLJz+pdnNobgVXvf+j+KHSD72JiIloYZpPwIesl+dWvYkj
v5GfSl7GxXMXJvNQ5jQt9BQTu4OSBiPItGIrcq8vhHMTq0wIEaCvqqYLMP3RYB1yU/5LXCsIMw6c
khnnBlGZ2GGJVdKogqaCPOc5amLb7FOnN07xdMnah+sr2h3E2LoCEzumXCSL2GAGegnKg2DreMnQ
4RyatRmO/DobGNFZIdElngCUdUgQ3fPwCzyfZ0JJuYi5jFwA+VR3X+myV4FB2qqH54xMXMen5+dK
FsKWnLIqG6EzhS7g5IhOEs6WLzjKaisB5uD8ZDnzUNucL8mWoEzNSK2BsknLifhTkUsvyjGKZHV3
GTS6+1T+jXbJ5mOypScSS+jIE8DumzJY60M3hIP4/brDcL6WxoSOSO5HQIATzZ3nUw/6DqUOBmGx
1YY41w3tvq63i2GiRq5m/5shhLzGQXdSP/4J3XaPhGI4cktoPMdggsdSK4WV5UhPOy8GmG4Oy3CG
Np5stwEfxUA9+poXMmFk6dVmzXRE+Ug7WcMxVSB5aqgOxEibiCIh0fbkOMZu7qPIqqgaIt7ZOrM8
SRT0Icbl4ppJ9T0VBGdqtZtysb6NnRo0oxzoQ8rdU+oKvyxTlTGZqSswzE46L8VgGUL1gdeb3fiU
eZWjH8rT7HQH9RS7cmxzPGb3I24MMh7TEH3VzBQGJ+g3A4/SPZlfyrA6m98pKpAnY7WfGWzMMZva
lVJZtFRxm5Z/aLE8KgHhnulUvm+ktnK4vrzdk7cxx3hNU4jTAB4aROrIU6T7JD4S9UhmTha+65sb
K8zdM61WCxFP5Pp/g9b+liYSQ15lgueQzGLKYRCyKEJTSFYqsOx9kUdbMx5Bw5ePbk44MWsXuom6
0j/uzyzKSGPTigdok2bAuCweQY/XAuYeelIjhg2NQAFnZI4Kfeot97/x0TaW2eu1BytwpAM0KkOB
MsLklQoxtygJE957g7tG5hpNDbVF/wnPp87rnpFqHVSHgnN1V7vJnyu0ATLXOMQPvBtuP5f8XCFL
ZlsOhqBhTBkt+sVpFYohcpZL6puuJR4py0fm88Dju5fqxiLT11FqMZUsqHG7S/6X1gaF+kUd7U58
HiQu5nf3zG1M0YizyVwx+F+ppMXnG30rLM/9YQoaJ3oDQAApmRLQ14cI1HWY8TRFdzlTNi7LBs9u
iNLcpLSD6bk9DMF4WoPhTHk/eY6zm9NulsgETVEy1gSwWwDAwHVR4LJbw6LMeJc5/V9+uQs2VphY
aUkEGkklNlJ5GP32UPrjqQzNQ+LoeHPk3vCN55e8ZTEBRuyt/z0eZ+mnJroJKW2r4Vw4PO9gwkqm
yolM6GutN4NFfZAkBfqM7qrweIp4a2GCSJl0QiKZ1I74pR/+atMbWfSuxymeCSZ6WMmwjLqFCDnO
ft94dXFQVc79xTHBIm2LsUqktR4w+bT4uhB20VHtOTMfnA/CUkFoutjnS4NbJakuY/YY536tu4nE
cebdK/LTl1mg7UDiNetjFPikBg2EO1k76fnBqF5mTbQt4TnlNVr3M+GNQZpobaIQgPHVikoiSNLm
W01+NjNPS+9atEq0G2UN1doj02qLBq+QKXEuaZYiQkI4kDVaV9Ju1aMIAvj6Fvw4XwCBlY4qxGmU
Nzksg8jhsaDuV3A3C6autFmwsQpqKVGFUPpMo8MW0sE4DEf9iLTklridYI/QqekOws3qFa7gzm9/
dBpMJngYrYkXsYIvXIl3JLWlKrNrnlTHfvq4WSQTPRqrH6E9BmAHOdDCUhEgINqR/f9Ht8qJvyYT
QjpZKnSkj6AZXt7r/mvEo7TnfjImgLRFnzatjlJ03kyYirOCKG7tZi6cOu9WZ9W/9VNi9/o3MjaV
3UulqwryYOtz/GDgWdKQ3FNiEQhCAt46jLK2qvY0GJj8jCtOjOAlSiwst9fwW1UWmn+9a3zvDw2K
X+OpxXNvcimUQHJS+/9Hgp2TtbBQ3VmqEjGlFLumpfW2NU0OSZ/SST5pqe7Wff543YX3W3+f7mUx
qUs31iDFIabqZrlt2HS2wbqgmoPmH2TXgYfBBKjNK/RxvIxF8JZFaTTRhPKK0j0uxVsGUO31VXEC
PIvdjfNYr2YMHbhR45MxiCFQLH4xeQF+v3e72Tsm/nRtB1moBecfo4Me7R9VTjThbZdUdvqcBVAb
ReFZtikhpnEAXelZfh9OC+89y7lnLCYKmfnUR6uOsL92XQNidN2OpfmlnZWLLCY3lVk6U/xNsLi5
GvWMX3M1zVRF3ZSBqmSuG0JMI6rB7e22LlUUBNHkm36mqTwYr39U3vUvun/HfBqjLrUJ9co4jcPY
of6YoiHevQwpGF3Lu2i9b5NLHoXXje13pz9ft6zgB0gpyDBRnWv9TkSfZA4xB+C2p7K1jbvmsQc6
a+4hLHzd6u7J/zTKvpB6EbCecgC8YTTni1Z1zijWN2mnBNGKNCjnPa13z8jGHPM8yipRnQRjRrsY
XDoYCajTg9q+LInEOYu7+dzGDhNgpKQ35irGlSLFgWb6hXWTkh/Xd243nmxMMLfWXAyTWddoHJTt
q5qv9mBxqh37e6VLENcRIbLCEh0uSqJlq4bMuhnuwTNqZzFYPCZo1mO0+/pSeJaYpdTyKs5DgUMF
JXcxOTTyy4LOVeVft7If9dXPBTHXcGlEudaZKN+sSNlUTwqJr7vFuXHp+U38mCt/y1kX26TTpBws
/BqC1Bg9CrFki4WjICQpXKqGPVySpFqIFJoBfVYWEd2hwlyqDTbQaBdnxYtO/mGgU5Gcxx7FFTfr
XHH5fn039w/up0m69k1ssgqiLoWOaBFLC4oNnR3FP9PWz0FKC6DJn9lissEaiJJahBaFKxZebq22
sBwSwbbikEwixxX3awubrWR8UR5zZdUGQBvlNFSzS6Q+5tNzi4Vll3Z5N+JDwuUt3neTz61k/LJo
C0tLMhqUjtLD6JZfmq/ESbwsACbqHTIDyONBy8xV5+It9ePnm09IoClfdWB2whMGMzfji/Q6XBqn
zm4ky6nMx+vf8D9O3z+r/HjIbaxVkyEbcQxAYA+KXQkTEKmfPGWocQiBRlGq/vp23SJnWz/eGBuD
AslHre2RdcfJy5ADE/ijilCK4PQjuetiMgKzUQQ4PSZkoGr5NC5ovKd1WJXZMR/kr9Iye/EQZ36U
EdckoqctI8h0CttYKpvkMQftsH8nfO4x/flmyWM8V6U2AH6lREhs16dW8a/v6W7a9Xk6PnKIjQGo
4OG1TYXQY7AbzcJTY5QA+T+j4HjoLNPXIuIMHY+/ZL+MurHKxBrDHCaU4hC4Z1/xKatUKjnIGLzF
1cM2yJ1R4wQcrkUm4hRShMEkyvA0HSG4Y2unxBsjB1z7Ln2Etj/b1L2+sdzDyMSdQqyb3spRZJLq
R3kJ+uRg6MeMPE/K1zQKjcUeygPHJPXMX3LZzbYycWeUuhqSGDj/lDOidKWTidfpZfKHc+yUuOsP
v8XFt7mnPlgsNu4jGpYI2josUpOdHkBxNUBKa4AkXeMyJtEM68riPt7kG1MW+BMrg/JP9q7orLQB
ldojaF2tjzky8sTZy/061OdmsmxJK/BZplaj8G7QJ3psTP5YQah4Nk5F2p2amHh6Vh9IAlR3PdtR
rtsWGCRL0t2SRb305bs8tKtdCoPdmuN7p4JVQpVfSQ+m1uiLiDod2ml/WYX0omX4PnlsE7OwRUiG
WnnkSILhFIkBQGf2pAnPfaeFcZPbo1b7y1o6cZ54szKhWFN2uDyNUNfLN6lDO8IQD3VDXqAA5eRF
7SSS4av4HALxkqUKOl2z00p9G7v+WY4ad5SJrUz6Ya1REFAlB/8GUhOmqwnxjVUqo63H1sEiMcIt
sBJKdYPuDgodenbWIO6oiU+LGNlSop1EcNH1VWKbeQlGouNQQB0vipwSyqlOK0jPpQDGgXIINAyn
5J3mEGHwMM4+uqAC/t4NbWJLhfqzTK3ZroS3wqzRhKgHe6YyUfNbITbeMEShlcp230Eat9IOKEqG
irja3Vo5y5CdZFnM7HxFw0IdHQuBWOkNzuuNkyGxlB3Q0SqIqKAFmgvHJvkhmz97sP2CSAvYTo73
cU7yL4mmNktFQStYaFh/tfz4aDnxgXKE0s5W98Jri3yc0yuHi8V9iZPQZXOByEHvcvAnuhnYDRq7
DcVb8JJCpwhsTG7lT6faFcKlsLOX6wvmXO0sFCyOTSlKaYe0BehSfZKFO+j4WuX9dSucD6gyN7sA
6Q2tWhGt9KkG82X30NU19GwkR9DfF4GnifSB8r22qczlbalgswetIIDG1urKueGRGCpThCK3h7Ai
L2ByPqf5RVeFk1yoJ+q8RH+fNHIx16SwBWGyJQtUKvErBhH8VJBOY4XI3pV/aVLhdMCM9pVog5Mi
pAPdizX4XQrxLCLw0vX9x+8/WcgvNG65sKQyJbjWG1+f3bx6LrTgjz7NBzxyE927tUzKdsKnKQER
0W4gWVcpF7V6jQkn4dkdddpeWXSxG0sp5L1rucEzm3KgQBfivT8Z970NhNJXymokuBCN4lZFOGkW
q/SaxRFR9AjtoGF210V12vF70YRrchYhMq7cRt1f17dzv96+ub3oUdisslr6ISfkY8ybjDb0gYPo
UX0onyWvDSJv5aSp3E1lkp2KiGukqZjlku/KQ4LZKuKrP8TW6z3JQdgIk9ZG9c7l9T25y2QynshQ
U6LFyI+Baj4YfhOAqedIRSMz4N15UZKTjLOo/qmejFGUkBE0Kwa6dBTxhY5zDP6jZvfPUWPh/E0y
a1ZJRYjTQ/6FTqU2QXtSe2fxI7sEridyplP5neMsnOjLMrtFcrnEGi5W2vi/NY/DJTvlLnHr03yc
3Plr6Y1PYODjJMjUJa5ER7bwOmSgYkl6FAqJEHtiP2DAV3BGC2CVNQ4mZXG6pOC4Kc8kE5BTWdZo
Wo5bLj83KWDV1jHC+y4F75caZNIfpgtMoImNQlckUJZituwvAzmJclCNJzMOooqDd+M6Df2+m8Oe
rao0jDTvn/0oAGgjEBzItL9QUgfdz3zrIPxQeY0lTjrOFhMrY4jjUafwM7DaJGH9ELk9IOqSE53q
gAeC4TkoE160dmhqUcZQ0ACoZ4JJmuWLOuHdmHAcZL8J/Bk22fH9UZsB7/uQRI5eGouEJRCD+fJV
lJKDCZapOm29SP0qy0IKsT8QCEzRU2sltmBqh0F4l6X8yYjfk7x75ZxQTuhhsdi53nZrZMKXSss2
72a3uwxBEXS+cSmglpPYsSOHBuc5uY+W3mwGc4eMzQyhlhWXFpRjMV1WBmqZeUYbn5pFw3FJPaA3
g1Lqb8SkD2TNcicxOw716Mum9twkw1mYm/uukR5Uc7g3qu8l3lF6j1HtCCTSnA2idf4r0URlPIS0
bW72Cmb/9DS9Nbr2dtDJwdSTS2aAw2r5ogiNS+JnQp8tI6euzkmPVOYSqiVhjSUBlxAho79k/S2w
WZ5q8MhSOT7Awrl7sTAzI4OZemzsEu9HkzdayDlmLIC7lgpDXGnvZoVkStqogWQ1blb9rEeV872o
6/zyuTRFlCG+IFmYhP13xBLnNu60CP5c5ce47u1uuSEEvGp9AtrlH9d9g2eLifoSONT0qMVbanVL
fx3w4q19Fe1vXuFw1w02a2Li/dRpilBkOC6Z4SZZZre9r3OVnXf9fGOECfVEndRiNtEYEI+anx2T
oPcc1SfeA28Ge9cXNoaYw1+sc9SX9EWYRZ41QtzPjpT7Cm/s6x9nP4OjmEkdM/mmzL48l1GOpErF
I4lO5etOdsRUPkhG6XxTdGk4XET7i/o0Ri+1zUXZSOgpKzqqgFC7L4pvQwkG/de16Lzri+KZYbx7
1PJobVeafIMhgli5k9b9BSVVlGqk5+um9p3uc0WMc08LYPy6CucWBH8E6ERonOX3xmY234jx7Bnj
3WJPZVnNDLN1tP4m2MC0eEjzkSSmGCsp/1p8CRR6og96fkx4897S+ynO5legW775cnHdZCCkBToL
QQkzO00GPHMSGHfiwbqjU38YKj9Lb9f3lvcZmSOgm5E255S9XINOUPwgtfddfjMPHGYR7glgrq4m
0+tITz6eaqBbMvw11O5nx7T7C96j3LSbtyjmsrKUuO06Azkw1N/L4qwNP0xgEdqSd653b6vPD8be
VnXTrkKXULrM3InuFq+DqIkWOeItCqayPwaZ24j2770HN1Zp+Ny4iWEWJTQVoCi+4B2qAsIHSv0C
aSl9PGUP+v11B9m/Wf45fOwEkiVktSksiJGrdVQmf5Em9NRPSv82cK4w6gK/XpefhpiAMpezHOkL
Plrcos5e1Las4lXdEbcq1oukliEp5oXzBXmLYyJL2mldW2WoyCTmg6n783JWqmfVDPuKcwA4IYxl
uml0McKgFW6AXv/eDG5WVHanhNe/1H7/Z+MYbPxIqnGI+o9ZuL+blWB9txxK0iCB/0WZHF6xYL8k
srHIRA/JUERTsAACT89mUOCx4gJr7miXMrQ84311qkcqEdM0AWelvIPHhJNUXZdFHZGG/N0n6Zxm
Opiu+ggmAMrIBD1nfnttHxC5WSwTVcpci+UZcq8udK7rQ+1XjonKRRZoJ+HShto7VZgsAaFdQhl4
w9/E9X/a18V/n/tILMjY6ahgKL2jovYjQeGk5ymccEKnzgSXtCyLYhFwCqvuWYhTO9M7F9QHqMhG
B85H5JwJnUlUkpJEUbXg8NF6vGDXqGwlwXpCZ0i5Gz0FxIlrD+w958jzriKdiTNGUxIxT2G2BVVj
HJZufKwxKG0FlZvc8h71vDUyAaZZWs0gOfADS/QyY6IyFx2p+srZSPrhr0ROdhawb9RsUgqcBjXQ
/OmGuN8nv720wR9mljoTX0BZsogQ3EZ+UpzIBGDQVwGVXl4HinMP6ExM6dQ2j9oEzyatebWiYDbf
apQ5szuy2pAW53kDJ5LoTCQROszNyxkOtRr0h9xtfq6GTTmEIzv/4HaPvL50rn8vnk8wcURp6jrC
bKXsDiK5MUQSqE0RDgrX0TmXG4tSHFN5VfMKviceFf/VsOkseOUcYlv/8be7I1CFKUeGiZfEGkwA
mTuxnAURG0plpqigQi/bBQgekiA+a5o9ezMEqXseEoGzpwYTS1CIwDRFhPtVzN1W/IaMYche/+iz
sc/5RrDSSsjpKZtvmymM5td+ertuguP6BhMtqnUppWxChO/N9VZPrZuBvI6VCRB9AsY4xe9HM3av
m+Tdagbd2U022Yhp0XQCssn2daJzlHfriU6+Qrcx6NATTQ6SE6Mfu4Sii5HKgMf4ygvHBhNUlBix
uO/xuBv9EgIcYM7Fm0e6oyKi+Q3hJA68I8HEFnRw8gysMbjCl5eFhHr1blpP1fQs9JxjwLlGDSas
jJmQyUMFQ2X/GusvynLours+/c75eLz1MKGkXNEXmqh2HS1Qr68UEIOp+qcGo7Apmhvmj/kEoMy5
9BY7NL6A/d0GRCb1onteJshZLzsKBt3NGswZqNsZ6Nb2UePo4mgvifktyfOf1xe9Dzr6zIPYmTCh
U7QOD3UknRizmYIxjA/NgQ7Z8HSWOUGFHQsrU6nSFhNHYzYiOyGgglUtN254rKm8vJ0VCIYdwFpE
ZCQ1IPN9Z9zN8urNIgJnLFWP9ZB55mQ+6rOEX6R7JMlkzy3oGsSYczr24UCbnWXiT951S6HliKLU
nWScxegQn5EY+eAe5zyIuItm4o6RCfk6Gf9DVho+1vhGI05zAOU92D9B58pxG3rxXMmS2BGwUQKS
JlpxVhbxLh5Mu25zdx6dpnsXgREvQP+iinaRYi7M4Fz4+wNKm31lwo5eCx0xCJLqNo0cA7zPgK+f
x7Q5mcp47oX2ZjLAWjJNJ9nInCgpPTUpgyy7l5f6u0EKJ47jt0RuOZ+bBodrG8LEKPQJjcgcSuQH
oJOadCoH1HxRoAWAjtdZJ+Vh7FKHdNWffggmaPX12mmriIuUIviMEw1U8o/sQLv2I09tmXOE2dGw
cZhbI6pwtCTrOGBaXyYYRjlc96z9W9syLVm1wMTBKsAaRJQjgSJuhvQF8kp981CBx1Y6l3koDn9d
t/Ufwe8fYx8/31zXUkzyQYSkuCsoP6sk9qboXS/8unlSWh8lZjsBqOS32O0l7dMok9Np9VgIVoXC
JNpNEFVcw+mLbps25g/cmMvPtZ+RfxpjUjkALcmAFhaCECCEyr3GZTHZ94lPA8wDMK/HRM4tBILi
2cDbk86uF4EUqF8s4Lo7xB80ODlZ1n9kOZ82mcgKPNOkW+Axx5jSiB5N5o0heVE/OgCCW71wnIS3
hUxsHaFnu+QLBfEd2sf2tnmKkAqoD3UY3RofFO2qxmnP8ywyWZyBSQclj3FzxI3TpTlSgJ/X17Sf
YHxuIBNC0eEkEejfMcBbuGM6X8zqEOV+brWchXyglH6Nip+GmKjYD5U5KEMKnAFGNdr1e2PUjhxn
gSXI3txBGS8Hl4IxzUDLEx/jUo46yaKjZ4XdRb3Xy5VvFFJQZosvSiaENCpflVWnAACvlqBBEecY
4ZqBOf1uSqV/fY/oHlz71dnAKpVikQp4n+tiKJHaqzEyJFaOpjsJj7qGc4ZYTDTRiQmtXcTwyewc
BZhhTOl7mFELr6+I41YsHloXF7ObTfSyrKZx41q/6NXAuQU5m8ZCoAcQKRU6ocnXa5YFaRta2nuN
caCF41i8HWOizkLMSpDomUwllwyerntr7l3fLV6UYQGG9ZKqRSfiFIL+6YNVsf4Ap8k2qoXc4u/u
gnRFkU3VUFTLYE7kaLRkVmsJfJjRUUP6kid207xwVrSbtG2MMKcRqg//u3mQ6x8pvw/KrXckpKz7
Fi8j3fWEjS3m+GTapJCoRD5EDuQxCUsfkrOkcwyvcyVHc+rAOOCV7JDG5lUJd4Pbp2X29TSP86AB
mgwucK22y2Wxu/heyUND5gCa9iHQG0PMRT5Wmo6y0IezzyDgTDEv2wLRFEa+EQAH92V1YN8rgyaM
vjYvBaczzfEY9j0ltrKoCx3t8ACZkHtFcpa4kC3eVjLHrE2JBfQisIVdi/rT38SHxZN+ADbtjmLF
oF3jxw+8jd1PyzYby9zveZaTBhA10Hw2qmc2kT3PlStpJBgKxSnS1JuT3kNf0q1lXglzN/3cmKa7
vskI17ZogT+B6TnzC93B33Fr50rtDD8yTE9cP5D0DPxyxWyM0e3fGJt6S4NqJbb3U1yR8obwgBn7
kWxjhwkuZGjKQi/hqOmBsoVMPwlEGuLHNEzc6UQ4xZp9v9QNHeBdQ1FYQJyZahic//CZ4qHSHRMD
I+n6en3j9oPLpw1m4+KpKjFmh6r2rMzuqN9mErgIm9pOoru4cq/b+g9v/DTG7B7UUaK+WlBTg8KM
mB+6KrVXM5x1xZvVS6f+GC3ooK8c19ivJBqAO4mqLEnGx4t/4xtSkw/N8MFV6Wk2VUFXQuJaaInH
nnFZvgzu4rYeJixQS9TvB5Sh768ve/cgbOwzZ7A08lzNC1QUYmt+McCppwrFpU8g/VXL5777Vvfp
y3WLu8FmY5E5eiTS0gEDT9C3Hey6sGxB9QXTy+Scs7XS7rHbGGK8Z7AGuRUKPMAqb/aFcHQtmxa/
SmytCsqt4dV0aREsP5I73tNl13E3phlfWtI4GjCfCfJz5X6eJ9scKrtQ79vhewzaoOv7uZvubWwx
tz1p+iwWepz6QV/cTCkvfbpybnneJ2MueTNel6TRISZCwDpUXOosttv6lGC67fpSdmOKoej4Y2mi
yBYpzZb08VqgSGmYN+Z0yLVXiRsk6V32SzDe2JD/HYxTrSpIM6LfrwZJmPvCfeEUrzpkiUqo3Elv
POZD3pKYq7XohKXX6BgteiyzFmpFaMUP13dtvyq4WRJzhpdYMSWwGtEldV8pa2viSAGkuOzeaSHK
NnC+0r43fH4l5gAr6yIkJeXhUjq3lBOnX72sle3fEnIEGOIfb2DOb5H2cmZaKI9HxWVKHNUA+XnW
wfPOscWFke0Hi09jzImVtVoedQUu3rvCLfJYN0K9QXpBGTHQgvZD+oscTaglJP5vPQs362QOcKOR
SqgqPAtnI4iyi956SX34QxdhTvAoiAYB+R9c5G7yNIAGCshGJefoYTiIIXAfb9ft7cc/QzRkRTdN
lQU+L1kxzMqigYGutaPmEmeJ06AxvaZOmXy/bmofTmP8Y4vFk+mkXpK+B+PnAn58wUb242Y35KGu
3LiyK1Sm6mBMKSQiebluee9o485WodSDhUoys6fWWsiJtIA1pTIrexHHMykrT+gX77qZvb3cmGGH
i0AC0qUTQV6C/M7W00AA//j4PFoXUvKuzL2rZGuKeem0iZTjdsaKNLmCULYIR+TJc+9umiKDCBkR
XlbY6ZBM7pVMltGtlcQvQOY8oJHpymP89fqe0a1ng7y8scIcqaRNK6sUEeTTg3mUwj5sQZiNvn1w
3cxuxr21w7jAIBuKoM+oT9Cq/BCsIeXkO47eB0mUYsucnHsv8m7MscO/ZOrzIkrBjiJbzrTUtlA8
rPNrwgVL8uwwfhDpmUTIBJdbjmagOlKYBVUQN7Z6KF4NkMSTI3kCz9c6cW6W3Ztsu0Dmch5RsOwF
GSE/B91rFyzvqWu66XN3kMP1SXB5nPu7R+vTTdixX1XLil6cQJuDYdppOGvFq9wcCu25lH7jEb9d
F3NDj5loFhVV+o7U9pA3JaCaUVhaPIbUvWR+a4a5mUtzGkuJEq8o1eOg+4JwEsb3tb5IaHwW99d9
f/8ga6qpoIUjGiwRUaznYyGJSGxW0Iumt0p+5PaIdlursvJpg8kAak0h8SDADz8Qi+cBuEEloPDI
2uHBtHaff1tb1Fc2D7ECyEilSPCJ0sN8Vk59OPnWkQIxeUGDt3FMbCqKKjHjiDINd5LdJd+bFLcH
APp/9nmYyITRFkFA6w0lHaArMdqSoWmrvV+38R/h75/vw/bVUlz9YpojaUoPSJkewAzglM//x93J
KzVy9u3DWTYfCPNhrZ5BtsItdc8oDhisS3OHsyAa2H69Nz4XxMQfIdMgr0krUmoAJUh/uKmedNrL
d9vK4VF57d9Rn7aYl0HZCEokxsDB96pHZE+zjrXYu3NrukrzLpQXSZT9P1weE4Yq+ESEbAkAm/MH
/btDbuvwg9Lwhefl+6H1c3VMKCqKdkpkFW0VpUGm0tc3a646aw+Yav2NTt5dX9m+b5gWJsYsMMuw
MDOkR+VkSDi8rRWCtsiD/FdRrO51I3u1GksyYUK1dMvQWJDlUouTRaYBIEtUScsvAKb6Kti7+lNu
L375bfDrS+tQLswYZO/GF+61TD2C8c5/2WciR6lOQ1b2i+SqoyvJT3nrlhixIY+zfC7l3Knri7g8
z8KPZAVNDE80Zicn+JdxJqAQoyFWD0oMVyucefgLQ59V/iqMnBP4ASS+skYWfyn3uloSHWamhDz2
NQbZ4vqQyXg4ZOWXrrmraW8wAtvLtDhVLrqDFdmaCrl6zQShJDlFKrHbBbAjQc9CRRtu6qoCAa95
Rxb51KWABMrKTdO8jbVq60SwMbB7UAvjtgFFzyoqtpRmUHHRwlTOvSYuHmatdbout9WiuoFkjqNa
FcAuqr/Kg9eJVmARy0nkxkmE/tx07UUpnkFU3dujYTo4AX4yCGEyqQfZeiKz9ITbLJjFh6XRnG7q
BScbtIMkDMe2qH1Sg6P2usvuJVTbr8YCS7UumU2pLyQABRUUF4u7sbdrZMMUn1g8kIrb4Nq7R/9l
kQmhUWW1VRXDYjpph3XtnaLKbmQqFaB/7aQsGIv1nJnfxGLm9Gl2YgDOv6IooqUqmsUmJJK0ks6M
R8lFs0CKz6J11HlMiDwTTD5igRwevCsl9GMaDNN3ZpAb8nPXcwn0dq6Gfy2FyUWGtB4GpZtooBm8
GdBxoEeUC6CJ7nwHFmlvugWGxMekuRff8kqXe5f6v4yzUWadlHFWBkSZoLqQV3QPHSCf74Sgeogu
vFoS1xoTVmJBaZok6nHenRESKBCX1l3jpjsrIApMfB7icv88fDoJm7FkQrdoUomdnZzqeUa5gIq+
mT9y1P+GRzHkgSF3EvLtXrI5Sw+qqqUqC8h/5LE/C3LYKoA1ZN3XSundJlIds5+960d+N05vVsic
v8ZS40WtCDZ0epsW80tbqfaU5QI0GXIeD7W8c8v/a31MDiMKxQrVdXy9QuiOAqJ2FkM123gfZdBR
qfVhwnB9UoJQOI6Ogo6Wl/Ks9ujr5dl38JtNsuDI7WwXbWOnPbi/GkiTLgBwaqMHYgN//n+kfdeO
3TjX7BMJUKSoW+WdOgd33wi2x1bOWU9/Sj343DKt2fzPzJ2BBrw2xcXi4gpVxewN/XypR3SQZjnn
Mb1/mFHvIYakq2B4/j3g72IFAnMEtzmhMxIdo6WpGGXJ7v/NdnxaYZ7SXaKWBijnAYeq00ioU7sk
uiOaf93K3gABNuLTDLPrRqYOohomayJiLSL1l+IvDa/2wVLROPGQ+MkRahkN57LmfUFm90ulAe9a
B3yas2O1fAujU6pyNonnzUzEOoRSL0L3D2w3am32k0sTNwO1RM6j9tyZBvrNkdelbh4XhhoPQZkg
tErO1UGDJEsAbsRVZ4YHePvf7Nct9ZHN3Bjq8jCcRrBQozLk9KlHiT/G7nVn4B1K5vbIFW1u5KAE
ximgW6Xk2GZFZWpNYgaifla5TNtcUGVuDAGcgnKbAwXo+2x1yNsIFvpj73qXmGudW684UQ3PKZg7
I6FT0ic1bnoJDqGftOG7kvrc1y3nEma7tdJQFIxi/rgHQ7/36EHxEkia8dpYOLvFdmstatqU3Qzo
NOTupNTEXYUfW602w7x0K7HinFnOt2M7t8qlGOJcSGGu8yb1IC2dmULpITE4e7TXvr09USw1nLRk
Jc0kRbLF+/QrJtLcyZZsPJZeYwvo/iC8z6ANjBxu+MJbIIMYuaRpwVIDlJKDiCaI/kJW1UToeIae
/H1VTSQ34a10d/3IcU61zMBH0lbTHGbwyFT2ClDuKf0DyII4n5S3svXvG+iAjEWgFhUIMOfc0erU
knBDGmeD13TBM8PAh14lIiFVjKuEVKZSDk5MRTObNAxXRJxrixMeyQxw6EMtN5WCWRFSaBixSTNb
XXtIpflULyGU5Bsv7lv3v20VAx7L3HRpGSICVKp7ILGpgfCDV/TdY4reOj9bs9ElYdSaqYMT5qBi
aqgVLoM7ziA0z6mAB0ppLiS2ZQHExrUumWM4WwEVQIBaHnR55jyMeDE2Sx2XVW1DhQbBAb1IrgEa
idRqnPywcnH/H5j3OGeB5YzrK6JMagZAW0MRRLvHwNat6fR9pQDrD50Xuspf17eUu0AmEFGWaInG
AlBNL5MdWdrrgCVKx+ZG9I0DNw2zxlJ/pCg+I2yFQRhQ1cjKWMKD/uaJlF7lAi8kYkJPBpDKVabj
ISmrCN82Q9Bqc7s+yNbVralJwUwxHUrPK39F5q/kr3xqNd61zirFZ4o+9aGIr9o6yDfZkoncQWoN
ICBpzPY2dHkgup862HxYBnnUXskWrUKw14tPsv6K+qFZlOFJU35Ic3Vfoxovtoc8GDmIsH/R/4qd
2WFOjIfSGC2WGNQI8ksB4b80mxwaS6c+6N0EE0Q1zV9CFN84V/E/oMSnYQbQY0rLUMnhSBQhUpm/
jMPj+FcZ3wiNnwl4jgymOj/QwUrQjVAcEpkn3Mf9AcwHr2OCc5OkwMJWfcjSwu5lGCkL3YqpekY7
PrSq6smqY+1c9MkpboZjXPcOWictXY14PRj7wPH5OZjbIEmGSih7XDyB/AZBDXPRT0vDKVnsR1uf
Nhj0F6KomQqSYYzcaA5CnECCKhFcEK+a0ixlVijJnJfFR/v4n2jxyyKrHpeOJEuQ4cMzLGzuJhqZ
ojbjqaRbhfCeaO9hX9lxXrhav7iDcN+UgUVK+l2ZoIlcx1C1e1z65ksqoVd8flTW2ffuSyd0bqxJ
ri5MHgdJV6S89muZQKZtGrXuerhkcl7c2F9QOl8ZcGV31Yblt8PvBwCfH4c5AWmhS6ie48RLmL0V
v+NOLKlP21MBSUH18fra1v/r2tIYZ5+lGBXYGTHaoIAJ66uSfaHVW5Pw6Oh5ZhgvFrQxz0DwjNxd
gwqVEXphN9mFWPgDtCGur4h3finjzVE8132iI8zobMmVvogOehuPzSmbMWcGdWnfuMu/cUxydoyd
DSSkCQL9Iwg95l+DY3wURKv0DKe2pcZUHPUU25GXnQMwb3Hb1Heqc9skB6sdp85toNZGBW9ZJjPs
F0cDoUYjPkTdj6Zy09DplKOUPPbl4fqiOVvKashFA4aoSh0XcJG8wzPH6CXpHlT563+zwgQxDdX7
HHp4uIbaVwOBaR47RZfZXBnN/fDl15ljxeMwGqIgLQlAkj/CiRY0wqucfOo+8torOIBuMGCCmS9Z
MaCNAu6fJ0ostbxHxfv6R9uvyX0mvlh1uHZKQWu0frXWUVzdX17BTY/D0D+0eLFL3vQT8/vgKv6Q
tn7uPF779F6T8W8+yaBK2Ezxksmwv6COeiTWJUa8ixjJhhDTY+d/T75KlrPO2fNIWP8hPPvcRwZo
xBHczGP7EZ6tT+vCbUAiANmL0dYsRNm2wUu78LaTQZtRmYiU90jzRO1x1mzDsKjmXN/O6yYUkcnJ
TjmNAmogO9FiCLhbWl/tAnOMeWQy16MARWSSsvXYSlUnIQlXJ362vEzkfpxfo/SbwIuw1qfAP985
YDXF3zdP9pbEktB2MGSUFcqS5AuUyTnXGucSUEQGNyJDkTBPOPxdlZat1qw98mZYmqfa+QEkFn7O
raJchxBFZF5AeZ2XSrpmZeejaKnWiFHZtUg0OcFJ9Hko8g/vn/85usIW9lrd6IugrNfcrHa79u9P
p/qCXNlD4GNm9muDQT2iY7xMs687IyeprojrvbDZvSDQ+nyWcb2SS3KQ3FUDkowmWHJwwlZxmdHX
DoRzAtZDdM1jGDwp46pS4wWnmnTnhiD+u1laCKRAAGZpQBz7V8ALUDk4Au6531e5UKLQUYT/ROce
GFq4ka0WFp7rgif7qGTzvIe3QgZG+lInU7bepklML3E53hhNdu4leoqFarZQUYK+xYQBgz7j7Cfn
MLK1P0WNaVGLMFxr7X0rz3dL+XDdY64HRwpb7sM2KUUQ4QUzZNY4lJYoY1HvVfeeg7i+4IELzxoD
LoIUlmCTxSkEH7dpFK0vYQ5L1KjZx82l1n8K7eBdXx8Hnj9caXMgaNxrjREiAOvo10ZDW/VjwFMJ
3Zu23FyoygfcbWwsAu3VsMUtgyE2b6W4K2w9gDipchmcAH02tb1y18/+MJo5iuAiZwuvx3rKByZs
zNeaXPV0AmKL75hdr6Yz9ClLwhlr3mts/G2RDLIgPabFOTpPwTUQ+vNzBPhcjvMZCmcXXrqK5/UM
oFCplZdiDcJI8qjHt0LJaW39h+TbL3j+YM7ffDHVSBewF4NnZ/aip7WArz+sezSfEfVwlTa41hj0
CGNdz5b1OY002Et7H9xJN0Jm/61ZnfyoeJECJ75Dr/Dv6NhCEIaoa7RML+C8sNva7E41JA0FDKgi
zhtt4lYelHtq+IoZ2lwW7L3tw3CgLMrobpMJy4Id5PGC2WNkU1HOcBQfVA4e5lOBj+lZdBVMHUuJ
WfJmIffO+dYogyygxxKVRIXPGJIZCSdtPtTh2/8/lGxNMFGLWE89ejlHfNcFgcOI4VGkuxretMEe
RG6trF9345s0a8CU9tFNpoOaAsK28+3Yv03QT+oVRzao/d8WtX7XjTm0mFGStzUePFSAFFYoAYpx
dUPM1bxuaA+lZBHTSpQSTRJZ9pyyTLNhgr/YELQ/ho10Cgz9sEjh3VT9i9ZKY2OKvTXnFkyZRIQD
qvm3Jp/NSjPMvuJcLPv79Gs97MXZRnLZ1oqOqnjm1vlNgNmGRnwLVMixFmZj8HoZdzPN20UxDh4r
rSh0CzBL9ZpDDza0+IBoByJPvOru/vH9XBjj5oaK1AGhGhaW4xGaNB5kSq3rvrACOBsxbtfC+DhB
b42SBYjf+tIBgZxlRI5SfQcRlkF5XBm81TD+LYWhMI7ZGt/ktwH6pXj7sr8UjHJhqoAais6A+0hD
sZRypOg66RyPZwKKMRrYVQp9nPvrH23f4X5Z+qP5Jy2khNQI7bOqvmDE61gF2X0WDXY2hdY4Bm9R
LnB8fB9UP00yj845apt5nuBzJeghE3coTtq/mJ81MIwGRKCSrOvsTH4ZL2s6BL2XIbWywi3Km270
r3+43Xz21gYTuohp3SbCGrpU30GkbvVe4A1PmV2CNDtActtFJsQRLoLV4d+KkzghCmLkwssFfhS9
/vD6zVJXV9pAbdjr/ZhHAu5FKbdHvbzk4CwzhZGeJRqbilx0Zp9TR0hEi6p3iYz00/JlyegF3Ntv
U4/mXnm8icEkV8jzqeroYxeMz3UBco8gsGf154ivOFfIaoYxNEgqfyhGq9Whhw42h8AsW9EJpMVq
G9kdBajhSjyCil1vwfQrlXVosqvsKHRH20LU82J9rJh57c7ET9J/E7nJGxsMCkphUgxisuZTbwdb
RbNEaTXfjAvayFe5O84M+Xp2/9ywzwUxSDhVcjJOS7lCbnmTHg1H8foDnwSDZ4ZBQwwX1oJWof0j
DTsUqcZHWSlNeYHGbtdYaT1a0dxYAxq7rx8L3nYxyLioQhxoHT6lDM0aafne14lTkp4D9bvX/mbD
mLMX1C10BboAPfjRM0FdLvDrFuWS/2iFOVpJLM5tNkUr1fJbQ5w2OSVzb2odpzK2e5nIQCqI/KD9
kp0Rzilqu5iFQqlJlhGOXTDvYv+LTfm0wE4GCwKd6CLiIJezQ+kLKrwC4Xj17nsECrL/WwWrjERA
nVOV65PY8CcUzNbeN+lGgc5gDsFIHhPvRx/RH4doY405sUsapOoo4puViXxsq691X7lVGD4G0BxM
i+klGhFq5sXi1SXYSmr5EoXi99CY0WOrJrdD1H8zuvIVTSmXLhBtWkCFUYX0Vlo5NGxPcam9BA06
cbokc69vxW6WUiZQdQLPiajILGV4NjWCIChoSgwzszh0d8mjCEZWvJ+W+x5vqPxWQLPR4brR3UO5
scmEEyElg5EUSPjQ2tWDW0m872PnP5lgx1XCKKyjqUXEQuS3ZgxB7y6aMo+/8qMp749t/1wIO8Wh
p8pspCXeYzpmRsxhqt1cjZ1oqjBcXzptOn6DCo9TNAs6zypkYgOttSIw4HZh7evTkpppgAzR8iWp
Y1tDW3ZQdU4e1kjgkCc1JX9d/ya7GcXtmWCg3igbpcEMMUIE5UcxuGHqk9Srl8ocBdCdRQ4uzWlx
RPGhAFmY/q/eRrg1DZFQCXqZDBRDk6gRm5CgAR48PvHPfjz1w1HjldF20QusRwRObRBQAPwef7Sy
PhpKiftZlMghzdqzAP67699x130RBBuUiIpK2OruQGJR0CbcmFlvpRi6Xi5S/HLdxG6KW/60wZZz
l6zSukQDROKNVcTm6ICWzgf74YN2D8wHljyt2s7cKvKKU3849MYs8/WkPqRdtTa9tk51WDkbwqNg
oVPOy/z4X5Uht2tkQHMowZrcxytEN8cUdO3xAVon178jZ6sMxuMHGW0TSoDPqCs/Rgx8Jc9lx4nW
1lv3j0+GQBCT1hpIJ9gWU/BwKbUiozSmElsOfirVpep/DsF54PnE7tNoY4gJMtrFmMdKwFrCMrPS
1Onz2wI0lVVqthjqyDkYvX+Bbswx0UaY0pbGA7w8acTjqOXgkulfE6iV9foXqKT5cZve1jR4NErF
W8rAKSIOXK3rufZh1++xeUmg3bUoYk3Eo7P+khbjsUEH2DJllzmoOW+nfUsUhSQNo9c66yX1MtcF
OkGQipUqV+6xRFVC61Xn6tzJnF2H1Na5FtWgVGIVaTCoqRpZg3tJzvwalDbZkYgcn9/Hjo0N5lyh
bV1cpAGZ+tEieAWi8BAe5zf0CA5QHU3M2a/9GUpeHLO77rmxyhy1cTRmUVQEoCLNzDb3u+ANSupW
nJ6n+VjkXOJjnr31Iti4R5jQaKAUOb3osCaAI7e4jdzOHC/otHnt3VWOML0r3ay3cR1fR5Xdt8xm
qesmb0wvczKTNMJbplVyPF8HsyfEF2Q00I7fwFVnDlmFaSIeM/d+ckyjBPSHKlExUP272b4uK0mW
Earlxd0svxmV30WurMZmn77kgltlpwVDsteXunudbmwyh1Bq8IUDgjS7Nrlp8z7zhr12i8iQkfy1
KCYWHAN1yiIVMUmatgcFb2m5SX1Md/gU1KRFIj/WGb0VjdyqMGiGlPElUowzdC8Och5hQgxM6wFG
5fHcur7ufe/6388y2IaHtAuWrlGA6uBbN4X0VkRHojaGtlD1ZoP6dsV7r+wNOm3jcManhmXqML6M
9I2Cy36t9gaHNfep+ryVrf/RH7D6GbOyuke6nC960QAdUul+fo+r9yHl9LXvwunGAuOnyCWkbZWj
rT0NyheaT4cijN4rAQK1ucQr2HFs6QzWFUaeGmmM2YuqrF2SjV6GN0Umyl4p/EWq6k6ue4v2smrW
4vyTdE8lBZ8w2vvp2LrQJjivbbTXPWc3HvhcPUt5YFRjUTUa5jwDqMYZboIJHkU9zsWp7znDLby3
G6uwE44zkfMUl8loqUfRyexwQrYvvazo194ljmH3vKrl/huCgD8CVICqBFLT30FoGcOKigVsts4q
dr+qzqtvqtk5mC9dm5s4QcD+Zbaxx8B8OYZDWxOci1VttnI1N0MfRIfSGkbYQH4Lwv7R53VC7G/h
5xqZs5hkaR8FEwLTErE2Oqrm/IFAExBsVaV73Vl22+Tw6DbklZBNFNmOp1RTi76OQoihQO+GWMuq
4HYT+qmTe/Lj5ISWiJbR+stK9VuC6heUldd/wC6+b+wz50cNm6xKBnhrRQQ3SqJXQQs5cLAPOJ9L
ZDxmHBNQmxjIrxeNAAIk+V0IQ2epR/v6SnhmGEepxTGXqxFIsExgDK6PfTaYy4/rNnhfi3EMAfXQ
JosbyW6ES6Cdkbq5/v/vX/Gb7VjhbhNZKP2ATvsaKb6uKTwjeENkaklqZUnLcFA6GdoplZOpkFpI
Wg6S8pbGgHaTBsVQCoJoD+VTEHwnksNZ2m7QtFkaE0noSlaHYCpB9vJYHcB08xh4EUhackt4cWR0
fttrmW800R1p8witeaaZGEOSp0GbJTi56oF3Ha3zmrfOBPFu1v276Jejf2zuZvOqslJF6I7ADMSO
QWFmZeAlAccA6Mw4dwwPNti6rCHWgV4TpArHY3GIb0QndUavtHJLv9CD+Pi3ypEGPZPpUli8O4Dj
Kh8vx806U0NNaIImKxv1FxfB2yOdtO//zVv+6GgaR41kBXBxeRStyW7NzM5/5IOjoYLVYn4Zbxor
t7NL09naHS+du4//nxvJQAmtYiNNAxjXwmdjOCbNaNXh1yF9UYMv19f5oYb1ZzT2aYpBlFZUIzqH
Mh71ZLot4/nZqKhJl+x10kFjtDQPJDMOrdp5+pS/FbJybJraLWVw1pIGXDhfBWiUkzapHMwuWv2Q
PS9tA7+bfKX+WQ2Vg4cEujdk34hSL46Wv6Zgrs3MqG8mAf1T4Jmpusmbk8TMhuVAkvYuMuhRkQ27
JtLTGCpPmMDy5DmxRjJU5pJHz5OiHaWBeHGuHsNqsQ09wewXKKOhqxqCHsvQqVmQyW8RaYka6Crr
EFSBOOFJnaCbZM7dmj7PgnbMjeggK89RR6t1rtru+vrnMIxuOctg/bkVSQ3FHPWykOIl6ia0z8oa
VPtUTAMZzdfOAPe2mlnaoJjD2FxIFR1nOUZdVX69vkW73g6+VI0qqrSWv3+H5FCpV422ELX1aTrG
ZLjv2/jpuol1k/9wgk8TbLIPulVJrAdopKWa3eP1XEdmSXj9IrsvGl3TQcIjgSKLJfjUh6WP5mjN
U0nxyQia80jkA2YJrRQc7okhOFli+NfXtZ9D2thkMH+QDUxbr8Rca/CmgpZr8AOfQCgodw2bx0O3
2xImb6wxO5VK3ZROBhFhbbBXon3lFXoQhjUd6a12LO3oqJj00rmZNZ94mLgLGZ+2WQbQSul7gcQo
aaCp3ark0dOjyQ1SqFK0kTlQmYePu3fNxh6TqJ3kOunLCmstzhkIz7TT9I0eJqjQC958qCykIg7R
+7/Kk22MMsGi1GRdmQiIi2l+I803ddhYSxmbU/383/yG5f/sEkNR9U4X1wx7c1D8wJYeuuNkqS45
xS6PmmA3PNgsi4H7si0lKVv9ZlUcbsFlOborPQYvPPiHatEn1jPBXTqqCQkNAzWppMvAzm2YQ1ye
VaO25vZHrTcVhKYqr++Gm4VA/1Hp3xN5mMxG18wInAIJmMviSDtWQ/+Yd7WlCrNTBI0pVijgqB3n
YbB/dj/jtY/EzeaWb8N8TvGgXs/uZOPZZQeHwFcxcYh3iMtrG9lFwI0xBiiEXB6ySAEC9vRGqI40
PsuGy3Eqng0GHiYMACZER4JykqB4rjoJHpK4egp/fVxBG9yGMqzLo1vcY8E2Ng88tk9VbbUOKpR4
MnxM3V/AJwA+4skX376vOFieJQfMFw/Xl7oPDr+uLMKstMHYbJimgN1cgfJAfDS6BAxPp4Arj7w+
3a5cXGyVdWXKWwodIW7bmLOz9sDSv+Ij5AhuQgsc9z8UXsZjRZhrBhnYy1ui972GTP30RT3qoEtH
UdXuYwSDEFHiNjXvesznvcwmlyqlqhRjXZ4RP5TCAwHZTMOJLjhbxWaLRHCxpHGDUDPHi4S+aakf
Lg8ijxBq/3b65RBsokgl4xCnyoLjJb9lhYQZjtAUxMtANLMdX647H++jrX/f4EaelmmVj3jnjSXI
8MDAPijToVa+XrfC+27r3zdWojQ1+j7Eiuh7Vx+V8pgKl4on08dbyvpZN0aSBN1DBcW7MZ0NDKUj
H7RUTjzw+GP275/P3WHAL48wvpeogIhKi8ClZXWkNzshtChNrVn1h7m1h4grqM5bHAMSndHKEP1D
xNLYydNKDkXukK109RtdBxHQSvOXUzR/29f3bT+f93mm2AZPRalmdZqBTRTSJaYMnbKVd89px9xM
pOGQaNHFQJHRkJabTqnMXKjvauk71akfdoolFfSe84M4GMY29M1yNYhgV1j5kIgHuiroL3wnt9J6
J2Cwnhcn7l+rm/UzMdQkk1X5ET41uAtYWDQoxlL7b4Xw2K6/XV8c59yzWsxtEAdL2+KlToPXBk1F
RRbhoWfXGVTfFl7EwHEollABcrLZMKvISUTGVzJehvwQdJzN4plY/745kKjS4vGioKVah3CQ4uvz
Ycw4xHbcDWKQJWkkRVha+IPqKe4QmbpuQtzXlt3OS57nzuRFnxwkowzI5KSUtLQEkg15Xpi5ZDhS
M/rBJH9NJt6k3e58k7zxPgZqkjoUxKjBjVam6UvU34cxuLj6+VDW4086Tk8d0oCOIRUXGUoGRcYl
BFrv5z/v71+PULYROjOCoRzAFIuPOxwW37B+zK4CfR/d5nRl7HvKpyFmF1VMQ4AFHTH9mHtT9DZH
DuFxiO5v3KcJZuMC0vZFvVI7iuFFjI6Lht3L3+NhNq8fYp4dZs+atJ3LMF0BSvSE/L6hj1l5NlIO
MO/O921ez2zb55r7EEARtb6euzPerS65CxKzT8zWi1x61tbWSdRb8teSondAeyKcMsH+Lfjrc7JN
odooDVkpIRJa2ZtaD/wmzlrh4b3C/uF8f9pZXXSDIaqegSs4+7CTPS02Yro71dQ82V2e+XDPcUON
Qfusjcc+VqhoKxOyifNPacqgkEc5n45nZb3iNkvql0pOkdjDqaaqWWULeuW/aOXM8ZDVz/48u4aM
aXlqYJSBAd8uNzIignPOnrXKUohnIO6epMOU4EV6O/AG/NZH9zVrzAGWOl0r1BkHWG7PbfAg8OYl
dr8ZlQlBoyBUEtnAu5sq1HLCBuUIHU/bYUSKsnVy0nA+Gs/MuszN1qQ9Sg/ZCDPypJhiPzpjlNmC
2HPgbhcjNqth9qbva6kBjxECfLA0CyfaetViGjHHym44gZ4IxEOY+aLszGM6RjKJFiBR3GSgwTQn
vTcV424EnAccU7vOtjHFHhxhmjFEgkKYnIjnBG2xk5S6ovBUiU9x/A0tTu51kP2Yhv3D3zYGmTO0
0LYRJji4LT3O1irCoPjTaYVBwQE3VOA2zpomAL89QifeWOeurxuyoQNkVaqx4sMy2llj1F2hxyv/
GJLaigTeE2Mf9TYmmEukz4M0nTo000m3vRNCX6/7hoczRoKKI5/rc9dPDMzEihI6ewz2lu/DPo+z
EN9yDu5K/ZyPlyT9kolWg8D++rbtf7lPSwxKREHa9XRBXaAlJ6p/XXpONLh7rjYrYe54vYnHNKdr
nW16j2rHIJVd1ke5azl3/C5MbOww2zNEYhOMI85vlKFLdTIcEiq4KFROl9HeqVIkaFISdBroksY4
udwLgZ7W6CBL5ftIacy67E2KAqXxVk6vTfN8fXOUvSt9a44Bv5hUfUQHkLrl8Wuolc48DJ4xkcde
7c2SGra2RM6ICa1Gnj1dGlxNgepd+zgYk6VEP4QiPyQSBluj3i7bArNjk6miPx1M/2ZtlHZZgYZQ
ktE6rB0q8V4ALxONNDtAzwbV/1JwUDWkWSu9MeMwR38QOQfFZNfTY9fyXnV7brhdKAO/EA4vkHND
7JTL9fscGPi9+cv1j7l7grc2GFdvqBooYofUV1GiQ6xcTAU84iJEcJHybzxKXZ5o1W6rz9Yi4/wS
FdKpqHHhk0sIIQ1wLWO83pG8tgFu/F9UAPZwY2uQOQV93geiukiiHQuv+mKr+mGYrGm29MT+jx+T
SX7I8UDyvlDFD4I2gjYElL9eVYgNSE7jSbxcy97p3qyLMFwFqlQTtS1Xa6MHTtIyeahln7Mijguy
jcW1KhrJUq9IBbXFVSkcUc0biCpBElgfarfweLMCe9C4XRRzQwdlHBTVjKckrrRTnipuP0tnrRW8
JJsOnMXt2ELI8SkjxAIJuNmVhkK2V7yffy62Yku+YOlWfq4PvbtYog2ZcJs3pbR34n6zypzqWBuE
uFtF78Zj4LUfzK7dUYP22GqNxz+/V738zRpzvsUgIoLSQuNxcLtD6kS3GBTzKl8CXwGWiQS3F9xI
d+RS+hk30b131H8zzhz1SUgTsoigyxjRbFHfFNDq7F5TC+2EHvEjTHs7/3FHmaOugvFx0oUAVXU3
8JaD9lr+qL5hpNyhpmKhKd7N7UI1w3+Ro/ptncy5J02a1QtEru0wvFSal9NDzGNL3evK3NpgM5yU
dMIwGnBWcsm/IiKH+qRhIffmh3crAZxx4GWQeI7KpjDRQSJqoaSscm/dAQrl7+qThCLmaBeOcGg0
Tsz10eLJhMq/LZA5+WSGqvGoQMQT97eVYk6MdrovoU8S6Tl3IE+kac0p627CJEXtO9VPqLrZEkb8
1Oa1UUSLqF/LZIRTgbc4mLO/2iw5tFLmD8HgT6XulFFm9s37UHxrtO4izOTSTqpX99lTIqRWnfYX
RZY5kRH3GzKhUYJIVl4wI2nLl85ea3Toaz3It39TOHOv1h20/u0TMoAmLWFqGOOw6tmBuqM55E5w
yE6xt9wsx7U7Ar3vvKbWvQTPbzYZOEsxZA9GV3jJ9D3w1lqd5kdu4xvP9Rf5jphrh8SMVlrptkIf
b8szv3MH/madgbdpyYY212fIUrZODSJw9DVOnOzwTrj5mwkGxDo50KKlAV4PLj2uGaS/6/i8ki73
QzLYpRSqMqcLPqTqCbeL3dwGd9/l24+u5LPhCM8l7tvsIgOt1XeeOOFeBve3RTIIFlVFFah0RI31
gPoB9KfEQ3kAAx0Y43lbthOObU2xbUklpZBIn/E91b6yIxmTLkiSGTfa137kZR95ppiknBSoBFE5
BF9LzQzV+yR4iukLyNmCLrc5N8+KTlfQiyWNJSEI4MJGwMw52rlx9AqXHqAl+b44OTqEeFNRvJuV
nS0DZXmdYhgLfr92HeROWZtQYTE1FMztBPSj/4dIgrdCBlxmqZyMukkhyHnOb1ZWRvGwWOi/M5Mj
P8PJCc1YLtmhISPpYpzrBIQYSvgShoW5RI0Zpk+cjeMgCMsoW4V6II7rxnVgCVH6ydR6zQ8L+i2O
sxt5qNyg7GJbDKbLOMgYX55svPvMmmp3eV3bQhR/u/6DeCtn4AbK9JPQKNA9bWXhKRBFs5AlZ2iS
A3Jk5nVTvKUziCOoaZ83KWQ0VRWDe2iyFCrEoxp1r5vZBVCIJGga1TGiyOb39FJAq36NAw91+FF8
D5Yv2fB1WI71cikEjLVzAonVD/84iRtzqx9vcqOBLBS1lg4KCJJax4i+rIJk1xe0CysbC8yl3i2L
ILY5wlq9DE7SGDj6CNELpXIWgfh9x+NI3PWIjTnm4E0gxp3ldFRAjOg2gZtTuJ3kpWFtX1/W3piA
vKpZ/G+jmKu8G5M4XigyN6M1OtJ5OVWnVS02uefddTyPWFe82SINqt+VNsHxJnftw0MP8UF1kyOv
KMPzBOYo1eMogocCnhAII/gy2udGiB6vf7P1iFxzNuYILcNUCNoM9BjI8zI9kvY9iN/l6JSrdsYj
qOXZYu7opCeCIBXARDAhmRF9TxXoRXZWornxHJkKj/KAY46tnA1pReq0LKE+PzwP2tcx8YrFT6JD
Jt+Drfn6Z9y/zz5dj+VVidp+UYy4Vuw8skLdXdqbEPT25VOe6qaoxGah+EmdYyLWpxDtoLyyEOeI
sQW1bgE32IIhalCXm0rxJVZu8tZruQLavE/KAIfQ5oHUySE0oN3OBjUBsimTiEro4NcjyLw/WDT9
WjTJTXbhHQYOaGkMinQlJOkzxOr2PL6r3bdccclMLAGzjBpn5mevOXGLIxqDI0ENvaUkJAi7fvZW
Z+c3o5d7BOo1okts8BgdMhBZ8piUeetjMKWM+yiSeoByNhdOKtWeMN0aJHCmqbxIec1LvvHMMdii
C3UfSRHWCC4yhUIwCyydaWsq1ClG3mD4vtugtow6DrCZpX9Mo7Eu9BhP/3l6zpXB7aMXNb8fQfQy
BoUp85J++4fhlzl24KhYSmXKRJhLZGRtmtppMoQF4vdq0jkX6f498GmJic/rIhzqLoWgfFN/qbOX
jgomGcxxfmiCOxHEq5F7HWZ2Ax710x4TGrSy3KXSUqv2TDGrcJLT95TyBiL+4Rb9NMIcck3Hi0Ms
EwVkv/VNj75vycseEkyhRZwq0v6jbbMc9kjrUzO2Uaci3by4q7ZtFJmas+rX54/ctOX6s/+86T6X
xRzqOhWLeuhaJBK/947mKqf4grFOy7joR9nvv4mc5gOeEzLHGTT6ejFPMDfndi38P9Kua0luXFl+
ESNoQfKVtt0YjR+9MDQaid57fv1NzJ6jbmEo4lzt08bGRKgaYKFQqMrK/BE0N0N1UhKeYjbnaLFw
dAlw+LSZVDDSqPMz6RKL1MlTl8e7pp72pMl3YTxznP4Pd915J+lvush+6oIYVSRPKlSCLYwA20BH
YhDqln43KOHdC/xKHm8zmcxhnud+LDJaWoOSvYh7B2OSewHaXqb/Ibzs6E5y4BZj6Wna8JiPgsfF
OvO8KQnRUFNoXdD4O9KxeRZvBpdC07VXXrbCOwwsQ1M+C50ZY4AQ/KFeZnqj7gjaHuPWll4/xpPf
aE5cPbRD8DdvqPMZZAU2BVmOwSXaY2vj6F6NkztJz27GjNeRXr9ufvkMK68pGGScTBVmoqF4kIXK
DebBh9i0l2JkAyO2++1AyXGYD1bQi0/XxvG8jGkFWdf0vZnjKyHAMAi6oGLYuP/OEhNW8jIpE3NA
DEvI2zRPTiWKTiDGViPxZtLXOESRlpz3kAkpQSkNVVhoUM5Y6O350i/mzlS/BRnxhAEKRuBWHufc
7lTB0+L3KYzsCHz3avnYhKKdibnfGKNthPl1jYtQEHVLmmfb7B5M6ZuwyE9ClRzDcsrsqCqPZHrJ
OqxCmO/GATBoRbiDbgzwyJAUQut4ew/Xq8wXK2OSkbkCtaekIK9M9nSoNXZjq9rNnuSmXKAb5wpl
NTzzLo7GGFxHDjGfB3WXkJep5ATI9ZgM7gIdhG6qxOJWir5VowElRGepboJhX6rHoti15IcEGpom
4ezduqefjTHBeJGVJMQIA1KQzBaMKzP3pPI73iHbX2j1+GqAhYEETZE1Froy1k0ryWjlQ1LqJHV7
uXgzhD24sKzO5L3iVz/QhSnGyxdRkMSSVlvayjaGqzx/lbi35se1+Cm0XxhhHS6uVQzo4AFPKwXT
Q0svFKfaCdeA1wNf2fjlLTCWx+RvOuyyfGGY+Vz91CeN3mF15i7+RscLclCTAPcxocxa+dwrbLWC
cGGOuTj7bFLEBS0cZ3iBfuBb4uS2fGOiXIEZKzS/A5fHl8D5euyjO4+Des5iEYFX8xbjIcqdrvy2
7YucNbFPbVVSzKVPEAYV6UkMYkvmIZh5a6B5wcXlAYkSYTYnlF2SsXGnXLL02PDE+fv2MlajxPnT
sKCjYezUqsgwSSKnP3u8+FQNNM03kEosnqqU91BZw/Fd+h37es7FNCmrBY6g3Mw2eJTAYNgd8sME
4VkMVu+jI+2U1LsCkPPtZa5Ntvxmme72xW6CWDPWa1ori0501k9266tQxfix7usHDTqwic+X3VgN
ihd7y8SQckahP65RaeokvCiaL43+JRjvJ4GT46/fWxd2mDDSlksdqST+J4woXu5CMBxtBdNHp+sH
dyc5QVhjYkdnTJj0kDKUuykU/At4LXz5VrwJTr1TYLIwces3Za9eSZzpQt5xYGJI2y5Er8EC4NRt
b0lSdztM34quetn2E86pZsFA5tCAbmeGlVYzUysqWyvoZd5luf50OX+wT3CgjERJPqLciVn4E8XL
GE58AiHqnnjpvekMr9uLWk/qL+wxoQS5Ya4oPY5d7Y5ue51/Ua6BqXfq+9DJOFkHzxmJ8vtBU+a6
rqOE9iWb7K6svnbDS1IFNXjlj3rXXTfAyNWV7IqCcB31YFSIeXUX7mrpN7446uYIhttxyBXsLqpz
9F24fAj80VEWwmv+8AILYQLLEiZKRHS8sBuHQrsiSHdHN0h/UYYMbxUXGMojVzyI+vpG3kCYwKKa
ibzkCb5n8GjYk4cpIXsCfT/4voad/pjKUMH8QMulDm0pKg/b7sSzzoQbYYnEUC/RWqOAFjqRr/gt
OOl5lVaeGSbOFEERQZ1Apo18ipsh+xmD//+DUB51/q3NpL/jwl1SQS8no2gQpR1s5CtFV+V2/f2j
jtBxsVWcMMYOZTezVkcxAHOA9d6SMHeVDFzI5r88hCz19SQO0xyqyj8xug5tQNZ1YFEpfCt4K36k
b9sewTsEn2axQRqephWqBqMt2sA34u1kvMYH6LeBHI3qjrVvKAptG+WEanZGJEedIshNBJqhr605
2Ak8P1+/volomjrRRfMjil84xtjFxoDRP+Aa8cLVxe7QF4rdA/E6goJ5ey1/iFnAnWk6sKAyO2c4
oFktDTQ9oZrEFPKqQ7tw37n9PjksvDbN+s6djTEnKzM6QHnnFg299HuV7YOUU1Fd37jzv8+cKL0D
DwAo3cHliNlFaa+Ld3L0rTZ4/RF6k3w+uL/MsAiYUOyUTkXp8R/wBrqgnQXCV0qkK9lUO/Z/AG/w
TDKVdsgFokbVLpQmbfEmRKV0cAebWMmuu8LY1W34vO0XnJ1k4TBDnvaK0CI2xZV2XKDJMeGMtWbv
J1PPccH1wHTeTebeVpe6kNuKPnhzV0+8uTjV6uO/Ww31y4sDtQiCCaoopD0V+nQgVMnCVzEtrZo3
JcxbCv37hR1SLkkF1ShEo2n2Fjn6MlelFZqEs2O8Q8tiXpR4LoWpBky2z3fDQIvrufIzvYkHdxyt
7Eltj/oouNt7yDm7LM0wqKP6OOxRWaHyFMMMwWuR43Nrchl4Kp09gQkPdSPEir7QZrwneXQGU9gt
+C+wSoDKLnaF+SSKfc6sAeEJhXZgrsedesfDa6x3gC5+BxNGGhKWYzn0ON9gTi1rA5ytghOLol0k
9du8JC+gIHiZgvs2zXh3C8f2J0llfRm6qADD2keOU9uJY7oUr5gc/grD8WuRn0SVAQ1OIjkFzsGo
M/CvHcn4OkQ3Q2hPwm2WHaJxv+0/613lC4PMWyBcqpzS8lJ0Cu12UZZHIlgYkn6nExaUqmV80/dc
ccT1V+N/neqT3rKqLm03yYheYP23lO5HDhRrdheNYIrlafNuB81POstVpid6pkHmz8y+lrhNgehL
Tg3vw9FT8Ofb55O+ctT0QRPWwDpMkV9EXgSxq8aWYrsTftY6J9XhrYj+/SKgiUIlx0Emo+7ZHNQa
BKMENNeA2BXetnOs2oEyB/BlkgptBObEyeUsDCk0GZxCIrYxgc92qkOI4GiHXq94jkjvyk8beDbG
1ugmUxznqUIxlxY/da+1g313KAFqiD3e9Pp6fnphi7m3c235T72zt9H+9FI3vUIQs5W79kMEtfsR
XPPo2FYvoQuTzDlrWmPUtYxQoaZTDOKw6gvROFvIM8Fc2dICorFeRx9eCR0x87vprgt/bnvEeon6
YhnMnZ0J8mIsRkpfEuQw33UOkGYQcgW1/R5X9+TqPhqRVsF9/XFckQW/dHNoNCCeB1hjARZQtYLx
qESHynjirI9+hi0vpL/j4mgFcmWExITLk6+9i9EeSKzNN70DmL8Te7xJRN4HY17ONabNaxOSnU5W
5LY0xneTId6iEMRrx9NzurUo5gYXhKFP9QIgnrm9y4u3PHpPpZMa+mleW/HwFP9V9/bCSZi4kUNu
V8lUdH8IuNwLzdegSgtK03/3qdjaXGgIkan0H2+kwYl3NGCYbu1QOt3wnlfm5PgfW6Ib5i5uc1oy
iyNbHd2k2IEaoOQ5BO94ESZK1IWhBSQBpCD/OQIOQifLRh8IFEhbty+mP7+oYPSL7xce7mo1jTx/
sU9VunZpSK0iRa7k97m7EeQHzsdave8vDDBxI57rRTIjzNAYV5Uz292eHCK7tqESeTvsvpcnxZ6u
q0fepcw5YGwxThdMAF7AVejow9HMa9tAzU83ObcxzwgTMvQin/WwQ35sZt6YHEv5Ry6Uf2XDNFQF
FBiqwspxNeEilkKpo8leVnZEOq/vvkRcXoX1j3S2wqxkiRMlhh6XAmqDU9jfkAhrKvwuKGwlu9t2
iPVNO5tiQt8oN0HaxEg76/5m7PwOvNBc0Zn1jOJsgwl7fYdx8rbW8TbS38URyaz+LEulvdSmVera
vhTv4lk+pWJ+u/SVvb0+3lYyITButHkwWhQjoniyqyZ+MMJv2VBaS/Gzntuv28Y4m8lWPnLQ1iaz
XiD3JL5ee+J8Uv+C80CWya+9NJmMKYxNUSlTFNGh2tFU39v2mJvO9ir+kJWdbTDBz1ySOVFC2km6
Mq6GE7GVY2RY5l14Kk/5vnxNb4xr/X3bKG/rmJxpkupR15sCeYX0YhS9C+HipuOVrlWON5hM9FvG
bin6AJUBU89KS5ogE7cMHibrEqM8aCTc5SSCZPeTqYPly3hWEgwDmfm3tMCkX4BxoBDs8FVw0vXC
j8zFT9v4h1EUkZXLqTVonUcIpAh7cmMsqV2AfUHIc8hh7LW+8ZAC9qNpaWaMB8Iy1FYIXYzMiI4D
plLGWKMKDG5dQxKpb66zWr/BGPUuHeKrqpr8KHnJx4HznVe3HCVUEFuDc0RS2M88a0RIU2QjRX+f
DF6W/ywnlXP81msxF0aY7yqZUjMAaU/bMOU32c28oPA6VCgoTK7iCYPwVsR8XiKV0Fihw05m85wO
vpQ4LQ9ju5p/XKyH/oSLvDTswrQTBeQfEaRcNCeL90S2lsnfPg3rncgLM8wNkC6kjsUUjtqg7hzv
pN1kdTq6ZQQCLo1Pcoun9rDeH7ywyFwEupG0sYbeBLpzs4s2PCZB5xsKssIIvR0/b6+P96GYG2FQ
MwmClyESU2g+iLMFktgcnbJtI+sz5RdLYmL/3CZjm2QfSzJ8CiBWoAuzj+30ofYER9vnN7zslPfd
WEZzXRUqSJH8t/aduyGKgaCTwODiP7XvwubNm/I+HDt/RspJatsUqeqAaSOwTLkTqkbqDeU3gbLQ
A2dPOV9OZYIGyvraFIbIH7UbzUmfyCF3I/QAgaCAvkS5Rw2ZC1Oip/bTq+n8GVle814ro0FpkDzO
4Wibff6Q5wNPQmb1YriwwUSOgmRJSkrEQjq4EocWaHCO+nXj9qcOur6SbX9Dh1PnjpfzdpOJJmM+
ymNJv91oJLaeyreSYLqdUXK+2roZRdah7UpAV8gE4UE0oj5UUCzQzfp9MBaUjqR3ZRA5wf4Dpvv5
S53tMLvYCW0fQq8IGAO/2RMoF+iW7I9Uw8ABdt+8Nh/Nr8U16Iz2s1+Al55SI5Zv2x7KWyuzpU2Q
6wqUHDDwasxgUZbRHfyaIKHYtrLuL+eVMvE5mgOjkXqkzROkk0AMO8yuLnlp4i3CftvSuvefLTFx
uZfkzGgoJiUE4LbWIBFZ8aTn/hAozzaYcKwtYFYIEloTM9/U8Ido+GKzT6tD6vhdeawSVwQQBtPJ
xI1Gjs/8IWKebbNBeln6fApQe6EwetlwlB3lBMhVtMXpVVeXO950+foV/ssiW68Q86AsxQUhLBic
oHgOMD0/hKD2nl+2v9w6qk4/G2Jy9VrsZ6g9oOCt+vJ1/USL+uEB2DoXFZ8THS6HMA34kvkTERyf
YasXI9HVrFgwvRXmEOEZs/2SlxxwG+cAsIUKUYoX1POxtsbciyl0QzC0qYLDQQTApudFZ0r1tBFX
CBNXNFPuxTZC16cRGmeEVkjQNschTQ9BKVpL09tKHTxWcWUjij9sf0SeszDhZEKmEo4ajl803ybV
Xi4fx/FoJt+3rfBOIIsckgy9N6QgwAq/Qwo1+Jpeq7ZkTbvxNZN8E6qsMRfqvl7junBPJrKQeQZe
MEGOGTyGT4YvA55IEsCch11s947oQF/aGfzowINJ8baUiTZEMSCDJWBLxfZkjDu53kWGIxMODGFN
OAQY+1/PG3ZixijrCNxocJrRFm6SveRhYPOKMtTIr4svPFLUUudnvnhnOp1d2f9DZrZ+DM+/gMmV
klydepVC7sTD4kjA3nRv1bN423vKB2vM1HE12/4Qcs4mmZt+BBlPOso4lsYj8clVfFehO1y9oYFz
Ck6qNTogPcFnHXcT74yu37tny8wZHdKoV0Udme8A9UfwYUW2ULtoSDg65mIb4lHkB3+P133pbJU5
nrKqQj4ox0fuhwVDNXdtewM5ZXtW/qrVd+FN9IdcvPuC3pi1UqP9Fs0a+5tJ3oeKmw1f/ioOnNfD
nMlgCDNSGLgNafON5k1ZdzSc1pHsOAbzSeoAk99720bpDfs5up5tMudRbVFOL4uPrI1ySP9Xyeev
asAXO8hc9GNcoqZOu2KkOZXioa1UDPXzasCcI6cwpIGRMQn6rCnolOrfC6M9dk37V5xX53UozK1e
1nEoTBXw/3IdDJaRy1akzD9j9LJLOT5No4ErCZQrdjKSr4GAlqYY+Cba6tsfbR0Jcf4ZKuOQ4IEr
55ISU+Xlj2lx4rKyFC0Grco1KV7KjhKPjKrCSXu5j03GPyMIdqHpLSO7Rl1CtWsMqCjX8V5y5V1g
Lxxo+apjGqDDBY0YdHNZFqC4xAr7GbUWpZl2Qi3ZWrdYWvQeoMomQ+7FzH+UmcSpGqxGlAujTByL
k1JW5wTFz65IHALR1aLM7GCc7UEoOLu5GjIvTDHBa4prCdJyQK2Z+asy2JH+Gos8b13N0y5ssG4i
kYJ0kHYGWcHsUx2lygshH9qguNM81074XuMNZtzxZOU+pl8/BZULu4yjtGpTBXH+4SiYR3hrXSoe
Fbrds/ruR5E9/ERGdUhsyGTd8GdzeYtmIto466KQ0iJdQvYYwbdr86ogjhLLtj5y0oz1E3GxUCas
FZI5pjPBjavfKx7KL4f4MbXzfXrb2dGBV6XbPhEaK7BeznPYkhmPWzrjQYfvFV/15B0vVNP9+fPH
01h9ZYVo8xS2AIoSsXDmrHTjHPS5yNKSaHCKEPd6EXHiGc8kkyuhpBQ0OlTgnElNfQFzCJDhbEEI
NPk6yNl5M5jbh1wTmTSJ6BNJQR9N6S30G8nMrXKJ98qc+IbO6+iuA7t+OYgmMgFFTkNpLEs4Y3/I
TtA0d1s7/zLtDJCwyt7wEwrg9rwrn7evh+0ToLGyA9lQpUrXo8A6Qg5FGb5X49UILYUutwPxcdsU
zyeZCFNGjQq1UtyHOTp7oEdXjqJA7HS8rpR7pdl1AZeWnff1mNgCyt4+BjacktEV++IVUhvOjNzo
pLudG1jYzmPq9UeRZ3c7XGsiE1XwkA/VPKAuCmRZ9T0SdknHOQXr7ZILZ2GiiQC12XqY0fnVLILx
Cskq7eY4etFO3un77e/GWc5HgnGR0epDYRgFvX0WYET7qzpyccNum1h/jpyX87HcCxsknqtinmED
dOUnDe8CSqKPDttjbk+5Re5lPMGAkcqt4gtveeuFpQvbTETptF5KQe/yi0MQ0k2p3f3DIfi/wdA5
h+7jF12sdi4jcYj0GdgU876cXrU+txRhH5g7mSdNxzlzH+WEC0u13DelORoYgThA9h7YqH9IO7m8
mTQ2bVwEH53iCztZNHSkDjDBGFxlt+WX7D73Q59E1ugptnyiqFuVJ5jC/W5MPGlEoTUSkOI6yuyR
+oRStSVrzpTcL6E9zl6s7IP+EBSHJNwr+hPHYXkLZkJLBzysKIGyE7CzYh/ZvR9/Ba3HO/RaJReA
Hwedt5EXV3g3xMcputjlultKkP0CU6f68Tf6cp6B1nqDq/qKK3poqdiZH3FZ6jiZi/bBrX1hNp9j
YpYm1krfmvFOf6PD5lTknbzxRzQ4G8uypZBhlsTBxMOsLG+N5KjyCHV4bsOWe9JqJAsIShRwVlrZ
KfBBGupXx2oH+WkwSP8lU8Q5vLDMKIleQmtlRmItSn6T3Iy9TzTOvM76G8+AiLauQd8EGie/Fx16
sTHnAgNQCJ+YYTxJR8rOG+3yG95BX/86Z0PM1RaGtS6nAfLKVi0jSwrFN1mInb86W2cjzN02EyI2
iQI37/X+G4ixDkoW+3063tat5mhKchMOjwbYH8VUvQP4ys76+kZPymujmv/q6vv1S9gOQNKqabpU
qHyCemzfa+mx1n6OLa+1sX7Bnq0whQKpUSZ8PdRVEtx58jfwm+Yqr+pGL7HPAfpsg7nkoqoz+9ZA
AzFFBXf0o5vyhaDVDFFex7zlEnCv1uHP/sgW/UkhxqqUwuflj+fHsFN8wac3eGpt+8r6TXpeFvXX
i9AUT7ouJFS6oCkHWzUgRgKB98w8JuGPLHG3bf0hDp6N0e94YUyTo7xvM0Cqxvi5XqxieBhbrzRO
hfQqhCeh/UaCK/C5hgPnsllPY892mYuuAzPXFDSomM7DjM5GZmmJBGgH/n/hvXfWa/0XX46JJLIZ
Jf3Yok6qXlUn8x5ApwMkmh6oRuPihnti0UnhzF5et/eW9x2ZuCK2hlwX6oK3AThFhG9RYVqj/pa0
TyIS9m1TvNPGRBddLqZgGeGbin5oljetQD14/Hc22CFhUQ4DsxowW9IvolOj65Ug2Qs13pORsxR2
SpgMGZiLS8weSVqCCdp43xWj10Q8gj2eGSZ2kGrp2wWi8U7Yn6AzpGcHc+A8AHgmmHc2iPPrNJCw
YcpwaJeXHGk+jxmN42KsSnMJWLFEStTrirjaYYLG1eLyXZ6zx7T+AXFEziXGWxD9+0Ws6MOuIWIE
dpk82dfVnWo8aiOvB8CJCzoTF0hfgwo3R3KfnHo3uyV2m7oEsKWO6gsfooPoUc0B7X37/KyjPs8h
guWlWupFNYsGdQpaJwRBstNfoRv4/D3fU1CPuuM3b/6Qs/2KgDoTHhTgKiMiIikEl+SRlgh7v3se
oSwpe7XHBxLxNpYJEXWKmqSaUXC9gpR3Unyx6jxDbb2gjh+2d5PjlaycSZkQMx5SupmKbxoeKR7U
2M2lzOo4EfYPj4dfe8jKmCSDWIwDHd4d7d6VbROzCtArJrcxxGgwOJjs5Oe6tdvjwAu49ONspB4G
Ez4EPR/KzsBR0FPR6sbbuH4pxJsJTEGLq85v2/vJu6RZUWbw5oG+skHNp208rbUxUWAHwi4KbmcI
yJYnif5HuCpxifWc88g58qxCc65nQ6+b6PxFoSvIlqJchY3PWR0nsWLHCkwMk1fpoKNWYXzXoMse
BYtn9OoLmNhFSxfVQ69q+MN3s+HAOHhPDIMJNkqCzGBICLpZzfdaPRKIbc7xaRzsSgntTLOF2BbH
iHOP0oO25Tr09FxE0bZHbb6lpaf5QJlKuv9UuHhl7D9U085ng4kv1ahJo9LhWUPpLyCTfkMLQMpB
AT9zzZHe5HkJE1vEso9yYUalxMAUA7hH+0cIQG17CU16N3aNnS4AT7gkTxROoLeHMHwPek67jReO
2dmCJE2ge07j49BDdQMIrF/EDVQHo7EzPniVtyYmiJBGVEDSBvfrQNztTA5BSzFQLPVVx3UX7URA
6wuLNwawjrY5X3VsYzFbYrkDcxvFnE2ODLxz4ZQUqfBo+qBaw+uaN0/GiZXs3MEIotYsznDRNUtj
LbXbarUzFq/icDv0r2rCqRtw7jlWXaSFfr2M7gaSFPEqM1+7ZK+mttFwPJ67i0zoICp6DJKM01UB
aSnPX8p+b3RWDy3H+FEBsVS/zytryRYrbu+GZV/G3vZ54EQRlnJhVqW8NIKPEdjgUPsqiIgkUEnx
vIVzsk0miEhzkPRZjwRzLm5BjhFERzTEtlfCM8EEjxjzIYpEKBJLKXYKkM7tbD7JkfG4bWbbL0y2
e1hkWpjrI5KSWrOC7Bgtb0bjxCnvlbQuyvfreJls+zDVq3GKKMuRgrLV7BJbs9QD4GUH01Z82u8a
vX9KFPwy4/pOQqtV0bBjoMv4/WbJpKLswAMD0wnYMfLIycnkjCZPIuUP6cjZDuP7TTgbddGh2jh+
oVp8uTvt1Pf0NLkFvVt229/tD4H5bI25L3Mx0otEnEGlczN54U5BHRDDbLvemZ0S49A8JY4/JAVn
e4zLJwHmoWcB3GmTFliZdN1Gh1pzZSATDSR59WM6e1rGy/B4n445BKOqxQk4NxC1ZgvIODs4gOHk
utqVL+YVMspdfB96vOEJjk0WLiSroFWIiQoQTS/btXBXyKlH2p/bn2/92P3aTRYwpBtET3pKR6OP
z1phiaJsiVBEnu+2zfB8kp3n6qJJKxMRxzvaV3sKdvzee5jIsESLv3HrLmlCXVRTdShkE6a42Q5D
OUuYkcUVCtbOFODG8jH0B3c+yR59pGo8lYjVTOHCIJMpxEQQ1VZEOw+ShlYm61bAD1z03/iUYV3Y
YMoVAxiORSlHNjItki2FT1WS+kEeO/EsuokmeYaEh7DSPwmDaelhbcnmwnk3rjrkxS+gu3CRGUfB
mBmqitfcnO6LMbGk9HbM99uOwttJJkZK1azXJEJ9oZCctCksNX/ZNrDq8BeLYIKjpkozXmuU6BFH
WRMnX0uRDozl18ksOO+Xtf0CCxBwcCqmYgmbA9SqoWL2Em5YNDuIY1bq16Z+3F4NDXasU4CsRhYV
VRQNkZ1dVyazFPIWwZdkt4Z63WleMYQYB3XTUMdYNgewtTpDc2mO2bwKJy5QRyjaRieKAEgPyYPi
zT/yKwVspLVDK7WDCxHyG0ydFE8U7hB7Eec9Su+TrSUz9w3Ro0iGMjjif4YhZgzvLLOlDyeznZ30
b+iUL9fL3DVBMoa90Jq4SZdd1P8cDFvqX7e/4LqTnL8gc7PEEORWIg3I06yL7BKYUzkR3XDm8Rut
XpsXS2HLw4sS5fEgQhFCPGAgwl526j7fK+68432ftQMGjLyISS44OJqQv0eJeJzNWJnxfuk1y0zv
WvOuz+085oXc1Rvl0g4Tc8tBKZJAx6QMnOExwAhXpahWBshlqfb+qAQHSW/2U5lZ4bQcKqBh9UrZ
bX+71Yvm8jcwMRl0FX2EBxsdIIae9DVkNnbhKT0hPiPX73fKO8ce3btPvi+pGh2IlpFDMs4yS1mg
jXhp/weBjczuGEJKmk5gCJyzvlqfUM62WIeRZGkBzg0DqrS/q3vFPeWnpfXW/IbHSbR6pC9MMS4j
iUq+1AouFql15fkhaiK7HZ6NwFJagxM9Vo/bhSnGa8w0bvKIPnaH73KqWOa8WwYerQP9ChtfiSUZ
VYG10cIKX4kCYGg+rIHvCEI9HO9bP2i/nIFtLgyFPMejhpx0gUBnLN405UEVI7v5G+IIRZYw+YJb
zDRZuF4bpamQUGbEHqWXoiF2Pi+QiOfFjXWHu7DDXC5qGuUKprX+ce7udrEwa3fQocxTPfJGoVe3
7sIUc4e0JTha2wzVgVLWbFWST43WOiWk7aqai4VfPbMXtpg7RMEwuZGqyNvE5r0VrIZ8nxSXdFdR
6+uN3Y7XWn6/RLymKv1XP/mgrELFgzLByKwPZmpeBRNe7g7wv3tF/t6m0nFUJktSMQ/axnaGm5MT
nFY3VTMlIGENWQJr3++Bvw6aaRAWsGRQyI4Evq/pmKG0A9U5aMqEdIoJk4Zo/LvbdlfR3MqFXSYt
bVph7PPkP5xwglU4lWP4wz48pHbvibfRtQHruQecjZP5MqectRpPLozTv1/kxG07lkmbQ2S8ItFe
jjpbj9OnROCx767Wsy4XyRwOsVkIiWbYCaShdstKp5p3qAom47Vapp6WJK9NKjvpGH6ZtCqwkvZh
1ptvTQ8qm5n3Ml370sg3VUkkxJAV9mpYUjkXaxGdc7U5NcZV2r322l2NnG/7y36+FuC8oFJGckRk
xWB7jR0JTWQsRHXM6TiZD1D+aapjp15P3N39/Lb63RITD+gjOIV4LAW5zZmFpjN8h1gmporhNCFX
hnslGfvdHhMT5rzp5ShBHq2RvTrZgu6VxDPH9wUUaJV6Un4mJk+kgLeZTOoQ1ElpygI0O6ZIeyC9
9GjUkxdH06M0iEAOjj+2v93nc/HbCtkeIyGhnAsxGnBFmtji4BbaS9txLkDOktjuohEqURCDd9ap
om8R+UJCwc6W8lrMvxJxvP9362HyBmkJF1Ol7PnFcj2He9O4r8q7bROfn76/bxkTP+dB6ysFGZcT
abllardcCUbefjGBUiLVBBQPMmZZaCwCyhaMqA72bI7HFPeFNQ7glvh3S2KioyKA/qOZKWpIOvRm
ZOky57OsvAJ+3zQmLs5GPEtmEGCW4GMmEaQmB8g042EDKm/u05NrjYkTQpySpKLt1mQ/u6hi+VJo
had4T0ud8w5TX9vbx/tgTJjQa1mfZEr92E/iPlPDU9IId42RuV3+3Me6v23tc8rw+1YyEaIzwyZs
O7wQDYLZp2LaQ31DHtDODp5KqPwo0fL/ro/8ZpDtGRalruga+jSO0isHQWnsaQj3s/y4vazPl9Xv
VpjHhRyToZdjZEKqAp9AmSJOPcm4jUJONFrBqPxuiAkRQ2xMcggBV0erhX2rN69S3loiaZymma3R
DK9V6dsoUsggKOA1YTf1X8tJ38VmbI81l86TE4DZNuLSQWJehmoA7ZdKg5/rj0vC+X4ch2Ebh2bb
Dl084NnWZpVXSNd94s+l6VXyYRQcknzZ/o68BTGxRBCrKYpGpJe1eV2YhdXVT0Px7d/ZYKLJkA1z
gVwA1Pm14uI94McxCK652dznByL1FFXRDRGUNzLLilSGbZJAyQ+F1HL0WmEPZUwlPSzaQdNyWxSc
mYf4Wd+7s0HGNStBy5WgwdOqDW5j/bbsDtLEcX+eCeb2MhQh1osGnUhRt0l629ZXQ8kpSayHw/Mq
mPsrlDup0wyYoO/Q4VhCB0x96bTn9i+6Fb9/IMbXlKTKZZBpora0gNtMyazGsMMCb4vAEtAt7HZd
6UUQ/4zfBS6SgreRjA+qUBdduhJZTT729thNz+X0c9ZHztldTzbOe8ncZKY0j7IO+UXHaIbjnInw
jMXbPkw8EzR8XDyNTHQFlzLAgTWmm6o9VhnH41aqb79/JebCkk1NamMZkR1cOdV+9Et/xOT3YnWu
ZBve8BjYtc5JaP6QAfzaN5aAHG/tuGoE5BsGQJayGDuDWu1BL2GNgnGdNHeNGO0WqIDp7W2MEaty
lDm/YP06O/8A5jorQ1MVQlr2lAcIcYnL0zAMV8JiukuSc5IrjidqTNQoplGfogkMzXmyG7Qr2bwq
J86R5vgIWzMI9TAVpAyrKbsnURuf9Lz9vu2FvEUwQaOK8yDKZqDXxHSPWnSq7giPo4LrFEy4yJpe
iqUezzkqbqUc80cBpdIKhIhedFDveHPWvBUxAYIY/SClMxrgku7PxDPIG+G5OSfSsrM9qCjoqj4O
qB5J+zK5FtXEqiA22r0CdPfvPg8TJEAwh2d+BtFNqc4dE2jXcrLQ0Nw2wvMyJlC0mjxPUgNREIzm
2qku3kgpF85H77ffC26/BSN2bMfoxEiWIvhZ644/ZbsFVkwxHeFR+IJrfqfQDeREAp7bsW1uZYoW
g6r0gVHUVfvXeHQGwVamdi9FV2JLrBiKbmW508yrsdhv7+gKjOb35TKxQTAWJUdLny4XXBs/ilOz
LzzwZ9uTPQFEMzUWOB5t8SicCp876kNj3Oe9hkSxKkrA1orM94TYjJoXAxKBZK94rZViXKSz6hM0
l2+4Ven10/bL1kcp5+IWqwYCmWyqGJ9ldvF/pF3Xcty6EvwiVjGTeGXaoF1lK/iFJck2c878+tuQ
b52lYJqoe+6zqjQLcDAYzPR0A3cIZcD7+N3/AZqmHeALTuwG3pDxPi1nhexs8myGRRRGmDMt8sQq
Wt8xJnSqJyX/lJdMzAi4e9/OMsVOxsFWCQ9wz1s183lT32/aXkkwG2GOeDGRfdMqduGXnBRhBSBO
3eiyu/RULXZXrrpgIhS/hov7t4TZPdiRKMWXYh8/8ZXE0RyeSNtfnmoXs8ylYGrDpAxxSUFgok3b
oZ9cUJRJ3yvd9G041D+z5+0Tw9tR+vfFSkuUTGdFRDZktJVHhB6MdCNaG6rKwy//JSxcFsfcD0JF
hrwX8PLLaotSqoTe3HkGthRCoV5cWQlnZX+pZl4MMrmk1BjTJIep5ujTTWQMli5BPfM89rtufCCo
xwS7kfuE4m0nc29UlVAHNYRGHH84mMrH7P/o//dJp6++yUSZpCjFWE/Bql320N/NLVJ5pny/7RU8
T2RHj+dZqpsmMzHrhjhav1Z2YQtu/D7a9VuP2UX1mrzyqvfrebMhySohJkBSBrOwLBwABy8BwU3N
92baxbkrdceif/Wzzorw4MllTJTj1OFpE05Ow2MtXE0uLubZ0nAk9UES98C1RUN8wBDxvZ+lH34c
/xIi/7s4lTya79WMeWGPyZjRxo6IT5t9XSBbHbEJuUqp1givEcVbFxMzyRDqPV6OKB7ks50OpltM
A+ClXXYYM8zl52b0tO08q2nNYmFM8GyDCQ97CdARdTIeCmmyooHHILR6zBYmmECJOb9Q7iQURMK2
smL/VZSeRoMD7ed9HyYyyoCDj0mGZxxw58Tf9fK3svhQotLZ3q31o2aougkhM8NQVMZOrZat0lBW
0MaN7imWv7fyGNqPpuVbmTM9Q8mez7n95/AMgsjCKBOMocDVa3KAPMk0SivT5JOBw6UMoMEWOm/q
Wxfc0QcjlMG9/3N7vevecVkuE5VFIw9iIaXt9OxBmr53vLEBGiX+SMIWK2MjsBEGwBhjO8NPRV8T
StSSm3m8xHr9VF2WwQYromtK62PeVOxmS0zdBjRBhnalSveK5G3v2Ho2clkS+7ivBFGpOwI4DxWB
hvz63Nj0JYcHkFPvhANSPYyaCAceldz6IftniRoToPyuS0HFi9bc3EqWNP0wy9QtdZmzOvo9Nr4X
+5qHxEktmC2Qvq0sW03yMykeTQHjOveK7kkjh3mMtyQmNGlyO3SxLGD0vwJQcDL2tanZIU+jnGeF
iU5yGgc1Hl7IdKS7qb8Jmhdl4PT3/3JZXj4O/Q2LvC3spfC3ppN6F98a3rwPdubDbyBU6BJH4gRD
3ldi4kUzRqRIKcdLXAjOAJdX00MXvxdGsG/lY80rqa4niwuXZ6JE0rdDnbZIS6E08ka84BjZ+g3Z
tba45w9ArEB8vkRDjYkZklTWYkRbJBAiDGvXGF+U9piTO784D/1ZUSEONz6mvHPNiYQaE0IUM2y1
Oofn9+J1QM5TercdN+g32ThZ7NN/0uN5HjXkcHV3FIy7Mr+VG2fgyjt9YvG37DBxQi0iWYtTPEVl
QToaYXXX+dMTqfLBKpP5AA4bKMSM3wpRKa26Tqy4LHaJMVlTFDqFWLl58NIHka1M/W3qx6o1jaLd
Qk4zne66RHDHsG6sAENteBrZSSZDGpCyZ89PeC3ZmjZYRqY/bW/cJ+/N1oqYlCnRAV3LUnTVzbN0
0M/CjWrjN7j6q/CmGRblD6wcykUuW9N7aksH4XH7B6w/XS7uz5KG5GlUo+OJEmfZHPV8p82ONp3V
4IdpOu04A4+LmsI4WRyrHIdkKcObqg8QtrDs2utw0+Q4dvrBPDUORSoVN+mOx0PAi2IsTjzSm1oj
CvI4UQc4CnCTnXavPhYfs92gVw6Sd05d9/NMbX1ZJo6pWTFpfgLlILOE1i/BsIAe/OwIRMJANROJ
mDXvje9mEkZWaYqDlRd4YBkDSK068gwmwNASKvVXLKGPCD2sNppec4DlVPD869C2qdTUEgVtr02Z
S4QfaTDsyPRU5c1prs+Flkp2VSKOAQ9l5vG1pACu2HYPbeC/BRh2zwYUAcXpYEJQuo1qj4j+E2Q8
rCgyj1l8L0rDLp0CSxcqwCrb6uD3yNg6xTKVyK4SEf3bBGPHgTWMug1ZjkMXCW6iVZwdXA0qpgRu
JSAuVZEVdw/VQgzTEq+WqHnvAaODjIl4wON62xVXs6uFFSYgB7OuQXAU4V+poLeXt+fa6N9IiSEn
I/856jw6G96imEgs5alS1oCxYWjlRsOITGYcav25k9ztVa0ncpdlscgCUQhN1aesOcpN8aa68xW5
HqCZaWOwFYWlFKj3UbPTM099evXyXphlAnQ6aGY3xYgmneZ1xu3UISC7pgSGNqc3KpuzSBoct44Y
c3UXXTn3oYz35mD3DjQ7v1OgcbgfkaWKe+l129rq0haBknGUpChQifRhzNcdUT5HAPPE0yGMXYh3
SryshJPXsTD3WRn9fgiAewE51Vjv+vyqKjkJKvW0jc1jIYw6yuZzq2E9jdDs9VTzSAYtJBk8FeW+
HBsrkvBE89X99i7yrDIOAuW1rtZbdDvU9hSl10ayz/2rQrs3im+K4E28IWTOPhrM9Upwz5R9gL5U
qnz086mcq1Onzpyd5FxmLNJ40No8GnOZkqvuoulWAMXd9qatBo2L67E493SummHy0SM0wXRoRIXT
CqdWLK2c/No2xFsJk+p3ajWDEgjHVwVeB8yOtcbj7+YlwCykVZ3kFPDpzymcaF9ipMKwDZxZ5Dd7
5bC9Gt6dz3LmTHpZVARzFY5w1VIFZmjXBOfS1a2ZskV63K4Mz9uYEBGrdZSWIgX7HfMD2Kz38zsq
LFf5s/pIByBiN9ZtLnR39QJbOAc9cYvnmZaVQkK6GTkxxsb7s24g4bDMDmxRnKPL2062bAlJ67gA
GSZtVfxWP4g984DStg3ZZ697193tz8fxehbcmhQEkz46xu0HuT/WZuRME+Y7ATQopsTZNsWJSixZ
DuZKNaUbEQtB8Qk1v2SXHHSqbsTZQY5/sCw5fTqoRdWinp7lt6mMNGq0xPHH9lJ4NugRX7hD4Oci
CXrUHSB723VnEPQR/37bBO/JzPLhFBhySIoJ3eQRw/Xiz9EibnAakUhjPJuvwrbuBybGrYgiacan
Wy5WNImqqAoVwms0H7LgEGtXZmabhsdZFC3I/HkfXswwGyfotTaqbUdxtD3m21W3AQ1ya6kfuiei
5MXDMPBWRb/jYlU1JitzID5x/cYNRmIixPTexvxeXamc22NlcoLWHC4roz9lYUoXunDsK5xbcKHm
Q2lJkZPM50T3yu7W9G9idS/U94l2oAwC4/Rt9jluT8Pe1s4yaRoIe6e4rFF9iDqAT9N3qfnVp42l
vuTwnLDjZYU0hdgyR3/OYrmjJhW+mGG5wTVQCJaEKaryykD8DY8NZ2Wrh+2S7rIhqpGDsRYyDN6k
qpv7r5nklOUbxy9Xl7OwwaQwHUZMS1lAia9WIovA88l9kdxmBFXZBp1xE2CR3Ok6F7c2x/Jq5X5h
mSlhpl1eR+i4Q87Aj4A2NUM8XcUPeb4JUNO3Rh1KVHlsiRjEiSbMOW1bXz0fC+PMcfTDoSY6fcBU
OBcFQDhRbMfijckr4vPsMOewnPRJb1UAHbPJHaAJXJY7IbAHDCBsr2f1ilmshzmEUVrUpVTjmk7R
LADXCjjBkRGAonvbzGo2cDFDGG+JpEathhrbNuiNHRkiNMMgbDeIVgNAStkP7v9njnERrYqaUFdx
1roMIIK53pV6atcYuMuhvzSk8vdtc+spyGJ5jFd0XQUK4hJVnNahsIXM/Rw4fvRRNZosgVuL5tpj
vIOo9TSUAtAZlYsX5hveY576mu/TN99Cxvr8v6tjIlIvlsc6SakIAgSM0TQIbS0ewMa6LwLe3DjH
E1lSBgGVzKZPKiT5IDCgglK/VUp4sXH92lkshonD7TA3hVF+pouQWLpKHf3WdIIDhI9OlOCf3HKp
2jnhmDCp8Bhj5DMtgfvwiduLH0L7nguciL99voC9+nq5ZJijKFUZqOG4Ac1931vlHB/zcnCq0rTD
mEcqx3FACIF/tdfVSRqSCueZ8m9KTgMeNBQ5XNWqDug0/uQiI7bDoSQy8UP0Zz9II2RBLSYPcbUY
VhG0O3Pu7FYYwajbFa5Y5zaJUH+EerfWFRbp3zLJ30coBtZx9JBmzbftU7/tsJiF/7oHZptqra6G
F4cdPGHHD528pTOxxdB9BYLUrepU02OVm15bAMUHdjZMBXnbC9r2U4mdJ89Dv49JBIB7IRdW830e
oMnHE/fg2WBCSRoI/ViUGD80mxOIYy1MPg/63fY6JN5poH9fpFpV1ouaFKB4Gp8Gt3nroclQ2dlO
fAif5x2aBwcf0iGaZnNf9rxvxcSWmtRTVVL1SPEous1Tdg9uzn1iB4fmNH2InuLKz82eV9zkGWXC
y1CACMCnL+2xGy21VSw5M6wwGo5ay9Nq5u3sZ9tmsbNZnNRqgLF2iOiMjuiKNr2AIuj/RTv9hOo0
xbJlDwH3xqNO/kfy/E/QlljYZZMrdeV3uGBzcqPLzxGP6GL97bgwwASYNPZDjLHgRk1PaDa46CZD
a5fepjU0p3nhbP0QAOWF2WncrCrzxUKAZIU5Qwabo1WoEatq3WnkMe2u9/DMf6ywoAnSK1WlCbQ8
950mJbkX33S7+qS61ZmKQxa91TifOmBnBRkff5h63S8v9pk7IpO6KJ0yfLNgshTfa/2rMDh33Az2
Lz0FU5UJuP1F89NnFz6p5ISEuoAJfMqH4v/KneonYLnueKfsJkc4lnbyYNy23O1dD/8Xs8xZz4Sm
UpUGDyBKE0uhqoXV2b6tWIMruqENImU8hR5Mp7dNS7FFMLRARdWuTqKTOJEjPPLqUn9JbC4/iPGq
roxqwVDwg9DDF4QbM3bD2ctDYvWItvqtXDxG1Y00HDoQSpvdt0h45YRdzo6wkEmZVAP4nT8zOMVT
XfIePkTn8AGfwqbMjR2QmgcDq/fd0A15cJD1mP/P6j9Pw8ILGnwKdY41lGN+TXb8SFVQs50yW6BD
67zBaR5rCMn6tryTeIkrzwFZURctIbFuEmCyaQFSfMq96C76Blqjs4QOuf8eASwqOLwHItcqk36M
fqpD0QmfOyzg96NDErtAaQgA9AhM6IXXnSovBAb+//UzmUlIpkLPp5By5wem3fyqD8NZx3P7gND/
kpyGk4bhAl7Svh4wLx+X/n3xcc1KGzFOBshcP3pC8Nr1NvIhjveulxUuNpjMZEZTVW4JvQHwEv6t
jjU4tGPHu2tW4yKRTF0zwdsjsWVKP/JbEpmIi4o8gU5APrZ5deyFaGemPCWN1RO5MMWsKapkEggF
Hm69Zx7pm6p2MRzBVX5cHzoBsYwomaDV09hpsWzwwSihIz1PUtlq5daaTO1KLGVL0MzYyoUR4ufp
U4Ve/jhlu0GeoQcZW4pkWiqJ3EB5KtXBEjA9KlapRQaB101f34fL72NctupiPZdSkBcqoyfOOz+6
ytGM8AEtCN+S+cP3C05ZZT1RWuwI47H9ICQAD8Jiehodyn0zXgFN4vaGlRxKt3PaazjWbRfbvOO5
miktDDOffBaGVpE1ZIOJSA6DRI5lzCtlrjvwZTeZ9FruQT42+RARrjW3RDlg6naKcE94EGeeGeaC
xWBLGmUJDmRs7o1+AlO/nUsngVeaov/mj9SSQKLTMAxVI+zFoTWZlGUzcKxt9EaU3VDMkER+IQlq
7Opu5DE1rnvixRqTZ05NmmY6FZkNzMCWlWMnAOHnP0zC97awZfFOLzhd4L944sUic0+Qmijt4GMb
p6MEqdnU8QVLsIPTbfCztymGq7bLn8BAjwLvDNC1bO0sc+rmSi3GoUL0IfsOUnG5Fzr5s/6gepkX
eDx85ur9v/iMzIFDDDWIMSL5KOVfoM11I+02M1pIQN3JvGfeumNedpQ5YkPehpJW4pVXI+GbjkZx
rOOzyOv88BbEnDK86YJmDFA+18nLEAxWPeXoTMyukWHzpkrkfK0VClE8RRYbyBw3sSASeuzwk8GW
PPqsE93cK84JHna+g2/nBbvGEXapC+SdY9yOr/L+X13zi59AD8/imtfVtJcocTCG275PRLlrEvng
pz6Pvorz/Vj+ZqVP/CbB58V4puCUEji55PlojgjLbf/IySo4Z4ClcY5I/t9YCXXB2kJRYIfN9G3j
TO/hZnZ4BHrrD9nLHrJ8znGZ4xwYCDCTPdnNderEDnHDN9WDxAr3Wb7+5lhYY4JLYWLYwKS5DJWW
TtzgDjQZt6Xbw0laPJyh7s7Lttc+nibKEuI1WkyyyfiITCYJarfg7k2E5zA7p5BhEK4z09v+bp+U
72zsWphhgWph3s+yEGCI4irDJGKAMvG4t5R9AbFL6a44xo5AOyU2RO326a52Mq/8KXgaB3O+lvYu
fwTzghZiuWznEgF06L4FydWY/9R5wqk8E9R/F0fOB1FxZowoRZidjgojWsuxcR2oCud5tlqMWC6F
cZQkzZOhDHHLgrYO/UIhP6ShaEt57sp1tctHaKf6gEnngInqyTksm5dEzw9SIlW2IZfvdWacJrO7
I321m8fW1ifx7AdCZLWpylGo4O0Ic2uJguRLhUrjYHIMk7ta8wxeErCWoy03g7mrVDHu9Qib7BRp
Yae6aRUSsbcdeC2rWZpg7qi6yqaiSlHL7aRDPyfWPJ97CILVey1oURrnWFuNA0tzzGUVQFBtFClS
pSQQgcFoq1M/51epVRxalwIVclvl8KRw4gArsEH0sM8CKkuhBScxyx198IowdHouMmztXbhcGhNw
JlkZtV6F51Iis/I2OpZXkBj2+HKq8lpueLEEgvKvZxFfzOhbE6/cWMx/tcL8AYrSYyd3IfrrgtVr
OTQflcqq5MZRwIsI/qPuBr5q1WHyoLdm5XUV4NwSpLEjDPsPndt14h76PJYg6qDHEQ+jTiy/eRHS
2pvG4SR2uuWDokUIeTQVqyvBHKsJMn9CVJFxB+zYbKQEGKne60+55x+UXYPGEI9od93tFnaYnMUM
1KJLqKAGnQtDkX+X47rL7P5Ia7flnXDgki+v3efawiLjDQlotQbBh0XzDnGMForlR1RvnXifOOEd
LyFaPcUXa2y5XQ4Nv5PpsRqUY44KcaHtBeGl15wBZa2Qm7CvuvrCHHPfzNms6lqRaU6eB3ZrdLYa
fKih206O37pyjXN2boXdvwhUC5vMBYSx4jkYMtzncm1YzXAnjt/64HXQ3ifhpit58I3V9Gh5xpgl
qqUaYgQV950iObTMYzqlGzyaD1RgBmMmzvbiVvukS3PM6noQzmaQx6LBg/ZLKjtwyXWDPiFlBg+c
f9MKWppjblkwyyWh0hHw3ai9q8+m1Sez41eKPQohb2nbARgM9l+j1dzKpjBE2Emwyd/0L2B6+pFi
fKW88sGFcQ0gVeoKjvbKq2986pr/mZlpIBcxZFnGGMRXu4OmyLFJu+nlS+vEt1TupRMsElitRSGf
oP7Yx+dPelhvfN3+nOtLvphmwo0P6HuafWqlRI5R7cYMxZxE+bZtZD3/uBhhIkyUzuI8U004DTQb
ot2Jv8zhY9vE6nSVJv5jgx2MEyd9HnMRN426+6SH2dfujAp9y5XB4uwYy4QjKXmZKwWKtV0SWg2E
n/XXtLhSEpezIOrYG06hM+csrH1FDAJkyjGGkj4Ptn/4UHQHSjYg+TFdkYP4oU72pz0iqhr0QwBH
YDI4oU99WZZQ8CxTuy+hcCQ0FjEdFagYKL9sL45ni+7xMkUXwXeR1aMCJqZHVXvIlOtMCzC2dav5
3ral1Z6CJl6WxZytOVRnvauxrOApulddjCkeQ0e5BxCgc8J9vdPv6SuS26pcRd8v7TIHS4010HVH
yLHUXXbd7bIdJfHRwEwuOJ21vUYalra+HHO8ykJqZEMD6rMoWytog3slbTglt/UT/M8usvWFRmr8
MqJhohyu1MSRh2e55Dj8X95TFxvMPWbGSVDkBl4pwZu8yw+GN7gAVqP7hFa8S9zmhfYu6ieUTYdT
4QloQW1vI2+NzIGb1GREHwMDY3mP0cHkJZGetJH3qqCL2PhWCnOdkdEAyFQBVKtyJ3uGzGNwFG+N
nYK7k9c/5K2Huc38EM3cYYxQ0868QbuumkPUPGxv2Wf/c2s59DcsDvLQGOZk0Buzcju3PVCmC/l2
PCl7Om2iW5Kd7iPPcGimTGPWtnXq11vG2SiSGFVJYhxtVbvS0KbW3TAHc+CvtrmPgqtB5lEk/+WO
uXgoE0tApN6FoHWjIkuTXSqpXRbPJd4AQWJphiN1Ilg6bYVXcFu/cC5WmUgCQpkSvNa42cLopJNr
KaqsEqUaHs3aqrv8k7Uqf5D4+iTN5xKX9KzYgXLl698yLsv+Ki/K5a2hsDS+fjqnCMYAcNDiGq3A
UhKi9pnYAcatdlAxuRIey4Fz6FY3cLEyxkmBIUibKsNn80FtjQQcDHnQCZKeq4HL4LD93FAI45Jt
ZuRUnxmji5UHNXkQaxTGocv3s/qiSN8yf2cO3AlvGpf+OAaL5TFeSSQ5ClWZ0jgcwh+SVdlURrg6
0Un20ubV79bT/4U1xhtDQe/0kkoWN5CLVe3sCPAiphktGpyb0Mp3/yosLwwyt5vUE8wKC3h45+St
Budg/iMh3nYgWb1A/zEBtYmvUSzUpRG0YpBNmQXA6Kraboeec0dv+yC4BL+amOXYKFtKlCa0gHaC
Gyr61o52j8rV9lJ4dphLrCiSAaARZI395LV0Tv0UqldKfv//WWFusUyuNFP0EXkzI3CaEfACbb7u
B9WKkvzl/zPF3GINgRyCkKEz1QYORCNNMN8aR0J4NXiOX6ssUnQU9BmYK/j1+BLeal7qqbldfFA4
Wb0Lvw3v/7tONpEvkVAVmUghl702mZSsaVJFWwCWP5eUXe/nu+3tW68OXHz7c92LG1oe1Hxu0d4G
kod27Rs7O+uAylE4TeAVnEIzDTV/D0Xgsvjq5ek0YigCVJpOZV6FdW2pxpMhHcV6F+Qt5/LnfbDP
q2axsDzNuiIIkZLWTvqo25HbPivfKZcjkDvvvi1wlkbj2tbSmO81GYFBfAnEKxXY0zNryh8GHN60
tovoptFvtr8a5xSz+L8ii/Qq9WGMDF5u3NW6kxYnLsprNX9auAYTypOuNIqZSqHJnWH76Jf3phXr
InKZh1y35WovzP/vR2OCearmkEgwAGMOD7Qbm7jxTXBOregg7PozcWROnOJ8NBa+N2Wg/RNMmKtn
lBlN8RRpN10ue2QO7BzDu6TgNZ/W35uXTWWxFyMhTeEXQJJQ6Ga0r3boMh/9k/ZdB/lbjsnkwPFn
i/c+45WNWcAeGFdmraG5MFD0L9OI4YXErog1OdfFa+yCX0nnZsP0Ktk4EZ/d98UBzIwM447RZ6Va
QqU6O4YP7ZES3NV3w54XWTgngkXoRZNpCFmJ6YzcPBTJU6TZQnrt877edg6ssjWQbjTQlmgHyofv
JJrV+Psx4cQRTq4hM3FEDdQhzkDEh0aZWzUvY8tpS3JSbFVm0kFZM/tIElFg1x70Xe3pu9nJ3DS3
dEe6wxDEACFkULE52wGLE0pkJpSEMkkmlc4py5/Vt3Ev7apDuzMO22Z455kJH63appLfoBg8gG4a
k5CWkIM0D+0ewx5LLxZ4vCec+4wte7RD0EsdULhOH7/5XWZLpLIaMwN5B8YReEwk6wWQS+hggRVi
1IXQmcJjunFHJ9lHR/moeMpeB7putCms/ZVSAAyOZmdO4JU8RCFnc1mYRa5MSR3OCCFKa08jJGwC
W5qvhvyk5hiWLnitGc5ZYyshedYB2y00SLrNb8Sv9gExzxr8yNp2GV4CpDA5yZz2stoQJFoaYOyY
0ETFJQGkuDhQxXheVrfuMFSjj0quGH8Uh8M6GxsdNZcGrbvhJlAeIuWkJzdJe7u9rPUDdzFEg/Mi
+ArlaAzNDKg0fUj/hsGqHr/YzVsPk+j7RjKWWQMeBUPRQSN6rcSSpYFBNCZXMzD522ta94jLmpgv
JQHwnhkUrqzGBz3Yk/FGrJ63TfwlOl5s0N+w2DdTbnqiQp0XbdzhKbRTr/SKn/4jBp8PuRt+B3HI
93/X8SSKpuhwC+mzR74wKY4NKAEhted0eWE36Y8mwW08E0usk7MGLeF+Sv8Fn5cGDof/WmTDluGL
QTbLAA7GM4bEhsIqM8CCSxuSNpzSyl+y8Isp5l2rx7Uu9X38O92ZHclKb0BnZ6ELb+ko/fGA5usu
cjHHuH3eIMupA8zaVeMMkO65EN6AN9n2EZ4NxufNvJgN6E1h+EyyfN2W6ntD5ZxengnW0/Upyqca
JvLU/wX8+b4jwWvS8gqk60nTZbcYZxfFpm9GOkYka1dhcjPGRwm6pMN+e7/WQ9HFCpPRlPKkSCmV
1VCE72n/Y04wnfvQzlaR76VpZ0TutrnVkAS1QOi/EwmDZvTvi+OEoepICmk9qGx3EvGyUjrm5nUT
e5rgc3K19btjYYtJa5Qp6jOhB2ROQTI/A/bR7ykdK5WbmCxevX79LC2sMdmNX4RGIhoYujGm/ikP
r4mhORMZDySTb7uic4N5DC0dQUQ2MJfS+49EByAm5BWCV2Gz0HL+7w5rbDkM9QIdHXcQNTSuedTt
2JueVDd1Avc+OIPbgA4+xcdMRMGWti141D2rkxdL80xImeNk6quajroeNA9j2J72PO7VW+nKdwLQ
Balef0YKZl5nXm7LAecO2vYuAA++epekhHUkZyCMJ4knV1Cc9bIZ6pg7wf+x7carIWCxyUyUmbPQ
mKUKdS10QUl1pQwHqeOclNWEbmGCiTKq5JtFQKcNcPzr9iAIUEdu3BovAJQhk5Szc3+GAeAc6cX6
X0lm5lymNTqQfq5hNdE30t+p2d4H4wwZwZwiYwJmdCeZs74/w9tXi8zpFBQ9V3yqC6OW4X0tgeTD
V1FGGw9FGDvbX2sFovHVFnM2W0NvlSqmJELQTsgPFBlc2CWUd76VV70te7mrejq6rw7OBQ9y8+d3
/GKbhTb00EIZ2klECXQarVlLMQn9aOSR5eeU87FpeFGPs69sEtumZWWqQO2hqQeEz9vwbXxHQEfk
Mz+mF8kV98V7qNtc9Rt6tL7WE74ukzl6YdmVKgmQSphnqqk974kt30wehksBK+JdjX8ev6/GmOM3
VF2WF6FE2SVcECWZGHuI/uci3lcTzPErVX0c1QGY/KwGmkjIXAOSCUoz23IUexz35Bw+lnM3D6Jy
lKkEcoMBdn+XoRsb7KezcN1DiwX9yrvoIHu0HxR4vMnvPyPm12Uy178xz9CpowLdVYh09pVkTkqs
dHT6kINB4LklE2CU0lSTMKHIwaZAh7LCK/ynr9U2Tz1npc37dUVMXIEwZ18hMlPKAzoEDXjsnsJj
I4930ngrYoJK3xaxJhoIYHGovETR6KaSeN2DYL4oa06s5HwlloM0JVIDoi7EkDAWd6A5ua410HLX
UXgvT5lTSPnEc0l6gjaOs8Fc41qCSJxJUNyVbnRkEQbyBcNSH38PTpejpftcEgJ6orZMMhFEm7tw
mMUUl3d9iIyTaXA8UPokdfrDAtEJWCCJikYhs6gK81eCEKBooRbzWRRj8LAAuBSH84tRC/s2zay5
ADxrFB0RVOe6Kn4fzfAkRcINqfAmyqDi3GmC3QjA+mvhvpQLJ+9UGzw3u14NPVMFEf6ouVMcW2bh
74U0dLUmdOt8lq3QUK2mCw668Ksxx/tQ7J0gEGy5r30AqMG7Tqp9H6WO3DYf01S5QZ9bkyq5VTl4
vVnfSmGRW3UQnmSzP1W+vxt1SND36kMi6ztZ7z0lF95McIgMAlil6jTGZOtzkOQ/IPVigfPuWsiG
a2XWHgJdOida+EElKSGOBC2YtrsShsEWBv+1HoNTEzSvsSgAKfQ2EXxycXDw/HTGmezNXD9URfMe
Jj/yNnKa6rkHyXwuDscC6sViazijUf4gzTt4tyFPC5Lu8qWMoevWVGBxDNx0mG1VmC2hMS0hBaO3
L9nxLFr1aDylBiQtKskVIozqqL1d69MPxQh3kVA4cvrT16e9EWlW2E22NEIGVz2GEsktrZ3PRRDb
U4jyfD16edAfo151xWqwi7Kx5uHVn2iSEXtZlT6FY74Xje7chrM7aOkRvV6nrJt9XJyNGkMCU7Nv
585KDdybUu1pJHYFMrgxhtlJbR4TSGtrSWOZbXwl6MN1ryfI/7SbrJpORZLbutbfgwzO6kGXX6Sp
F06FpQ9wC8M8tk3xnMb1cWq19zb9MAUTWCjDOMWmKlpS941EYWUJsnjQu3nvD4nb6Om3MiJWrYKI
XYWu7Iz5HlI7QvE8tZKtp8WDXgSWnMOJMar2MhftnSHUR6EAx3/8Myw1BNkfeGsfaviMOIscyNVK
2wKhdnGemBObJCpkfzJcw78l1VPPvw3OtHyA32nFd8Th6Z9wLTIXvyhn3Sw3iBGN6+/am8gV7I7y
KdCx0cwRYiu1g+ft23k1zC8WySQCeqhGhRAgM/aHmyjdhdXzCA3ynhPhVxCHX/eSpjyLh3HeNkki
prhNxJ1+rG/8g4p9LK/p0Brvzl95GH+1RZe8sGUkmdSbHa5IyhRCyz7KM3GR/t4q7nSl3m/v39rd
hVirSqKuwyxL0W0iMpAywoMwGJxYvkUBwJ7Fx6J6nCaefMdaqr0wxV5a8jwFTR3jSaYithhzZAnZ
oS2vpXzfl9cFgsX2ylbKkaa8tMf4v2SIk9k2cI3RU7z6BkV/N4Aq24QSWuOIDoI+Lspqp/Keuas5
ztIwewwICKvaGceA1o+VfQ86dyoIUf8LuPTXFTLOHxaUZi+k/S7ENNku80NYJpYOfQPOVtKtYq/m
5YoY9wd/ZvZ7tp6GkvY2xnRjsDN28R5yqED5bluj/2zLGOP/GuKW6ScY8aiKW8DmhfxD4XKRr+X0
ywUx+a6vQqOmSPEeUvXBaUvJkaTExpS2N0uxJceFl+XQGJB5GDbe0pjsV9KGjhglni3Vf0i7ruW4
YWX5RaxiANMr4wZJq2hZemE5yMw58+tvQ77Hu4Zo4hz7zVWq8ixAoGcwoTtJnaWJDnoHORSTVzFc
A8XL1TGxb2LMYHSVayTioQEkPbWZJ9RPev/4T9+JJdIuFiMdSw0FXTFQLXlOd9I07+oi9f/NDBMW
hpIwqmjowWiiUu4VqX1QsgfVqHkD7ZwTwZJnp1XWKLWKkFotPkfACvWmHA/VBEGZV0X9av7vwlq/
XV2WRLuS4jRuGqxqSb0xjW0hcAcQX21v3apDvjgIBgMQpDdTKYFGKhqUBlDHy27yoN126M4XqYCG
W/kLj+eKh7osXU1aZMkIsgowxF6JtoF8ii3tcr92oN/yWiLBWHrjrub5TI5rMRjIGDRxbmYZT/S4
vulRTU2kxo7BRg05pb57znmNgHTbNhCK1XQhwqS2pYJ+tqWWvUk0d8PcO5xPt/bEu/x0DFT0IZFQ
wUXf5M9e0OoE1v+n3qM9IMN1+MDrBOUdfwYydLEbGry+/tM83O1GL9pBZpZzmXnHgx2UH0gx59WE
WWaxshdvcUZfOs6Jo0A8Qbpr9yBhdiJicdmv1r+YLoNCSUIele1AbPQ8HQQZDdgoTbrLnpK+TRYQ
/86w2v3gj8/ci7AO9WeLzJFcdCnqJYRxTqsfRchpIPLgVWt4JhgnJgtZIGYd0txReRKHvRw/tROn
2rlCB0Nx6rwM5hgGaOlORsztIXFI+eTRUonJxNxNnPgt9MXTYi+fxtO4U7g9o7wvxhzIpUzGPG9w
pSPBi4aDrL0ki9eo4AHwuuFL1z5DrsRqK0sUO6uTHsuZs3LO5r4HeRdReNTNSHkU8AdzhoD1G+XH
5OMz/UIfgeTX7n7gqTShzauPqIHRckzmIINxFED2od9n1mL34KDD4CDa+dDUto0u63h5tkvjvYvF
9UZTyopO7XYqyr1OUkNiOji0iluWj33HCx955piAOJb0SjVnfEvRpzppw5Xk0NkEsjdv0AW8uCZo
7VMPDOw8v/CHUPy8UHrKLhbaZd2idxr66MJOdQcTbGMR2FRCzS16E63bIBVLEp9KKEcCrzt4HVHP
pukBuzBttGWNuVOks95LbSBTGz3a78xD1NVzKok6iOEgAU10xsy4TFmspXiZFqrmjnHgKSiwDaBK
3z4xqyHlhRkGzsYoXIQ8R93CKI91+WVK0cyfW5nB6wpb3bULOwym6XU5pgv6f5xJg1oh6Z9kZXzR
1NxS9MESZv3QlT/SLnvaXh1vExmUG8pykSTq/Qzk8wqxvqpFDEILycO2Gd4mMpgWLUuZpyPuQaDm
tpqdiiayo6pzerCibVtaj/zO+8gG55gVSOLKBG7TmhrtU0QcZhm3gQfZIIj2AVh4ymKcPWRVJIRh
kMe0pHH6YsnBd8H8pPJGW1dx5GJRDGwhVREvS4Amvqm36uS6rF+N4SHLjm17KyW8St3HcSN4vgtj
DGi1erWoI3VAyb68eSeluKv3FJG5vQn0Z3/wAheWGJCK5z4DAGPnaFvz4rRW+0Y1W2gLQPP0v7d5
/r4sBi+iWavTuEeVuhRui/EzGR8ztPvIhlegyTh82z6GvA/GoMYy5VNFWnrg82MnvGihbKetX5Pr
aDlVJW9Wd9WbXuwjgx3lOGUDoWBvagESTG9KJO8GEQ3hELmbhpnXDEwPwNZnY0Cj77ShlUrkKTqH
9mhnXkos057s5B6kApbpzDrvUvMOCoMfQoc0JM4JLjUoeeTyPitP9YTM91XUedH0bazvBPmmDP2i
sre/IweV2ai9kApSJrQEGpWGrXaV1ZbJMWmk1qqLOLfCwrwx29Az8tLZNswBFZN5/E9F0lXpgISJ
ln+vzdoTH9U55CyOc2xYsRG1RK4kHpEtIRirVZ0GH3IaLGl5bUDBtr2c1aD2fELZOVBNEMNekeGs
WzRWDW9tyimLr983IqkgGlCgVMzcN2lJtWwwaepMku2ujfZ5azopHqdyJVy1MmSE5v5he0mr6WpM
I/2yydy6ZC5AdDFD14A+VCUQ6ijo4UaKgQY7xo2055hbPxFnc8yt0+NWb6MGfXfUsanfpCtpJ9iL
rzm0+Bl/L8HfwOOK5C6RuXdKpUndoqDzGBmhvXIVIlC2kk80gwJjD/r37SW+jyl8BJZfS2SZ2Nup
aJQelQ2naWunL78K8/gSx+qDnMQnwejvdZTJLClMjlrcHYPasKRqsSHKBo20GZS6TYhK5NdyFFzU
Da9qIXCWAnVEsTiEnfB9VD7FUmfJnbQLzIKX+14/4OefztxX1QjBNEUHx7Typp4+L+Pd9t6s9PFR
93U2QCHyIqqWqzIgQ4vUi+wvHvJZ3pwc5YfOpRO50Z2g2gF3Fmcd588m6d8vTJq9aJKgRB2NpvP1
r/Eh94OreD+BAghVtBdeHLX+ZrlYIt3jC3vVSESMwgPzqLINHoV27L+zovF5mHkrY2IByNJLy0gF
1WWC6k92tbRg/nGDbrBU6Sg3ThXo9kKOTejp1RdB47yw153KeV8ZsGqyLEh1Stfwvyn4cADjAwFQ
qEXzLNJkeFXYGaacl3SXzgsvXOTtJYNLiwipGSPAE+KdV8MtQCcf+sG+9+isDqg0X7YvwvqqdBWi
0mC2lEUGksiky53Q4wUfN3ZPbuvuGPKSZuvO5JcJNgOSRv3YVhlMlEth1QPycjep9iCAXzVdvDHg
3GyeNQY5dK0OpXLCEFownbLYJYkf4YbJp2Kx0LyxvXl/QJHz0hgUIdXSCzXtPf6PGEMF8iSE3JjD
oFVWNOFtG1yHxbM9BkL6LIz6IUYyKRqKV/hKlEukt20TK629FBnPNhjYQLCiDjlVCVGtxSOvxVX2
mO4yRw+t4Eq5VpFcFa3qGtVPm7KGbBtfD6HOthkgIZCPiYGTsqOPDxiQJHJtxea+KZCn40RQf/DF
Z1MMagx9myiLBNToHColFbtBAo4E6IPeoeXHn3kZJM49Y6eFWzkwAzHqFCeW7mpM5ZTjQwNJ4e3t
4x0PBjuqspuRgUCqSNV2KtmJFScsXEfa854xYBHP0OwbBVCHUw+WHqgwLPHEv+Bj/u0EshPBE4j5
grbBXqFXKGhexcEOeXLfnJ1iJ4DNMQ7DcUF8oY7GPVSbHmNScBrROF+cnfaNsl7U8gKPrEYCy+1J
qNADxTHxh+zMrw/CjveaeIS3kwKwowKAOiWGRJOAS5BOf49jXPOF15PLuaEfZnx7qWnqBM/+YEAf
XXKda9D+ILgyaunqMzd7T9H6Ywh7XiADCLEG+YRxgrkMCtKtVTxA8A0JjXEv7njpE973YgBBVdRC
E0pgeV9+ivuXfDoKPNJJHujIzBsnb5ZJKFKd+ovRjV5yd9oJT+UeHGd25JqP22iwXnM5Izk78DsX
ZV00Il5x8vxoDIFbR3emoXwy5PC1D/IXU4ytqauukwla2ZLQ2oZkLbMvlmSftN8zEIhbEql22z+K
t8sshJRGPsst8onA370y/xhGcw9dcnfbyur1lkGQp6mSJKs6s89yFy+pOcGHJdNRb49Gt9/+/9c/
JATHRE0xRAJ3+XtsndSjMmsCIt4GBXFazmqfNGg5Sja54iu3cK0xuB7Ngz6BDYU2+w+Ognmb0DX2
gfdzPJbLHrS6eRdrYz7RBG3UpoqQ/iI+tQV1Vo+KgAtvVBkzOegJlwKCXq0Pt/xskQV8EsoJMBi3
fKnvwqR00Q0ZVT4GyBzOZ+MZYoJDsVyySAlxI+ZD81h5GFnag6/LqqGWNbg0YDNc4WriDBLKq2f+
YnlMlIgRsRElXPiz+fBOqPVAydwlC/uIMrUbWtMxtnUfnAy2cPteqturL+gD9Uae6i7vhzDhYxpG
UlkauHyL9KONOn9UBLxzQ84VX6/NE0kjmDXClD3b1iA0kp7G7XtqZXbDI/j5X4cj2atu4/Z7cizR
g3jiDZ2uDMQhaLgwytwRs5ezptDQw9aAI1m+6V1aqkic8E6wswfBppoj9TfqFxMr9QIMppl7nm9c
v6cXv4G5OWaVoI8JRLFwxyNSWLUNetgYmVzB73yIE75sn+bVw3y2xiZTe0XL+lzD6BhlbM0Vqyid
pr4JTV46fPXUXNhhLo0QjQq6tHFq8uhar55Hw2/HmBO50p35gAAXNpgrErRFo1U08I/lFzO+UsOj
MoGyZ1fm4C0TbIH7zF4NLC4MMldhiOJ8HCfMWmh97opKbWlzeT1jyFzrnBC9TvCMoRc1s1MqoWXE
PSdnsUJB89txZUn20iKPGgFDjI78ikm13AJfuRNBMkN76D4N7/wR7QNfvW39yBiqRKCZZaps2AsF
8yVc4gnvq/Ixg/tH07M1aCMa4TkOeD0yJWdLzAfVjVyZJ4nWUIbqoR8TUDBlhx5zcUVR+SGmJPoY
rJpQMTd1w8a8rFWh5DzoED5LRF6BhV79j4fr/FuYby0IJkroOlpoBkwFQl7GGY7FVwy6IB9mBafO
pcOyopU9oV1z9rfv6NrdUUWFYN7SUBTCplfiKYs6sElLTpgHlhnYeZBZ89/EVBdG2ASLgtK20YcN
ghHxxyLYooy47n8XrzHQ94bmbngr/IPVDsUwjDbndQsBKflFhriiJnp9hjxp/TcuGv8/Wqt0WaNs
DL9HVlms98FIfZR4V6DREJRhD4kzPGvQyhY95JAKtK0JjmH/xXe6sMp4D3GW8lo18VgzNLAX3Y2I
mWvOUVh1i5crY7wDESot6CesbLwzXoUTseEYQQQvP5TI7lFizcrn5VNWj995WWxglU9h280ZTv7U
7NMIrii8lkJeV/caqFysiwWVucKkE1lmBFXp3kD7WHAaJZfbarQWlapUDV5XiSKDOOP3c5GOikJD
N5yL6TWG6OP0vH0CeP8//ftFtjyYGyVtiSQ5vZE5IOryxsTkOLnVr6FJpgj4NVSNHQBNDKEnMtUc
6IRDM9wa+n5pX7dXsfrmUy9s0I91sYzOjKuigYgQJcZQM7v+EUCcInRjfz4Zp8oVb6dD9QUScNyk
zeopuDDM3FvSYyAKJxynoPwkTQgtfVI8ac0jZ32rn+nCDHNR1Ujs5iB5b2dVPAw4e+nbElpU+om2
IWu51Xm8dzTPJHNvR6EglQzpQ1TLr+rOr5Jv22tac08Xn4wd+5zScdFVqgE9ZHZsumL/IpP7KDmW
rUXG79u2OGthZ2fAIzEu3YTQnKjydVmqNw0EXf7NBOP5G8kcWzPFYy6tkj1RAz+JfmxbWB30v9wx
BgvEEVyZWQiiVsjqeuFx2WmP0/1kUdIoSnIL7i2veIquuxfu/DvnCut0fy+uF8lUFcqmOOVI4Wb7
CT029WQZzuIPrmpHXyDIAvUJXu54tcxwuV76qy6sDk0XjX0/4wSiVr3sIeeRuqbdOhD6dXMvCLgq
R6vh26VFBkYwES8smQDHAS6KPU1TqV7tmy40NjqQKCQHzDCKvNfp6vPp0igDIWlSSItBOwAoUTnl
XY8P3S62VfQvpQ+Bu32IOHilM0DSoytPKQH6TtbV1jgZfkD66zrXDkoletumeKCsMwgS1qEcDhkm
1oQdOcDiAx1kEPH4x+C/6FCemv5Y+Wgofdw2vPaquthQtnlvNmW5QfD5M19PCcho62jK10OiV5oN
sC/tMC9EUzCVoeuQn3qXm/kSH9QbJFWuNC91imsefRvvbLITNkHaz12fUTx2CYbWU1e4kUfs5YzF
dX7/XH/lRYfrqImGKJ2A+k9kafCkJQkKs4TTUVNPC98C8277O62+BlXtbICBFYh6RAT+ExmiydXq
3lK0Ht1mRzDJz/0PtXk0UAjDg3hZDorx0o1gJ4U2n9/lKu+kUuT8+CXPP4RBGkQnGDcg8A8/Z33f
M41ODFT9yUXMkzTlLpzBmaaf8llT8UzEyPcAncoCvSp2HNrzbevQxojINe7nCGSYMg9tKJhsrZQB
m6KpixLacWirTl/Rkqxbk5nsU+OtzvorFZLuHK/4Bww/7yyDN5EM/c+mgecYMa8S+JSywryJob9g
+hp0F+pnzpFa91RnewzmZK0ZGjPt/mjdBE3CgO/0OrX1wZm9d/rlnbCnyl67bbPrqPrLKqHNsBee
Cjx2ZjYUSGsMmZeQDq/6RyO3Iapkb9tZrVJf3BjCQE7dyJHUS1Q443P0GO/yu9LWXoLb5CuklJ0S
TynhMcdEAKh8Pd6h5a2RCXBabVCMhc58BuazrIGS4LYrfFH7m9re5QqZIEeNRS1ox4VejQoPehCb
RZ74Un6mVYbG0r6iIY9zZtbdxfnjMSikJmnRKgENDtEwlMP3Cte0vMsrtK0/hM9oRxiQ6dQ2UNOJ
Ajjoe9NPS2UX6k5pcgdNQ0Ll1+pVYn4ycVxjZ+xu+xgMYjwhG95SGdypqg7qUC0aKd57ozwDSoHR
jl/J5oAMYUBGnSUBKSA4xnD8ok3XevpDEO6XbKf+zUy8qhm6riiGBhfFXIcszyDOBMU1J83jh6lJ
X8Jc3iMrtBML8FuD371PJh4vxLrXP9tk7kG6EEmJFSyuxNCPD/FNT7kJwIObP5ZO5PKmuddv3dka
cx2UKZCiqEapW5T9oPQKwcWUtcEbaOJZYa5AoPWYhQthZc6Rug8qS5omt60Ft5y/cRBsbS7g8pMx
t6A3G8UIG5iirjYGk3Doq++ugDfZs9oIeGmJOeygBgmaWUDiqS5v4gy6rE6IeWShsILYzVLNUkMP
zBgch7ceM52/F3P0g7odEqkDcb1QDXZWxTfLIvNOIM8G41M7BflHIUFhjbZfKV64o0W15kjA4t7c
zBZ/SIp3PBinqrcTyaIAOwlGFketbur8LpK8JuB40XXY+LV3bEJXCrvZjAMkcbROt0msWFUSWHHr
F9E3I/M455BenI+B0NnYB+gox1Cg7ZN0E2nRrK7RCNVhcFCxq0Ps8S7y+jMPIoqiqWiiqLNUIdCm
lJMBSIYq2eAQkHctRwM8KO2V4hZcEoj3looPyztbY7MrVRLKy4T+UKeW+y9iAv6uTPAW0vuJCuXG
NHsYERPVo+bPFc4QAdHGBErvYnFFId5RdDONxFW62NWEzM1mxRI6DPGoslVDIUYeI8homD5iO5tA
0nbMdH/786we8Yufz3ydtpIVY2zR0hWJt0v5rCac4vT6a+rCAIPifd1VepvDEzaYPiF2bcNfULlQ
V/XT29BGjp9T+lq9QxcGGSAX0j4lAR3iHItjoV0X1XNW2U30fXvf1nNEF2boxl5EooupdyopkTMZ
vNlNHmklIQuc4ut827mLizf3V/JsOtDrAG0TB/p4K2SQnQpPDnMDEjwiHTAX6kbkZKDe3HKLbKtX
92KN9IdcrDHozRY6r2hZql3DV6/QS/BmoJVBv5NciCZifIIDuKtvigt7DKZTEmkB4mq4ueEXEj5o
5N7I7zjfjZ63rfvKYHotDJqU0x7D/7xAYxeMBVci2DuFPS+XwPtSDJ5Xy0jC2UDEW+dOlV+L9Q5D
y3p+z1kTvaQba2LzMGG5GG01vK/pfTDPhnzz/mfFh9cHwVkROz0pNkpcCzk+UZR9USRXD+/G4FHi
XK7VjhbU5/4D4WwKpsmURQfZKW10GByQ3ngE16s51nb1KFiZo73QzNbiDteVT76JDpLmdoh5R+5A
DW+1DJbEWj8k+gQsMa7FH1QQajp2pSOeoOPy+Z1J01H20d3wd495XdUIHkuKKSnMRWibcumyBg66
+jx52a2yCxzxtnI1aLkkyOTxynirtGEofP2yx1yKtOoaBawT9DE/Yb8LyNUUu+SmBt8lj8hrPSVz
YYu5E4VmaJpWjT+fRrVdRJbxoiR2he87eiDt8wUB3YKWcGX+lWP4tUg2dyAuwoJuFoLWQF10elJD
6e1HHyAQ0XmkxOsv0PMa2exBM089hO7R/ts4lDwkdysEw47q/kzHph5NIPCwZh08z8tjHG1QGsLc
12hxWbSvCdyRFFpmx2nQ5h0UwlyIUVPFQhBxMDssrEOlYEHn3nKIdtkdbwD4D3HceUGMh1XQKxua
77Ukn14BDPzsFpt2sUFKjFugX0/4XHwyxqkmfVY1ANKfvVW0dr5c0Rxa5Ez3iz2/Z7Uwl2AnkDGz
eI1d6zBzXin9+6WfrROjN0Hv6ZRonSlQF+4MBwJcRvq47Sh4R4SBlTJUQKEnoxJoFtd4W9thK9gj
Tz+JtxgGS8yxgAxQhMAoDJAVlIPIwsCRP84gZBmy/b8tiMGSZkkVoQ1xz8B1KaZfw9wuRs6erSdW
zweDnXIseyOazRoBLA0YaNNd4nVoqMwswYd8nlM+/9OSVCYgr+UpLwbMjjizUj7JRpJZtdrZXdj5
23Z4V1ll8AJd0iD5LxGbQB/tLRG/qw3RbNLMbpeC81RR7JQU93VRQP1H2MdmZm/bf+8N+Ri0/Dr0
KgMlcg3htaaD/QScYkKb2i35ZGaJF2mJOwU1xrhaKykXT00XEKWOrtFgQj6d9oKCFCwm5oWgd/Lg
pZaQ4q7bT8VoONu/kHNb2Hck3nVqaspUxydtrRiDZVWdXefpXyUydFM0JEXUdcjX/375M5R8iUzl
YnU5sjU0zJU6p0GNAuXHnT5bYOClzmK88aHn4EjlSYcAQDa3nI/5h8N0NsEgSxqi7W5c0K9OqSEw
SQG/EPo55JXQZs05uJzPotLVXoBlZia6SMD67yzhvYnqlerFJQdWOBCmMp+kHkO5lGbUUmTxECVf
IB8P/oC7MPa2D9gf3sbnK8B8mEFo9Vwq32soo0ue4rv8TUAtbEG/YHHIIys+cXN19FZ9PAtnk8yH
As1uCdJF1MAnFIkK8GNWz+1L66DV3yv86SX4sr1E3k4yziALIVNCqOzyUEeurk2WaAhOqDQ7Yeb5
Au5uMs6gr4dOyunDn0B/LvPCu/S62jUImhW7sasn40bnBJR/yAH82kyNqUZl0RTitUprfFe9Wz1S
3eXIIfvwNXwbQdnkmwd5l4KXGnwbeCj8086yAg1mknQjZm/gliA7kX9pJL8r7Vz4/G9WGCfRtbMa
BwplU58TTxL0q3oiXq6B38/gacG9jwttHE2NcQi6CvZitcWto3Mho5+cgkfwTWJPFwy8OuUVeF9O
up3vqfpEcN+h+I9xZdA22yjjHgwwsHNAjQM0GgM0Sl3GQ6cD/8ts9NMKnkceHgzd5GXI6B5urZtB
m6AhvRJRXo9AuArAJw42j3Y8ZYmta1bZ4aHtz8JOU3e5weMpWncM5/PL4I8xxbrYpgjVVHnC9LLi
lzrZbR8gld7wrdUxgKOjCFFAOA4xZygep2yW7bLTI2sh3W4JIjsQdS9sZc1JkvTYRuahHPTHbk4T
Oyvix1x5kUpQWBcVxOBAjdxDoiOfrCTOIMGo3I7mXVKMR8UM9sHYpBbJ1Zc2yL2pHlxDDm4n7Yso
/ZCS3C0m049RzdEikH0OP0Dca4l9c9IV+KoSxHW1YZt1AYbTwbBRsrgvRSgXTxWmZdpwtJQA08k5
YpIg+jEBwCLIxsplepBFcpMLTzVKi0awr6H3t715HPTUGPQcioFUBU2DLPONjqp+dFuVft/8lUM9
+27GSpIvVWDkaKhLyuSxbQpL18o7acz/ajFnMww8V3m1zKmOzJEQ+ebwnZAE0hOKJSl/d59+GWKr
G0FEea3pWCKNRUSIVlF+9+5g+oPfHzV3+xOtF7/O4dt7ZHQRjmg6CEvkECghHiQICQb7cN9fYQbI
4b3v//AQOa+LwWL0d5F4LgckTl57UNhMewmU3ei5hsS2R6Czx80KrcPD2SADyFI0RUUcIVbQUqva
07W1oD50Agf8Q2jYwczRiUdAwN1OBnTbJZfaSYfD6avvArhdG6/p3KKA4IVT94/VfNfLnBDlD3mG
8zIZ/C0jpW6gK0Nf/rRAlbrBbey3DuXD4D/v/pAaOltjMFeYGqPOaRPi4KHXEtZKX7ipdoq/uPQ5
qe4LNOptn9F1R3Y2yUBw1JjDZBRoKDE7u9W8fr4dCSca4W4iAyJSKTRGXGJZMvEqdHQmXvC9VGz1
TvYy9MgIj9tL4tpj0KRW+3KpaUsgufspsR0+pTEiZxocZDZvxJJnjh10EIw4TfsGfUfkbnR1NDuJ
t3SKCrpU4HHiXrz1fP6vD8ZOPFRQNU4qzPVgoJNiyrT71jrq4b8ScaDf/qN7PptiQGXQwiTBI4Rm
NwZnoK2/LgFFXOTRfkc0WJ4gweHyxSPel7Bll8EWnUzLNFQInSlIU0XeBLobduojsXIanuXK+gba
KhtLfmuf02fzReSR1HEuBUs0ELZ9mWoCDlAnFnakCjdC2qBNgccTuu7Cz/vLgEvQCSIeJUjtRdkA
/VVIErliheghu9u+ELzlMLBiBEmARkc4vaD4FCnWPPoRt6+KfpOtb8bgSK9ObRYglYAqgQROK7D1
2wrExaguNU3Jpl+3l8RLKrD8Al2AMZ1WfG/eRAn9njYY08dxfitze8YoXHxYGibQJPDgSqqhM8dx
miMjyAjeqTWGCgY9AjVM9aioSWXpvehEU+0qU2xHkuxtr3H1s13YZdydKshqJg009l+UvWgUIJwc
MTKqWttmVm/5hRn2FBYC7RNDIbdFkL3steZUx66S+Fzm09XjfmGIOYaasUzaTNsJGuOkCnaOxmky
HqNx4CxoHZAvDLFnMQgGo8zfS56iTRXaFjBS/+QirXxe0XPdaV9YY7ybEAVaXCQ4ibQB3Tggtz1Z
kAvA1HcPlFomK3L7ncA5G+uVsgurjI8L02iazTyQHKW3in19A+5OJ32Kr+X9dEDf6+fMHY/Gvbnb
PivrcebZLFtNrsW67gYqK66e8ECD/KpPbkvzXYyBas7nDzxxbK5F6g8vYmh0y/x/3R+z9T6x0TuD
ILPZfaN63OmJR0CxGtZerI9xeQXRBjlYKFSWN0rwuWweOBvIuQSsZoap6zMxZnTeDUiVoOk88/Lr
KcFhmb3RW9zcGXfNk3HPywhxsIQV0ZjLRDf7BOQvPRQ7BeRD6i8TL0nD2zsGSNI6bbUiMaDkI56a
+TTy+rvXMf/i4zAAsshJImQTDGiVXd70fvyGmaDJhvCSE93x+k14KMIySchZq8UyaOvAXW/4Pz3a
EFpUUgL9Lfe8C837QAyKBENpzOmIB1xe+KnmaOpVN75wzh5NOX50ZCrGBWVaN2Arz2YUtgAqIBVt
PJaOpjt66Bmw0GXtb1taPwlnQ8wtUgSxwGlAjAqiA78SBj8UdHvbBN2PrbUwTrlXiJalDbyWMZ2i
yEcMbkm5mxqeMJ0K8fO2sfVLe14P44nr1qimmepgJKWlS06QOml7MkMONvCsMPdnTuU86jAZ5jTN
jhSTraOZBdwwcJPbq1k/aufVMNdIGJJAX0xgOIn0J6Wrvktyb01Gxhki4B0CxgvrXdmKrYqIUAxc
0oFkgTe7ylsHc2ViQxpUsUYHrtrulvaoZrt48La36g8gcN4rxs12YQ5lPgMnmYpLQDY3dJtdfEXv
zX9DQchZEVtObkpB6JY2gnR9mB3kOXbFUXMVOdxvr4pnhnGpSWC2SzDiOM9Q/VVv+uDQpRwqUc7H
ZwvIshJNqZKZgBri9cNLov1NN6Dx67uwBeKiHztlDFF4F5NdW3sDCAF5bBAr1xGcGbpuSDqhXBAM
wkhSKCl9H8Nl1p8a0UFvkB48cDW01uYzfzPDYEsQzm2s1x2tbMS7zBt2oGl0Dac7NDTvYycghASD
ibmvd9uHgGuYnpKLwCoKS7EdSsBZo5kHrSgseQkdU6nv0glN30BSU9PsXJpQ3u4+S/Ozkce+rL0K
S+uaBNUVkO81isrxHGtv/9+2gwEntASTYBkQ16qn2hVvor1pTQ5elXZoURJQ47azZk9+oBJSwXPq
8bpt6H1m3Mpv5hnQEqo8ayMRbxQQxHm9P+xSqovNZS3mmWGgKzJ6bZQpK4xU3SW6ZfaaRerrUrIr
wV2aU8w7y9yPzeDYnJr9UpYmqM33VJwhdtO36OssYaJ6QmrRvNVay3xQrHHHK5StIejljrIvBtDh
gj0jSSnXOW0fBNepo9xQNrfG1/c8ZvUVZPvNGINsUh7MrUJ5khfBa9vXsr42Mk4ssPby+s0GE9y0
mZFKyAAAevzByR4JdKSmXfa1s8q9gbpj4FL9L97EOG9hDBhFtR5n5YIOsDp5kMKvRvkoKC/bgECP
Nnv0JYmYmqRJsvFButpQG7mS20h28jJ56UrdRzMvBKLbxlbC+qRnfWFvG1zxEeA0ORtkNlIfIgEC
5wAgbdlVYmbJPY/Jfa0I/5sJZtsgxz21tYEesNFOHsebzGueR6Rt0Krb7DqXBr9FarW72IHO9l+d
/Mv1MchOklQMFgMHhabENCROEye14ys6zSw4vMoW7+sxaC5H/aIXBppsdPVenPZhdyDCru7cHk+k
f/tsDEJL0liAZA9+sVIiSws/BbyaI+9cMBis15mcqq0sOUuPuP6TrDxtL2DtLl1+FwZ880oPqhHD
5k6seHVwH0tf079IIP927hi4XaqlKcMQ11XrQeGm1NGzPqqCNS0jZy1rb+JLS2xB0wy6Pp3oCSf+
cEXJMsK9ehCRl+ePlqwfMUMBCxfasD/ILJO46IKwCJHgyv2oOpHUyePbqUutqOSF3fRefsSiX6bY
walOzwoxzgEN5JqW3VobQL7/pvrlu5xcyQlW17yxJJ2tMV5DDcJWJQK8RrLv9q2v7WmveeP3vIiL
AtrWqhjA61qSKEmLg0cBgaARLvFSP7yq97kXn3gZn1XHe7kqBvuUVDeUCAMtDim+F9GVoT/G2cM0
vWUEE3bStSF5ZX3XdrtweNu+X5xz8oGnBuSCqdLiSC7zccmuSfg0xHaJBxTGkbYtrYXol0ukN/0i
hF2WFpHThJdsU4/7VE53U2B+WUao8tXx/baptQ4yXLTzIWFgrzKKKVzodv5EcyRQUO4GR8apLS1w
xHjGjcJjoKY/f+u8MEBoaHrTLD1MFuJtqTyLyZMhPnGWxftYDBi2gRl3JoGNMqMUGB74TFDoo51q
PwW/ja+h1x74vEI8uwxCmkOuZEqBEd2hQjexPHhaHVlSUjoLKNBIMnGiNs5JYaNQMQQpZFoAUMTw
mqC2nkXWXPvTyMl58MwwSKILfYkbniCGgh5luR/r/RDtat7V5uAVOwEFvrs8NBt8MzAJ75Vdd6QE
AvxHCuf4salqMZTrJpBL5PohXYoZ1v6Qp3fbx49zCti0tIruGNTQ8DgQTMuIVDcA+0p7qOX7SY/c
fzNFV3uBFcrcom4uqODDb7x4cvvhLgv3nWETHnkGb9sYoBjaNKv6Ct6kGp5VzPZNizvz+lJ4Nhhk
MINKUkBTCKa9BF6k/IyJIjRwf9neMZ4RBhqyKUozLRUlTNELHhnrG5LF91PI42zjmWGQQCENqecE
kasWE3+OvykjmL+nwdlezNpIwSV+m0w/bl4YSHcaeAE33xZM5eLzXM2uhl50lAZBgXvQXdrT0L2F
aAhGPxEnxKB7tQHlrAacWGNqAf2DwJ888hNj3MVN5uT1spej0NYSw1LkluexKNhs2WTCjUESl1KG
kDR6l9BBjvpgcNsd2iuyCz0eGwIH91iCzFxvlf8j7bp640aa7S8iQLIZXxmGkySNsuwXwpLXzDnz
19/TY+wO1eJOf9cLA34RoFI3q6orniPEJqrxiYCmLm61uG2ju4EHZsYTw2RUg9iLohgAILWcaktH
RKElozOnrT107f9/L+KTulCtXbqLtMmFSkUQ0+idG6TjPmx4p1nPc/6JKEzGUZRDiqqjisdiGG6S
5BgTTo2UFwGajJdIFR+TQiiUImSh8/x0JDDwsOJxi2GyDXcigxOzm4y7aNqumUMogRO9tMdyA4ox
eziNWMqDVjjlDXcQiieP8Rv9WCStoOALgUTnWIMOPX9EdT6zEix6Acwhvpl/Xnch159dRWQ8iGTI
STUTRJtp3d3K4cc4lI/1FN3oEVifC3O4HfrZS9LJvS521XXIiDyJqomK/mXfdwKJK8BNUbozLWXa
+4BATO+lZDtXGznfXpe1esSFLOYbqpE8qEGNNnFuBIe6Ky2soDwp+rvkfx962c2NO0HkjWus+v+F
TOY7Ui7QuTXxMBepEw5W1n6reF33dRGqrKH1qRDAO3825grEA4peo8YuEPTbzX4TGsUJ891/ZHBA
qP5bDmPRdT9N4OPGp/Kfy51iZ5jfRPpPYUHlY3HHHY1Y6ecCE/AijrHvUM6CGnPgtLrVO8k2fow8
3ROPgCrgqMW6J1lIYvRCaM0R+OkTtW3DIw7ZAi7erl08JkfK7n5dCXlfi1GIXMlSIxwVyZGb51oU
b8Xsac7+oIG0vDu2buKPRBXlMoCm53dD/xTP7qxwzrFem7nc2vnnizek6xRB8hug20jzqQDDs7At
atswX5rpJI+POnxkM9ghj5iJc33nb7mQqqURNu6AmOkkxS8RNF+Z+iLknNBwPRteHI0pLrS+mGhq
jXhG2AI/39gDIA7FzeajDazG6V1Mp24bXlFt3Tn9o+7nv2lxsHCIy9wc4SjiXbBtPANlGjqLwVuD
W81JFkdjnEVjdF3TDx0W/FQn6J9D6aMeZDvSb4psd13R12abPikh4y9CVa+LdsCJBpsWhH7zZIYb
yRM8QOs+8MyYpxmMvxAkEZOMMwrSlfJmYPd6eDN5/bPVRtPCJ50r8ouPJFZxQUaa0aVHw5vpqp2r
nIT5jOlU3tIt+fRmPqXPKsfYqAf6EuwuvhrjNNqiiBON5sTwiHbaN1Ya+QfiD5u4dJtCuAvEipPr
c9SRHfuW9bGWkFTg4022XjiCts2xi234juw/kWQbhjz9X41+L0dkJ7/NIOpasMwg6Uu/5+VjoHmh
4YQt5yJ5x2Kyhticm0GpEFaNWB4RZWL7mrjrzJ9iPdpREdhjaLij0HjXTYGjmiyZXCkHndKDYsdJ
jEfT2BL5BzbarOsyeCdTPkcBWQCUZRPNL5TKwUgAFqvaDbfZhuc/eJ+J8R/KkEX+pONl0eJt37xG
6ruaOErCI8VY7UMuLO3MwLywtDFWGo1EcB6UEBGoLFZ1Ux+wMGIboOTZgVDKyr1Issdv12+RZ+Fn
0LOF3HlWFHTVcL7Blve0Nk8JwYI95a+kSw/ipgYMx7DlbQvzYhB24nsMhLkbBXw+ms6inYZx13Lb
OLQ9Hzgyt3VIteGKQ5GpNi2OGcUj6dMB1Q/dmmy0BW5GK7G/dU4MqM6fDg/xgBcrECa5CPOgiMLx
rJxkk2/mLZgFlLvf9Nw5b1KT93wTWjpYHC7vQC2HBWWU6O/oSn7mho+VN4GLxypfaOsDG7PZ63W9
4TyrhPErkdAPig77c/ra6cDo5m+E5H5QfjUjZ/OaJ4gJTcQcuRImUSEI/ckpeMx7wdIM7MkeRI2H
trY2/L18wQnjUyp9Jv2kwVvmR2lDN5vKswkSEP5akk3DIAl0ToTjyXhHZFxMTd3Y4OOII4IvedC+
yfWehMUhQrhX5gkv+l81BcyLKibwx/EfI65IxdhIM0FySsVNbgevsJOb6SfWbCNL34NA3DX5kDur
uc1CJhMaJRMiMCRztMZNF74z0CWNdgMkgj+BEgIZ++V09LIXtlD6oexr5tmfUVsIbem1t3SQ4mHp
9Z63LbD6zimqYYDxGni554hwIaxuKsCxgWnGSbV3AeyloEtSZU6tkSeD0UlD1kJNjcAmE4aOXod2
22wMjQdWuxpvLQ7C6ITWRQAuH5FS11N1m7U/gYj9XHT1bSnKdm5EO43bW1l9vhcSGY0Y5F4atHCk
7x0o5dE5pYQC/PB/PShfyGH0IZcFJG4VTT8BNVDsI7c/tKgPF8cOxK+p3fHA4NcftoVAJrnWDCHo
RB99lnYD1hya2giucSxka8Q6AD+9XlujhcJfdJB52dKgj8lYwJzFPfA2PR+sttOGzhnyxsDXQ5SL
JDZE7qfCnyN/RDvsl3mnbgBYjsbiScHB6n2wa3a1HX8PHF6as4YQuDwgGygDuUg3tByREaUsrXfI
BSiWyQGlYkd97bfle4d3XLKNTeulN9I308GG2p1/y1utXX8cFsdnnjy9L/OwHQlmGbHHiH4/xu6w
epHY2ZvqxdvcM24rlw/2T3/rl8BlIZV5/xIpHocihp1EL70DWGKAo7V7FbCcdCaEd9cco2Q3JUMB
8AxzgFmdHgjIBHhv/6NRrh8KHS2JgFVXY6ElO0MQYmWase5UO+n4oo2j1WAfdXAT8RfBFEplTyUC
tMwK58C+HrisxvPKRTTzFUmlVVrZIBBMjMGNIy9udJsUGEY1neuC1h2BKusqSo9gQ2J57kRBDdSk
R4E5Ny3UAzBYaABhrttMGxC1cOscq6/6RRo7bD6kwziAWg96YqL3NchbSY52nBNRXfuiiwsZTJwp
NnKeBqiCOSrond/QhABOQDsBJlayhX3h5J7587rE1bcPxS18LrAefuFGrvsm6sUMYwVS5LTqXhh2
3AR59eVbiGDctQoMblUKaCAb+fsySex2eAAmp6f5mWWOoDeTZo4Grn+py6EYhy1EQ9BlYJ1wcn2n
9PNbkoXP169tfVDycijWU5O+J0pD8AbFOx9bdlinfdZvQamu3+pgJxYptdTP3Cu2emnxphk4p2O9
tS70Uw8gaDRkm8rqxMqaJM79nZOnr2r4zwXKjAk3qAvFY1XScTxcIqUGMauTOCdu3Me2qr3Ic7Nv
En071uXbHEaWBASxti/ulGq2dFE9qX2wNfOqwIpRYs3FZOkqOYkEZC296Zplvm/j0OuRBRBZE61W
lg6ljxJUboBANuNtja+niqqpyaasy5puMKGXMgfG0EcYwJS9fKeAx9HfFrvABt+RzZthXfV9C1FM
zNUnQ1PjEcfF6XZOrCL2+uJQjh5H+1a9+0IME3KJYgzGrxauKHjp3O5WwkiL9J0O4QHGKbZ4jErr
PuJyf4wBY0+9axsR5tQJr1El7WvA6MsTDwBs9WVcnIkx2rQLq0GhOVqvK3akgvb6KGHAv81PbXgj
tHf9/Af4q4p0kchOOFR5I1SSCkMahKNkekL1NqUnMDJao2KpQmX59WOKXQoeYcC6/f5znexoQy2Q
JoxqxMu6vpu6J5k3T0M//lfjvfx+xniFLCR5WNDKSH6Qg00f3VU6lv0aawxbi6OIq/quEVEDp6im
SuxaUTZhrTqdYVpqZ82oyCcgxwD/vD1IFvWCwTF7yt1hO9UcD7X+9GumSXTJVCTDYLQFxNm+X4cw
NOUmfkq21Y1gmz+kvbnP0KqXH64fc1U1L8JYRRGMUh2lGTs2tJHSATkBFLB7uo5xXcy6o1rIYV5/
FAm1sRLQ/6JyhnMBLTvSnA3d+f94gSajJfHsj0NGlwl+r5mglYxMo9vIiPH5QD2rHmRxMPK5ZCBF
WR7qEpock7RPUT4TdoHB6S6sZ2kLGdTsFpUCvTazxA/hE+mLTOOmYCd4sjVZzZ+UC1CL0AnialFW
GecbNUo4FIj/UEN966PXvNpo+ua6JqyGTAsRjMcdVfyLaeW9emnb0M7EwB4ab0apWLudQ151jCeN
sSW5Fuuh72hbvDN3XZ/Zs/yrH8tvtSkd4gaLTjEP+nrVRV3Ox2I9zkQo5SjAtwK1uTF4U3vMx48W
JKdcKCWqWV+c4UISY1LTXA5RT6vStIeRuc1z+JhvKY8blrh24isP1mVV0RfiGKualTxLkwFElU0D
JNUjWJzllDNotV5vWchgjKntNGOoC8xL/h6sjjdKaZkPdGiCgBk9vNf+zNkuJDKm1TRjoYsFHkrq
KxIsXfqO9EC8BqBeGMx7va77vCukP1/YcRS1bZ5NqPgZ1WQFgngYksZWZ5H3+q8WTBeHYkK1QhoR
e850mmy0Tf+mLWsrSHazLNqBsdXnNzPrrGh+v3641ZdkIZTxHapU1mEvwsNnBh6rAoWkcPpWdb1n
jPkuL3Sra2VPlgqet1+NORZyGYciR5jlJXQ0NT0OLrAZnOLZd/p9hPKDb2GC8ybiohjzLI/xKlqb
y42J/xwUILBDmTvZTWRTxhOZsoM4PKYijkv5sgEjGOkoRUjIjLZwB21MrST+RcrmURj72AK/onP9
S66/N5crZdmZAxNuKGsrIJ+AyEXOnTnqTrAUTKlOP/qxBT9eYNUJOIf9VOYEChwT0VkvM08G8JVQ
J6sDx++/Bd0+4AWR67HI4niMl1GBFdDPQ4OipyfvwYCwlx6yHSDaNhG/d0Gd8BUnzS7A+FKmDYDu
Rqdy8GahsETVKdO/xOikkLtgfo2Nu6RxgmLkfUJ6T9fkMq5GUMMymFMU44zEOufxKF1jIFKxxE14
+LNdaazF/x046IzH0RSjNtBFRNaLSQHQymf+sdTAz5G8goNdbrZh/nBdRzkPu854GwJcESmni3uF
787lthO8HguOI+BP7cLgtvY4Bs+SNFc5SB/ymAZgAHCO6MCRo7uU4TOwM6AL8wZY1l0aIjBTQgKg
nYvai3diKloiAW8PtynOdyDo+whGxfuT+7uIYD5YMcRAMlFm7IgSYYM1iDTaCAQDs5UKONtTX3A+
17+4lIs85nsZhTLoU4ZKmX6Hjo2DSSAsFUmufOBmGuvf6iKJeQ/SMUPzUoC3pINUqGi6/jf/iY6H
jV60MZ322/WLXF8m0C/ymMdAytJeGFXIE1EQE3tlq2OaL1eBQKeP36QKPBBj7gWdfFugimSKsU0G
fyOCW7ir36IqPmT6/KMYKks3Kkx/S29GMnNC7n8Jq/75E9mBglYRhyiTQixYbeod0MEAyJefEc81
JGAhSnnXr2Tdh1/EMYFpFDdqP4KV0+nMV5JtGtW3mvrxugyqn1/920UG+04kMZmLGUca5dBCfRzF
DkurOEbCE8I8FFoONBwpQmMzSa1gtJPuphDBAM25rlUpyLYUdDNUmuV9jgolw/fjGAriVNOMiqL0
mKfzTUaGvTITToBNdfHLrS1EUcezcCxVqzehFiEzNpASCeKpLveaKFs1OARa1cmgwwUvd+WdjnmI
yrFUQ0CH40FHxie7lRd5gZvYaoPBJCxvoNIQvUYbbg1g1QssTkr/rMVJ67hNW3nE+1ebFhYCsOWf
HwQ3PYNcYDTvhrfQS/3XtZtl/FvRSrooFLTsCxDksHs0K8EO410YvgpmbV3X/XV7NghaX6KBMXYW
07+Mu86vDRRt5sfBrncdpjDqrXEMdjT34xNNr1ekFvIYY0tMoxVFGZc5qefLpPO9QWFRcGcK2svr
Fa/f5eV4jEGA5KiRgxgq05inXnVLU7AifVdKb3rEMfD1UHBxMsYgFF3QExUVsDPNhYyZHVM8E2uc
d74LXlC26hgX0hhbyMa0HvsKCFJmaOl36odi53gJwQVZWtVbn54JKFIv4OYra0GoLIoG+M2BWSqz
rMwN6O1JmMBZGjcymBLobLF/bF3A9vJHaNbsfSmL0RXMuogjXBq1dzrHnO3jxwaE76VbARJFtIRT
vE/tknOz9DOx1rcUymiMGMzEVDIdLavW65XvZs/JStYPpcigH6Z4eSzFTz8XuZkQHKo37kAjHNaD
PZt2KPy8bthr+gEugL/FsIleko1mELdAslKHQzJ7Y70hZHNdxPpNXUQwb7MyBoNe6A2m/TLZRZZ+
K2SNe13EqrtYHoNRAVFLJEOio+zhUbv3vc4LHZDMla68wYrI5k/gcGQwIqHLK2oEVfPPnr4tzRF3
hmhDK4EDVSRboGC4icKj31hzSksxTFgpVepAwgDtAKPWLcM0nVD/1panCvSmQfcX5wZ5wpiYctJM
Q5Pyni4DDO4Zah4eN90UtubQKdfWM3cxyEz+6NVcHJKlPgyKZihITj3vGaYm3vQH5SeYD21tI26L
d+6S1LrC//PtWBRK1QTlTzx39JwU24MS4/gCWE0s9YYujoR7DC0rXHzNdWu+SGX0cyz7UQtTZHOd
eqhyx9Tuc/9UCryPSDXiq1O6iGGcUovZaKUHPo4j3dFxo+hH/QSmMsxxlK700Dnji/mdXuy05bLH
rxv5RTL9+SL4QXc7nVWAWDuNcBLINpY4BUbeZ6M/X/z+qB/FNKTwUE0JUtUEw62BgJY9793ifSf6
84UYqfDTCUPeqOzVN+UELiEJI61BhvFW3rLeWly81HvGh1Q+DHsQcWF6blGIV3DNfMe2XmQr32iu
ahwbB2s4DuJjqyxswnH7vHMyriXM6yJJCmzw91Juzz44bgxUFjRikShwrnuW1S8nG0QxdAzvYvLv
85WOQkFxsBDvGNlPVdsPGd3p4KFCndcNvmi+JuuiATk6UHo/SwnjpmraoEK5JAonW9Cw82Cmbhin
JyHtN3qsufUUO0MLyqvubTDNTVEmbgPevloB+A3gW8nc37RijUDa3xWpcZdl2amPgRrTx4NlFoVd
9NkhyxVgdsk8DPQ14wHDHtE1SdE17VzJWGhdqsoC6XIVQRrRPVII+1Cb7OtfYXUacCmDeYUxDECG
zICM8mPaB1v9ACqDn4IreRipseVtuR+2vKR8dc5/KZPxesBYCYeBEhnInvRB0bp9p9ymFgjW76cj
bS3Pp+unXNO1pUDG/8WGIMlZAoFTVhwEobfzKrOKIPyD2Ax7vIYk458CkM7PytYIqpmqEVQ6J8H7
ULzXU+N2snJTjrzt5NW8S17oNeOQ4rRKSahAr1XrDEVl0Sc5AWB3BgDyaPMne6lLcczJzGmU0xLk
Bo5RHCRZtCTFkhvecstqqAE1VxQg+9CxqM/X101E0MK5xSsloWS7byK7HGNLll7A6MZxPqsqKC9k
UdNbmFbUlcMwFRP6ClFzE9cAOjemd8Ec7To3gP//gY1Oa1KG516MH03AUZF63BkxUHNU3qD16tu8
+EsYD6UJqRkoCU5t1GhUGfAsxUeabc3Ia5NtJP64bgnriqMTUdIAF4lZLSaeI2ZMxDRDKPB3XOXv
dLd0s522Kb3U7r9dl7dak5Qv8tiCH0YE66bN0McnmDZubttHkONhOyvaU3Jpcl/tUPOxS890xuf4
mVstX1UpHTOXBmAKgAzLXK5RtXmHqiaS6hTRW/0GRhMqfdyatd04+h4G1BxVNHSHbcYZYFhN6OWF
bMZE20Ruxi4Z6MT+ueyz7Xq3cfIf2IHbCvnm+j3/y3e9nJSxUFn0gf8QQVr5NqEQ03jZje5WjuoB
SdURdrxt+PXManE6JlLQpbGZwISHyHXfuaDV9kCO5/0mC/8flgPoi/DlGV9IY7Q2LMdMUkRs+mOg
+wE4qlvFyY4Teh6J8z8Qa681rRdfjk1+q7YbSqlERyI/tjty0HatS/nKcps3i3+eIr1yLra9Kfah
36Y9ztViBr7daB7NPCi/fGkN3/qD4cxecSRu+4wNjHeK7R29c/SGYyFsl3NUzRqzUMjv8rfGVX6B
QNwNnfy1T534VbMk8LqKlnlqYwtVbY7o1WDz8lFZKOsi6dW4DpByVa5/X5/oC6a7wVF3hRs6jpXa
qjMdeHO9a6HA8tsyjl+u5ymVAngEYThohltLe33iFJp5IhinI5Vpp8sYqXPUep+YdmXuBd60Le+r
sb6lFaKmUjA63GLFtNLtsQptcFKbs1dNH9c/01oQurwwxrE0Wl9JkYbTDJmb9i9RzMngeEdhHMmE
AFQYIpiAnqGcNYIRDUiQauxM1VvC3Q/juS2dcSQmCsi9WWCZQfbMO7pnJINKeLYBpH4QHJ55r0sD
RI6sECIaImEiGpn0UdrSs9UORZlubPNBR1GXYu3qJ16rdtWcFsIYzU7zLhBKEzrR1MegtiX9KU4f
ich71nhiGO3WkrY3fR03SAsl2UMKZ0xxy0J08rQ7UF2VeM9zm7dBsf6+LU7HaDyppgQVDNSD6J41
7aWGG9P2N7M9u6hBObyMYVXrF+IYrUdw32WFgTSczLd6dijLzXWrWr9FTddEAupvha2DZ3mWgCgJ
s5rJvE2APkF2bXmrCrvrUv7l1i5imEyrAhWsYVaI9saPsQQjkw6QQat8HU6GZHXHYtOI1p+p4UUk
o/OFEUXKQKvufbULBWeIDknkEB6KzaqPBdTo3/fHKHssGbEE6FOMRLftbkpfglT+EWQ1xzfxpLC6
Ltf9TGqU50CylwxPs7gfBp/zDFKP8yUEWJyEUeyESFnmt2iCphhHBmGEl+zibbLhwjLRT/1FjilK
GFnXgSvFNg6SMAiS3seNifd056mjSfch6CkrKpAFufHhqgFdxLExVBi1qaRh8t9Jfs2/Zx9OKGNR
dHMMbG5p2Ba8X1f21Y+1kMhUMhIxQf1d7VAWr16q8Bcogh0jrLfXhaza7UIIY1BE8k1SSgiX9Gor
NduxA9g4eQkijuKtDqmgi/D312Jjo6GK81QgmLsJxvYZsNe3WVbfzF2wS/rQ8cmEZNTYlabvjcbI
Ucj1xGUhm7EtUPsoU4GM1fGHCiCDN4KaWLWI1V9naEQvDCyZ3EnFR9Lb1++W9wEZa6s6sy0znY42
CZtkuBmMXTE710WsJtuLozHG1kZtUZU0H6x7r0//GsQtwSaKmmyldLRFnVfMXRO3qDuJTLRRBWTK
zUFBmObMG2Azb6Ob4l5/yJ51d97TkVDtPfxr2qZexrGF1W+4LEUxUVWoGPlQUsa4XtiQ3iaZJxjY
A9xkfmEDGz2JH4vpUA0ckAtpzZktxbIHjkLRGGSaVaNrA8o1zwQ3UXsIPFQZbLoySpPfoAX5IN/+
V6OthXAWTVnOfUMcZZTf/O/imQTQ+Fm6s93tUkzC8qBT1wunl2Ifu/vbGsCYN5oR4dYZNl3djlv1
4XcsqQKsddh2NlcmdWGsD1+ekPE+Zl0HE3iLEZWoz2rghKptquXGHO7B/+4PP4XkMNeukHG+Kuej
sojLUiQRsR9QK5vyAmPbTjTeR9qmCZ+TfJMYz2G1uW6ka35geUrG/8yp0pJRQKgnk8wO0hddz1xF
55YAeWIYdwM8CjPySU5rCs0PbANtxMEqt/JdvQVOEbLe/EY9VbyUgCeUcUBjRYAXV8MjiMrkiL3+
SLRxNxTZ03+7QiZ8lQ2jwkI4xsUGH4iSd0XoZpV7XQT9Ctd0kfEwY9ZUwhTCw2iYERtJZOd1tL0u
4rwzek0G406SrlLFxMCTrvQPIwHS54SlkjzckC7ZZ9i5j3rDmZLZCaboCcxY75hhtZUBpOj+y4hH
q4oKVzTBz6mMdi77bqhq1ogVmEY++eK9qKLj1IEsR6/dQJDdEajYpZA9ziGmspq7QgqBKha5+EWb
Xo12k/7T7M1dGlSeBsx7TUpvGzCJTRFGxkTdLczkTRb7BxWc3spQupExWHGdH1NlstJGtvSkBmNW
/Fzk/RakxDaZ0teOFHZFotc+qdymA85RLe4GM9uUClpSRbgpo8ouJNEr9d4FdIQNbGFvjCsgmWhW
mrfPvdCfsg7ryRK2g9Wo8jd10x+wBL4tU9E25NLOU2mT9+ZLakT7qHqadS7TBw3nv3wi1AdMycTQ
A1jJ8PNFId3MKlAQ1Bgk6gFfHdrdjSIAS0LDngzQZ++C0BI43mhV7wigcXRTw5wiu2cMrGx5wkQH
ogQCbnilODbdzMlxeSIYI82EGathIkLymbyU/kniwRGeQcG+XNriDMylSUrYjboIzpK8uNMEFB7m
3El81cvldmvEv4rW35q9ttf0zFYCYnVy4BIy3cdYQOia9FjEppOU2EQi4Ayq+0M5KK6cxk4N1Cqs
y2WY2RmrwQ2l0hn18cMfxl/XDZN3QYztNySMy3nEiKE/3mV18RqT7vG6hFU8NyAR/fOZGdOXK1PL
TQqM//c8RgKKrs5r3xNbeBaBL4Wi9pRZ2u2fkHUtBLNrqEVMwkkW4TqVyQ1UfHyn6TgPHP28Vz4/
u5scBsmYGZT2QdCe6xDuycl6TydvPg90bPW1uVwiu36a+kWKHhemI7B9pSqHOLP4Me6qA1jIoD9f
OIBCL9Us1xCTpMfogU7VtodiwFA3xa0vPSl2xIfrqsG7PaqcC4HNaIalOME6xzy+zVvBTmIsoApF
Y4UoU2fB/Hxd3npcuTghveWFQNIZQ6sVuMVMCe57zAHkfetoo2QVuXRQjB8kiUGmFLhlCJTDcnpq
M9G5/iesRmCLv4BxSJ0WJ4FcIHenK8vAIdgOuFzg4XGedGq21/SScUtjqpvSLEEvm4lUyMJGpwrF
gzhVoF/PHwJS3WCjfnf9aKud2EW0x9obfJyRCAoNVTBgpm/AsmAHe/IAJu3CaSuLjx6x2pKkl6lg
qwUw3uzkCal1TL6mKIqFQMfDXGhiCQ+6K6Ejmdi+E79Hu8GZduEeQLtO9hrHnI/5Lye+yGe+ZpTM
RdV0GHGnAEzRNnLTxEYtM7ewhvJS25EjHCNe3LlqNIszM5+2CsB1mE/0lnV7rm/U5L7S333DKhTO
XD/3dpm3wUj0vq0wcIHv2TuCFdqVhx29BwA+2dV5ofU8wAfe+5/RxuZp8KrDWxyTeTWSNs3SLh1Q
7+wru6mVbZVHr93IA9ldLc8QCas2iqiZsAjG6Y3CoKNrj9dJBNdN44WbxE52kpvuuWW79RNdJDHe
zgx1gFpPUNbfeKqIfVH7BjkIwF7OQ9rTq+6oT9dtkirgFz+wOB3j8AClGmtiXaDWrv9QpyO6odag
b0P/13Uxq/A+y1tkDIEM1SC2Yfm7pp8ee8d8yzEQnnjtXrpXKVglJVTNnPyvijsAzzsjYxBqJuiR
OaVnl/qaRqiNK+54kERbp0BQJoDJaq9413SLN9nKE8zYh573iZ5KmPdI4+9Tcgj8ByU9Krx9oVW1
kSXM4ogKwbw9Uww15qyuxtRE5ak/hPGGVJvyjxbWAX32jwymGpEqwZD23XlhfTq3ZIyfvQ0IO9xc
aiev15WF6vkXnVwIYyyukYI66gIURMNptFTS2YBNuC5hvaKzEMGYWjK1oVCKKA5qNwPWc1CuU07+
JhQB8Vm+APfHLgCcanInN1aLOli5Ao8GoC6wEfg5vNAHcR6ANIW69WS+55GyyUnnpdUr8ipLVOp7
ORM9XxE2WYp6IerNnFPTr/T1Yv8RzwKu5aY0qemZcNmZwMdDQMcC1DBgNyioS/KC6/WveBHGqKWp
FJGRyYgwZuMuANY7l+Zq3TNfbpOl+I4NP1CmFKmJammgrpa29UGltL43PEDtdQu7HIVRyE4Q9QHz
mVj7NV+78lnBuiq68pyvsxr4LU7DqKSaJiJIE2iiFe9N4a4G+bT0SoqtXD7N6pNOTI68FWxMUzSI
jNaDohEdncnPyjgr2lAGVSo6k6dgYaIEUL7pJnv0HI4StILY802EwWSPo4T0sj4r4WexzIuTdWEN
CLmA1o2bPd3sytz+lTyMewo2mt5zX9WvSv9ZHvPyNAFCId/PRcgbCzDvzlvTbt4qjIJROEqVE+N+
VZXP0pi3pi46ieS5NDsgKZ/Sj4xEliEX9n+8Q+ZhEf3GEAwJZ5r24Dg4UqyhHq7L+Kgt2m7jYYPz
DsW4rQjAc0SdoSlJfijk1xJzKJNz/Uhfn8pP98b2EAsxEARTajDYH9zK+snELHzRW2nGQw3mHIWd
wpKqsVZCmd5ce8zIBp22kEf0Rj/xFQVnx6yk3lD9WcLObk+XMufH2AQg8eT66q+xer5+a199xudb
YxyTHoyRH2vIQY3G/6FF00vqPzWROIAsBOiyim9Xfu9U0f+/M/pZLOM5+q7ug96YZ2eQdmp7mlFI
zY81D0Vp9VOp5/0qEd1/9rEcB7CBtwY+VVXVjoDmVlTKj34qbP7gDi9i2EdR0QQykb4WndDcAc5V
0Q4Z6rq6f1TUhy4DmVz2dl0g51wq8zDmkTDmkS9gDklrbAW4KrMaenprchwtTwz1i4tSRlyT1kgx
AewUiXowEmAnhg1g5HgzIDwxjApWXRxKRZOIIG0/GPHtPH+vuCw1qy588YkYfcswZuJ3I5yD4oGl
HfTP+8ie8V50O8BTb3jojKtGpWpEkUFCj0CNceGt2vVDTU80i8cAi3Za7olBZCXyqxY+9Nl73HAm
ANZ8nylLQNwAITJgd1n32vq60CrQwMT3b9U22ZeqYY2+tvV1HsjOuiiDLiwQSdLZeoiRyNjFV+HJ
oW5icqi6rdGA7PbpuoafyVJYF2jKFzH0z1jonorpNMWUIUbcJw90JiR3fAcDSegakIO/w6zrfraJ
rW37F9HBSFRi6Sfuw7/2HYHZY6I0LqqixCbujQm+h9nv6cMPLjRv3gy36YmuPoMMaARTCOVMFjeI
xd/5L+ZKgmGKS+GMyqqzP5lzjEW1xk2fkAAC/zvy5tvGMSzJbTHL7Lv//4UuKhKL+SYgWbEDxfiV
bJZao8swU9Fmd3K6neTKEjJ3Tl6uf9w1g1+KYfyKjBopmsNovbdNty8kwRVb1erq2v1vYhi/0k3B
OEmApXf6+DlM7TGLrKF+vS7jX77S5cqYrzQB5EAIahp1fHQuZV5IHW0XQ1fHfXCaHGwr2DxYLfor
v5jG4ivR612YRlfN46x2I85VyjvZMA+RzNsbX6lif9YExvw6X8qHQMbdIQZFth5v9Aft2GPzvvTI
iZfnreuDYYgqMEuR1DLeK5PlUlKzCt7LuNUNqy9eR96U9arXIv+IYJ9oDHILoiZB5SR5tBThPpNO
UeWiC3ZdHXhiGAPSBjLNujqJTt5bWaO7Dfkppbo1oKV7XdBK5ko/0OVAjA0JIYCVh3oQHdDgAI9f
QzNDmDPHxHQSQrqTRHoraTMnziM3MckfWdZFOGNZhp+nsqLjmAQIWQpI1/UPlcfFShOQr1p+kcEY
lhLMQ1bpqHyBAWTGcF6XWnL4UhYwYjC5Rx+c+6R/8jVxjFEVMZreWYb7DMA4EGG0UrDlXQrE3Hgr
W/wIgacojH1lc1SpXQOVn6Jd0pwC/Thl39P/qvVMHDIbs68nQ4L5w/7QKfd6e1tVN2nzzLk7jv2q
TC7pd8I4xL+DK3C5O21oBcAXw+j6VFjtbb7/P9KuazlyXEt+ESPoQJCvoCujkkperRdEyzQtQAuS
4Ndv1sTGjqZGodq9+zSalkHBHRyTJ1OCqwktU28Xhj0d8Z+27Mxs6JGPpX0i/yfsRDZwatQqUpeh
FJTMm0siEd9uGPw5F04WrNS5Swe6cg/QXnhYwXRvrVdN+6jyu1HUF+71t0v5ZZizpexIb9foQrOi
wHBDOy93fHUTcGtcyF5++4R8GeZs6TLwdVSDj8qHM6vdXJDUB/j6wvZ8e6P+HuOv0s+XZyqYcqcl
IAY79UXhMIDjfWTDi3gY0cDXJLjD4c8Dng7zv46DG8BLI9S1UKvD97+MV655M8sAO6TLXbfGU/1i
L1Dw3szkQsfONyU52N4vI52Zphl6lw1eYVh5pGZ2ddQ9NunE+vjU/9SH9f9Cz/P7/fp7bmfWaV2o
kIXyVpDzO4yCvLu54Md8u3igVnADgkIn/so/F8/RHbqUmwHwtux30ALnvzpssN+KYVNW7z/v07dH
/MtQZ6unMttDQROevZOlrXMzAEp3KRX0TScDdujLGOfrxQVa8k5tssgQPtlhm5TQdh2ZiuifU2fe
paP3/ZRI4BNYBt87Zz73PK2CPEfZbQYYv/howZs3/Z+b0k8z+p8hzgvfhVMs1VLCIfMXa2Nzf0NW
Fc653P68Od+auS/DnDkwswvB9dp31ogGvwbnWfPUKzuW5Rfu6l/m8l+X9cs4Z+4LWbS3eqeOdMgb
AQrmocUXQqt/ySFOMd3ZQIN1Sb671Gb7rVNBAvfUcE8Q0509iNWkC605YqoWtQWmZZdK71MKAK7R
EqeCFsoYLeTofl7Tby/vl0HPbLrPq8zNuhG+9Hjn2Demu/n573+/Z39P6syYD+scDG1x6jJA+skE
JdcY1+pVten/a5hzgvCc+6udockOXHtHRY6NL0OXs1HK6Odxvo89/l6vc5Y4NWhY9wK+0RCbIa4w
BLdO7cJBOqZG5F5A3X9v+P5n8byzg9grC2kTjc2ZDaho+FbaKTdpRIBGjbtV0PjnuX1vKP4e7czM
tiXeWTh+AJ3zmNdvvRk3l/gyLg1xZl6Frr1+Ppm+wvlVOzeLs+uzCwfu+6D3yw6dPsOXp3apHQ3C
ULJGARpK9RLSfjvTuB5ePH6niiQvq6iW6ThGvZEOPnNoOOoLp/HiZzjzoJ1mmjuqTrichqlTegZo
0uoxAFXiHBkHskMN+3AJMHK6Sf+2Wn9v35n58GZF2uCU6O3s6YWMXRiU1iGv5atdBtcItTa0rm7b
arqw3t+gZGD8PduHY+PhgT7npRm1O+a9xpPppuXR/2zvxdOI1lfoseEjXBfhMMQesA9jKj/1qe/7
Eh7o+yv55QOcLfbYyd4wfLgHY3SC6ZxwF/62g06uRIfGJVf74mhnyyy5MaCVDpZmrqMWAUURC2Cv
N9NORV4yPg4Xp/fvFv7T+kKMyHHRe0vPuUT6zAwGeuKEKrd/iWfu+w0Fye+J5PPn+//9qf0y0r9u
p8jg1WMhT/i1E5EdO3GHFYdpF6TYwFt78x81Fv9zemfXVaup9hRFjceBUu6pjdndOukpeypQ6bu0
mN++Rl9meHZUJsdbeY3Wr4iObuwtoaugX0FQ905+Xspv7dyXcc4OCRSqB+E6MKWoerMhuPJly8Sl
zojTH/nXhfcCaoNziiK/fuYONRCzW32Kp6g3Ad7PSlYCVkFzcGT4Om0b60Jk8f2c/h7u7DECnbpb
ZdDpi4yxqVlZ0tR3rLeVP/0nS/f3MGevEB/dqXUHDOOoPC57I9QVD4O8/E/8ni+Ld3bWKy7GrEYC
PTKMnTncVPzh52l87+V/GeDsXFt8KfOB//dlau7gRAL1vdw2IDUqd9nNJS//GwTa6R79vW5nR5vn
qnaUCx9c7fxbM55uOrgm/XOTFuEYr7G3CeC45nGdXupiuDjy2WEvOmHR1jldqoWmld/eeRn/Tcbp
lregHewzziQ4l52mh2Bbre/mKo/aYN5m9V0L5sc1Hw7ar9Jybvagnr/9eRtO2/jTHTlzb8uq5CVp
gMtzCMLh7F3T158HuDj7MwfXUF1lgEEGr8/LCXREn5ctVj4hdzpBg3BSp2ZCQu85iy4xAl24j+eQ
AukSPQkNw4nEMYQzxXAjil8/T+6ChTlHE7SiXFsnh7um0aZQO+itHvJt4Xux08vIcl5+Hu1bxM6X
I3yOLOhkZalpxYzk4h054L1B6T0M3kMzZanluE99DfYaNJJQqPiWJl9CQF+SEhX0vqFPHeRKTZte
MBPfp1P+vlbn3cu0lAYo/XG467y3w6WpLTZM9bE3270xu8gizkG8GF4se3MKaeMfA//etkdGFj/y
5fT28xKdLvG/jvNJR4o4gWWiZIzvf/Ft59nzJmoiEZy3B6e6o+NxDn7PxSU+m2+Plm+aUJ5wQG18
zjXlmsKf3FPOVOlXDuV6GTbq0hjf8BnCYIE0EWNYNurRZ4Z+1M2iuuIUC1TLrZfLMQwG1Ajy/pcR
rAPjHh9Zhni3rfp44uQVdPvMaOfE9ouwXuedNwaoL1gpBCsYVKuTvlzfjP53ixTyOPkb3+Bv7vDh
F3YqSuv+5304mY1/7cOXz372ejRV02Z5htrrTJ2wVEkvNsQOR1CryhuBLNjPo31/CMGMCDo+xz2x
KP5z271Frq01n0q9fzFU1cgXyedgZVO4QmTZ2JYHPlwY8/vt+TLmmeVcdeZ5noHtMTbmbngydxOW
H+CE5jaPgnhOgIiICMoQTioBS4QqK+vQnSzDOgwutMl9exrxsMHJMdG2YZ7NXrmLktJFRlNl7X7w
A2YrtZHQfPh5lU935197+mWYswkbunE1WhtPccxJafk0x/+N/Pk3V9gyTQggOuBrpjj9/9zLoLGU
BSzsCT71qJp4cIPIaK469fHzbL6LU/4xztkR9fJCjP3pep2auo2JZTt6B1a+xE/Qqvkfedb/GO7M
3enc2jJA6A1IhLmh5qMzR7Mdq+BCaeCbB+kfo5w5Ob0lA2hTIvjS7buNPmAZHJZqjB3ahmamLpy7
78qY/xjt7OD1hSS15yDy6i3nVdc1NDFJOnL9q/IU62WlmV1ZM/PVy2KT9Of9++Y0/mPss9PI20ks
3MbYS7CGvNqtTqSK/UwgTVD9MSWz2guOzKUBz56W3tbS8M2/wvhsg254aFa6ibhMZX+KSs6u2deJ
nVMbUDQlNgLlqqgH+5ELRAKEF6+67Ykr9RL0zQJn4IXRzmKkLKi06xawnAa8FzubQwPt1a4ViYqG
eavBszwlAJHtPeKDs3fYzGK4LXi9X8FwOM8AR9V3zbgeHG0z36/RYG3d5vWATg67KyA79Yj+933Q
/nJkLZkc646NU8da4e1R734cM2vvTT0iGbDwcm7+ruscSnFjzJFphVhiFtNhglc6RHNGQkdp1KBG
kjbtgr9jFh4r5h1175whMBkUlJ+6LIOgYxCZdsuUF8St6aowD6rXwQbM2Jp2tUIZweJlYgXGuwEZ
Myi9/7ZN9ZtnbbzIIOE2vbJWd+dJVGum9c6Zmpe2FBL4k7DO2XTMZOp5R9UDK2K7ir1KJKPlriIv
kHt8zaBnxB30l1F6kxXLnZNPIaHkORuWUGUAOYngmufZ1ayzu9Jsrlt33Hr4gvn6YQFbCSuW+bls
y6tR61Tx8ZEvJJS8ewCBqUQHqf2qVHswLLQnzBYKi8ahpfq4Tn64rnnoTxBWIAPYibUXBxXd80Af
quLdV8UYWmUdC1vv9dSDek854dg/V3aTVLK9nu2CBWL4EyxBkrnmNb3KZBAKj3+U2V2v6LsHTycb
1X1j29eVllPoGl0y0eK+lfKDdPWhb+y9mxn70mvv9UjvhW1xKP4auJxdDEY5dPL7O+p1cA1lrIj1
uRh+bA30ZgmWm9KHQ0uLbTCsEC9pd0HbOyyv6d4upvugApmV40/bpnBSH2hX5vU6Y1lTgbR9NdEg
X+UvXT4cq9V+yKWxW7j1ZKDpfvWgltVz9RdrfrM4sSmLiKxFqgzxAkj8i6bDvcWzg0nUg57x9Row
WehQuH4yS5G4poIdayOzJGE7oUFYyHgsT8St9p+gbuJMSxZ072Y7h0PuspoaUWNNkSn+BOVy0G7u
RotrPlhEb6VrP1QgKBC1v1/NEWjZHtzU2XXvEah+42uL/ulKL8QdpLCb0P2t/V3RmLFJmz31+qup
AL3nYCcOn7ZOQaDmDE7yel3YmgVPY+V1yDnUfmiOQRis695RxQ4V0KeGjwuz7ZVVKw6ZtZZZRNdp
o5S7swK9racVDG6eSAdjgKUmr6INwqxwj4aVX5W6TUUW7B3IiLvASHuqYWVWQVHBLTOG8xawgDvX
iCoOltVuuQelYM/ZrUV+mLWD+zeqVBtdyVSh/0izdaPabF/x3idWJyBRP7xO1bCfSjdqJ9zHJUcO
Y83ZErw2xEqV9VyoJZYujWZvmJmQ9kEV0yZf/9hTx1k5j/elLx6nubkq3JINZcGGtRHM7pxbbV/b
bfe7LDRlnMxxYxuf9YgkyYLCwMJDX81J4Hcf0PxkvlXssVQNEuHwpE3/qITAGVPrVhUqRC5sA+J+
iEkCx79OMiSaRmU7JLx3w8wFPzvv8eFEvRdrt7GzPK15v5kILqeewelgxiv0C4e229TrGPJhPExu
wUrz3V+8iHgzGwBrq/wS3mE5x6a9xk6+RmIYrm3wIPvl/LQ6Havkul1sN1ItFFw0eDE6x7peZ5dN
ARLZbvlryJ88C02JNgGFhferAYBDq19cgd54PUVe2VEY0gyH+mY1M/ihpplWFRhsVPBYeL87l0Nb
ndMIkpYbf/4Auwao3HC6Lbd9nrR+DFxUOqBeADi+SoZl+cPxKPRueVssAqTXMhEOPxAv+5X12W1e
mbHwHlxrjWutwkV36TLnd5TwPgq4F7pjxZkXGKHlqn1Ozd+AxULcNY81797dzI7dLgudnm9KXkdj
Wc8hIWTrepARnKB63cvhIEx5Y1azCJcVzPgejSDoEDYZYcIcn0TZJ5Xh1Kz2/c91sQzGpQZouOwV
s8dgg9DnOu+LF8hfRcNJAU279gGokR0gSze0rRBX43L5SwUiLMtMikzAKuXNZ8bHuFrrt5n7Ol59
lxU4DsjLssIr4G3BrhBTs5zksT3Unw13ewa6t2SuAFnDhZAI1ezd4IABZqk3LemQywkOp85kh85h
QwPWWm6cS/ePav24tOu45OvdmtUvXRs8+ro4UXE9SY2GCAJQOs+M6yXwt75p7Ot2eO9af08c+VYN
TsNkUPx2Pd9nOrPviFbXBdWPZMU1yXHicZ/CxZTX1OP4n75NBj3f86DfesIKi5xu1OLuhajQc+9E
llkePM0LNnbm3VDMSV+rkvXNmIBqfzs1kCibjeGoiiUK8MJwyWOa6evJ9eOhzB8Jr8FV2sLm5pve
F7d68Z9Gnqd2w2FGKaPrEi3mbTG0R51/1Jkd4rejKS+OQFBGdtlGonsyMDfLaXFXayM1+35vFtC5
s7UGQBsNiL13a9A1LkgeOVa5s+362tHu1jP6o+PDEDXjEPYFao+e2gLufUo1X8nRxmcqvNBS4Dmq
rO6APBhlRlbt6yL71coSF0K8VZl+nP1q0xq0Cz23HVg/k21Opy2uxoeCcVaOtRu9MQ7oktQ13xlB
G1d6PejAe5Irv/cMpAbaeVMqO5475CGqetgO3D9AQeDdo9IPkXeLR4p8SI72sna9GjqYPNVsNXyy
yW1BwY53o+zutWPeBHxF8crY0JzHXWZEDhojzIx/YpSAVdQPm6Y/DNk6MjsgDJxHsSPqI6w2ZM9y
8lvSYM95nqhhZaLoAV3rd269fPYGv2sARiAt/ABbh5OwEs9YYmPaTe307NnZPZcWKz37SXng5HDz
TUbznaG8LfEMwHX0oYHUH2sEmgxm2FI3q0Np6Biapw9NM+0ttDUuemgBSpnuwVydUKs8WHhYuFo/
hAK7fOPwl7UDH/vsGBXzPXWwxuW34XubclljwygAWLeuBxOdGZM7hGU+b+yZP6Cx9913nT10h6Nc
kJCUoD7TxqdspmSdqx11uooNmfGwVrpNptFLUcOFG2c7H00BhqA8Wx/Wzkkmne8cB/3rIAgo0D3P
7DkL67m8kwHfKoFcJRxH3hdvvBULnnr1HnSACS/kbV7A95oFkRBFqvUfLa1dPnlgKQIDupiYBLny
MJDIKZf7mQ8pqPXD0RhTzqEAa1dXfe1ddcENChWYeR9T/IhVlVHnrDjYJZsQwk0Zkj5e9SJn6K1l
KiIl6ukK5ObrEk7EYKZoFcv8JqqheEiz4r3nRTrl/n3rj+npEWsn8uw1qPZ3QcvsZRHJtCIHS2HU
R8RpRu8SoE37Qz+R69VwXjLb3Lbl+tqXS9L7+sa2J9AbF4mXg6RZGLf5wq+WgW4dF8ZwiRAX3TZ2
uelbGqHp9cke1I2pgzvbzzc2sChT8SsIwOPavhagZDeM9vXkDCIlDh3qBqtRaNaOFA+bejdRbm5m
I3ScZQhtSJOg7YMNhYLcah5Ofb5tHDzxILwKWE7LWIzitZ/tfb8sTMEwnvgRF2tk/VC/G0GH99CK
sbtoPcUdq0e107k4LDnsuAhugEILyZSHg9X9VmaROHJ90l0W6cl6yuwxNjlEUJ0pkQZUGCVJIPAZ
Wyb0JDpnhFGxYRD64irvhYwKG0dSOfOW2JwwK8jgJBHKpI9yk6kdlplVamdetBIgExTI+AYzqNCO
49wOznorPI+Vsk9Io1lVlDDHalMsALhw13zpl2BPO/VUGi7ofrxwLt4b78kcljSrp83cQNhH9fva
JJ/1MkS5gddufKt1d+dnN4Mxb61c7Bp0UUNHnTl9tyHjtJ3mbJPXK05BsXea/LrOAnnw22Zn9PKX
vSCAIP0E31Vuh0Yx110Pfi/fPXsu43kpH08097yR2yonaT1U9+hI/6j6BSRx8I19izxSt4ePI4uj
Frdk1pBt91+aZoFEmnXUtPtoCBQ5ZOMd0H2aOLrFq/jYU6AAtEhdw3jJu/m6WeBuLJmAgoB0o1zJ
T6vWf92eYq7zSPHqFuo5MXpc4gGSDdKF4gtHm/i65KwNgl1Vdne1MV8r296M3houAxizrTIF389+
XLyksDBvAy8GPPdWVg+F4d7jpU8au/mASgpzO+Qs1X1dFKFZgqBA0j3sV1S3IqU+34PRZ4ypN6L2
Nh87MN6OyxMEbpjoRbpkYGAzm3SkfYiCT+RpMxklD4cSweDqRxlmbVIIBWQ9k32fjGpM8lwlJeAr
sgPhgxWwDt5i4XlhhXtAQDVD55tiQXLRONgl+BTNKiwBD3ebaVcZCH2FsxGODFEf/10A/icXcInO
bVrMfC+N4LqidwQVgmYwdxmQUnaND+iLtyavrgIu720tYhI4CV+amHvWBh7mRgwOI41Kgxa2YYZi
blHFGvZsasX1UK9HQ+29iqRrpa7Wdd4HSwY2niW2GwfxVh+C8upqMXPA3V4GoEqCoE+p4e57gnYq
a1bIsPUlgpjuVq44bkI0t64Gn8ACeWNdsanrWEnbbT5AN1DVIfWfTD69k87fcgOMAEuwUc4BeI4/
Wq8b0q8Z7F72LI3yZurFTeaiNg5PzZlt5ll9vAR3cIP3JW3YyjMwr5EXYwJGzm7zsKXyre7WQ1+N
hzGjx0pDIULnuCf6xV9xcaRF4roINlbn3SmrQxKdv9q+9zg5zcPalNAs0eq1MVem2+xo0TrsivKh
b7NHgTCqw2lwLXDuztktUXkCadXQmsEh0kO+pSEbarWJ7dGUdnZo9+VuNMsEOYx4bMTVYCqo5Q1s
Act2Bx2jyS+Y3cyxbPvEUAH+Ox67CmEglNJFByWxroyrIo+HNrhZ+zlWUl1Jv0uJQUJurzfDRB+F
FXzSyohqq4/WvonyOgjtWR6L8XVo6p3dKcYntcETkQZ9+UHBa2cgjYIybYfIx793S2dvkGanqv43
CJIicMQPoufMmPIrd6aflpvt0HgCAryF9bm9C/B7tmySBfQGmdviHadvo55YV4ljnj1U4rPXr3gW
Nx1CPH9a0EIiPooSHAhNezPlc1QX5Wad9KawNUOg00ftHNyQokBFv0+cQTBC/GdcoKcSnAq0CW6L
krBOnPyvInZLhFxBs28MV4QmwU1f1bKTmfcEmZI/s2VEysLREfJVIjYvCZIkI7rCLA6itTljoBfV
EGnp7jozTyyhP+BtIW3rIctfgdEUL5/Bxy3pc4O1nRu605QYnnftue7GxSs5u+jJrgiyH/5VnoOj
IFtDBKcsGLKjHBoKdkLMzwa7WW+AdNBHZ2v+DAqabQOINC6/YkD1bio977jIF/yDBkuZ86sMkIaa
Rb2ZZCGQBuJXYOaIgsUJid9de0OOfuYpVsZ8XBsznEvQahr2dMqbgQd6mp7yxUlkB+qTYdIhGds9
HQhUJXVSC/3k+1WOnFp5tAy+p9AFtp0iknbwxHNytBs075H6StreXV/3YTccbfup87IE/HWREeBN
znH9icUfHaN8Kif57ooyqk6jI/GNvEmW32BlQxepKc/kAikCPBTYrUcT4RPMx/0CEpPWAdTc8lHJ
sja0Km/wHKYaj7pcyyfiwVz667VHV7w0n3UGIZlSb+kIDY2e0wfHBJVBTRD6Gfthsm7LuoxHWW7H
ooPpUu9dMSHZJbe+HLcz0u/59LEW6g4vOjMcuekEiXiAFEpzD0B1bAVIfXouK6vxJtNuG4IP7Lod
u4fWkI8t5Unl5E9N4FyhSzmdZ7XlnY8X0bkmAVh0ICj2mJuUiXW8L6i7x5lgDhxcauMPQNE2w91o
J3orinFTajCbVVmihI50rcJTdqDJenTWiaRqyb7U4072wCXDU+4ssOd0RVTMa0IUgEj1/MAhEhlZ
nf3Ycpk2k3WPgxz7NjIJ7QuIJsNxKWKEQrer6X5YtgqFmrdV7T41JkGE510hv8MGUKLyvt5xhHEU
lE6VNiSMT8UygjSs2zyU1AY9TzA8O2354JTkIaOgfXSG28UsYc7mW4/0V/68gFBlhvYNWlpZv7pH
yHLHfUvuUD5iZuVkUVfbz05WPQ6Btx/6PNIeZwvUR+uT46GKaOrXJ1GsiE6ao+OKUxMsaJups/MQ
WwtV/i6IiqmjNkMBrTqzifAZ9v2Yb3ukBEsDncHTDKNBb5uOX5cjcse2EQI7dl0U4P6qfbB4Fy7L
W+cOmUBMv0/7APK3oo1BCQN4PpBIzUKuncVkPsTgFuVeO/ytg/bmCKdP1TzRrsTMe3E1w19sBYhk
XfIHPHXbsjPjIejS3AqieRJ44l/5XGxX8svEhix8CK1apVPns8J2tsLp0kAsqUTaxTpx0zbLxsn9
j8b2RtbxYc8X70AXVC+7AMmzfjdpcr1Icl2s/AOQirgo+zVsep3m7fDYjQj7MiO7c8U0Mdqi72kC
Rx1mIKs2Jvm46bgRcjJtC1g6WUhw3bR4jicShCbCRgt1ANhCHcqs3Wb9EfDuA3FBUDaqw4l5T+JR
KKchlRzVTvCz0trBGXEiCmax3rWgNQ97igDXNIDf7OpXaxhT4WWRmwuYshWdgZak6LEXidMD/ki8
bpMHCrrHGq5uk+MHV2QnM+OpBWdZM7ogyiRvS9ccDX9qWakrILhygYSFGkEGQFk9V4eprBSrSMcs
L7/K7U8LIvCs6VR4yj55bg59LWsHttVtLyhcZ/rhLsVn7/iJ9Co4IoZ9jdlsW2JfodTBWd1NGzE5
O4Lfdnh5bSw1stpLWBLcZwh3HUqxps5Ab6HX+7HmMulch9Wr+zZS8MmN5rHLmmsva+9J1249Avkn
4V4j/t3kEKmcRhpmlZl2vYwnIeKTgKUf0I23VkhqNSkR/q3VII8lgCIRYtMggqjJmNq2oZCYLCFf
XJHbQokSMIDn0QcdYcb/DEQeT+lcUiN01m2NbKmfng7SaH5WxH0t7W5glkY0CdPjZGas9Lzxxum+
8MFEKcpfoFHbBIbYns7WYCFtAn6FwW0/wa1zh2LDn6oC0dn8UiNZM3K8u1w8Anwfl9XvoQC1RVG8
BiTblfUU+a1/Z/r05LveB7zdDIhr1s7aW0O3Mc0X2lqxAqURUE5IBbl3c+HixNvp5BtXaOB+wtFl
ZVEdlLae5mx4bKo5AtYtZ6ep2W35XLjdn0mq1AKWZTaXPVoXt3WuwnFCUw3UNSjahmTnPuTDx2rY
u66C1iAV6TygRQGpurbOQ57pJDBqGKZgXFmh54PdmYeJ5tshC9iIihRZzNiD8z758miUYJ4a3Dca
dBvFIQa3OmWkKpeNgyUQnRl77TiRwDdMj8S26d3Swd2hYBH7fhGZVhP1rr+TywgXepVHv192Slgs
g1RLK4ANkO220FNMSA6qHxeOiKYbLOS9FeR7D1mzEGmf26xx0ShipZqDUd5Exdh6gp8LO1QEsY8k
emPpV9OUz+Pa492yb/r2OCK86lv93FX2hga5AAlIoJnfIPa0vRikV6zD2Qr8+yZXG6egNluDjjWl
8Taj/GD0RaycDol8fdNTaET6UzjiGi7Ce/Lc+tEFg4RTT7HM7lur3jfe7wnc0Ixa01EK8qqcgZmN
PIB1Zw9Oi5e1QWJxWRMwlG0GYd6vhjz2iBS4P2xna0g0LQ4tGH6XnCCWLyL8fOjiHDeIKGdRGUyM
NfN7lUoHwAMKDMzJQC/NsrWQl6e8fNbKfMu9JW3yt7YR96JC+EZB4kxdo96CrjnNCWi+lva3lUE8
SQ8bkaubDh0/uA8Ilhb+4ZbLLZ0/aodca1/AEWuRMGwkooXmAerLR7GinumjU5bWY+gVM87r8Gdy
pyTv+C8yi0+jt68M5LuCVt2gVoY6uBlsTVE+B1nNQzkjo2WYHy6fme12N45yIEXYP9BAXTkods7N
nWHYH0jB3LY2TYzRQ/6gg9tv+/rd0o9IY1yhpWI3ivaqR1BKnIcRCUJEee9wKsFENe+b3ryf/Gpn
esZxqSaPVXzZ60KA5cbb5k5xLXDePQBGEdovx9nwH4oquGlNeuPBemYIIVqK9Ayv4ZqDY3qdf3sj
v1FoSVlqkvRWa8GPqVIt+B9amcggEOYTODy9DEXTMrRn44xXa1hUdUQpsKiupZP8xNa91Hd8+aVA
QdIYHGmxHKnS/Jdh9Ztetzdy7mONzOPyX6R9V5PjuNLsL2IEHWheaSW11Go7PTMvjLH03vPX30Sf
+21zIC6xZ8/DzsN2hIoACgWgKitTLS/IF9k4878aWuTlZXsRIwO03hPy/zKYZaEjX1hzXOCuIp61
MbHCZn6a1fio9YXd9t9B0eVWSLwE5uTOIlqADeCzjdEOw+SE18NJagZPGyq3jQIH6Ro0XUvpvWzg
ATdp09loNUciup3gxSwJwnnMNRfR3wGBilO03/q08IvSdEme+ziu3Bk/pBKg6KXRT2Uk1trMHYEk
QVvhYyq1oacH/QVkkk7WD40VDsEhFcLD2KEunkz6szRl4AENnSaDrCxo54WmSuzeoPfD+mqqKDm2
xWjFhnSo8YQRAp0DEtnqSPgDYiD/CbFJx4WEFYRwcYBbyo/ZrR6Q+rSDB+1n8CxC2Allf1u8Mx1Q
11v8Vs8tGCPMqyL4u1G7QX72T/N6hF4kRQOSwviq+eBggr6TeixtwZ6eUFZ5CMG6ML7xOtK5Vhm8
T94KzdgUsNqf1JMK8uIIHLDkQoXvIHdwCB3N3Ueo/A3C6GOcDORHjKXQhPoT7UrvnPBAtW+Lg3mh
sxt7XBUeumi3uJEPawz0J27BBRXgWgc8k3aK7OJaooubXJRT6YGyjtN4JdHZ2rPGQH+GqdR6wBeo
ogLOOKh/oBr3NAFup0FaPHBFLmExdzYZwI8+4aY7ZKiKjLZ8krzKm+7Eo3ad3MyNwd27v3YbkDq4
qI4mVAndAzJLySOXCyjqRCxdiTDXN7/TUHBroCb2rfzNLP5l5h1gtYKrTmZbkWSEGfVxdluLvHfL
WbiN3Vc2tp9V2TxWnG103YdFBu+jI8EV4ylI2a6uKQSFxwbi5lYnP++PjGeGiTASKKEWkqK6KS4X
CkmV76PqDiRh+1Y2pG8Ad/xYJomJJDMgYIsewEzdnWcgK1XlOGqoEx5w7xR15NhRQ5M9jlH6o7eu
/zGFTCAxpaYCtxEA7QQNOcRLATOy5GN+rl9QjbbbO+Unx+D2XvswyMQRGV2BQY9L5ztSMfgEsYg3
3S6PtF09RiN++szju9yeV1xSNElCOzlhMWhdUScDodzm4qm+Lzy8YD5Ret53wuqX/dFtwupWphiH
zIUkrgiSPdBEo/TKxnH0ogMfVkfj0c2ircwwDqmOWpehJIk5RIl4+DaivK1+FTuaM/03xJqSuLLF
eGVCBMUIE5DLUh3k4YtiqSdwlj12hwByM7pN+x2A1HL255E3QOpEq1DSmzlSUwEGGAA3EUXvqBgx
K6HlCohCxmH+3tzeqxEyHtmPS1gJA8W/q8STRm8q33A3AxTgdX9Q7xt4b9noh6xGpeW52Uy0o31W
PcPPXaAyUt9EdvlT/2NEP2HlL4W9b3Mz9K/GxpxsqaKligJRFQcwkDl8noF9HHngcZ4N5iwLBQQQ
OUHcSrtzL3wi0mWuDvvD+Js9rCqmLuo6GC+YNdKLsKlHDW2+/9Gkzv3aOcte54fOz31L2573YYhZ
o8CMZdL0aLMbyPCE3AFQMEX2Yja4Q1Y9oJFqw3F16so3TgFGC80UQVSksbIwuhpFQhjSzjECqNvv
ceBcbjYHtPp9ZkBxKJWzpiD6dbNyl7emnarDlZggxh27o1rmnOFsOgMGIqqmaWj4908fD1IVitcT
KNiBn5X0C+omy8jZr5tBVsELRjNVqgnJ+ALgr3G5CDgNZ9Cup+GDhqR/LicQipMeUkO9BGgYqPl6
D5tX0pVZZiKHIG0ggIXd+66b5pa+dhyQ9vf+o1PekX+zc1fmmJ1b52Fh6CXMLcrPXLN1VErM4bjv
7NsRaWWE2bqFIuGZHMNI5wQ+rmx3yJmkNrh3QZhcPpvIPXDcY3sjrywy/iEOTUxMOqzBE220VfvL
QbnXfegav/EOfrogNztLlSh7oKaDRJAxJYeSUdQSCgehltgqAH8oFJrALi9PnFnc3GIfhkza072K
64uoBaHW0wrF+Ait0skymy+LLoL90niVpwb1ZpyRQ/hLydTHCESzqGeNPUBPI7lHO7vVhJrVGtMj
56s2/XX1VcxdRJ+jodVVfJVwWDzaao2097tCHGWK5q3rFkkmGln+mmxWsScN66LVZlhLjsgt5W5w
jGzJWg7GMfMCRz0OYDjFLDjhFZwWz4Kj3UcnLhs3HdLOirPN81MizUgc4SMokzTeVIfioKAPNnX+
wbufZ4vG9dWiK0taEAEgV4eKoZRPrZ/7MrINqFA8Eg7hDndymYinJ0uNQwmbRrqaB/L8fgM7GefQ
RaXRBYjDzo+mq6IlS3JzZ7yrnH/DGo/HyWp9meiXN0YTjxE+oQpOQANovR1LLsdjefuICXnBpP5/
ShzpOWjQfoYK09tgoeBqt8fsjkYlyU3c/sDrad48s1SiyKKhglPthopHIlpVEvpA0EVbmXSo42rO
tPAyVdvD+zDDBFuz6mh2nDb5GNEpBf6yHtIngISPBZm9QZM4x+R2Q9NqWEz8a+YuIdOArIaSihbQ
8BejiPy667wx/N6b/Smc9SN4853W7DgOu53e+DB9Q9ADKE0/0HNF9ieH8uFBe+ous0ywrYUeT110
8wa1MsYEOimUlbAfYMxIjpr5RMbHfb/cPkf+WjeWl8esy2RpMtw36vZcLG9S/yACRpdVvGNkO6J8
2GFeWkuQoiUWuCbkhCi9bw5J7ekk+MbbP4he9LduI+WHLSZ6ZQ3YdVGKxkP1bJxQmHFTypHoCX7h
Us59Hq+2vH0YGTqB0iLBrY2NYE2ny4MIJQHzUBxR+LkYDwC+Os2h/Bq6aDK46z3I/J7UA6rW5bP+
haoD7a/ippcguw4yUsOUTfZsEOLFEFOap1Um42WSP7dqwNlwPAvMnI5ErRaTqiWg/F3PaBoxv+wP
Yfu6thoDM4uROXQkb+GJwJ2cFid10Rn8PYZoJX0KofzNa5LdTjOvDDJRf5zVsKpJBroDL77XTpWX
oh+4O2hndCla4jl3Ilf/wrO6GY5XRpljAOgaCK1QVr5SPkXoszbfivFlfyZ5JphQ3EiD0IV4Gjkk
+FaZXll8acjbvgn6Ezc7bDUKJvpWlZaUYYZRDJkXkrc6P7SQpmtehP6bCHDYvrEtXgq0SoPi3dDA
mCiLTAwMSNELWo8+S+3Su+I3QN5t5Q2acG/BYXCjA1oQkF+b74InnTOTMvXqm3GuLNOdv7oHQRYC
wJgclkegn63Ax7XvoClgEgrd0IccALh9AFvwwP1F1TzAhNI50hfjvvE4M7B5uq6+g4meZiePBHgy
qjeWvfQn+iGZA2wMrg8gNKJFChH06BU3lb+5ziu7dH5W4zcq3AQzMUHWWzxSOP4UPAQ9kC0Pc+02
yff9UW767coYEwAAFctTM4GxTlCsdBi9RNbdGfDTfTO8uWS2fVCipiWhaOCEQo1mI+CvT6TAmGg1
/LBvijciZrNPYy/OaoOIGXWnpr+X2yNaB/dN0J2256HMZg9HTQozygpDW/1bH0jz96QsrxixfelZ
LQ6z44spi2dhwqx16HWmVGHhKyVLoLJi2pPOqRZwlogttmQ5aCKKGZ5QAZoGZu2lPCkqoFh4SsvH
/fnbvP98jOv9Sb/ycLTHRkolw5RiXvLyqUZIKdypet23wtlH77O7slLLRg34NG4kAwSwifGjb61e
eIoByzOBqeoFTtl4+yxdjYqJF+oSJ7j0Y7VGsGzQwkdQWQUeGRKecPkVsCVeoNxgdkOINjVwy0N1
GlwbfwYKqGUMRlWgPTi4iDbQ8G74mHnpIThpNmib/AVXPVj2AtD32tUrT3x2O/GyMs/sAr3odaiO
EGSCr2hv80o/u9NB5JH/A/rj7Z0APjBJIwRtaSITpsLemIC6wU0WaEsZoRhNlT6aglKAJgGPQ31a
DK1979lezpVJJmQpYSKFo4xjKEZXC1qsv8ha4KAlxtOAHLGqKHHjfOktgFi9WI0AfOmhfBlMz2hD
5XjW5s5cfQmzzmEq9LOoIYMcma9Fh0akGK2mgTXWgAkJvGFvvhlWxphVHZZWa9IEb5/kCHrpS+T9
UK3JBZXDlacFtsUXKEFi7a9FZcIbenlbU29gKjpqPtVL1h7Gh9RvvcFVwE/Y3pkv/4ZZEzbhRTKR
dU1j6VNA2ZZ0Gk3hSdfFmzwavqc79ef4A1Bv5AyhAAHIy5d9V9o8kVY2mQN97MqoQx0RlJb6fRf5
kvhiqJwT6W+89WNczAYZ6mloswo2KK+s6BZ4ulomXmCmb3ig7fblp/0xbecCVoNitkc21dWwiFi8
OoSE1yU0z7gtWX3/RU2vMjJyrR/r/+M8MvtANZJ0nk2MMZPPuXQHxPfE07jgLRXj/aIgCjr0iMFu
UT6agYXKjTUoz/tTx7PBuH26dIuuDJQWpkE7czScxA49yPKPfSvb4dlAzcSAug9Bpu3P02Hplbgr
JTwXZB9E17i840R4nD16eUDjP8cY/eabG9HKmPynsUhIoF5bwtjS+YavukCkXTIH/9ogDnENL7hK
/uBiyPY/SD3QH98zzhy8vWp2ddID2tN5i4cd4IfuDFf0kOM7ofX0bX+s28v3Ma/Mbq7HqpzHBuze
IvEI5CBM2VNHzl2Mu3jMdpbqdOwqSk0nCdBCgjCuUHUOSmRfDNKgoy49t/nLCMRsDm61sC38/SH+
zXH7MUZmc5MGrVdNhbQAuQIG6EIT0m3cEE8+CIo5PEGxbZjPynmYfR0oQidXE5yHXnPjO6ATqf9A
FBBsx6HdXUIHnbn7I9y8G65MMvtcIBI6K0Oa98h+L+gUEsHwobotSGgMI7Ba3puEZ47Z8uCLGfJk
wAgj1RVrKxdcOTz06D8WHIn3OOFNJysH1E1NmTfTO9KNvtoTDz3aI16tAIxbaHu45t95DGvbWZ2P
6WQ1++QZrBCmApPV594dP0EgSHQzT3DN1+ou+gZ4NS3UxA5P2GHzHbEyy0QdIRYFI+2RZkf3+tjr
XpMCjmpYHfoR9t2Ftx9Z/Q2hAKdAYmDTUxddXlo/9RVf8Luv/yCc8UbFBBgZkuNFT7NVrQtyDdmA
OlroGufWQ5+uC3IZCm0aC+j28BKavG1PmKiToJaqjpSKe7TRz/BCkU3xmSKbitN8x9v2dFfvRG3C
xBhBm5cFIGLwUudfwKzUQtxm9hLJj2XO3YhzNrHFmEIogJ+usHYkQZO4LbSJ3QwAJyvgB9BtPNvQ
AcJ1mM23GdqmZFXVCUgXmR0PIt2u6qkmrOxXkPCdAG4qj++IRc7jYHu7f1hi3+15qZF56RDKWlf/
XOEZVkCTCyyjDqWPBc7+SXtSU85+2HTRlU3mblHpHdqbGwFvo+YX2sSsIvTS4X5QOFUf6uk3LrIy
w+xvOVSzTKVhU4+eKvnbMr/sb+vNo3z1+8zFoWwqLcsmJG3j9jypgNmDFcPdN7H9yFnZYHZzIigk
7BuMQSIgsmmAuD9UsSNNX1vU0dPfMRgbzNlGc9kMYHIl2a34peXJFW1utdU3MPu6FRJTRcMiypFZ
9LkBr00lS15ez18LEO/M2cCZ1u1oubLHbO2q1YWxos4voWMaBeUQlG+W+LND3ri5oGWBM8XUDW7d
RKPgIHBR6QYzxUZJ2qCccAxE8s9eOojKZQJlteHp1aeY3JNwtEDDkukPwvDIsbz1WAYEVEeGHGkY
XBrwZasUU7j0Bql0DBQ6DWggxsUzeOm97B4Hoc8Dn2wtIvCmGCSICojM4qDAF5nIAXJBjlj9Nskl
D05V86muTuHEu3xuzefKEnuBWCYzGHswzyP1L5+6IzqrAETAm9xGtwUX57F56KytMbEE8rttYGpI
s482WnEB8qDE4wU0CmQneeSJXHAmkTARRQITw1iXMpCZLRhIyPIpA6xLyuRTJg73NSEcznueOcY/
SqmTJ3WEf7TLUVg8TT+30x16p6Equ++JPEPMFiDiFM+JhCWTOlzSsx/6pDozSP2Ub41w3DfFXTAm
muQmVBCUAtnv5FxguQpnOaDZ+4XirQubp7iwFaLX3sGEEgUYQ/Q2IVXcBJM7gOVKGQA4JNz8ydZ5
vbZDJ3i1k7NEH0ahQgxZysEW5e7BjIVDIH8G0f8hmEUQ401gQGl+QHzpsD+fvKVjniIkDcIhzun5
Lb50aOCrn/v2BD5PiafPsxmW12Nk7iSg6iZ11yCjWf5GY7GtHEB5plqgXvuSnHhiINTh2Ji8ssXi
NfQxE3Bxx3yS5jg0d9LImbXNJq21ASZsKMjulwKlr1cv02cF/S7o76Y3rcUSbMqRBbwheRS9wCq9
6DF5lZ/2V22zPrq2z0SSNJjDKqShX/RnG8qQBxGEXl56CpwfZLaBKp9hG6yvnZX94l2dtzeFih4x
kEBDhJdxVjEMl3xQsdsbCfmp8sc0nEfd2x/g1q1Zkj5sMG5Z1EXRZ5oOtxyEX+YA4meBeEmJXLvY
gz20vJdI/CUQUnffLG9ojI925gI+IpC+gtX9lLW+As6jmGNie8P9NbJ3z1ptdZLELXhgseH6HLUg
pQVlG7r4LS2XH0Vk9sH0uj+k7ZkEdSc0eIAWYdHFhhhqALvhzAHTBg7T/4UYnGqW/58ZJlJq01wJ
7xfNRHKayE/x9hdO5r+B/6+tMK43F02/LLRenAv3c/SakqPCe6/RD70NHR8DYTxPA/Odrk3wvNB8
rsDUDnCNdOrVztpflm1P+zDDeFoWxuC5bLAsYnqshLtKcBv1ed+EzrHB4nhxTkVZNtDrhgQcYEfQ
Ait5epY9B3X8eZSjH5G++FEw2mCzBCVgdEXf8QPa+MA90N/rJXKnUYJUX3rIqsnPJRSBh/zXVAbg
shohF1ElntkYT02JluK8ia+NIBVWFIPIcibuAppT0J1/rlvDJwMadUvBW0ACaIItKY0Xt0Z3qzEN
KFxJh6DTnb5In4xWvMur/KJCXyXtk8swJcccMsag5kF0U7ofXVpZlZKf4mYCI131nPbF57YFO1E1
g+dXaBxwLjktKLpicDdWBMQ3bejHAmhiNBDKZanwSR6SZ8NU3lBFs3K9Ochx5MURaLxF9Zh2xl0N
+q39VdhaBBV9ijqaamVJU+jfV/u9DjUSa6GGarOReJWwXOIKFVF1ets3s+W2azPM/utyDdxTCcyA
qIPkngnCHOVcqsd9K1vBZG2F2X8V2NjiJDQRTGQZhFd+aF4NIULQAilbdzSkF7XjtHtsXhvWJpn9
mAHmpqOWhpOgB1kfEb/1ZZbZ2SC4YdFdYy29AzuWDHbO4ccMUou0Dzhj3ixurb+A2aqtAXr0EOwg
TvpJuOpejW5aiHcEB0jkHOfDIFjkZX+WOS6j0tviymU6CBT3oypBEDnwpMifzVM2/W9eyZZnmqwF
3USP55wS4xmOngzDahXeJWnrfbqaOJW5pARJFKLRCROn+sVLBAmp1O2O8yVx8tf2S31WoOkbuQ2u
KUVqRb8AZfo3T3MgoEHMJUqaKLIoMnUMQL2pAiPQIHP6H00/0N6d6eMu9bgFZfqcYk8OFWA1HagE
BbVdZnMMulGCfzem+cvB0YHxQL+k+kwBY6XTXUyH95rcvASuDTJbowN2qippcgdqkOfF6X1aTQbj
5SmHbJbuo4p9KdziMb7yUrWbDroaKbMjkkXP2iihiYcOxJBnXcBTj+M8dLLYyVyd9CZzwS6VBklo
OjbFDJ8VJIyUEIILATQK+iD8Fuc/97fc9oPhr+P4tt1DUDpQn+Nxkh1GMwQ5Fi8nyxsQ8xhfKjBm
VD3uFaDOBp9XcC414dBTApgYnQCJxnn7b50H6/mjA17FEEExwV0vw9wQD+ekLk5jKXuU1c4EzeH+
3G15w9oU/fvKlNFlKIHSkanSRUBbVxFaZsQ5Bng2mOMtDdJJyzqkaRYttcTOM4PSAj3r/kA2I/16
JMwOFqQ8FEsRUbF1Jwd5WTTFpX7gEX88y4fADr9z7NEAeOPk4C+QZFnTRIWt60RtlwxJDu6cILWK
M81VTofsDuyCogfeBI+HWt+cxJU5xifSIV9EOcMkEpXyI9pNCd4q0eUMimeF/n3lDokJuLqkIAyW
rvYI3bruTLVUpzfT1q5j5Agn3E4cXg1w091XQ2P8wyyWTNBzRHqljP1qXF6XFP1Y4ngeKFXc/gi3
B4g8qIG8KwTGmNBEi2NVU9BLkH4c63Og+2rFuXNshiMIiwH4jLSIyhaNmqkPKiXGHIbqS7IcY97v
b5ZMpZUB5uiYpbwvVXCgwNPhdqirH9KTYGdvxAWxqatltuSmXv2dx0yyOXWKqhENgp+KwbZNDESZ
m1LBzaZPGj8DOZA+LHfGyEN48sww3kCSFkIuBS4e0Ox2mkr82YOKTp2lz/uOsCW1LkG676/hMPFC
BJJrSjU8sAYPKskAHxLHA2Hfs/sFnFQJ+CaSr/rP6sLLxW86+8osu3ijXEIjAGYNVHSMJQE16u8+
KSwQOXFcXaY/dROhVqaYkx4CzOWQyRG9QWk+KL4PnTOdoSvhAjaHXZ37SFcCht7d4RXn6Mh5RYfE
BXft+3+Buz/f1NjOxyjMvRi1Rs1o6biTIzTO7roD8VHS8bnA583dR2huSwTWU9Ooe60iGLp9I7T1
0gQX8BK/NeDuI685zD8za/odP4B36c7gHG+bK7qyyDisiDJglrfYFzUe56D9VED3f99VnNLK5rZY
WWHcNZuAJzXotgiyX2J6D4ZUK+GdMZsj0YlhoBCGblz2YZGCfleXIxVrVIaRJUCeJywUP+mMt1FS
OePZRAGuHhisCOMid7opQF8KTCjDsb0INnhsPc1LTi2nzL3lEWtDzMnZgJBxNs0AZ5ro450Nosvn
fde+WRoZLd3yO6ER3A4R/0+XS/VSrgawuTtZcjaHU5I+ciF5NyvDmGB8rOlNoSgSgAtJ/bkQSqvL
L4vwuRN4j4PbCg1jiHEzA9ixaqx0dC0np6zwAtWLhLvBfJ2Q6lTAxzg1Vq8/mhNwMzXnKvp+9v4R
IhjbTGiUEpmoQLvSjunmqPpxawEffaJUYrRdG1xHP8H4Ckqxyg9s8X4+8Ho3tyfZVAzVVCRUAZi7
gSBCaD5Q0RMvGZDPAj47eKs1f+CVfjfdBT+PG49I8MBlwrIUL30/F5hiNJrorSP2IhiUVU7w315I
Bc2NmqGbeD0zC6mZeb3UOpwSE/lUAcgFomNrdiAx4/8DKfWbPUaXbmWNWbopTHokEGGNkNYrZKzS
AqkOE3x9hvF1zHSLjJHXBvJjATrQXpa+VynVgGrtJand/d3IHTkzv6Ywmjhb4UbBZXJawO0tHDaP
gQX2O1944O4Y+va78dqPobM1gSIqy8xE45VTu5MHCnAgrqrOUh3aldg9gjCZg2zZdp+/Fpa9wY6z
NhsLZE0cyL5O3d0A4tuec6LxTNCnz+oMJZNgQk4CQ5KyrxUUK8CUOuHk2V8nnhE6rysjcZuaoTgi
pHXtMQV0s4fGAc8VOG753i+4sjE1cxssM9xy+FF/G471RT6Cq96W/NHBcXCNXF7W6pYd4X0jQEpa
NohsKGzFJipDeUATOFDgOhggu8LWZtXuA8SzREPMBGNA2VmxIKG8Ij9k5ZsYmDapSQi9su6bPJuf
ygIa5QLUU6rUH8F/FrUzqIcjO1yCYyBCeurfrMLH9zIHSzFVowqsN86ubITfApMMWQhN4BXO3s/A
213yYYcJR3I3qX3Wz4jtE0AhceJD2KS1kh5FhaA/SGF0l0zhoey+g/8K/1u6hLpeW40RnOsozcHX
3i8Q1It87O63sa2fKzWKQUYd3ompCbW2Z6Gs0YRYvJoGhFsS7RBKlas1rSdEui+0kg+Vpvu+SS5x
lx7J3BxI2TliMHodyKZTvb+0hnyYM+EyNwTyuOo1K76aeW+DQ5nj9puHDLiCNLBzqrL8XvdZueQI
2TlUYGo0nwP5oHmaBPBD+JhEMWdh6YSyE27gASqLuJiAS4KJglOcpqLegCh2MVPcfOx6+VzmUM0x
j9z7z807Az6/MsWCfrJyHMqxTbC2gRuqd118jBVIvL0Mmm12L/+9v65tMWd0V+mmMgewpdRHQ30r
5TcQ2nCmbisyGbIMpg0ZWCmIPzORKS6mSJAwdUIHGU8kE6lQVJLN3r8YysoMc2YOmhwsch4ujqYn
Nhon8xDE1OT6vxlh3KBvMcIkgRHB+FYk1zp6bYJP+yYk+hs3riYT8l6ixvOBzufKpathEop8hrwi
JaOaT6YFJgfPeKBdp7lt2i0EMlEt6C4p8CLcFoCt/YRcxF/G6d9XxlNxhiZMFsMhzG9l9a2V31QV
bMcTxyc2fXxlhvEJbTSLSVFgpgBmtUlNqMRF91rdeUQeLuhAgIhgPfCOL+rM7MTqgAf+32HCeEgt
haAznxCcB0iCIguSmF5KINpdeZ0ILRjdXbJfAYS8svnz/pJuBY+1YcZrlFAhkR7DsBK6Q4Qkz6no
ztC5NGXO0+n2FUjPSxXJLMNAGhV45z+XL4cyqaDRy5oEDSQRirSdFNmlWTtg+IemZuASNXxpyiS3
oDDAGeXm7WBlm/595TpJi0yathi4KCrNo6DcmWLIYeHY8pr16JidIQ1KEgv0bpiDDLZ96XsIavoy
aH2JZSYcb9nahWtbzEaok3YScBoskEEPnaS7q0tXr8GRLT005D4UvpHxy76T0I+/8U6aZTE0E5ue
JTGphV4GDz2cZG4A+QdZv4ychMzrf9lcpJUVZpGUqs+BucGjTBZET+rHk5gm3v5Atl8MKxvMMulB
Gk0Sbd2jxb8MLbtO4pkuMN202CgespJjcNMtNEVXcQ3A7taYQywM0qoT5AZPhgxKlBAE/h1AojpS
3hToK/FAgjxj8p9evpSxOU/QY3LG5lyE4OE/Z8ixJK/ZdMwmnzOT1MlufeJjZMx2llp1CI2MGrOp
xDqFNRtOd4Wio1O5tJpqvKWpzSum8obI+MhS0ibvClY1yBuAHUZ9jjQ8dsmhFL/3Bac4t+32H0Nk
nCVMxygGRy0ilowCBcjsr2nBCRu3GX4aFVcOwuzlUo9LfaLSm0P1qEOUGw9oqTpUUKIc7HY4hOEd
hBxywGDkFALPVq9ektiu/muuKeYr2DOvHFUhhBAcoEffB2m5m5QC8mCtrUDUet9vtt1GlwxRU1FJ
k5nzphdMqZD1ETcI3CCb+7o6V5EnA7K7b+Y25/8+or/ssEnoLNMiRa8nxONh9qswfSqj2ANR4EOi
vxbTcJz7b43ZX4UUCjvR4zD1joanV5CSt7JunEJpnaxoj/sftXnWah/fxASDNmv1PIwFjJ0EdlbY
xfLUk6e0fMkW3u6kW/12d36YYkIB4HEgZY+xoJ0zOHjyocu2u1MdNHofxgMvcG+OSxdRLALKVNFM
xnu6RIDcIcFcdyYk6+5J8waQWiOKltLztsvWllzfAWl8WB3k+rLEoQqRcydNgQSrgTBqikvdF44Q
iV6py14Zf+tCMD7kCkQdCUrQqjgeSNDiRrO0B6KR3/trunUWrz+I8ec5AYouavBKkUNIGp3VvrJT
wYOspj4ZEGe7D+TDvsHb6jc825BB22tIukxM9h6lVYqJ1s0alIg/Kly+QaM2HUw7myFBgqxf/bPh
cg3dgrsYk0zUNcce50oNk4v8qQq8roGU1plInVWmdtm/DNBUqtwO6nWcoW7ditdDZQJwrsfNnAyw
K55kOwJxGyV3qs8FeB8Uzt7cdCxFVoEwxH9AqvzpWHVdy2M6tkiiyid9Ok+FK4Sc42R7GhVCc7R4
q2ssMyzJhAnXG1xwUJ1zmp+Uh9uunfzYPiSTxSuPbQ/IVFAdMwFCY2vTC0SotSIzMXcZJFivenCf
Sd7++vBMMJux6MdIz6QM+UmEziyunXKWD2bTvu6buW1epO6nfAyF2WMAXhspGXF7H23I0zXgFDv2
0AFBvzJSy42GdG955T83t64aK6tsc0KlymjmneF8GfoscPwbBcgXbSW6JsF9FL7tj3HrWFwbY9zP
GAiBCjLuiWn9KQh+6QsUo10yco6FzWD1MZEspaQoBkXWhzh84+UwkHM7vgrjrzF5NYtT3VxSKNTt
j4rjIBpzRxyzAJJ/IFhymuIqVI4pH5ecEw7fsQjsSbeeOSY21UqpjFOHmYt65PNSiGT34s85bS/N
tFiqqfkZJHrbCQLqBIpBpIV2WOLjtW0H0vR9Qu8hAXqtF3/NgvpJ7KdDX4SOEEKzMM5PCbT3pIY8
EVl43p+Z7Si+Wgo6deuDTCw0QW+wd8yD8Ug7QwR0bwcHCuuA4tRdzZkmnn/Rv6/Mmcoy1VOMWZK6
UyY8BqM/dodB43jx5m12vRjMTUAx60hPFbBb0fzQcI1dPAYO3UG3ezQaZ4f82h7A/PkvahiGCjwn
5OF0CM0wU5l3tazKJowWg9+S+8qws+7r/nJtOvLKBDN9pKqzNAUIxsmr1hqy2m5j3esJr69lc3+u
zDDTRzqwN+YlzChxdYhx0QcrkL3E0KbPZmQMixJp8j63UplTaKK/e7OHVnbZQA6EUZcasEtGmpyH
HiN0KEZPRC45+G9L9DSWg4kV8DxVAgSXCQmDUAm5UOGuWGhUZfxe4kHMNp/4awtMQDAToTKzEFdf
oT5W5jEcr0n9BkWbyPDE7i1XjlJ5tyRukXG22PYkfoyMccMxDeNMDzAyIX5Cn0MMVe/6+1I8KTHv
HkFHcLtcH5YYbyxbYFObAZZoM6zoIov22oJmvbOSewBt7PH7f81U/b5oJmSXQRJEMWF/Rg8CYVcj
oVkMU4TgcY5nvTw49fBrf5PdsvVSM0QBWx3Ah+heZs75Zgg7U5lKuCG4zSGz+YlSBHV3Gfr2Eicq
LN3Nj0D7TJZ6jh39IXMLm4fZuu0Y/PMb2HdjjwyYLgc4sloXRwkopCMvezsWD6C5+F659RF9M7kT
etGlR4abR1VyywPwbt00iQSiPohzMD4UmcJCaqPARfvaOckDuOQ7SzsSN73UDt423lDaocO7+m6e
DZqCzk5wrQMTz2xJIzOGNBdRBBmXSyd/z4qfzXTQg6f91aUx5MZpV1aYbUnkfCyzDuUJKMVnP+T6
2PelZcQigo3fm6Gzb217HVF6kxUqxHDTUzBrEvqIBsxk+Rt0QSAL6o6dYeV2DKobE+jJ2ZE/gyHl
mnrRr9zjXb63r/or88z7O6wi02xnal6+ikbqGuLskWq6nxrF0pLQ16S3EDrhkoKKSd9yAFfbC/ox
dmZBY3VsBUPNaX74WuJVNtZOpoPcJ+EcGzw7zJLmsRgt0HrGDVk7RNlrD7JD5dcyHveXcvPsXU0l
uydqOYrbhu6J6LWtXsfgovIkADZN6DqQtkhLAdfKmFDI1PWDgcBTkxf0MJTClQgc99/2iJUNJmjn
c0fakdpoc7c6Vh4oIh0oTcneO5s1x/3pzN9stpUx5iIxirmRhiqMLf0pmp+a/Pv+mmw/yQxVBK0F
AbqaxQ8K8iSJQ4CnLI6gGawWLVCmWmINdpOBFTwB5/LIpVJ/7+64GdXKKLOplMoYpDJErjRtFC8Q
WyesK0essaWqFFTyUwbpk+wqzqMTJ5Gdt8QJoZLb5Ob3pWmvk6Z5U5L6eP0fszn2TWKiJyyRj7Ex
epDHgmq3nB2jMYUSI3h5LCPQvLIKwXKUCkfSKVYS5raUl8DhqE9T2IJ0Kb4E0XBtSGVTofdYmQA9
VfRzSHq0jshvUab4dRPQi+JXc6iPptFbegvQrTB+6Q2E+AIZG6CryTI4kT7a5lScsvopJs19aCbO
PKZfcwX9wCjrjzUQ4OJwKbPG1Tp4kPwZwtaCpYuAznXmsZHqs1T/rqbJLqqnYNGgfzT/P9Kuqzdy
nFv+IgGSqPiq2Op2tsdhXoSdpJyzfv0t9l6sZVrb/Gb2YYEFBvBpiofFwxOqFEtqenuAdHu2tMem
LwvMfWo/k8n4moX5t6l8EXRo3ENrN4rjvyS18XXSzxAwF4JS6w61ITxVIGJp1pRTqt4DDlNUNAnf
mA5cMhf9qs6qOCh40KvRAwhTrMb80SQPYc3lJ6etxqzHbAyx/QptHKVEzuCmSiMcDaVxZQkTpx1I
SkzhRsi7U1R2npS00MjlcRvs3Xcm+EOJiqgJnRnMEURfSFSZLXXWBEmyjKrUxs+EgrIMrd5+CBYz
vuecShqHfVruxiYTxxMtJHOZ6vTSk2h72lH7QRu/S/cPdA0QqWyXx2zhMpnpNBEaEs5U3s3gjent
fj6iqgoSWJKK/7DUzYN1KTUt0xospchk0Od+a+ClAtph5VY/Jua3qA05Prl3B5g6IcQUMRP4iYur
b6dOWlsk59XGMSHGrTTBrPHKEhwj5xr5ZlVZVIdhjTFuB1N70GOpwQ052HrIrSpRJPzkCO+LOV9G
GzutpuM9l+DrqVC0tyjjBKZGKme205uz3l/PuW92H/6br3d+lG0MNnFaSd0Ig/NgLfZ4JfuSp9jF
EbWdgPKnfRf8wgNF44/LHr/35jJ1VNBAXaqrus4cMkmPJlHLsGmlgrYMYs1ArQrQ3wcJUtOXbe2m
bLbGmNMlC2k997R8QyueIRXstbOfiqP7/U1vlz5XbHkXvDaLY45YbsjTWnWwlwZjoL7Q2JW2zf+B
Yhk9yyYxVRBjafpnppCwgjpqD5Ssi9sEd1KTPmugYxSr18tfkP7gT165scN8wHiKy1KN8TKfvTag
vIHEX93e5yEvzwzz3dIFddSUlv4Un1JpZL7qK5544D0Vdy8x+LwJDW5R/cTYoYZVrWOwCNn8wc6K
u1Z8UFVrGWOO2+24OJ4viqzRHlP50xhbrhKaicZHq3TheZZUhyzRVa3qb1OJGsW4uJf3aK/F64M9
JsgKV4zvxNNEvU5EH6WVv46ObJun9SDeSb5xGwXosAb5tuzwC028tbIPFyJKGfyQxuGeChFg5arT
D10YmBInC7Wzdx8WSePnDVxF4MGuJlrZF8BEnAdlft+T+6Tk+PsO2n+wQv99Y4WQaqzCCcvp5Ccy
eqQ4SCPn1trrqjJEiY63IXWCpAmDgBDkNWUFbDgORtzspgKNXn2dm3/lq4Th297rp8cU9By9wcvj
7a5tY5c5y6GwrnMiot+6Sww3jIVDZnxF0y/HG3f3SVYwpQQBJxDjMEdZrjI5nAucsXI59RJKuMGa
OQOXmHrnusTDD/inEQWDxWfk325UY4qtcd4otw1q4kpW5JanxQOBDeWY502f7Lr5xhzjfX2bFkZL
yyJL/JrWxziyFflHCgbs/tflw7yDhODPAmwQAup4nX3XFkbfylKkL+iYXCwN4g99betLMM2hpUfX
mYzYn7Nhe8/cDybpjm4+5RBWfT2b2oIap2gLFrrZjzXUEEFw4PNqGns9Hh9sMb6/jo0RjTWWN383
b6NDDrmHyNev1a+tK2EyNj6GdhwQbmV1L8MMu7T4jqIDxDUYmDLSVm5bTcAaPZqn7Oyq9gxH8pGh
Q74HSoGXd3HvqG3NMe6iVFoa4r2CjFV1ksXTVNgrrzS955FbE/QnbHatVWqjlnDLgG2eUJKrefTC
rgyKccIUEcYZQn3mETjteQoq4fTYySpK1J9SCIM4ZKGEZdEs9nrV2JVdg6yFxqe8iGAHRj6YYu40
USCd2CgR6ioYF0BGQD6Iq6fy2jJ5Vhi3QD0xwZhLjCbT7LCOnmreIFOeVc5lb+BZYbyhjKPIkAd8
Nmjd+6YmnzC5YyCRtLRybF02Rf8UE699+GyMVxChqJV1hqko749D0gZSkv9+Ye2DCQYuVjkXiCBh
Z/TYysRjujysU8VZxs75+WCDgQkyS+Ec0ab1yISou2rFyoS0i3f5W30WJKNS2ht3Zi7EZe7Q8WZg
JQ1pH9Ow/qFFYzDp/S2agjNn0WdHGWZnFtSDEv5ce/kO8zhWaIzWuAxfprZsrFz+2TbJ11HJX+di
OhjlfIOxEndoKmfsQrRJ1x0ntuRtMHO9VkI7tgSN2WAeRd4o0U7JwusN28sUbr8Lm4KJNanCAw02
Jlvy2rvOmhSQL6quZkm2cQKvHlqYOcvae41+sMkkD1Y0Oag5PYkow93QApne2WApt1cbVWhXvspx
N+hctcm9WOyDWQZm5FBs9DqH2RltWQQPjyRQoKuSOLzywg5cw5ByZoZA3MfyhssZSZdkMhen/D5W
r6OJVIKLBKE8PV926n9Z0T+G2HwFMGUuqwb3QjkudqyS0QYFlTeXL0o623IpgdJNtTAVYqCronrk
GKef6zP8QLtTBx8iXqXMuRXLSRAxzr04o9f8BTnZE4ZIKzphklrlV5TByB/hxLs95gSTPF5Aq4/F
ynl3rIjqd6P51smciH0fv9+tMGduSNZxzkdYgVI2qL6TNzmq3KnWjhB84WDSrik640yrepLC9puV
UYFenyVBu4/myMuA9kxX0RJb5A1f7gLsux2TJjK20YMYpZD5SnG9yu1Bb2q/CiVbL1NO3ZtnhjnV
VWzWHeYqkRJMMeKbrY+T+Q08hhwru5i4WQxziIXRNGbdwCFu58cmOgi/LcdM74nN32eiBKhZY/g8
xqa0mKMQDL/QriL5IZ8wK83xNN73YiIFERNFYaFiJQomH0X5VRDHozzxuAZ5Vui/bzZ/6WUh6VOs
R8wO6vRDb2wh5cDQrgkFEroaWKORaGGAIK2HVhsXbHyeRteVRmxxSq+LonYvAw7PDHP+5barpU5A
HVysrzQEPJjejf/kREIzGiSvmNQEkcTHjyUW7ZTPHbYkbO7k6aBBB0X9kowcK/sLebdCcWGzJbIk
TqhtIBQxpvHQlMqpGLPvTXZ/+XPtXkJ4mkM7Cu02n4aC6hjwWPXYFTzerbU23HIarFEvbWNq7Cnj
9aDwzDHePCbrrJkSzDXhYx464uq24dMq4PDwaL53EUDFBoEnH80ubDu7KcfTUBNYIumXqgmykLM9
++HJxgDjaDVIgLR4hAHhUF+1QeebhaU/pLfaj8mTbOh/ZJb5I7rVHi5v2F4Cm2Yq/1kYe/X0Rt1l
xdmucJscIJgbhJ4CFmzJlU98qoid7MPGHOp8H90wx+gMctgwRwVQaR52wuOOnzTc9fZ/VqWz7JGx
GYIiSIQZ8I22xE3Cw5r9fofhh5Uwd0Ky4IEV0ZUU4rUpoqv0uuFxWeyuAlQP6MJDzlBkO3+GrJ+Q
sy6QTda+yJkvqfel6V7e/90ThIOqg6sMFxDb5zPrmoHSEyKPAYIequKLhhOF18LyFvHqu7snSEPb
uUI5X5Gf/LjzXRFLeSMDgOSm9GZIiUSJeri8mF3n0pGEkUGrImF3PppoE7GOFBCsIE1Nk/z9WV33
fyCZ2rOjqSISFAT0pEimfbQT6n0bdoqCwQrQEmS5K0y3Ebw4W72wla2ou19qsGxhmE+7LQq3rK0I
w7vtYQituQkISBBJwnvdUHj4EBdLGKDF+A7IS1UDIwuMN2p5lna1Pso4V3lACRBHT7RVT0ILsQge
0+Vq8ajstnjiVTx4hplvkdfiZOC4yc7YOGt5PyiNpRjXpXyfrFeCzCPYoLfUpWUygN/0g9Y2YS87
0yx/GVvB7mThOoEuUxfxaAB4C2OcaUD5OSzFRXZiCQm8r212P1Y/jPTJ6N1y/F3HZXaPuZxFxP/g
wNBkUB+BHe1gBATVKX4R7HOSkrHDBE3N3DW5aWBNk12Ch61+NILcMm4FPz0OJ54Axw7H7UefpF94
E3JMaaSIYSrKaJtcXNMTwSFcQOq3cGNPCToHImj+0qFbk88e/AlrmHUyl5o2YXAxQvbbgZ5oD9Hb
Rf5yGWk+ZzA+WmAzGGmmxmUC+g0nB9RUs60f0Gxkd15eODSxLQRz6i6cu5p63AXnZ7XyqLjPUrX4
npNwlWu3+notZJwa2OdwgFkXgyN9pZbrDKoDGoYEgpVDoqU+jG5tgajN4ocDnxO+jD0GPmSpHSa9
UChu9QE0qK8Lm1yHt7TCUk7W5U37BNuMLQY8FhJ32VoJsmPU9qqCcSPNrQEFHcktBj/NTvMacWCZ
Z5HBkBKqF3NSYcdkRDs0+UPOEuw8ckUOKrKCeEWYpIjiFuJUZHkSpxp0IuRGLQYvjWTn8jfkmWIQ
pDTLbMSJQqNKE6gC2Cvv1sWNtbvLVnhApTLQoQpDrE0t3KJ1FhvBor0eyMN5HN+KPN78OG+XGLQA
g8hkzGZLnHx5rBtUTIvbQnUnIai0QI4WSCxw4J5zkNkpsmwZx8qsqVusQUgaSwS1bvzjv31Ctllq
LQu1l6IZDAb+5FJRTUlHszydJZIPwwtvwoJuyAVsYqfIikiNMcCsyk4ZYgpgtgXlNU+9Ifxh9K+h
wivOcryQnSFT+xWEQ8MgO2vnDiBvNUZbbu/lkqdZ8rn3/iNkaAxkZNo6phLIGpza8NM79RB75QvV
R1SvIfpnpw+V03757UQuY5MBjUppI01JI+IMi63lByl5irXTPFu98XzZRT7F/owh+pU397Pcmw3e
tDhkqYyhhggvpRVTb8abESmWrNXeZWs8p2eRQ6rEehpH4miSGDRmfZjy7BSnvf/fzDDIsYa5BK4c
BMJx/YQXhzU0fipyYJ3n7Axg9E3dzIuEDxdKJcrop2U+6ZiiW9+i+jZbeJKZn0vaH/dJZ97MYTep
nVmlIFRqz310pgdWW0d/+N455Q1tlzq3Vlu8ignnkOnMg02ZjDws0c7kiJNuV7l0GtLUUTTo2GpF
cHnTeKaYqKPB+GWXpys2rTsQ8qUyZ2sO7yL0Ql6287l2cf6UioYnKMa5IS3x0eWFuVaXlMBQjhwL
OcSOCWLRLig8XnX5cz6HscQsSWyhddL2CKS61mqvBKuzpVPhI+d+a1gJ9LBTdzrwJRFpuPQZht/X
x4RT4bwoo1wCGJPn8YoG3PNJfah/UQIu1Bu/8ZpW9g/CuzkGHmcCEpM6oa/OxsugRDorVyT29C6x
4/bO5PHm7N/T79YYYBz1SmmkDIsTj/Rlm6CHj2rSxxwE+Zfg490O9dYNLrZ1madNe34lzWjlyNww
KE8oUKJbdXipOQEV/USXdoyBxRRN+n28InZDUBUsOVhEIUR62evpn7hkgoHElMw90UOsJ4LCwzQH
M1oQ5vVanVwT41aXbe2j/Pu3Y6CxI2shNxFeXmZPnLqLTs0oOH2mcxCYd7zYIqRslkQpZWAiNCWq
5+RgnhJXcEE+EaDP50h8YjceX3KUs1nn18zGM6JMHpU0hwdObXWK+8WqSoEHUZzdOnvnxoapVcjV
1YjbKEsLXg3QhFHc3MmuIcJgKa/CEcOG6JrWf7vS+RGw2H43RSkQ62Y4y1PxM6y8KfqL19fxuY2U
McHART4nk2AICd4pv6Asdtd7aQAq80MYTG+TN1zpEB9xFau7QmD8jRdVcRzzHOltPmult2XUpcDj
qvo+NCdD/FmLnCrhvzxm/3H+s9NubPSk0MQoFgl6wEJfOUt3mz54h/+HdgbechjYkKvC7DUiwDvQ
T4DyrXmEaMF/Osrn9M5mNbOM5qVSECQnnk5t6xfdsY05yPQv6QYDdS80IpogQ/sItbqWFJlA0yjz
63xWJYhwinVXuKZM8AN0Wy4vaT/O+MccG0nNWQ019x7X/0p+Dd2Xajqa5E0H2f1lM7swgQkVELyh
EkZYNalWmEgzLXg1xGL3WIvpsZWL75dN7APgxgYD6h0p8lJdajxag+QAkuvoXrCNp/o8xQqeVyvB
/KoY2rygcNfvkF1HFQy1xE/do5gv7SpCZJxQ0EeZT6vkm4RTWNl3io0N5v6dp6LNkzkmznLfO7Rp
prJz0TKeWqiAl0fzTo44+7V/428sMqcJXTNga9IkYN+qu1Mr+ZrY3lcROgr6G0VPnaSf3FSun7R+
Li1TfVujwr28n7zvymznWklSVay4o7P8qBqybbRBU2oc99/3y/fNY04bCWekHZQJDz7l+5xfD+aX
y4vYfy6/f0f2Vs7kRiwkGXcIlaZBV9eXyJXfatew4kN+yDAiL/rKA8cmff18im42NpmQvo/6IYkQ
DjgzLsXynkSFtZJbc3DUDqGBEizVbckjOdp/R2yMyh9xS5RmQ8ZQKoBEgcZIHDth29zqBV5lYX4j
5TqUM8rTkIwPWV1yBrk5nsLe09KcjbEwUU/RHADYWnuE11zM3Ufmoi6ntEJ4BViebMOnLFt5aY3f
lMGd0S5H5brj2VpVG7QjnM2k3+3SZtLFb+4cPZ8LnYDiDMEPZVrIHeNOCQYMRPc+WHfeLlvjfUkG
Z6SsLATBQKQVroXbzEgUyI0LbQZOWLB76Wx8hQGXWpoqKe6RXmzr60L2VfA2Vv1kqdGv/7YcBkJK
VPKjIUFIHPYKmv/6oxB2d2gc5fgfbzkMiOTx2JuYTiSOIj6laKQHbft6J/JK37tRMKgKVRmPdFQ2
mFOtDW2X6ipCxUzxJsPBlJ2lVeBfelZKjs99ZhihUenGFHOWpVjJZKXQ/i5Tof3uPsmsxF8tGUQj
gjvaTZC70IdyBCf2UaE7mW+8qub+Zb75CeSj20dxF2KaB2daUe71ObFE8zpa0NoIPr2bqvLK5pRV
V6phR6a3TFdiac2qiY583sVLP+qn07f5Gcyxz0qhl+Wlgafi6bG4mj2fNChuNh5/ToM64yVT7EEX
liiRjUxxwtBtwVPcf50G8AXUh0ovQWv6+gdHY7Mw5qSTHkoDmZEhINNHt29eMAtvqzxh+f0oYmOF
OehCO5hGBDZr1LLOmOlpd1VqJcHsli5493lZyP04aWOPOfC6MZgD6QrquJM73eTeLLm63bvEPjus
V/ISMLuAuTHIHH11LOKFXg2Opt+0ojcnAahoL+8U7yiwhVVNCPOoqJL/v3r80YFuh1/YipP5w/fB
odp2+RdeH9n+y+19ZWxpVUkTEqkJwlq0LgSKGx0VwUc6C23hy6njNfzxNk5lECfv1GRE8yKsfV29
6NCBt9C4mo8z5pOUQ8TVjuRgKUsOCk3USmoyA9uWHqf651R7SwosFQ/JxLmCeEdAZRAkydt5HDAv
5PT99E1EadDI1WNmVFatSm6jZ4+ViVbKRP+ZVKMvCOGNXjc+x4N2Y4jNXjLQMpZzCQmrBrrS0Loj
Hk3fSQ+zbaLdIHIUDmZyjgRbek0qsirgSMelW6FjL8jzu4H3OqGn6gJUsp2uiWbOZFBwFdISeXZE
RHueh+IlSLgnj4GTZByifp2xlOVo+Oh5uY+d/rDcjTYa+SHfAEqSAFNYzn/cLQZTUOVNw4TmhDpX
OUK6wY2d8lsSnKkBbnm7xfmUbOG1j9NRUFcsMQ9Ur4NA7OT9LyqEHKdgS69SlKoov0LZvDNuKvDA
6F/amfOU462EgZB6RBEqGlvZ0dfWDQsnM3Rnnb8SzZqGu8L0Vd6zg2eQCVFMQ8ZQVojLhjZu/v3p
MMfi89rJeJ+OAZBInIuyIDRFWCSWZFhj+dzx1Ih4Nui/bx4ZBsBwVjoV+enM08arQflejLwGht1X
6TsIaUzEIQzRYhY5rrHlGB6zY3/IAozM2eKBV63ggLvGBB2VaAyNLlEd+KvUkVRf697GxiMST1CI
B+0aAw+TUoCbdMwVp3gGtz+uSN0WridHPac3ubDA2yMGFpaohOB329MGEJXYoT/4DSowyA6vtgLG
yxvigv/oxPuYHCdn84Npa656VnW4KdUKCphIQalGahMw7y9Cc2zz1lvJauWJebiMgpzVsqXWUlCa
WZRxmrvZGaTJaozD2PO0j/eTFu8+qTOYUSRQj1mHFVAbaRZGmUz9oKW+MDnDGOTaCBEPvOvdyyvj
uCc7Fj0O9aKZsULA8Be0w51YOvXgzdOD8fu6wR9ecToDHDUYe7UhREYmTA9T0ltkcsC7YV1ezX4F
Y/MJGejQ81xppVSVHek72EqgExI6GsgDpYf4RnogvmHRSeU5tcRD5CQvHON0CRcCAZ3BlFisFGHQ
8Iqh9c/6UbhZ3obv2tuIAUbiltelgtINZ8E8x2TQRSOTkk8pYKyOHkrRkcPEKsXXy+vi2WCAJY/1
ZRDqBSGUgr4G8aUNiwD4yQs0eF+PQZQkylKjoWHU39okmZt62U8UQm0JuiTNI7Qqny6v618QE9UL
BSQ6kOBkPp4M7QxIAHX0KTOf9Rbmb6atWE2A0JdPE7q/vndrzGfsCiUZCwVhb64g+aqgyRZJ8/KQ
v2iP5Q1CXw/Zp2+cFe4nDN5tMt+0LLXRRCs82g0wnhIrz/J8DMsn8Ooqum9ijGWxdcMZfnva/Zyw
+ceqwfTDmGIejXoXIRQx7/T2MetcQ7eahOMw+8j1boXJQM3hWC35XKPSoXrDdMiaa3HwQJmx8prM
6LH9fKzfDTGwvJgk1RK5REIXzyXDHRNMfUMwAiwLnN3aP2jvhpgQTsX4x9LluGWgNihVFjqWrOR+
TOGSqw1WEw+dgVbxyIvo9lulUbP+/2NgUMfdhFtamVUlac5X+ew0N4OvQw82snprtocrJJMx2OSU
Eyc+/pfXzLtVBqkjaY3FYYJr0lyWnFvJqbiv7PAHlZmWnoV7SgUi1BavfL8fQbybZTA6VRYM0qRY
bG4epvRYRZY0Dt4U5taUP9V9YUe/zdRLT4NBm5lUGaqjrPz0mIZzXIW4FTTzTqiPevraQPnot9lQ
z1ags4dENlSr2KpDmotDHzUDUoNV+wWM+qcSSjgdV3tx9yyAOgsTLKgtftJgbprBgEQPXLQcXyJy
DIVftXSvGrzofBe3NmaYI4ekeFHrA14A9C6gvVnRsTyYPsK8g+ZePnUUdj+d7o0p5tAt+QQdIdoQ
0+AF0FxFg2KZ+o2eITHYuwlY4y+b20WtjTnmsCkNnvHFeZKkvdKbWwhz2n3+Mmh+o369bGkXTTaW
2AOmLWuyCHhLK3ptSfJfc/VDVV4u29gvRG2MMMdpmMscLcy4tOOr2SvRgFt8UXpHc6AG7o0QabJI
apnBwEFK3tKYi5uksdnNGLZyxvJtyWrIUkWH0OS1Ze0nHTeLY29sTMoRaDKh2OXVASJkXwSJARim
KDFdxKP14J0s5qpWakXIhwY5R6m5F6Lamhe3kB6gSHx5xzifjh37T82+XOUVn04hr3H2VKqnWeVc
zJ/VPc5Y9A9ImMzNnBalPoHACoiXpldy8iPRRE9DsTerxDugr9sYs9UOmDwvRledX5ol8hXIdqZq
GegYEDfHzDFxIGuCLkzwBCux4mXmd9PofCWJnDgc3E6vg8vfZf/l8L7ZZx7jzS1YCWCYVenja7Kj
B/AHX9FNrz2IF13PyOlFweSsxxhFcoGbo+Q5Gjuv2Nft0ighTlEOktvOrtXvWag7fXJjFJDnORrm
Qx1KljbydN14x9dk0Ehowgb98zLtMC8id4WSEnpK7BHZCk0ufUJ+1XVBaXhv5aax5ai0wgVJzoLq
xy9WIvECx/3E+2YTWMwaixRCE3gkGkYV1Llo14kRZHnotZHyZMgP6NW5RQLA76P0eZ0wgCdEaAnh
jevwzggDajMa/IiaIUbAt5Bz3+j9mniX3Y1+2Au3DjuuPhUZrdFK8LY+8WShPUqVwjmGnIvNZNCr
idRZjBec9DaEpDpSFxGevS3GertAH69BNXh5RRz8Mhn8CvM8M9UC4XgZ+tUULHVtLfPVOHGK9Zc/
HGHn0+c01zSSIMulNN8VbXoeO+3p8kI4hwL0lR/j4byWmzCkTWjqrWgrdu40X/oD8raO6lOljsgZ
Di3n4132OCIy8U4UJWNlrAiG6wREcerXKUbMX/11eWE8I0ykU6RVb4wI6pxEDPJmtsDcraKUftnI
5fiGiHT/NjAqRgSUdQlWMr+CjhY85kEU/mWmP/ihKHefGLBQJjHPhQQZ7zwAs7wvWO1t5GpB8109
0ga74SV55E0N8FZHD8F2dSUZqr7HJbEY6Phtbg1l8c1OQAYyflUFrlwr3fZPKAG6dRH9FYaMDMVH
c8tcgYyhPuf04zvUXo76Q241V8sV2gcdXqPWrntsjDF40VaiDg5IPHN1sNsjUwEu/fCQGwsnAOaZ
YXBiXEgUSjKeQ82Mu+11UoOu9i/7oLyb3H9fyvnfN9ukxQil1AZL6T3Dp4zW4Z1aWLlX2ZrTOZJd
P0Bw5yBb9DA3p/z1snm6ggu7xqoSVhnYrdUQfbkihsVpJYb4gi8fePVAzoc8t81sFikLaps3IRa5
zIIVmldT+F0dOW+I/dzA5ksymNGFoNXqCuQXpcfZk23Z7fzY+b7eF6iWUA0M3qgnb1EMfMRNt4Au
CvDRmtdjbzfSlcALT3fP8GZJ9Cdsvtsa1uicM3CGBzJere29GUb2qDzW0OqdwoFzmfDWwwCGOYAK
vBIqbFLp5iTIRnuo/uRG3KyHAQml7YoyMtH0QaTnsr9J+sNld+YtgcGFcJUxy5ljCY10PwsnoX9I
Kw4m0F29dGIYTMhHQ+uWBPXYQnkaEu1GheTv5UXwIIGViBJBB1MlKnKStPO1drSHxtWtGcUBtGYX
dntKdWvyUNQO6NUxYciNcy/uxvi6CO5ZjWgqJXP56HbppNSDikfqefYAGlGHKDD91Kpt6GFxPuce
AG1NMYdIlmKjEFt4BLL2uJrcMjqN+TWUzqw58pbxZ8b7unux39Ygc6TGaEyTRQZKNNBjwUNlGCFi
YpOl5n3EvQtxa4g5TuvSG3Il4PKgszeK3aEBLvFnqGVU3nL4k8Td1hhzsKrZ7Kc1w44Z2a9RxLRj
b5nyPXeGec/5t2aY8zUNeaj2tLYok1ORfdXj58uuz9sc5nD1ua5UEBEF44z2xdRRBsCdZ4zOxOUG
5mwO27yB7jotk/CKxgu6DGhv8PwiPfQuGrVOkSPyum5234qb78Y2cawpDnRIt0fxK7fHJFbpKSmy
1oPTBcjVe7w8OedUsRP09djIQ13D9wr0oA5OqoII0m6E2TKkRxMTPlrrXN64XczarpCBDDERSSUl
2LnhqPlIB7nzi36TUwUL+2+FmARUCzW4x1qACK/ndd8tkU42iAQ5HJaHUikrUe0qXJNi9azFdxGv
qrK/fxIRoQJq6OQTQWAZrsNkUFaH8LoFkwlyvG59omInmBlFXFbxGhd3929jjzlnEviXZ1RokSEH
7zLUTmqvh0YCfd+FTuQnT2j7Tn+BFM/tbSH4o6+5Mc4cQjEetUqqMJhYrAHpf1bK79JG4n2gS5oq
Q6Ia+RqWo1AehSVRVAO3i/atBA2MmlqQp77sj7sPrq0RBn3JMJMJzf8w4mhH+Vg/Uf6Z4rq3xFt5
sEOrchIv6nlWqZezwcHWKgPD4TgLudKBAUH0B1f1EMX7+o12NduKB6KMA2/oYNfvN1+ScZOsXBvU
ueGWsxrbgP9TKUjXnA/JWxLjDWvfJvlMztBlHNvHyFVvwtgSPfqwQxf7dcNrE9gtdW8+Ihv+JMOS
TZIO/9CuBygr0o7dyK+uwMdo80mD9iLGrTEmgdJWBtiP6ZhlZiCUcyThdU4Olz8hzwS9izZBfA5Z
sCxBkOUUzXfRzOwYHfjN42UbPH9nuffUEM3b84okXevQlLDk4Q6NrRYVSsQ4tPnYwdSDUVgap2d1
P1Z890FCfXSzOnlZm7oukUtrJodSTYKVC8FqeyZ9FA9cKY3dCGFjjgnfin6StZR23w9IRorxIe1D
a2nvtZGzLp4dBj9GEHI1tRYDBLsHVfmrHp5LSLKmEwcxeGYYwJjlzCg03NZOVz1HQ4H62q8ocbSV
92rZ5U/b+jkLFUI4GQaNRiXimqWl+QnkLLLr8G25a67Kk+qPR+MWghN24vEGZXcf5lvbDISUZRnW
uoHYgIp2yS5YwE7Qf3WF5yLAYH0gPBm8YsH+Z4XMrQZ5PAwDM9HIMhbaOuP+ccIS82XraR5/6bnk
Vlg559xRfPiM+O+WGPdHjredphGBZOsMGDLLXHD/K44GgofWl3Wetb1kEcjK/1kX4/2qQLIm7mFN
PILhzIncxF+8IRC5CRveB2TcX+gh7zY3iAGi7KgueJw56WJ1vELWLjJCO8aUIddtmGxY3A36LIjx
RBypBXdfq/miQqyskOzLm8QzwwDwUoDZNymRFShNq8NIZY08KC/5xLPBeJzc65W2oFjpyNf6LfEg
k3Q0XfJVeNDBtNDRHeot7qQJ/aOfnG/z/RjnyztIGIIQGWXzzOrcLPk7QgzMv4bclr3eRk2bl8nb
x/uNTcYF9WWEIlQLxEqWr03ukvZUa/6UgDVTtjtBsRbFRRqsqf/jHjIOGRpmNENAiTh6+yqAimmK
HfWPmOL0zdoYNM4KPc9KKPI4DYagoAlFVcGd/EQFLpGfdy57JfdLMpBcSW0oT5JGZySgZXhmeFCP
sgXBapsHwTzvZBC4lrQy7IcC3bqTk0dvsW6LvET2Psq/fzy237nCfTlNNW5MmrUqDombofcMjyRK
zdmdKEUR75lEf/UF92c7nYsRdOcCpeFIQVsgHdqDipnKjKu1zfl4bKtzIoUa+tWBhfoIDSFMLZcQ
EuLgB88GAx+hWa6lECGxQgQvAld2epxVTlpxP67ebBCDFmEr5XFC33V0HpompMaTjiFstCp5kcfb
m12isc1Z0hmcWEatNRsJeVLtenQgEOpmfvrYvkg3vat4qYuWOdd0Fp/Pv0AP6SWvYJBiSfM6JAne
zrIv2sYxtsFbjLZESnMm3ehf0PP/SsXCYl5Rmft9GfRo1cHoY7Ten3NKsq1BsbqwQ5Ala152y8vw
7F7Qm81kwCMCq5QIVk5sZvNaLJifbiwtPCoSpw67Hzdu7DDIMURdm8WUJ0vxiRfbqTP5IKeFDBoB
ayH0n+0aGZ3+Z+gW/xGz2M5cskhC2C8AY1361WTWCPL/XviTp9n76gzm9TeKXdqKJpGcorVECG0X
pwET0xyc55xtgwk/FAHhz7zgxpT99El2G1+wkW2WoJhL+YlaSJnn17HAscozygBKOWX1qIoLHToJ
SHGdyk8Z4fkG/eEXThrbjFuUTdiOMhCf3FLiGND9/8jR/kvs+ohsHycA4B0vgwGUVJfjYS5gbYQo
3gqCn8il/L70cuaPlPMuZ4NBEWUJhaGXVMkxlYd+vDGqUweaqfA2M6+N9WYIPXG66gmnPLb/it/4
IwMhaU6gh6Ehiox+LTbo3yHufU6kGiUqPtEPDCp5EXeQ8bOyGE3I0b5fg/4PYUUwEwUs+iBrpslw
COXhy1a+EpS3o0dpMzobYymB+nV2p2A94o1vFQ462CW7f+Ock313+udnsHkfrdcWoY3Q4DV7kqfZ
5BTeyYFm0Vlbc7J44df+AXm3xhz9dFDUWB7RxxYuR60JEuSzWo7L7scn7yaYg5+ist8lIorr69JC
oeAwDkEK8v7uQUKHju5Dd/byFzT2r753g8yhF5dqlMB/jYo0xvaaSkATrfkkCL2ddSRII/Hl/0i7
0t62cWj7iwRoobav2m3HTrM1Tb8I6TLa912//h2mb2qHUc33OoPBDDAF5poUee7lXc5Br45tjuMu
lZoXdR53fTnvlVqGlOB81w3prVoNx27ObsC/eICsnSXXjRPOE1rq9SDR1puhqA4l+TEb0HA0y0CP
ms9Rqzl1o9xHQ+PNXbKTdDO35KT1dKk5RenrKjanbJGfQbWPh1AGNNLF12rWHAFKIZB1Wf2ozpyR
tI5ClaFl2VKz0iqG1Ou7xYoT4aYzvoea7pCpeEz7JZigna51qkXUOijwzsjIt1mqdx2p7Mb4tnaR
X6e02jEKxxAhaCf3tmp+Bt/+tJJPuF2RtabLDyEUWnuZn0OzPpEwP+rraqlF65W45jElDx0nN1Ma
CLsJlYes7r7LIDNx/XvxjiATkEngD4WECcFweecVbWn1qz2IvCanP+Dm+VAwuLlKBJqRA63Z+YjL
3covg8FBtyr1O39XiTlDicLAZoemCKPpQNdoqq0rDs33pUh41TS6LR/dznlBDEhCsoOEbamh8RKp
srCJfDWV7q9/GRo9XTPBRFdKNE1502AZ0+QgOSUrd116ypVgJS/J/1vL5D36KkyEpZXNIk60jbVr
u5O4yt/KbvSvL2c7WPy9Y4SmlS5ytI0RTlm7TmCYapwUasAx5hmNY15ydm1zTubCkbBEO8WQJSRb
cHuMr9peuUF5HUSa9nqHNjCHjgO1J4gV3vKQfLv2eD50rF5JTiIN03joLsq/DNBXpmQDBpgu+4DG
/NHTuI/vu4chAONqgNTP4/W95d0vwoDuoI1hLUwQLaHPKu21gb+Mbqo3Ycb0jkc6wDmYhIGMrlhz
iCGCVScxq13Wgq9LUB67jFhj9JNohWMkd5zlUT945SqwI0FiAYFsDdAMr1y9EsAHVaZQ9sMtvxbD
O6YMeJhKM+a6BqQCD2U7ntL+ZxT7qsnDD+4XYwBkjoy4MTLc7mVf7wZ/DEJvcmoLulgoMPEaXDg+
mTBQYiJ9IA8ijNXz+LROs1UYxF1CGJMNy6y5i+N9LwZOOmPuQb2EYC7dGT7t3Rn3tHeHlql5S/tD
yuc3rrD8OjOZxzyh9HHJ51/dx9Pg1M/K0XiIg/G4WAI0ujkYwzkjLLmOiq6NvqcQs47P/fp9wbs3
S1+KlleB38y0nzGFpdWZNE3qEvqYF4rbsfDmxon7Y10/1OtXEZJTGiYceAPhm+EA+qk1IqmaCh3C
9yitJeosFDMd9+vJfdWSfVOgvatrg+s3ehNCLswwB6SI6z7RKS+BrkQ/s2J151h1sgyUQeVqTf38
qoMd4brJ7Rv32+YHpbah18K6b1BlVbQ1mJHg1/siMEzpSCSI2IaDVZc/FZSVJYx/JeKEMYbn679g
M2a4+AFMtB+FZVq2EirlY4O399jJEMSL/+r1dmFEfv8BOyqdoho4M+iB2WMc5yte+I8hSG9WG8Vr
P/dNBF3fri9suzXlwijjftIu1LUQMfxb2lV8auzYqQ/xZ+gQB70fulwGoe1Lf2GQcUGqaKRrV+BV
07mQnEZLivFJQJePZrkymhzKo8R51XBXyASwqJGSYm5w5cPjivJh4yfH+V7yV/tNyf0Hb+qWd1QY
L1S32iB0Ob2GY+yI3fBgVDqnqYJngnFAmdI1GKzEnEuLaaVhJ5scp/3WT/3BaV98IwZKZm3ujYRm
ZsSvjVuDhCz22sPyowcLYeHXh9GewB/T2uanwarc2Uu8mLPCTa938QMYkBFHfZJVusKx22XTTplK
S1ntHPNhPS+/dh02dZYnFsyOYbo0wDMSHbP5ca4+aSLnkl2HTP0tWXQRPwt1VoCuHcm0eoKCuV1r
gy3HfgqueJQr1b9rTjxv3huaXpiLRV0pIhBJOukN5ZYqvcKeJiv9jG6HfW7rP64jCG//GAAhgy4s
OWX0b6HBlJRaEKH1Bl6d5wM4R+INVy5W1aZiI4YKKnhCQKnUSkw4JMcEhGoy8sgNZDPKJ92puSRQ
m0w1+sVusvCRZLk2dIAPRTDtSG8seURY0kYWKWNbE0zLmOPDLAlPcdVzOt02g5UL0wyUhKPQGiN9
GlTgNM2HZ4lEbpxrVjaNzvWPyEEUdvqmHY1QJWlKnJbcq4lk5dPLdQPbpwS5GTCoikRkqaH6ek1B
HYewMpJ1Vxr2RRX6oepfN/KHOOFshcEtVR07SRmRESmq05rfQDQRgr9eRG6E5LYzbsX8Zm5Md2mD
kdcgQwHpI2KeLTOAVc3CYnbqW9i83iR7JBV8BawOvLfqH5zZbztslVRQU1NOsjeeTVqdorQ/+r3u
mn7p1kdhxyuibF+6szkm7qmjOO4qHaMEhYDJkfFEssJqMLStvJgtT65jGyXPtpjwx1SUBfMj6KyP
yfwgK5Il1rmVgkNsaNdAFx/NXHevnxfOR/tACFWIdT/2mMAZiEeMZ630oyS1GvR1LskTmsZJL/NQ
jKLhlXPCUkOFYpwUXYNiTudK3vQVYuR2dFO+hnhgUZ4mnkwjb4UMeJVyKI9Gj8C5FvYDhNfK3Zo8
F2Qn6rvJ9Aj3tc9bHoNYWjIYRb/iG46e4umH1Isaqy8sGjBAFd2qn1reN9wuFEPX4H+RhWU2WkDy
WQ0pCsWUHzz2R697jVE67XuLPE7gL0BPhFPb0zNvfIsHNjoDNmZbgmC+QmYjyx7EyM7XzF7yE5Ee
FN1RqoBEmEKwp1K0wuLL9XP7NlZ37RQxaDNVZVdMEg4urapmSKooYJAsoax0Vx96CGRGkHTKfX0v
B5WIPG3kRM/XfwFv8Wx1dR00U0h64NAv1pLYjm8Nh6Cvt3SXv6LC08+fmC2zLqI+aBNNdKNaaCnj
p3RC0+baWqNst8JNGQdaPXKggeOv2KJrAQVjFXJSAD5FtRdyEurc7gwOGnDQ1WBCp16UOkVosIm6
aZHRgM6YtUROMaDD8q/quRdbSAOAi+hpTSQEMSVeJUoXVFEw5mBkD/7jmWDApi7QHVI0uIm9F510
r/FNd97TWkGBE8jzTNux0e9rzxZYCyIWkRYCSIvmtQ/iBbmwgzF85iyJg59vFbOLbctqTTRk6m5V
a3CjIKNszJCvRFbMWn6AK8Nr/TcNEBlDygqn4YZ3BBl86ZahL+seYXzf38XaXTE8FDytO+41ZoBE
bwaEagaARLUmFw149vr8a+AG9EN8xOR4B5aQpRvTLBxNXCp0rO0mMGlSzhEFBbU72av3kF7+b5eY
JWdRxU4BOQsOpAixsXr0pKzDSBjn2HM+k8mELXWR66sOyj1HFvcmyMGVe8Ljy9nGCV2CzDdQjrDN
+XExrFnY4/LOCqQ3h6e5sivjNUFRu+MFYX9Iz5xtMUCR1HKZyRFO/LKf3kZQYvAgWglyUPSwl371
jZsG3t7Bs0n65xeXLJYWVYlXONJ/Jx0xuz4hJZRb5Su+XSDBoXk8q9v4cTbKRCqxKJPGbHC7KhO+
u8G/fsjN48Ab6dl+WJ3N0E97sTY5bvF+NLGdWn0a48fJfOEgFG8dDEqkRF7GEpINCCgxPmF3x/G5
8HsL86/uGx2uh+6HHa87j7cqBjbGNdMSXVBQExYafy3DnZg0zvWFcdbF1hzjcMnyrkLTtVzfC6Yr
C/t8cIqUk+n6AwD+/j5syTE2x74tOlwt9Xb5XHvhjlIBqv/QWg7ITzj+nmuNwQpdWdCHTEfkpz1o
MZH7nIMEohZosPg/eEjOR2ILi5FerMYYYzQaWkDB2kCXMOVJH/I+Ev0JF6e7TzH+FFH3UcX20nsj
yF/zQOfOk9Nt+Rjunj8SAxCiWaZRMmE4Kd5JHgKLI/hEn9f96hYYhUYq/vrJ2/b5Z2sMMszdWq2z
hOSnLD7K5KHNPbMFQ4jsrdpqlbpoZy0vmt50jISIoiGqkimx0nOlrCpSFZoUAbvP8w6dcI5U2zSF
kNyGdrzjlYE3Efdsj80i1F3diUINFYYws+roptODaOFI82w7kgsbTOrAkKbCaEug+mTXN7QrbKGk
2QlWRbk9DdHi36/N40h0Aquyiok4BmxLw8ybusJlzoanZfHVpHIK8ZRxiQ03b9aFHQZz63gdJ7Oh
heY6RR/RN4knjraddLywwACsCm8PbgWqbkKnunQt29VjbKuaaEtCjgHldRcliqvFmNAw5YFXvNy8
b2frLPaCY2OdjDVFJgY1YFSCPXSc/sh2ilv7uc17SnI2k0Xg0FylrjBQgFr12FqT5tbMIk4kvXmj
UVjSTfwFiiEGP/R8gqjzBCd82ejPF+vdvFUXZhjgCOe2TDM6jJctxb4ZiVWO6q1WcA8HvTkf4PDC
DnPM9XAaRs2krnEorLZzeiUwu8CcPie5J8nHdniRxsKKeSnO7dzjhV3m2BdJKwwqHTIIn5Y3GvwY
7Jf6EyYa3NwVHB4nBW87mTswIO0YgYEKY1eRW+l2WuykaXcd6jdMKJCPNFVDUxRMhTImGqOGRnAL
E2P0qpdQ/SyQdIzt/2SE5YoYpskka1JDRkLt9iL8it5IfgNpqetm5A0ngsUQxSSaSLNhzLFY40Qx
lxS3VroNj+mnzmrsMSCfEjvcRcfKHw80tEG53qflusaLXeWFFxdu7+f5JzAnRB2ydDYi3OWy3end
YZoO48ipDG5g/LtVMp9s7eJOSyIJbqXy66Gz0gTEFHZBeFHAVqx2aeita+witknMpZ/0GL3UZkBP
e+lURzxVE7sCZfr0jZfY5+zcW8bvwpqkrrEkZdi5OLnJMr8sP5lcijXOAXmr+l7YyKQ+L+saK5q9
+BOSwU7xkyhWC9aSHsIZA+bxf1w/krxF0R90YbBM+qrWOxhMVjtMT7OyFyv3uomt9C8+E1gqRbRG
GODWeG9DrYcFOk4Aw/nLW3vqT/Ok3KNv1GtpQ9ZTaGtPEQrUvO/1h+NxtsuAfa+gJX6Y8ewX7yjL
gBSMgfxj3NOugtaX/iYEfrdM9nIPbUxEk1A+Ch1t/R06IzEc5Ike1Ba4qvPbd+y8NuYaR5qmToqC
PI2sIGbL7tTmGzEzS8q5l2z7SJ4tMbc5i5HvMORFclq0XoLWxkkg0kqHQPJ71c5A+cI5LRuRzeU2
shmoKg77Qs3w1XqHNp+cZ9h6H/OFwXVrMmcf2fxTXVTqsmZA5PCIYg9Im1Sr3FFyZW0n+bKXeok/
oX2wt8C+TQXVPXIo7eKZP0K/EWO9WzbdlouLOFAJaNKBhGONXssssmbeg4J3HdiJ+SEHa+6ov7UR
KZ7WWOEuvMEwb2IZHuUYC1eOt9vcWlOScRRVon2gGAuFxUjMEisStGCY92r1XOadVRSCff0bbkLY
hR26sxc7N4dim+U0CEGJKbfqTv2ObMvBVDmvJd5yGBSTZX1UZJrtKGdvVYO2/2dpjtHI4zXYPAcX
q6E/42I16SIMZkPfZF2n3UPu7mfRNP//WBu0p+cPwwBVLlTd3PXAfKrNlWGIvQNHlRjw5hcpMDAx
8DszDEQNU1dqK+Url+J71djn42dkOSx9CozEqXU7rnjhFf3d1wwySKX14rLEHcYJM4hogoE1vUPp
SdAOkvnz+omjv/yKITZczEkfjRLt5x/mwUrC4kEvxh+gVLoTRNFa88FqE46b5llkXupppks9yvw4
fF1jSTHYG2eIR69mIIo9CO5Q+oglzvXdxovzMWEZxpJRTJdeQDAs6T4R72SgsRBbff+pVm9j+WWe
gj7cN+R24N00zoXWmJjENJchlmt4nMR80H62uqfnHNjfole/PJsagxnlUPQFMWGC1vjxfAbpVuMI
95lPxU3Wz5hhcExHdfQHPh3iNo5Ar0KGYAVUAZhP2Q1IGsgtLjg4RcPGzs3ZlhVbkFTe99vexrMh
xqNITYNZyl/SqKJNFWZ18FPAi6Wvi9PaGYYM+emdrfkQbOzZKPPt8NlyOaPPtfwmAlmFi6qO4RRf
4m9Ka9EOivrYHaQfNdpW/+ZKnu0yH1QWixxqZVBgQ0awMg55cTTR2qm747JaS/h43RhvZ+mfX2B0
Eo9gdhAliF6CCqnze0y75/5/M8G4ATOdocLawUQr/TNXkAL5Uq6cZmbeKhg3MOvmEo8D4gEwz1rp
d7BHOJnMK67wTjvjBAwyzdlASZZ6I5D722HYgWJZlx+u79a2qzl/fQb5c03pzZrmg1vtZ61bYaLb
s57aTYKLLAweAhELsmS8QQyOVXaalWTJWpJw/uVHcQwC2svS+jw+lu3vZEh4OImI5lnqwyxcVsNM
sTgxfSazraHBIl84x41ej48e7bcNNujW53Gd0wJLEbN9gS79eny5/oW2HdjZAIN6eVNgdIxQA11u
CZPXSYato2+jLu8rZbAlXhi1lQkDEJ0NMuiHify87qcRoby72FScHLnt0KndYjee0IK657VD/8Fd
ng0yyKfgIIhrRAM3NM1TvtExqMHTT7k3Bi4Z7HaoczbGwJ05ERnPP3Toq+pn1OvthoCkgZBAGnp/
LnoO3vE+HoN346osmjBiUt7ITFsXnHb63oheXAa97Ne8GQve0hjkK1NpDPH8w9Kqu9z4bkquKP4z
G4dW5uTQOffKZPCvCJcSUVQOXkDxRYWgCChgnEUf7OsHfxskzl+KAUDVKAt57TUc/CKyRBXPLjzR
NcEbB0cXj7l6MkJegwBvYQwapsI0TEtPO0K7G6GwzflWijir2ob1f1elsroXtZK3xSBO+EitSzPp
Ef42LExJcuxsDX5eXGOVVb8wpLgiYox4onVoENOhbTB8KVyw9PyUCmu9V31KNRM56g6TN+1x4mrA
UJz4MzICgd/7+siQlU6LkWihNTLJyw7RXruBgok9PfDHI7eKSu+Wy4DInNZl1s0DCsLJ11Q2vTSC
TjM00dcmtSXlK9XdAc2w3Zfp0/Vjev3MqKxQhjm1ZdURGB7ROtX6s7pfpG/XTWxRX7xbHP0NF2FT
DgezLjJ8AEVIcJ0/rtZ6EGz1SPMqLdTWeXMPHCegigyWEHNqFn2CxelusbU9HUgwnPkO7AWgTvsr
uYB3C2QRJesqNcrwShvU/JBqKCG0prcIvJaw6wiJas/7fVSkrFC1HPe76u7j4VNrWml/aKMvyhhw
vtjGiOS7BTFIkpG8ThKNoIraaMdQU60QelAlOmRiXQvMsfTkprLMcPnZTOOOY3vjRKLaLqmoFeua
9IGQucObOooHPNFkH31vkF8VTsoJjfT24EBZ1kozK7VnHqX7Rhz0ziiztYk+avFAgNatoe3R93mT
CqV/fWG8dTF7Slqh7CIDXy8sDkr8UjXHMOEMpWzFIpfLYBMUdW6SdqFPd/OBim+Dotil4tu/JEb+
hrbnnTUmthNzKUfFK8J4lt+9QhfGjZ3MFgcQZBZeDIfH8QkbvuedORaR6yScSQlE1vXcW2rVqkEX
YkayRRLi/advxWYilnxNJdNAE1UGhsx80W5HNMurQ8M5EhsX+t2KmGhOafFACqmkaz0chLa1htZ0
ZEgiQVDIMkrn+pq2YPidNQaGtXQBU6tKQ/H9eqME46E7CqhTZOhyQqwV9ILFf55zTySDxAqJSCxA
m9Ehx1/k+IJbHlp3dilLN6/yw7li7CSTgCprm6W4YtFKa5zZ4snjfzwZDFDkUpdHgg6GkiZb7Ukw
7ETWDsrfqLW++1YMWBRxN1TKCPrUqv4E6T1dcwbM0/HOH+dGsb1G8zgmXbTirVQ20lHsRA/Ks1ZV
zb42lRxo4hx1ltCxl9KyKheYqsTSivudBK+PwHEu7TbllKF5Z45ldSS6bsxUy+qtcxoFOZtSEtMB
iArVxr9ohbj8UuygUt9oTQ2FLJw5aKhU30EgGXFb3SmQMrHoOxsMTkRRW6/KnAFolWKPJ6CHJIfV
zYUtkP5TXk3eKI6WjB611aityQy/X0cOjnNk+R7rISTjbCLoB3mBOkOHmTdMuX04EOSLBE+KD7IB
TSZlUUsLxYTUdpjYRviPWX2XmoPOq0384WycTTF4pKlQkJdMgCDV1dTsFSzjlrxDIeSGcs2lPH3p
bUQ6m6Mrvwh9i0GXUqlG31FUuGbvduZ9M3KqOrzNYxBJz6ATmEJh0YnUL+hEs/TyNAwv03wAVP2d
Czkvh4GlLBOrNmvxRk/+oTTjyrPparfEoUyYoYWkDogQeGNyW3R9OPy/bbLZtmTNq6pdV7xqpceG
vGQpmI/DCDD1ksb/tONOXfd69pDwGvu3miTf2WWiGyUajK5FGt8Bwxt6j+wkSPY/TXv4Iu1Fp/ej
v6JBfGeRCXAmIVr6jg42yf7o1D+yffREyxLJS+ZgXJUTZ3NOJju4MJiFMqUxLkKjHWrhkGmYrtQf
rwMHzwaDW3OlTGbVozDXrYOVZeAg6QKh+YvyH7bNIAQPEuRK2fp2OEQiFQzEh1pdVd8jhlKFT1X6
KKmcAHQrKfHOErMeAd0XQmmggKodNd+0dG8NqLRecczs6btyn0CNLrXk57eJI6iccnQL/nATzgul
230BJq1GqtYIYZ6+o8dbmpAwrMWpPMFpnq9/ObqSjx7nbIqByTnuFc0gQOSur+HZ9H0J/p/rJrYe
6e92k8HGyRS0OU9xOqY92vvQcR/tMz98kMBfR4UlJQ5OUmy6tiQGJwcFqjEtDX+JHyIjkPm0u4oE
vHu1DcfnnWMgEpWVcY4bwLGCthwZCbghusdIX2Qc5YonhXPdlsZm4wZDTzFIhSSZWXb+qra+qvR3
0rJ4qSnejlMccL7Ydrz479q0j0k5tRFQAqNKUAt0SEoHM9JQgkod9Z4y4UR29xCVXDrP6x9OYzNx
i6SsupzSSQbdEUxv0l0wGxmJH2ZflXgvdpxzsg1a50UyqTi1a9J11FAe05ZjX4Gt7HvKk8C9frs0
NunWN1iSKqFbV4GX1k/638VT5yUwQNGRuQ+lnkYdoTtCTNvw5fEuX+1u5fTGbIdTkmQgG2rq2geZ
h6mQ5noYR7zJReWQ9ukxHcFUNwv381y7REycBePXHYk6axSGHVpQg7jsXv7mWF78CMZv1u1cVVKN
+HTNvAI5vn9MzC6CoOkBwvX/jIsl2XFA1U+4CZCNNBlBReL36tmjAqY+wTSQAOm0w4g89KQ+EG03
CMeme5bJvYYkYMZ73GyenQub9M8vnIA5qVWxLIAxM4jRRQmSO5p1mb5rzmw3OxqD8V7V3I/MHCdF
m/73mdi5ot3dUy3Z4YthiegmKG1eY+ompl2sj/E8YZ0WodzjbnTNao+S3SC13w+V1SUu4b3dttLu
7z4g44KUQZnbSUb2m3ZEFXA/yU5DU1zicN8dm9B5sSzG+xh1KrWJjlSP7Gt7KKI4BJnN/hlFa+2B
Mi/LVvmk9o7yeP1ubGLnhVnGG+lJM0BIDOMVLRqLJUyyYwDCmdrcKXW7jXsrHK3rBrdY5S+3lM0p
RGk4dSZ9q0avs5OcRHfyl6fKN+/Vr3QsrPeHoDyVLqY5ueeUczXYHMMgmWK2Tsh+FsXnYfjZQ3km
04yHSg7tlgy3qVrvswb/bRo8EYmHZPzc1pCL64jP2YPtHwJ1VaIQjDq9HbuLOzpXggaPhcHPyW4x
X5VYt8WTeoJQwUm0gBLPvHO8fWfO9pinSoe+lDUb6aBpEn+R5NSStLSyJOE5aaVd375ylkfx9EMk
dT5UbH4ll8zazCld+y9ScXqaQ6fzdB+T6UHDCTo4F4fNr7RaPenyhIp3jhmkWXxJDMOOO8WVtYWT
ouJZYpB1bhN8sx604WX9oqhHw7jtuqNu3nN2j+M02GzKkht9ClpbGof2uwZ71weLFwcI3nbXLW2f
wt/eSWeQVITqSCXJSIMteWSB2mnqvlw3sP1EvjgIDHzWvSDUBc3IEz+71+zsznQnTzlJ/uBoXrrP
ns0fHIu8o8fAaF5P6HJY6OYdOzSld37olId1T1XAE4cLKNv36ryDLHpGaBMnDfLJI5JFumd+mwPT
bSGZLHtAVCpZ6IoWFH85Eeh2pv68ryyDy4ziW7TGqYJWePAO2x3SAUhjQn9PuRMr+F364pv+oqsJ
wI1pVgOIpX6QCsBBWXLTpBna/jVTMVMT2QpBF4HkqZo3Q0Ix4T2nN9OaZ4tsZgcjeVVY0j4qynBR
P2p24o6Y1kieEnt046DxUPNDntORvRwSQ+oPbklk+8b/XrLC4OaU9mI3p5TvcnKq0cmrfdEFk/F4
/dDyrNAzfeEN5FKRitwErtSCl0sPYvGyhHcVr2Fh89lysZlMLFrIZrG0Bo0Ldb9FF6u8C1Pv+kK2
xtgujwgrCDn1WqZPGsKltwQEKA1SMIQig+QnT607ujSKSRzME1nlHiGUTe7SPa8pbjtrcLFOJhhN
SjPSGgO/gco7dyfJokJe891qzy6dt1Ferq/5rQPuo7M7nxEGRacmJVod4y0VK9IPMVK8uovdunuJ
m8FdkszVVc1W0zWAOr0fk6elLm6VECHe1DyUwCmoFX3CYzKzslGDFm5yGFYUL9EKVAggFcva3aKO
Fmjhnay6mwjkqWUheRoR85qSvuvkwS8acD0L91WKrL8kemg12GmNfFyT7DBKfTDPx1TVEcvMdqmW
qAjM5jdDMFyST3d9O+zUVrFIsSL/jGH1Ob8jOqa9i86t6ukUm7VDegVSEZI96sl3oj3kaPmytXK0
dJLsyilZLbQSW6VpHquJgHStdOO0vw01hKxyNNo9weAiiE508Ue9ZF/TRbbr4lsuEqfQ57tM/qJP
fW0p2cNQzlB+AAOyJUYarJP5qcjLxEpGyRqNxtGnRLa6Rea49O2UmXSOjJi7V5m51sUTIqMePHLd
rNqzpuGnfxcHfd8o5n4SR8dY629ZLqKd/m8o5TDvLiPwRFFBFjX2sGI+BrpcbwwgkkeF0wQ3flZ8
NERb2JOAlyGk/ujDWb0wx5zVChXeUonhr+hzRgkynzamytwBj023eGGGcfvDosVapIG7x9Br2yhe
zfZ+7MFWUHltzHGFb13x15bEOPxsBKd6DTppp7zpbwyb0rrnu3anBIILsSq7yzGcFQdiEJ9AGYzn
aMNpFtwE74u1MiHAWkV1rLZwxXGj2GUc34wjeAX0ISBgi70ONdtu/2zrw9NpGOuFNIC2pXhAC18o
ldY6elXrTOKuV9Hf6eKfC3Jt5JFIbhSf1mnH+Qmb8dXFT2A8YllXBlKk2O78xthPT7EDJDjKHuUJ
Sxxyz7FGfdLHjwslV002QT3K1iDMaBGVNRroO4nK1hXu+m20eqv+/EZI6K+pdd3gpo+Uz/aYCF8C
/7OYJehnJaWvFd+K5qii/HfdxtaICeW4+L0o5s63otKCM8SQHOm7BFm13Mkgxxs7yik5Nvhn7xqo
lMnBTBz5wE0z8FbIIEDWG+JsaDBOPfTqUJWOEBzeuVXtKtwP+ACXN4Gx7ZEvFszAwUKiSh2qng5u
jhjcLEGKZlHS8PIkW5mX+zKnDsJbIwMJRpHmQx9iCissD0X5GqlgPw2uf0SeCebW94tRNVVPHzbS
o6F5nZxYa/b5uo1tFDVFTcakJKTImaumoLRY6nTb1upOb4/ZtJcNr22/xTyK/m2vcDZE7/xF/FlU
Zd3MGgjyq/UWNUaICSqooFp178jpTatntspjaPxDXu0cNDFHIlXyBDIIKBSI+yRYg9ABbSu0EuN9
7F/fxM21XUSDzFkYtLUPxZDeaDymOx9Du54EPn7evdr8VhdmmPOQt7hXiOpQE8h/Yogh72TLTJ+n
yYsTzqnYfrT/3jmW3yUkZkgKAxd4kpVTpY9OJPLou/6Qzz3bYE4e5MLBXB0jf/NLLTQDdXwfSD6d
WIBcIecLbcPDee9YCZ9iioc6S/GJMDOwoyJVeNOBrSEMAEmOsJNKm9sysOlXLkwyb6FaTYVkIch6
9o7kEVsBABd2G3QOlugksfV3mZbzhjJ+pZ/yshVDvCMHMVCah6x7vn7KOcfvg1CPponDpGA9RHjO
DLdKb1IwBE+HLOMNf24C38XOMf5Dq6W2ad/6+2V7lJ+a0ZZ4rMC8xdA/v4AjRYmbqKXnISy/z0tm
94PbGSpoeWPodHJcxR+y0ecvw+DDKFWJCKo1+mJtXrXj5A6vHdVArK3BgXCHqxx7V/O058iReMEG
/V9/CG4utpLBDLkCKX2LkU/Mpg03tQlaiBCTiZHqZxHYE8mwC2VeBpPz9VjRnqnPVpA14mLnsVOR
Zz2xpZkzPMi7zqxKjx61hTrnqG+LvohgvLOQUH8qgynB459S5XF5IbYR8d8nnMaO65QVplpiCQ9w
xP6JRXN+gtvvhc6a95Dq8cBBOVm8hDrPJnNsclLnS06ZG4XmSyZOVqNyynjbl+C8KOZwRHMsCqOB
nJAIWZyq+hZlo53mn0L9Ed1818Fju2vl/AZmuwSqYZayPkJMP9loK/oEuL+tvdjTbmaoY43u6tbu
aqf3FIzByoYUxHX7FDI+3oN/l6qzcU4ZaotJKpinKos9pKHBuiX3KFNwXmp/yEafDTFxjpZOq5IK
yIDRsgRGhiywA963h1LHSZndEinEglfp4a2NcTSdEoamXkIBLFVuesMq9N1C+Ii5NVyNvNt5ZYx/
ifNeS8UedWb6BRWvcOdDd59742H5NLfoABrvAZ7QadY5n467pRRwLrA6AslSB51OGl4pXntLX9zi
Qx3MtmEpLk189zzU5GVs2NGdQS5LSdHRzSXdLngTJvsRjIuqr3nQ6Qyun8zt4PG8rYwnaqRYTVp1
lMA9p3gDrWp7gs9Pl/wh3jrbYdBkycJSMmg4Qo6Gj7rvw/fRFu4iMIvyWQZ4a2KAZUSrzFLTEzkK
X9Py6zj+qKvTPN52+T1SXl3MSbBtOjlFJqYhE1H/wI7ZTks1CDReqNRDVjqgULWywZ9xA5X7uOSR
tG4u7myNTZAkzZL2xgBXQPNbtA3h1+A1L9rfPoMXdpgAGTmYJZUFBOFaeZ+0kKodP2cSJG6Vz8rg
NHHl1OCzMTxhtK8fyO2LfmGYgbAlbTCMGgHCQLixemAD+458s6d9kloIisen2QUd7UPv83rWtu/5
hV0GxxYzRhaXFpxUNLoWJ1RkOgjc9wiSFmf+mjkTP1NB9/CDW7gwyWCaUmK22Igw4UCfiCIyTaZN
327rE3+6knNI2YprpIpm0wjgiKiF1dUb4yjq+b0RhodiEkpLnbvjlDScxOX2E/hifUwkrUxJjM5X
uL3BPMGmpaCjMb9TGt2SINJMvhirJwg7zvmh3+napjKItoLVSs4qnJ8eAt+im7mho54adAaBRw6n
hqvfthnGXCySQbZ8qKuQ5FhkulvR0ULfk5RDy3Ck1ZrvFq+8F63YXSeIQXNcEw8KGJxr5mSWxQWW
jSaxp/U2Vwq76hVrUZ3ZMN00vksiLrMKvX5Xtpety8rrVObTQIEc7lD7H9K+a8ltnen2iVjFHG4Z
Jc1Ik2ds37Ds2TZzBuPTn4XZ/2fRME2c8i6XfSOXWg00Go0OazkxWmoczUtQDm6AISYo7v52bobz
ChqaVVlSQVDE7Kaa5DLeSbh9NZMA/NLPi9kGL+y+kO2AXrFA14BCt/IbAiupSxV+NUQz4pPoTJiW
aZziZbDjV+MEVhhH+7wvbzO0XoljzkUjl1reFwBekxfAQ0c5hkslVTj8NyHMysWZEBOLIkK10msF
WItED/YFbN/pKzUYy9dGALvLE+wPeDcH42Y5CM7kFEfaxyEceYD4W6R/qriSxli7birxrM/gBu5n
Wz5bT9mF0jOUGF25y57fyFt0NLzeVREj5Y71HKLXkTd8ydk2tqUJ15IwmTmspLEuQFkzKt6C8gQw
d25elnMBAmqaudZPmGpCVRfZvHvizS5xyi9o6n/+b1v4scWr4Ba4DLOUJD19yX6w1rmxH50ppS5t
rxA4nbLb/urnKfs4hSthETrBrXGhQwonDL8d/sWM4ceamw+Sq6F8XPQrMWpLUi2z6DYVQQKYYVV/
kVWAd2Wiu796PH2Yl0E+ilqcjhJe5UV+L5LJDoXcbQTBVePhImXv2qgfJ6Lz9mz7Kr8uI+M9ppIU
Cm1u/khdUuzy0l3s7EV3zSPGxuhT6IH2+eZnXujJE8x4FDkuRF2MsLBCfxq1t6p4jLpnSX7KUn+c
vP213S4hAV1T1CVUB2S2583E0OwyxXAuk0/RbVNffS390A2f+8//XuWiW/gmYDDu+d2+m5fOSjY9
pysLQrNkHS1thTuunG0VI2RZdDMk2d9c3yspjPkkatzqs4ye/h5sgIIjSict8Rb5oEFob5ybkJcc
2Ly6VV3GVaroIniYf1VLJXI1qBTOI3sFeZwjHbKz5cwIOJs7PhoaXaPf4oSVMPpjVmsYC3EUapSj
NRV8Zfm28FIdm6d89f1MuF60YaIpFr4fBJWBOWfPoRDdpP3k9CR53LdFniqMOZSpvuQ6BZMbyumg
o4nCNHhIszwRjC1UQl/P4UfeRnyYEbby2hR538/4jFCsGzCywfX205dGd6L46/4SbbrC1W4wrmFs
9QbIeMATshBjaz/y8X5MRbtP7nTrlJauDuqwfYG87Wdjj7zIhUbF89SSvXL51i7BqBz72d2Xsunx
VmoxMceYDUoZz9SIwTEcuXKTByVgoMR2dCy9cWruPNhmY+xVIJu9llV1SDUZQRuewXc9yUHmYZ31
UT0P6XDS1fzUZ6Xdd+FBkj/vq7rt8346Bzan3Yf1EmriBA7z4abI3Kq803mpNJ4IxiUQiYLhDUj4
Yh2dxarsJg4KHjgBxxI1xi/ocx8tH3y/ND9CE1pS0B3hVI/7y7WdH1ntFOMUkpJIdR4hD2M80RaH
9M64JI4RaA4QUTmy6OH5zZWifiOpQBA3FJZCsq6mQZRrHK4qI7cW8iA5aR0pG21pQkte3nkc1TaN
cCWPOVuTYgmlnMDf0SRydCPdULpY1HDO3CQT3fE9zehmri6JxmiGOilh7tmP6a4EkXfkmUcYx4ye
LT5X8qbPuOrFPl2J0RiKSWHx5uU8oeaFjgahcubW2V+/TTNfiWGu2UjU9GQqAJwy1++o+npC+W5p
hr8vhGMTLAFkKS15ttR4KpiZPetOSBl5TlN0jkdOlWb7lbdShzlQ6JWOIiHHqiWvg0tpEwWHnIoj
WMlAqsF75fG2iDlVfZbXVlmie09MT5P4mCgXdGkU+pf9xePqRLdwZXeZoo5DqAl4IiBfQwESwVjn
6M9G0AAdg+sqeErRz1fS4nYepjDCeaKZRdkBHCNAGWuwNBJbCbQfqV2gQ+ivHqsa4MeBG2AASIpR
sSGtbpW4v9xO+iyIX8OK45S2rfz6/YxSKoqU4mwgzWampyo+lbNTdQFnm7aN/CqDfr5auDoukslI
ZrRNPMiDW2L8APNihya158/TY+didNkGcS8YXcFztC+apx3jAiNTlbWh/XAVnqCeStEZRo52222d
OhJbMrZIRqzyq3bNLIuRRChN02vvSe7wlPrtYbIB1BaEt/9SEo/H1plvwC54Mu7/6qjhNpEtSwZC
PctM0bZa1KCTHaXCC5osw/g26u1c4TUfUCV+8/ArKYyZ5OqoJBKtfIao+9RQDST1xwozmrGn82Rt
njMDFRhwKImaxV79VdMKaSwM0Aij2fRZjPQQUijDQfNQwJg8eORD9cYbL9w00pVUxmWVU1rGi4wM
ZRI9dPp92v0olovUlrZUPu8bJU8/5kjHEe58Y0bqdYyJq43vxuCjyRIt45w8zabxrzRi9gytemqq
yOhtHiKvU57QtK/xyF54IpiT3ZpSITSkw5xZYlcKcMXKGwvYGPvrtV31XynCnOJu1ogyTCDRTI/x
rXyirnfxZXRnUl5zDVBtiQPDaG4XL/Xq71x73IxuVuKZ6KYY0Zi3RJRwGPidImxxOrQH9QMV17rn
DWpRM/v9oP00fhb2Lkm0TFkqVCFzJbEzVQsSBIz768mxdJ1xWIpqLFkWoQQ/GPOPCZSaslbea3nm
Ki2AxnVy2Be3fUtf148F4SftnFOgIhRW+6+acpDilwztje03swLRYXhfEGfOBBtMdw642Ti6bhqo
iYSzYaqmrLPA081SD1MxokNrwvVTWu/q2NxMCa9RenNFr1JY6Gkp18G/asIHk+FJBl5y3dqp9RQW
TsHtB9w0xpUodvPCRghlCk6fHusjDT5CADQrwBnBxEDAyxRyVo8lHVbCutfFCX29EwL6+NCVfpFx
qu48EUxYKgCQZYxrJABCw2m0t6QPpPR13wA3/e1qyeiRW4UfSgxIqbJGvlNqzoJ5KsyvZX4jSZy0
HE8KVXQlRSednC0lDq5UP/doF0hH21ruQKnM8YbbL9aVOoxbz0J1KQ0LL1bh0N4mhyZQHs270M4x
McYLPreP7koW499jQSzG3MLDbvC7V9VbDtODbksOcdITv99ju2VgJY3x82WndoJkop6G2+QD8/Ms
1zbAL9zyTQpG1/TLs/FsPnLbung2yDj4KhaNtpVxvyTlSY1v5Plm4o1Kb4swVLxMMZKCUP5X6xAS
XexKyhkamjkelKUbVjJelLyGVJ4YZgXllLQgDEAsms13YQ6QKjRD65ywYrvDwrzqwiyXGer5oKfI
WQx+dIjfl0MloBkOSZMI/G7jW+po9mxx/Ph29+tVKHsvEr3t877B8aL1ahB4nVpip9/KgxGQSw2q
k96eA0p4Itzw2Ab/cAh+6svel+KAy7Klg3eIoVyEHX4DKDOgtuUoktLWsZw3srEt0RLxxwCRKN4o
v1oLgG+jOozwfE5vF1/zJVRkwwN4eh1kIVzeIafb9VvEsRLG+JNBMeJWbjBT8e+kHTlkAA7JfF6H
2qZprsQwJyBp+060FEQBsz56DchEl1x15JjX2LAdLK7kMEcA5IZZbGnITsa3tGVeDGYnOjSnxomR
jLXFp/JtOFFUX0EAlUviyo/7l812s8xKPnM6OrNPBVHFEUQ0Ylf6fZk+6IJTphcS+Tm410oMrPxN
puoqkh0+nzKCUcmJsqJ1vTPULjienabmdEvTW3LHTNgB83lOBl0RULdvAVGvvss8NCCOfSg08Fnd
nwYgHodpQlRaT7EHlia8jPSjYZYPnP3ZfMmuFosNOFILk7QSXpfwXo+GH53EY4rprv+fLJi8faNZ
FDoFiFKGweL5FU2nDDENfVXgVljybKdL/k8djt6UD05iznaYDc/l/F4twktrWpcecNBtDcomgAwW
s3g/52CkDZNXtTVe1TEOlHy+ZB16WzJ0s5iLHYntG+ZKncGaHgFjgikKNAuTHlgxYyBb2pe6rSJb
mZrCEQ3z1MSKZpt1jkSMRU6xAFS3NL6IBqqIw2e51B8FETBk6Us8AgkzjZ2lmAEaUj5k9XIzV091
0zvGKNlibLqiqaFHqXAntf+SjalTT+mjkIa+GelfAA7kqkkImrTyVjTJISxbVx1Fp27NuzF9F5Vz
mKf2Mi5e34Yosv8jVSNKSw/q9E0sOy+WKl+vNF8Os4My3A0WugeX0I7F8EcyNF5YFAAFEDwVbeD2
0isnPawBKlxGIHxpfDEfTmaq2iA8KEHOMqr2gCKftWBcRxYxOf6Yx2ZgEM0t9dwhnWWPS3xQyKuA
wDOJxQehkb1qBLpBE5qN3YloEM4LR9WGB8kivm6QB9IkdkPC3glzzTcXwe7V6cEIVWfsYnTnqBFl
NnAnefEsa7xgJP5ogSaZlJHbWeansqk8IxofjDQ/j4g4kHA4AlU6GMzelSTpKKrNvZDL9+MCsHMS
HSIB+Q6F0NVykvldnoZbQe29UPo0DNZR70lrD70UFIpwmIbxFqNCHiDEMGuLcfi2PJWa6Kbxcoma
56gFaU2F4b+YfDKVyY6k1idEtacxdE2lv22E2k/r5m5WFLvQ5nttqp25E/Ef6uxQjnPhhmP62I3i
QRhFG4EaUFKL907qg6ikgPqFX8y1RwcNjHbwSPbat7MjD8upr5GXbf7pytIBV/urPlT3pMwDXUIP
eNn5IgaouppgM1BMksSgzcZLSES/sYB1BpIgYMtdWv0facxsNc1eluhNlbPbpRdsGd2rHOew+bpa
nVfmqaDnGiYyB+q8A1AL31ToHE3AlIE9DdA3ynHbf7jmr96BuebDOEHnqIToWp0d84RhEMdy0tfq
lrYJ/SWiOJyQKRmqgm4M5uUo5wNyTgmkkcgVptSeAPqdcbzr5iNoJYNx4s2s/h/YPOk8sFXhJazb
MtBe2oKzU5sv7pUgxouDj2YpIhmOtSz8tr9vp0fJxFDotyT2OSaxfV9cl40xiamJ4HAXSMrswRVs
TEHf1Yg6FS8+8fCheEox9qAVcR8bI97Cjd5j+b5NtWiD8PSc9ZO9GKm3rxlvr5i4r8GYRt0aneTW
6j8LJv30cyTfdqK9L+UP8dB1/Zi4TwnNSp/pzFMRgWvDaj9lkekRwfxs1F8tpT6OpnBrVlmQ9vN/
VJCJBLUMs+vNDEZ06VMjOll/zkJfSQKOftTSfo+Lrvox8V49WGB6nPAwWd4Hlz7HaUoSkKVA/Sl8
yy04aYbtaP2nOHZuQIyW0qwpDnF6pHMD/yNs45V0qantaMXizyl9thClU2ijSe2iH84pxkDhZY+3
UxnXU8yir2VZjxa/DhW19Kj52qFyMic7CkEGgAaeQvSYsgopiqTKhqWrGhgv8PkqvJxUOVKq0kQv
GB7gRTgea63iuIqtNVuLYCyhF+Yuj0eIWJbJ7qzMiUUvNnmv760r6ioFNadfFWnGaZJIh4wmfa7l
bt+AEHO+Nx4W8F6YkY0ZvH0D39dKZmfeRLOoNUHoUcotviPqFJaXouU8LbbY1YGY8b/NkVlYXNKm
I3iJ0dY0arbyblTwsujcDhbRmT9VzxqeaaUDuB074j5+edox94hZGFIiEAosZ71VmZcoj8vM027r
Bllrx9wgkiJ3OViV4NaFN605adNjGfmN8hYmt11xFttHVTvPvOBiy7uvhVLFV/auphGgFAcopogY
F0zL2lab16TsL4ncSX8TyCigddTRrmsqaO//Vdic9/8HTVTeUpJWtHmiWvcvTkIBbKB9g9xsKV1L
Y9ZzHsyuKWjKmPiIhL3Wj+9pCzlYsZCDqr6bR+F7+0oTM8U3HgXklvddi2ZWFUV6YsSoBLtJ+tYA
QB9UCJ3yqPSf8+yQlJ8G5W1f1+1dvC4sc0dXmE7WFYq+mS3RcRrHUxQWrjGLxzppnvZFbTrjtW7M
RS3HRBqEAUWM9AhOZADYWV5xG2IUOuUGOtun7qoW44zHIlajnHrKNPHK8R9xvkjLX9D7wadcZTDe
uA5bsPh2lMuy/FGrX5r2mE9eWHION2eD2LSkWJtzmIMCzK2si1YdxyizNTDrcStM29fXT23Y4D0e
AWA/mehRz9C3uPRoYu4a+cu+BXB2ha3TgdlULjMRu9IWeHx/UU0QPHLOLuf8sGRUZrNI6pyjIzs9
kmN5lwTL6QPxitfsRB3O77f9dbkYFwFIyKaPJrjczgsD45C61XdKnKoFdCh2/FZ921+5TbirlbGx
4GgYB68iNcEjgcojbnhCjHHWLnjT4+0Ye5STigdGQs/InoqMa6iTNk+Qlca9PLh6+14rhxiAnkVg
Ynh7injNcJtv1bWGjHfoZdWw5AXdcJRtvADMilo6NQZ1AFUGoMKM4/e44hgPkeejLKfqBz/E6CUf
A7LTAx0Lkg+Wu3AGHHlLybiK3MKFEqHDxo3izgBzGSClRd1pskixTeNelyg/qOBzTGY7Kvhpomwg
j7e4no0yTvRArNdc121RygOz6V7ESrzpytHO2vF2UUigZ9E9yQTOO4K3wmyEn5tJOCLxT7tswqDw
kofQFY/CmbJYCkfxkaPtdtR61ZZ+vgpHgEJRkwyT126cmUFVCMBO/NQ33W1mfenSwZ7lr6S871Li
JRZSQkn8si+fWudvh0WVwMZsmmBdYNsA9IgIajNS3oV+AVOXu4z/ILlpi51b1xxRm170KortBYg6
WTQxXIkQYfpqTrMn1oqzNLy2vc17ZyWFWtdqPUEfSKx4Rj1RGZ6UFOQt8+QbEseNbl46KyHMpglV
lWQ5spHuKIEft5hOwsSlJtr01CsZTOioERG5ARMyzHPxtQcDR+xKEVgD0RFITTF64iH18faHuRrA
gUDasIarngFhLvi97gnhcd/aeOtGf8Jqc5QF3CyDgTq2FX6Z+u+F7u1//+YtulozxvUnRCVjHcMX
yyR0hyr3e2J4chgehaE7JPWzGva2ZBScu3v7kluJZa6AtK7NSOwRd0cX6a4+0jeaPtrEptS38WPr
ZD6/J4BzcNlne4e1rHqgNbix8VJbvm4KmN4BXk50HJFa3F9WnmUw18CSlGmidXjpLpPfKX6mOFPE
8fr76ijs4z0cmkmJsxjWnnth7ybavdL6guzPvL7yzcqT8nOzFPbZ3iaa1rW03Np5s0eeE/tYOd2I
wd769UKZNbTatlxeAnPfK2Fi61fDjwoh61I6TLH06CNuwOyUj7EtoxugMDVO5M1bSsZxdLkUDURC
iNeXNyFxE7yJ1C8mSl/lp32z4CnFOIwMhNWRmdPooPlHT11RAp6F5hrD876YfetTRMZpYMxvGPDd
ONTiaawKtFJesoEHYLTvmZTfEGlqXbdaAY0Fc3YayWdD40RSHB+hiIyPqAQgdwsyFisF0biMhqFZ
sIXFbj5RhLz5EAL84wu/hYFnC0y0OBTiOAIRGnY3oE9YVIKuQm9BZqAkqD9WRvSyv1U8cYyjUM25
BaEenFJ7lL+3448Ik0nDvSlzrpHtEO16htlBdWWWW7mNYeIUECJ5HavAhGHoaC5LQtRQnxeSu6Fs
G8KxHjmnazNtv/IfH9mC1R02DVG+aDRphQrrONqjdC6a0s3qGqA4ByFsnAa4kQ3nBco5ah8LshIa
yfLUgesJ6Q7wFE7HmtwvaAXThNjZ38DNgB/BKIreCsAi2P4avSrbJM6gHKZBgWYOFhlA0sgPTX42
QUSu8RraN0P9lTiq9koto0wbse6Ri4vNxSEmOfdafWh6wImD7883u+Q8GaJdLWPQijVuOh632vay
XtVlDqVF9GQQaxzKtn5o+9OkBblSO0Yp/NUFepXDHMN2Mdu8qeFd0K7g5PrZjDpHboP9vdtURpMB
sWyKBkaDGb+P2sekziFsRNTAqfqcC59kwZn7mKPL9uFbyWHcfmfEYdYsE3pf/6+uQw7yHX3vomvI
52VrN53/Shjj/IFhurQ9yhZuqQJcMWu8RIhPUctjLt4ESFFWchhLLMfKQKsAcnzArf+Kf8+mq5yN
S3REpgI5ipDbtkdv/N8eXiuBjOlNuWqOqVnT0Z/wgVbH4J8dHDqKws2nHZV5xsFaYBJbJFZQUAqF
7nNVqodRelqMzldJc6zN5tKH4jk3pPsSjCBEQliio/gYWW6ffqnlk0pEewFl1nyp03MxFYHRZfCu
AvpR8wdZjnwLTAVzyovVNi/l1Rox10mWWGLVRGjfKvKDUL81y/v+idk3LvBU/up++rQ3SGqiltfW
DWj0mshWCcB+SM45mfR3/nmvUT7+VY6Qj2g6yGHEKrqM5pNIgckf5/rW7FJnDo9WaB72FduONn6u
HKDKf5U4lkZolQnOqKihOC+/dmDQEJz3yZGf5k8gMPXmNx6GJzXYPSUZ95NbQ7mYJcaEOq0/zstL
ik7DQa1v1SH0NJUTE26XOlYKMk4IkIzDEKcAn1aD2m1uiGsGaDC30WiUfzMc4mledGxuKcR8+TIo
HBfIsxvGKSlJFlYl9YChMLoAY7EjoL82VcmpaPJWlPFJiSiNEjg14CKES6sGaWHPw5Pa/+BS5PAE
0c9X13Cstko8IuXmyu0tye909WJ19zp5ynjZrs0e1Kubxbj3r5KSRW6mcsGJS8HvYPnIyKa+dqEZ
aDRJ38t2ASy6Cv4vDcIv5Quv1L3vBFWR8SdRVWmUSxUj7WhwLM99f0jNT2HJOXyc1WSD067Wu1EW
UJpalM42rRtz+hxJr4n6HXR8+8ecY4dsKGpMQMDSWjqZtxy7JRCTAXE9t0+Fs2ps7CkQMTFJDim1
q6PFPPOyF8w5ntUjRVytgBWCdmFQhHj7ulFL2HEnLJZSKf8vNOuWL1nzkrWm3UoPaQ5v+SihhXFf
Gk9Hxp1YNRnTpoeHHrMfwMCotfOQnZKFk1rmSWH8htarxBxmPI/m0PJMwIZITeZMC+CNOl7TMCeg
UT/SIKsz3eLKscwWE0olqH0A3Fd40qFw3pfWri9AJfV5+8WzRcaHCHqXLSGhK1i9q2p8V2mRTWpe
r/zmTPHKgXxMQ6zUGsNmEih7Cfy+nNu9t/gLaKUpqoLwQm5UVwJNHLhbDrHdokA7Hgbe4DR3YRkn
Ii+kWMIGN49+ntD2BqRxYATqbg4S9/RAAl41iyfvw6WuNB6MYRLKAS5zBBszjronV756JIB0Nm+y
O+s48M4CZyc/tmAlUKkMsc9LeElznA9lod4qpHLS4W9689ERgeoYGi8Vgy3cmlMJPiuKpz/lSSCi
S1ZSDW/Rmr+6q69imEhIa4sEPcgzDAbgDv0lA+Hj+M++89hesKsIJvJp67EorRbJPSsWnjDAekvS
1o5SHjPbHx5eVzmMk0oNlMXaGA361BIo4YzlzXh4LZ58AI7O275Sf3gxXKUxzqqNrESocxEQEll8
L+kNWJc1z5obd0ALNUbr7bwv/aha3nqi3MqLdBhr86GzwoNskCcxMe6rOLKFeHSaCu30oz7dkfze
KvKgy0V3UOqgHUEK0JdeFZfe/m/f9rPXn04/X1nw3EpWjCowqBUTV5G8KgrkxR1nd18KXe7fb6ir
FNbjhVmLhz06HDTSX1JL/1HP/dO+CJ5lseGSKC2drsGyklwFGRWxrUQ9VK3Auf223ycg2AKQhobK
KuPSKhVbqtaI/1q4UXLTA6rTDG1J8i0UMpZHAwBx+3ptb9BPgexczlwsxDAEunSSLTWeEt5a382O
k13a3p+rEObVpYOeSZSNHvMs4mtP7qSIUwT8w3m8CmBcS1hRmBXhI5jFG8tLPBwK6ZFC+7RB8816
3l+z7V5A7SqOcTMjGY0EE/cUtWj08MwK4mfaU4Y5nc/i3eIUlHAutYWjzmtx2A5or4LpQq+OU5wm
VTWXuPHAWuO0NWifMscofhT9JWz/o2EwTifLo6URDCTktHi60aPilCZjEFsgfyAjRxRPK8ZJyEIZ
ZyIF7hAwvlsiU6Z5Zv+P2N3OC0fSdsp4tXOMpzAzsc4t2kvZTspNkmd+a7wrdWuPTWdbqgYIbqn+
JwP1cdj3/r7V8LRkPEjao26n5zCaObxPcneY76MFRYDOTZq/crpXK2GcSNYYvTG0sJKheeizYK6/
RIhVhu/7+lBb+93p/pTCUicNGIWrChFNBK1aoBmluKmrlrNkm2O86If4nztkYSQjHd0Jpgl287pC
8iQCW+1k667wmt3SZCCIp868PpvtFsOVSMaV9IJQKEuIrp5aum17y7XUQ9Sf4/peVY+CCUS8BH8V
TyUcH8kxD5XxKV2shYJeIDoKBwOTFFZpY31taxQ8Af6ERDwsgO0L7bq0dHvXriRDnhH87ahjkFs5
uwjpSVZe9i2Eu330N6xk5KiVGAL66QD5i9YP4HllCC8DoQUujxWkN4mbO0P/sC/0D++Sq2KMNwnr
bJyaGimvypNP2Y9/SbDSb+CkCtCw7WgXyr8S2tOX8QB4f3/5vC+ffv3esWA8TNgktVKXuFDRAI9U
ObJg5Edc1L4Q/7MviLeBjD/J277SR7qBY+E140M8e5XM20Bq7HvKMJ5kxuhck3aQgVEpsIMg2YAV
zG/6WxRKb3gsQJyVYwEpU7lEv0gPYVHoJXIgAnU7R2UeJ2F/4Tgn7Tf4yXLQ5CRDg2dXeBbQodXF
yXvF1q2DLleceG4TE2DlwTTGncTS0iZJDqXMAXSNE17IDQicqtPwTXWzZ+1B9MFN69cnAanTfTX/
8Fz9eRDYjvfSTJKsqPBIoXAEhRf7CiCMH5GQPdEyt3CL/r19iZwbQWNcStHSwfIOtbWqetXmR0M8
/LfvZ9yJTNJKrIBPidkzbB6mOlE45Sza5qHSZUWTAFYmqiz7VS4uYNvKcXWOoF6OPoto+4s4DmJ7
X1YymIMr5Z1kGDEiq+GT5AOH8gFT/5pDbC1QQa+VVg7PJfGUYk4xJn4EIafjOEWIwWFPmY+qwtma
bTv/qRSGDH519TOZtFDpsfeDL4FDJfZNdwlmjDxYXueObukJx8rTA5BCcXZsOxhfSWYeF6QSMR2T
obGi78fbVPg86KaXVZhJn5BhE5vwQehUT5rFGzGMvyPGQ8Rumi5M1e6n9jGJm6MR6UAhCXlAy9uv
ktUvY84+aMq7CSgLuApw9BPQUVeqXX6rPtHJzOwu5eXUt/upVvKYECKzrFbtMCLhIn41HxZ3es5O
IXCR7AU0uB9TEg/mDZ+rYLvEtZLLnPtSRTNsuWDvOy86jOfIE5zOl1Nbevi3o0Y7NobNyz9uevGV
UMYZ9JPcFJWBkzohiOicOLnFfLo9dsc04zUMUdv97RZciWIiCrFtGn2eEFHQCl6GArF6/BdVhZdh
3LwBV4KY2GEmw6xi8hsxmeJHXeGYimP2nZ3pnBiJaymMCyIThqAVFJkBSjq3dnssfeFioVe+9eoP
vvTIUW/MyOYS2FAL3FtJxhNFkRROC0Zt3fIT5VvqXrIgRgpVCeKD/i3nYoNtP/euC8oWgCxJ6XIZ
ALmuKj+nip1EXmQ5rWa6QvV1mC4GuZt5ydTNS3AlknFHvVYasiZRiAH0IYXSW6Qf/+IWXAlgvEqk
qUU60f5M2XwiI+A5mrf/JoBxIwYiWMtMwN9UFJKfAOpeM7kT63Sjdwzh4+WwehkQMdXJaGGVktlG
HDL50SX5IaEbL/UBo/1FgGEQ28z82S3c2ONVSDi+48OhraTHTaZKwoIrI1GX78AYsexBe200LRiF
HtMws/m4v6IyzygYD6KXgPcTU9wECpjhbFq5Q6srHrIv4aH7ijEOAP8YTnhMX027flQPT4JiZ3f/
LQxAhPPrFS1L1ayqNR7sw/wkLoojK69mwUtgclwYWxXSEnAimATxWTh9HUSMgOlAcciIrVqce38/
qMG09K/aRIWUph2h6QcttEtwr6qN6gmk8Pe3jiOGrflYxkzqyMTOTa3X6f4QP8c1p7mAJ4LxGOUc
G0sp08SQeABIjF2FQUe+76vB2ZYPxqOVxQP1J5PEAZWkNHwIu2AAILThcdOTnFMtM55DAarbWFcI
BOjcd3ayPEoYiJA22Fdme8EsWVZ0QzdkhRFTatbSzQUeNk15adKbYTk2vJmP7fW6imBCmjARhKZL
4SEarbqRlthr1QXeVgGsjsx5NfFEUW3XW1OokaIJeA4I5QMxBaQiYw/xtdeizv7f1o3+kpWkriqm
XNJwcxjm4Clk8GpFCJKKePtieAoxfmYyidhHAi55MUIc2p6s+FCFNwmPDHbb2K5bxMQwioSgPxxA
ophJnyvtKZMDTQ16I0PDKrCq3qWYxymxSQum6FeJjMvRhXxq4wIhZ3o0EOvSkbQGfymW9ni/OLOr
fqJRNk1roZvMSQPN3V9ZjuGzKdd2Nuo4zfADBNkp4kOU3EbclM/2VfVTSTblWhg1GoGnGXn/p/o4
PVGMA9UlnujPtzIAXMcDr6+U7tPvocBVIBPPoOuXSKQA1LTZfCt038y/yf1DpSa2NH7WCKdSxLFN
NssaDnKe1B1CeUzWWdrBwLjJUiR21/Osk7dVjANBpw54wQAp7MayPcS1nZLHruO5jj/Et9e1Y3xH
XLWACylaVO8A9z8cu3OCN7fkkTPvtfWHt+xVEuM7wiVJF8GAPjmmoj8CNVSebdGy40Pmpy/F276l
c+UxTkTTo1qfDbxl6WxQ7Cg3gGuwtTNyV37/xht05Zkg40pMU2yN3oJVCPqRVMdkcrOmtJfq0o14
BJX+vm4cx6UybkQpIzMECRl6j07mSTq0N8RTfRLwtoxjgWw6NR4Ka1ErnKvejJwR9YtKcKXxuK/L
H16SP+2CTaYCST0aZPPjyhfe82MCuEJKSJoCBP+knIQT8IWOic/FO99+SF7FMk6jrc1CrCiiEa3A
qk7uApcnyMDaawW5l/gqpzjzhyTTVR4TcihWaozAQqS5VEAaOdI3IHkc0DEGErzaG11MuB+M++We
l8PluCs2ozpHcSXOGBZ2KwzI6V4yOoJ8SnlUUDxLYbzIIMhJIdOSRTlfBPWcobnkr8YurlenxriP
AfmTFBBNwIZAsDYegRiY8ThCeVowHiMHF6+R9KgV5mQCcYdhi+aMol3NMQWOr9AYX7EkugBuQoiZ
Z5TMkosULr4SZvcxlBuT0JHAJb1/xniKMf4i7xYV84rYHqV9srQbqbtLCSew4LlbFiNk0ZusH2YM
JdDzNBwpf0B9Q+zoHonbe95p4ijE9pth2EJUqgRWHY83Jh766aGcvP014xwcFicEVI95T0yAVxqo
8AEdrAPFti+Lzr4UniKMV1CVLk102ndEwlPR3yGxHmev+yJ4ijBxRFROpEvowy1T5FcZDBN2NN0n
wnu/9C/7kjjXEosPEpmaYZkVwB4oaptyyAIF9Qg+ZSpvzRhPUCdDCXRQeNLJOimhPYifZR5EJk8T
xhOkRqVL8QSEzFFqvjTWK+Kw/0fady3HrXPNPhGrGEHylnlGo2RJlu0bloPMnDOf/jS8z+fhhmni
L+1rVWkNQKzGwgrdl7Vs78W8CMpIslphPMvcss5+lvj3FUEYYDBaSq1WobUkvpCz8DrfjNAWK5HN
0Tl3LgeBCIMHY9jF5qLgGbd0ia2NvmQ8QjXL1sXTEF3M7NvxsfhLuer3ulgSEHXulylpcchl405f
qXSAlnixdjZAIthCr2UZrBgBRv+SCE6dcLI8nLWyDCCa2tbjFCPLk6EUnJE7Elb2kH6sp4uYXzD0
7B0vlnM4dSasyCplNuMGawVnsG+Ki1UX6SnjRoD0AB48eVjBWWhoYfCixIWxgtQ2ab4kLea2hPAy
hzno5aT/uCgGQpJhCIkRoQTd5l43PYu9X4j/9ZDQjd2kFkISiQ24iWl8VN3Qp3GNdgvjefoue7kL
Jrng+Dvtd+lc4wmdQRGxmM1Sm+BsvUPZ57OzetJQRAD3nxO6x7bo9hx9LAZNmlmUUkJfctmS2II+
3RWd9nRsgnf96gx2yESodGJgOcYX2uYEml3X/Dp5OsJnnAxOvpFrjQGQpE8Ls6NdHfSyBxm3nTpQ
O/ZMv0TozPtU9EscbB+rhKiKLajuCXo/NXDoID0bElRltdTSk+/Hm7iL+pAs10yiQfeQHe1b9LWB
TC9KCvSFmnsjNAJUqJnxko/7u7exw2DEqrS5ENMLrHNnJ7oBi5YvfcA4H55w6RtPamm/rr6xxoQY
pUKUKhdx+lK8upfb3Ev8EdUCPD7O82vtzj+zHy1UdUTV5z2Kd0FqY5mBjVWaY2kOEUIhM01Apx02
n7LQH9W7jj/JsetjG1sMfJR6pg5DjxNZxDbVbkshME6ey6CGqEp+R3kSR80+Pi77ELKxyUCIVIJI
LsaEKCAEDXcOZpofQ684lW7tv+sZtzHFQIhq4uUj9nit1kJvNcjr5tFt2PpV9fof18TiyNJn4HHC
44R6dhHQfrcyMP3KwZo4EEz/1R9+vVkTAyKNDHpEibI7hdPXlPL7iJ2dhcsFnaC2mFWB3recWGD/
EX41yVZzjTZZRzKgBx8KEs70lc5SyapV3PaBjsSkE9nVU3hHXqebd9V0N4bZCk1imGEmmLjdjCxo
x+Jm0nPOcdyNPDYmGFSRikbqBRl+XsqXpfrQd3dzzWtI2YXijQ0GSwRDqUOhQOOb3F8QwxHpZy7f
FKZzfAg5OMyWdkOty7U8xV3Wpi+peorMGGoMP2oxiJYfWntfq5z2DN6qGOyIhkHBfAwokdoFzcGK
p4uKpZl38vL9eF084Gfn+FJU9ZOmAGCsnaNM3wUEpcVgZfk3s3tDvrwYB09frFw0bIX3PuedDgZA
FClpMUoDI2HuJ/U3M4swgMzNJu9bgZilpIHmDs1z/w7iSiNsxoEAhWV/csOzEgju6psfTDuxV5uO
UkCmm5cL2P96V5sMYsWYoqpMmjvJk/lmFaHKsYJnUK1rP2u691C3QK3of+tjIEudx0FRMny3ofox
zbak3Lb6zcwNEDhLYqs06tzWeH0iKT+hCCTbqNYMluZ1vvwweJMjXrLT6kK6/nR8PPfx+Pfi2LpN
CgH5XKVK2pJ5VqXbZersFcdEIqCPu00lXq/nX8D4ao8BrEKRhFSlUg2QONHvk7v+NNwKOCkhWJxB
t5Z8hlyuPdzz6bD3H6TXz8jWcMikFULRQ+UHs1E+5W/qg9qlkm8iWkUib+Ag836gYMgmwbtMFnWW
9WoJw0ht1xrphPW+jkorUqC6Mil3oSAj34N+zWzJ7jMlhntM59VYK+v4y1K3++Om3din523ztsKQ
6xoTiJlAfyZYotTqoUqcTm4kfq3fFxQZBGKUmgppW50J+gwDiYVVRdFA9GtoIM9BeVNBf/sX2z1v
X+l18+e6rrYY4E6FpUI1Dq0Vqg/FQ7fyAdzyd8kuoRIoPaz37yo0btbG7uNcreXcoA22H87F/FnQ
n5P1Liw8PUosPeakifdvi401BkyNXMuaOp1wSaj1B234qYfxR0imPUMl7qSmzyKmnqw2E+wKMVOf
obGg1EbOwdnF881PYLB1EqANlAlYsDp8XfSP5eyItXt8NndRZ2OCgVSpN0pNSYECY9LZXXVW8wyT
kcVpgq7Taqkd567n7Sr7msyEZJKqFXoZDSh+iY2pNIfK31Sn3I0fuWrqnA00mLhvBkmGmut46hkv
g/tldXKo+ZLPxo/skj10T7nfc1/LPIsMqmZrF6n9DFrOEZ0gy2CbqdMlvEHsfUD57XgGdcwNoJiN
LhdrAhmz+HlokydheBsqAX2z9UUpIk40yFsQAyiR2ZjxUIGNPoUcoSQP38swfNYhpnV8DneDzus5
/ENhXBiXSdKRE11JsJKvZhvbtWFHppfHdtI/g7aQ41u7l/zGIAMmo75kuSnCtyJRd7ssB5cYcQyS
e1Bf947Xxj30DJSkGtiR1gwBBZ3CQX7DUz+XAa3zp+eQO22+31OwWRmDGoWY5cXY4LrL0thP+9kS
5BjkfQSMkvNjUeCq1apLrRe2vkofj1fKO5gMmvTIujZ5i69ods3NZF6iZoFqG0YwRFedvx/b2kcu
01BM9A7qKhsvTcpoYIYft2pax140u/2weGl+NqpTqoIb9D3RmXG1xvh1PMxdOkANzlmrx1q5EMye
RZqVEH+sPhpjxzmc+/t4tcY4uLyaddrSh3IonsXlPJWlMxk/h9CqBR6/1b4fXE0x/t1Dhm1QZiTo
Z210ozW0MT7jrTmxFk3i3DX7vQabTaRYs8GtrhVTQZdwpVKRc91TPMFK3AI5sTZYPqFWZfW32mTx
Hv9/if+uS2RcXRCEpNYTiI/ml/pEbCkYgwgKQMYNP7bl7Sbj6VkaQnJCgu9Js1dFnjo81gJaD3mx
Cb23/oy8ritiXFzIy7AyRLwVYjENVDCdq+N6SyU7yAh+dwlK2mCLqOyliLyue6yX5e3Y93bR2lRk
XVNNDMex7E/xFKdFJBk4NPFLN73Eyosmfs2nyo2yxgIB5BrzqEJ3Y82rRTZ1FIeSNM9UzUODJJ9N
x/DQMiIjmar5khs2LnrM7eM17j+QNiaZ4CEmayGmOvLRoAdtApDk2LJbewk0YNrFUR5H9IEj0O0V
iz/3sOv/G9MM2mi9PEoNgWno2Do1caMpiNLKqiQkSPJPx+vcxdGNLQZrFFWf1FWHU67mVxXjXUgY
r+mrKn7QWiuPeTxb+ysjmOtRiQ7aWcZBqkGfS0MH6dAEgkZ5utXFZ6kCnL4Wmn+8rr3ABTyEoLrB
3SDjNfRvsBmHWihqHfnNdf2JsUBXVFpLGiKOld27fWuGAZe0bDsQ6FIBuHvDp+STia/f0qdzS0tZ
nDO5t3tbY8zu1XJhLHMBL1CjztI7q6jhgc9Tf9MWK+cK4i6MwZhpUUtS4e5Fl1v+TGXZe3RKkU8y
KMoih/e0430sJnAYTCVJY5qMaCpfh25kmz8UHSf9vMuYt9k9tqGuTFKwR874VL1Xfcw+ynYSDCgB
EZTPYiex5fsWPFsggyqcPFBfefmd3dtva57BEyI2hlFQpuUQjxHFUwJwnEAt2rhUF8qLSruNazvy
5A/HfrDn3zQdYIBpWRMxMfVvP0CHdYbuLVqalJ4lyPlOyd0C7bgYqrcJaL+4wS4NGNi7aWuPCSgk
MGTEVQJ7Wl76ibY+hmv/TYhBcJpCqjdsH0iZOHP2GRX0x3JNXBESsnXzVmejyjnCvF/CIIA4NaGe
ZT3yBajaKNX30nSPt3b/1F63lvH9qZ8zrdFxDYvNN2V6QzevM0YJx+d5RhifV0iSFOGALIveNlZU
CVbZfVjrr8cr2Ytbth+NcXa5lNOmWXE2jTQJpPJLA2YVkhi3XZQGx5Z4y2E8vZmqRs0ou4M0Vs6Y
kXMRaR/NUb0/NvMX+NJFCWpxhimzT/+o7vsQ4shounvKT6FfepCRUE/GE/lOq5EGL2LfpcpQkVz8
nz3mys5bCDvotHuoxWTk6mjBGiQ+Wks98p1KIUCZmRMS7X+yq0HGr/O6kaNMQLI/Uj8bMcq7hS0t
n3ReszN3Ixl/lnU9WnsJ76yh7B0Mh92UdXM2stYjWnE3ibltCJUdEiSLtPEelXVHbqKfxx+Tt1R6
pjbvBlPLetwP6DfUytmHbLk3ad+lUbQndXqXs103lf6SjSUhDxUlIQgaZhX0AciEJ5bAa8jav8Sv
NhiHzoexW5IIDp1GrrZ+GyDO0f800Big8gZe9gHwaonx6n5Yq6Sjc8/m9JoYjT1IPQdid8latsee
cWd9TcNOzlD2nGwR92njkwfjefUHZ3wlz5Q4YAZlgHynnyaUfNMXwvU76ld/XDeaoYHxB6KryLL/
+4tBqKBdqlpF9dCZXCqdvL6OVotxl9KNnnjx1243h3q1xrKtkbhupKREQlH9AsJMR8U9XjrhScLw
hv1P53p8q/0K/d4VIW0sM9GDOmY1mSlRcgypsKp/GeX5tE48Njm6W3/sJpFME8wZaEphWxPx4gzH
opjpACC08zDKm+ChLAfcxCwFpwM7bE8iSbSkyBRMAEYfB3AOdH54SvwyqC7IAtzkXObP3Uvnuiy2
C3FQpDXtW7xxNN3PTKeXoDL1HuTYmGDwv8mbsCU1kKMH8bz5nPRnPXwPDG5MMIifJqsqKBXSiLni
FmWBuevCMkZvkd4VcmwMMZC/CumCXoMBX2cFuw6YncEuxSkE7ILgxgQD6YsZyUqbRTJGFlJPESA6
qq1fkKCk6pb3ZTc/H98g+8H3xh4D7A2KuolSdrRZaHKJnbkFdKDD1KIjIN1pvM195SQ4vO6v3dh7
Y5WBehSyi1Gk1QAhT17q+GffEdusq2CVjIdyhh5IzhUC3sXDjUkG88217keJht95ZUlgp1lv5BNt
AZA/GR44bn8c7+vuDbOxxqDvAjSMlELHAtHvVT1PFSfI4eARWy4yq74cFpMe+ZPolugJ/Ken/T2j
Vup1GWywmCVFnkgxzHTaaxW59fzcEed4pzhHwWDwIY1MMBZqQDwzckcCHu4vCbGi6TQWIDPL4tOx
NQ7gsRUiAkGzYhkrvDWr76tqlyM6oZuXYxu7CbLtrtHDsQmWZnUsiwZahKBvzp9pQk7xKDsWqBDc
0VUdSIS6yff4zHMq3plgoEMssioiIZLjqt+esjPGxn71ifI4Jvbv+s2hYCDDSGclbXN8MTrBWJ1F
N3ciV/lAGfZlr/FajI1FuOqHoObRRu9mrLc7y+DGmkhLknUIanqPdkcnLplscumcOCgfJV7PAF3H
wV1sMIixrib4k6YGeU4ztwzVysvWIqON8fLj88KBfFYfU13kYc7BJOto2WA16tPYgbJT8yQNJDnz
Yh0b4wDTHwqZSzoIIqUZEyLVUrKfXcfx5/130fV4mExAlutr1EVhiWarx/pCmS3Rgh3ojzR9xE/8
7VI0bU6EycBHO+ZdJoMT1IlPxZ3wugb5a/tTuoPUg1158Zm4+SeJc0VzEIsVQWoGOZZyiu0LGJOb
Dop0A6iMdAgj4ICkkXRKVF6b3G5r0HaZLKSElWAKAzZVCIive+uNcYKmRWxRxq3YLe2W52qcQ2ky
YFLVA9LHI85JK/9c15vO+DgPED0xW7yng+MjSf/VgZ+ZDJ7kGqjnCSSHHSXJz6MBee3Y6B7JoOWc
s3/s0Oh4+jcuD8tQphql1xASEKuAJs04zfolL1+O17NbaL5+LJlVIKlEJLuGCmwGtGGfjjwovmS3
lhzwrufjkyiz5aZSGNtmMRFbJ1mfWWJSO3nbOdUcO1EZOXXefpGIwonnOZvIFpyERQTJZFijMab3
x84x6hKteFZFOC2NHBiRf10Fm0u0zjMl7w3Mus0reODBHrP2patE82ILtWFFBvIp8vSqhokjzOjM
rhTdBakzB5qV47MJ3vJ/HxkRgRwpMIDrSGH8U8dY3xxWbiVGjybEAFsdXA6mFMRo7FziCNJLyzmc
EzDO/1T11O6LH9pQBBKIdnFxYcygPYv16wwN+bbM0YCQpLZURK8L2M/nxm3S1WmhhgAeDGsqO78o
VEvrRLvWLr0xu8sqfDo+pvspit9ALbMJcAH6MfWS4+WsWYutefqn0qve2kA+JRfxl/hD6gqOeida
PVTUTaf8fmx/f2s1VRFNFKI0til3TMAg2NI6itpe1MUvpEsfcaK9ff+4mqB/35yhCQTDea8q8I/K
tLM8t6dcukkkYreG4GrpbI/Fe3SbVHI1SYO0jclEHONK65AoqEfINEY/M22xsvTz8dbtg/NvI2wj
7jAVSZPKKIOOSnaC4OddK2MiIqpsM6/foLv489gcZxvZjhKgZlJNBtKMUgvyF8zpJF7R1HbWnQQZ
dPR5cGxuV3hrs4cq43RFmeerQehsZLZAL60agzlHORmgak0j0HRMbTIPVJsyukmrztY081YMy59G
DHaadLGVtkjRpqEGg0SCSR1vIf3Lm13nfQI250CyfogJ4g6pOxnaQ0Faq6qfhegtIjyKgf24/vq1
mbs/63oRUhP42ukpwXRUG2iUZtPjXSb7wH41Q/11c3KVzNCWhmZR8Gl70aGEXWnvLTzCrr+EMlc7
9Hds7HRA6tKkzZvrYNFxShxbiI4rXxaPeLUPckbzwqtw7ge9V5PMxa+abdZHGERx1PJuFb+KJQdn
eFvH4IwkFa1gljTZW4WfZBnZ1lrWrELqzysROPE1BzZZkpWExH1KOhlTm9X6Q4nEWwwMXqqk5xSF
OWbYmrA652Wj69iyNfNkzenrpzX9eOznnHPNMqzEQqJlVYZzTalH6Fw+fa+2XLqYvzwRfn99lqla
09N+KUJUvFQfrJL5iJk4ySpL8O1DkBuhywhBzP9LUwLnVLA01URRR6Gmp06I/FjBfFxzW6SfE64M
1z48GwbkoyXdRG/mvx1KTwwhwujo/1J4UtBYq6faEvQY2xsVyQbxU/tBtAQH4i7HX/AvQdrVNOPL
8pDHkNVFOkX0V8gFrYH4kFt0XqG2UUvkRJ77kHs1xnix3se1UMlIjRpZ/7lZv06rXljFShO+0XSz
mFAOOV7e/ge8GmTceurULqkTVPjErHf6ubMmDEn0UgkJSJ7k1y8GwT8fQVdb1Fk2qDhX8zzUJvoo
ey/6aiI96Sx35FzdocsXrMPg0I5t2hZbOeS7UNuzS0cXSrCxHa+Ys8VscB9PSixATws19fmpFW6k
aLKq2BG7pxpPpmNTf3HL3ytmA/y5afS1+pVbRK8J3koYNyYPiU0sWliJkHI2ud00f8kfXW0ykcU6
9Z20UsihVTfUiW5MV7Uol3N5y0uT8baSCRAyMgiRkcH7RfVm7AOh6u1JfzFXu4oWzlfjAAA7mNhl
WTSP9YSsmNj+YlPCMQ2n5yb/oKeRpfHmEv/yvr3uIgM4Wt20nayNcEQztGVh9qZCtxoFqThptYek
vzcixV6F8gFk8LxTw1srgziVnht9nWNbaV0Vw812dy5PVCIvvV8e1vNyr/saxC9S1eKlVzlo8Cvr
u/HQpigIZK1guZZ+hpgbykgQmb4hFj7HMfbvxev2MrDTzNlQGzEMqX7oNx9BAuGGjrla2Yv8QHlH
RxcrdMyTHKBix0t67t/7V+MMDk2h0pm1jFhfAX92L1RW1rtjxgku/hID/rbCks8WIRiSRfiiI4/F
vbm89eHsSjUqnuNyytQ4WFrk5fPwEdT7uQX59qDpQcpizt7xVnMW++uFvPmkiTlkWSPAcQy5tvPp
J8pOUAD9dGyEu1gGdMyIxEsbYfQMXVBO8gHcmr/UWiSf1uLbF14NmXNOWa7arJtKJV+R5QK/DDwU
zGcg7krUyGpWXg8MB+N+sUNv9s+MmmhMKpzUeUSq2o9CKFvPVq6alipz+pY4fi8zmNMZGZHFApc/
lAAsQX/LtIclgzDmeiOlN/N7mGVUcj2fDMpoQjatUojzuc5eVnwrskuRcwg7eXtH/77Zu1JO1DCu
EDqZBcBywIzgjSohRQ7Vc5I8Hx9B3jlnEEUcimQEjw3eDNonZQVV8oPyvjL/dccY3CDiGq895TNC
CquZUCzJIytqJM5Nx1kI22YSJqKepiaSj134EA5QkRJvMXJ4vFn7JXGwL4syJGYMEFb++8uYcVdn
kHuBA3l0Kilxs9sMIjMirhcC3jDtVAVywAsX9kOTjVX6ht2ch2QQ4jhekQUPb9uT8ouEMbtoZ8q6
q3EKGLu7uDHF+FIrVHWzTglCk/ZSo9tXQBjN49rfDxI2RlgXyqOhm1OkE8RzeG78EW3SEvav9nmU
mbvX5cYQ40h53Qq6SfXFqgKlGH21jKi3xMLL1O/r5JbKq6zxhJZ2IXZjkvEnMqajkkTICjepsDpK
PrqVPoxOGA1WUXI5lOiX/+NpsLHGuFYazmUx99jJHuLYVI4xL9GeAcqmR5oGMkCSw2vn4qyP7S4g
YawsUk2HEUQ/Tpy+Ogsp1L+dY0fjHEO2uSDURlONJjyviqS1RqN+MYeLHkkfjq1wdo/tLyiEKi50
A94sDI0naEmwRpl7bGIXyq8fiG0qyKZeUVrajFEsgRL5fTODPO40QJpG5TGd7ErmqhtbDEykk1CP
fY78MpRzL+L4DAo7F20tbq1EVpGCPlGoP5gN+aR0io1OYqvuZjSjYtg2Sz6q4FjNO+VuTNDIbJaY
CuysXpe9Qs49ApKPRDODwegfFrTQdV0UHO8S71AxqJPolJOoQ5lbLR+E8HOivwydI/KmdnjfgoEd
We6htxmiJNYWoz2VBLKGiydUkZOR2k/amfMe4YCPwYCP1Iu5NMVo9aB9gRIIGzSfIIfF08/ZbynZ
fHYGcfoojKRiQeND+V0+Uybi8STdgL/ktHhxEHoiZmYzL7d5jGq85THQk2W60Ec9Aod/qDMTn74/
oE7pHx8NDhKwTQlCrJf9qMOBFvShZ99wTAfujCW9tQ9QlG1LUDujJdIETIs+Gr4Kbrj4XvwsZFZ1
oX3vwrPy/N/WxET9QiIbOH6wpwvj/WwoQWliigUjPP/NDBOsTDOJwklHY8DcuQKqjPPkztXLsQ2O
T5kM5qhZLoLCDBAqljemgI/UWrPwYExeNbwdW6LH+OgjMRgxj1CJMg1smiB1VgMCTtR4rTZqca0i
mtQsMv3X/WPwYgLXy1wIOOFRrT7N0YsahYplJAZvMnX/+Gk6hi6IRsgf3C5VnI9DAqCgfZb0+K3f
0A1mix6YYm/Du+pdYHs1x3yyYWxbM2uwkanq5vODnv1cSz/FZh5/r31Mv5phvpccR9ChNxTafP1G
skDB5ynCWz3+j6thPpKkdwLGuFDHNRXhMs2t3a6x3+TJ2ex5bQe0O+nPE3hdEQPoqqwu0B6lQHsJ
/cEv/Og0Of+IX/AKbvtudTXFYLo6FO0CUi1sXnQXYlgqa52lDgpoKlQx5/VMv8PRqhgcV/NSF0As
j8cFEh2oStNEB7cqzTkMbMmomOeapPKKtsf8QRHAWG++6usns+GRU//lqfR749jCEUkKrEXqaX9N
FORQeFt1a7bXn5UjnBIe5/J++gYMSf/fc9nyUbHKPXid8VpazoMruoMfO+aHMqDEmLm7vPKeM/vV
7409BtHNPo1Bmgd78iN27wdIl9HwRdVK6IT1etd9Gj5TNQDIeH7hnUjuWhnYmEiW1UqOixiDMZVw
J0s3mXEako+jYQ+m1ytBX4Bk6H5YMNDOuS/3KyCbdTNYQkATSCIBDT/tJ0jdgwFHwghJ6gkuldo0
b0MH8rzOjHy9ZNNnpHABJYL44T14hjKaSukzRLahykzkvComvOnW8KxGP1LDHQyf27y97yi/rbBV
lkZvtKQTkT9PxFuxsSbhMc5OIS9jtv8CN2QiAUMUkN4xUCZOSiNFGjJMWRbI6p2k2LX6pdc89L3M
tV0XX3vZO96+/XrgxiQDaXJYSWEOs0id0G9ICXiFu8jXcVrrF17KZBc/N8YYUKsEeYV8APKq2VJa
U/GUqoolGTdD/FXhCUnQ3/0Hfl5NsQ9ipKcHrYPMjaMtlVN1ybeymd02ms6lnkLP6kfO1ebkLI59
HPfyUIcancvQS7SB3Ubpg6A7CpRwWpfzzXiWmEC1zeJFjWkERMvw4eBEb/HrGFCqu9DCW+YWQy4O
+HIyq/jGsUz/85+7SkQwHhg6fI45oMJYiHok0CDl9A/9DxUx1x7pC8N0ZE4EtitypRpXa8zZXEyw
aoMD7n9l8saOoOMGsuGbX4XyoMWA++zLXm/XtvaQQeqKO5O3v9PXX8Ac2KIyp6nHToBH4pKHXomj
pFzy0VPA08bZWo4p9i421kEzOg1XZOPSmkN2h2b5c3SLJ7FDvOS0okSfutH7pLlVw8S8oQ7ckX5d
MJssZirIZjLnMgWABeNEaNDHYGrQu5ALuMF0OxiJ38P5vbXIXFkFuueNMYaj5JfqqwzdMlTLz9VF
dMpz4vHq47tx1GZ5zB2lpllRl9GA8ZH0KSkdIxesNOF9vH2wue4hE+22STR2IT2opgjyx8Yl6bmP
QcRg9miMvpm5Qfx+JX6zKsYP5bbr0j6GH7ZO6Lc/MDrSWPWrCs4HHeV4qpVhSG7F835x1/uvy2T8
MWolHQJOOCq/lIduqaYiJEptMeAROv/lVrpaYvwO+d9ca+jIO+XVnE/JWQDtljU5khuf45eV1wK6
73u/zbHFzS6rZ1WesLCUBFCDeShQlW/jhzkUPfSofD72dJ4xZtqiBJ+ZnsfIfmfTlzK+y3VowjSn
tAiqjDcSwDn8vwB249t6WhtyX5ei0xef1dQn5GXicdPwjiJbvEyNTDFBMIR8Wm1T9WY9tEdL/qE6
BWoh0ym7J4Wl3v7XE8IWMsdO1cvJwBusvEhe4eb3KLhjpuMkua2vfxYjHjzvvjKvHsdWM4twHRQd
nCS/0ob1PSJcOFpFzd0K/xEgf2WUN5+tEUkbaQrGwlCI8fWbMRg85azYogVOWRCOHx/H3dB2szAG
SvJGU9QeIamz9k9N+TIXjkhuK/HrsZXdQ28SULnqogH5CMahi0QZoyUmeCqAuXaeJqte5C+d3Lox
hgbntOAMW+4u6mqOvUyJXOV6SOdG6tpquvu1sUsVvKD+exZl6kB1Q9Zktr9EC1MpVmk7vgrZqMSf
50ss+SvxhPDDsaH95VwNMcBblYMkpR0gY+lVZ5mdQUapQBWtbv55bGj3IjOvhtjPJNTzrBs1oubm
eYif+vYpbb4L6Vsv3oSlc2xrH+SvxljUTTRxJm2H7aMiLaWDS+wl9GgzWeEt33h58f0D+HtlbOOI
2KyxYnSodhtmY83KmyQneFxZnfKW8hJSnE38A3VHoyNljmggPqlnKgiISMczTtWLYMex3buK3YPp
TQyGIOPlzGno9Ed8vtlSJhOhpUmTqDRelc27LvxRhh+PvxnnILKoO/VZhPYpLG3RMeYCespbuPTM
O+7ck8EEbYkQQ+CTEsKIvkFn5wLpjuD2B/sMmMh4Srb7fDebTaOL3sDtqnVSDikY2siJxjj0D2SP
7Wtma3haUIvJPS9pw9tFBnLxQTU5N+kuji9y9JzPX5riS8Zrod+/mTfrYlBjXMwqLEP6WLvMDrqL
MYGYOpif17+k0DGp/b60OS69G29sLDLwYc51WJsL9A/i+nZYrVZ80afg+ATupxKvNtiGkjqLm25Y
wdLflciIkjtB7C1zXC1NtBvZjeYnYniyhFyQxgsBOKtTmMCtyEdl7ENkL9SpuE/l2moxy2bXXear
sXjRutErw/wBqgX3c9s7grI4ufChV7W3EUzAjVJxLm7ez5H/fWwXmaRF1uHY5q0Tp5NF6kfdzP6j
EQZQ4mho68lAGmUsh7OkZG9Fr1ljqXEuOHowDnBLYZ6EmH2UNEI9YvQoWUsf/N+qlnuXgCYqskxQ
0QHZGYMr6F8wROiqYX5OC61Mc8ouwLi4rZq+/uP4mO4B8dYSgylZ0gtDX6PoX2HimHTVB1NpOemR
ve+/NcGgCEgexEKeEOMkhR/nNmhT8/e0iG1NMAgiojVG6Ss8nkXzNYmeKtC2aQrPr3jrYEAD1Jpq
3BrIreaDFmDI7FRURiDrxen4i+ySIGwWw5asI7nKxLqUaIKF+CtoV1NPTa3qNrMlf8TQ2r0I2t4M
LUGW+iHi9efsL5IQIhMFxGrsZIkaKsvST0jZNeYdGZ9bubIGMnAQav94X40wXmRE6Gkyfmn5xXhz
qU8J1rcMeDvXVtFxTt9uz50mXo0xvhQty0yqGMdPx7DpAxiJn7LBUX8MTvKguHTaIX6Mb0uf19O9
71hXs4xjdVC7EPIc8K9o5Az+KideW+f4pPC+FeNY69QVZjPjQOI+c5W6t+Wq9HOMMP43M4xzyVOm
hMUEiCChu46euQS6xOva3nu1bj8S41thJ0axSts0ygvVMqv8MOguPV6SfN5TzuFjZXuTWS7xFqIp
G8D4EL0SZYis0rib5K9hy5uE3i17bRbG6va2UW9C3gTINE9vLTL6q2J8CfWPtZBBnbZxlvbrIr7p
0pdYV1YrbkHDqks8TQv6gdhLS5NQcqIpatwqTDzQdmaszBNGU0IB81v9nRhaaXkjTo+q5krGx+PT
snvuN8aY2z7rtFjWJKBXTskmjdiKcoETWml7t/B2QcxlbyRL3fVTjPCtNRBNpaVnluK5mR/z4VGC
yQkT+4s5WoKmZJaqf4B+14wJK8lupBLTB2sBoYPPBuRoSI+KOFRSo17yBUWyqzSxh1a9T9GRKHfQ
XiSi23XVp7TpbLG/xeLOpFTcsWmsBPS/RYhpv0alpPTha5GUj6uc3YV55Ctm99honZNJi2Bnunxq
tQwUR+k56fr7SP2embKlRsZpGrXbBE3aRtl5JDVfklL8li897vx8PRld3VttA9UOPX0PJzS0vWXd
UHUcCLaAh7zeXJcNkvhmbmfjaGEiQwLddnhfG7zc3t4jQlNEXVJV5FQ0li0wzSR1JBIaqyF3K9Wn
aP1UF0/KxLs1dxHkaoYNt8uhSdawhqMh7KP1QSs51wHlMFkC7kOMnuE/HGpji3EoAgbaVakiEUGT
tbix3QoYuyCXurFpO4coWgOvOXMX6jcWGa/qpiaXobSL5Jf6PS+8Bt/L5HH37sLEL8ZiFcQihslc
J3Nn9iXEgwGMxW2dPoLqQ5ZA/S7bS1y7BjersovDG3PMtSKqoGiQQizJHM3J6kxRsc3JDBZNeOjm
wgW7gV2W31ZlfKvVMaj0/qEDKYbRhJ/7treHfvbC8P+RdmU9ctvM9hcJ0C7xVVJLvUz37B6PXwSv
kqh9X379PXQ+ZDQcpZnrBEFgwECqSRWLxapT51hOr/5R28eAHioSOtvAVnB3EYJwNqglakuMhAqP
Uj935zsNSrlMOmQSwGc2H/Ura3zHHt3RFhgQnRWXmpvFy8EeZx60s+yXfoJJRTEicju/fFvf74fr
qoygNZW+TDZwrO2u3xGM4h/kX8pNBkLu1EUsyj+r363fdR/k6q/XL4dNN16Z5txYhmYCHesZ6Pby
kzZ/wxSRKqosbVYT1hvKXQ7KsqSW1uFt30LuaDkkmHCzXDbeBgWBnboPXeWgCYKPaFlcPpsO0xSR
BTV3yXwg6tcyuSH6n5DjGKaNaw9Kg6rBR+wK8JFZRgEcdDGLWwMeNCmu3hzC+vH6JxLd39xarCbW
lGEAVqYHP3qmuONMBPnkdk4EolPcBoaC/3CBhgnNl9XIUgTiVId8l+yal350GJ2rfINx+YOoQb95
Ba0McqEmVqtQgTIBGDXUPgi1x4T8NKCF0NX+9b3bDGmqZgPKR4hm8fRdc2OZddjCDzI7fKR57RRx
f1uAdSpfUhfzgM5/M8d9KmBnU0Up0H5RDQh6KcOlN4Z7rZc/a5H6GlGhYPlWW9VYLY8dg1Xg0GnW
00SBC+rBdMNYFZajFDB6gz8Bba8Nse+5MjSE3WiUKqrDHb1R7RvaPRgiPZfNI7taC+eDhTr2aqni
7aR1IDmjljfVTeaUEz7W9Y+0eau+ZVofHwAl0UuGj6xbMOLLs2N3TyoI3brb2QIX6vT9urnN47sy
x0XYlGZSuBh43cRQV3QAghkcWRXNEW9v3t/Zo8mFWKs0oyZLkCmYkDzEIEoBwfVOMMS4HSVWK+G8
Wxl6aEB3KNtbj+POwFyC5BYn4952gMryiTcH1zduM0aszHHOXagDraFTjuoOCodqkvjxiDEWtd7j
jb3/b6Y497bKLtG6Cecost1EO3XtTda4QyJ4U4s+EufhY6xZ2UhRQ5TGRzI/kKHHqK6ItngTCbh6
SJhcaDWkQqlqtP1+MwiBr8zrnL9U1kSQPNH34bKyeYrQWoyQLprSjSS5mva57ndN+N8+DU+SbVeJ
lRYhXpZp9imxMIyQE5e2YKJKRdRLop3jCbKrXA/LgrGLQ83GGSo2U/WpqKV7Wx1ulSz1qkZ2U7U4
mJItaDpvp0hvvm5xQaIEQUYqsUYSPWR3ylPxGHv0Jb5oLnWS2AEZyA5VekEdTuCO/OirVBuZLFVo
DZvjcIprEMnOuSMN4+762RKujQsbg1mVateggEkTxwzaFvwNJV5nulN86hB8sToMNj4In4Qs5H14
Eq62lA8fOsEjt8OwDBvCYJO906kAvZ2DUiMwhzp1RbP4gnvF4oLIDHE1YIGwzi62HW05TV3r2FOD
bsFX1OkGYc1la32aZdimRjAkaHLriwupS/IKPSV1dkcM/2WJK8+Cu2vTRXRFVlUNia6pcdeKObZL
ozFhgwqsXQ14CiPdkUoBaGVz31CKYOI8KtMGep9bYKAOk0Aaks8ZL/fQzdKblnyi1ScUaNL+l8AZ
N2/jlTHuoFXorETLaMBYkB3+YttQDzqoaP7SBu9PIgLZbfdfWeT2MOwbkigWHq9syCTf0dvmFB7s
J/0xuzBeH6QcY+6Insybee/KKHfm0CYe5GIGtGrSboj0GpXPaRzk0y9xq3jzmK0scW446LqpTwu+
3gQQqLFnPM3SLtyHj+yUSZWQmWU7Sq8McsdssSbDDhfk2JX+YzDPWnuY2l9d9SkfLrl2WMD1KAvu
bXaRfYgkK4vcvU1MNdK1Epnpb/BikP7LwUihp3A395BJVgtFQUAwznXmLDfVI3nQK4d+guQYkJmY
ND3L3zQBP8B2uWO1Ou4aV8gMolUTF+x4ZMKQxjdGXY6SLYuT8l5/CB9EicN2VPn7wP/+wqvHBJ0S
da4yRBXL2MndaxV+GhRBjr9twgI4DfodCF7cokZpoiDnxFbGqiv39xlIG0V9uX/YuL9t8JlJ0tpl
ZFC4xQyOLu+LBmJ0CTVH8EJjyto7koPkXw9egkXx+Qmm2yXcBCySjI8UBVXtYRIN34lMcOExkYZK
tiO88+Z7E5pRs1fO3vVFbEemt13jwuGoJ1mOehQYHORANz/TwkWp2inUwPyjGpD+ZomLgcZcTfZk
I1CYYOHtMVxV3Y2VYDX/EI3ejLANXfmyVVmKuWgAh4XnecdK3Ood47ZMb//o0BiY7ZFVIssWz6Db
DVoTSwxsaWvdN82mh0qTDxU6Hdc/zyaACqxv1u9+M1F4gkG7ryNwssKrI5AxfdGPGsqtSUAth9wD
DCycBt+8/FfmuGjeRcWUmgbUmeS83qdj40J05WDQ5dOYhScL4oDWlIhK9+z/+SGer2xy8XxskMbI
BPXI3HbTylemW0t3IkOQ02/eGisrXDRPwIcyTowndD7+xRbAgCkqFA6vfzDRBnKRjuRQgpgSeHlh
7JL4R5J7hZY7bRSoUA+3a8FVuF0DeFsVH7ulsWjirrJRuLudIMpQoBSvvi4PrUeOHQZ5hCPvm5M8
0LUCC5mKqTb0xt4fsFjSpDodkObSw3TTMn0NsAeSyJGAvbACaDf+HtilX6Ah7kS+DRZrUbf9H9b8
9hO4QBIppVSC8YM9zqC/AriC5LZQa2bsD+rJOiTfrn/RzRi8WjEXUkzo1gxTTTUvQesz+plnvgH2
o+s2tjEYKyPcuTPHvpqHBcUVK3ZMkBBZvuJEO3Dky254Yz92nwrI+uoPwrEotlcfz97bXnJnL5cH
q6UpQBjGbD/oTeUW6SI4eJv7Z4Ls3gaRvGHzDNZLBax9ZcBFh+EzWPwcDd3UcBFsoMiI+t4t1bEZ
u5xAJlgtIMb3rY53o+itsu36q4Vwrl/GZrvorCo/HgeMHzmFN52SB5Ao76qX1sNE8r4Kxu8E6heN
W7gahf+LfH8zVK5+Auf6OrQckZPiJ5izm8eHkH7LyatNfIE3st364BUrM5zL01oJo5ayE0YcVXfk
LnFa9bWvD6Byx81t1U5q/zJAbQfy//9omjsINNYrac5gWj13Hsi4oGCiXbRg9jCx64sgSCKv4bw/
Cs05VNtJ82zTW5oXQi6SiLBz8z5YbSV37ch1n6rViCQxLBs3Gamb9BC/GHS/KBYIGDwmaB1f30LR
orgbCAVhqZcSXKdzMl7G2nAHYzjKoi7YdsR6Wxg/mCG1Y2tYOl7uA9QL0NDxwyPUg59BtKL8+mvA
UX0Y9yLwv2BxPP3AEIFfKOuxnUt+q7Re1X8VsstvtX9B9msD9aGrmoLL7n0sUWIgPqcGhTjWHyU+
SA7c0Gfj1OYhAawFcHLTr28TD3TptZDxYOPovTPOfT1TJrHcDhmCzL0BinbNW07diXwFT66f/fyD
cLI2xiO99EmLwjaEMWO+s/o7tb83c3BxPv2/HfKdFa6gVKbVXNggNvXS5ay2fmrf5pp33cTGNUYI
UDpgiiAm+9P7T1YYjRrqSg10nPmgIVpRKIRct7AV/d+Z4G+YMu4mIiHxQfPt3CzFuQSW2kKAnBPj
x6DFniTJF4U1e5r8u5qg6EKGQ96W+2iqz401gstSuh1bCsz5j5jIHiQjHgloR1qImlz/qSxqcdH7
3S/l7qk4NAhw3ggAqum1+WOLoNOO/hCf/+zLrradu46SsCTSogMk1TZ+M0PYxzhVuojnZutN9249
LCas3nSSnkmjkqZA58lHMzvqaSAXN3PxuqTnJTpnlV/1ooOxEWbemeRuIRlqMmXHIBJKH0xx6c2g
lWsGUfK+7bUG1JkxcGiD8fL9wsqsqpIOklaejCGcOkkP2RyfFEBUIzPZa5P5mMuZNymd5uoDcTpd
cSx7/gZIUGCnIhmFrWkMLPnvH8ODqjtomqC9B/+uCGapgt5y2tpvK3ecXHtA9NOCJQHIOhZUm7ed
9c0sd3InYDLVXsNRauUgwcizcsxBV1nGjio6wRs38bsFcgdYymjYLzGctUgHN86e7fDnLN1DCsg1
TKcRtrU3UrV35rhTWEu5Hac2+n7tcrZSN7afJCUI/4DJ9p0V7gQq2QIovInywNQBuVodpfobSAkT
JciEcLTNm2nlINwx7PXwfwpejWcHywFQvkMB5gbGxJM8loKzsX0A39yCO4BF1tdduSCftydvGb8P
xsUuBO+Sf/B421SJhqq4yaNsMpU2TaWhyTf4is8u2vmVfmXjVKCfeL4ekreX82aKSyk0u2rMsolQ
ZWu+xcbtUFCnE0HHWLT4GPbfbHDRJF2WhrYWmuaD3xx6KJ9Vu/qQHUUFjt/DnB/sIDMCLJZ1h3i4
6gTBrDRmAxDa7YCiPzhRqWd7yb3kRjejR/cWeje2g5jpdUC+TCI19K2KGKSgDVvGNQ8kEY/CDNNJ
spumRS0ZRxkPZeoXizfeSWfd136Kyw0qO6gf1/tmj/t20xwuoakjQnUmPc+1/CsHnZcjzdPPvjZ8
Vercos5+GJAMa2iMmzBz50ZyiKK/hGZ9IUq7VwxKMbM8P6B96IRyfarS6aADMT2DzsaNMhHb56Yn
6ERF9m1bJjjv3t8rel+MS9oCzp7nP3QDv6WbMWScnElrOcBXn1sVvPKaSHxyM5KvrHJHdtAWI6K6
JHum/QLhNGP0+uEgLYdZ210/TJuRdWWIe7WlKFqYIwF3raT+sHI/Gg7a/EUWyc9tWjFU01YUUwHW
iovfiq3IKUVlHENZLaRHn6B84HZzEMZPf7Aaw1QUS9EMDYJB7z+W1uUzSsem7DXypQk9OTwakT+J
mIY2A5BBDKg7o9yCHPm9FTO29aqzS2Ss8x0QeG4tBdUsqr5vbhnCqU1kW5OR1Lw3AiojbS6IJnvG
WBxCObuxp+4EXjEAmC3/+q5tpk4rU9yhTAeTGL0MUyN9NKXYNZJP1w1sbtjKALdhUwvwGzgQUGOv
D31/gz85AxU48rYNU1cNGcBV4Dzf75deJu2IGquM2sN+ah47iNZZoktuMxaYGGxRsBsWGhXvbdgz
ypdFDEAx08M0j/WxuGUq48txup9cxQUYf89m5SJPOcTP17dw2x3eTHO5SagtmJOTQtmby7u4OjTq
bVs/0UjEIrpVDybw6L+XyG0j5vEsCd6IosNh8Jgi8vCi3kEd04nc+jELckFqstVofGePrXv1HtHb
wZoxPCl74fN013jdDfGjY/ScnaoZ3IC1XwSibGj7zrNMXLnEsjVcfe9NyjhY/RBjiRlUfUewEaKz
+QiqGfCIkIPo8bOdGNmyYtrEUD/OvgzGlMaY2kEkh0S80yqVYyrhk41JnZj8rBWmTWK58mg4vZJ7
Q9UIgI2bLrsyz53txcxjNTRtLPbAmJbZkApeJYFoqn7z9K3McHsa9nEzKjP2tJIGrynTINdMdxhH
7/opEKyGp69TyhJz7ixSURxAZc9onBmzjSgtE6yG56yr5qnOugVOOWJaixpYUYjnWiNPwuf4ZuhF
tNJlmyDU/z6OK/dXk7JvZR2puX5OL7rbB8tecqXnCfRmIIUJ/gWx2ebLY2WRCyRmM3S1lQASMfjR
vvKnk/4j3A87qC8frQNmE69/sI3Dho4uerqY/IL/a/xseVPYlZ0A/Qx8SXnJd2WgGq7eO7KvoQdD
fpSi8/YxTjJ7ugpRZJPIFj9RXBMyqiwzgNZXshsqoOCNCQIeVnwwJCossH/EqL+3xm1mHmcgDo4g
5sJkuJSbZR+dmaZlcxZxY2yEEWbJwoC+patE4Yty9gyOBdZA90KIWh4yPw2me+PeOma7cS/CYmxc
Au+Nca/7TlViDM8w/wf4g7FfJrv8jPlEMDsNwXyKBTFKuDj+XkUlJukK+j8GtftolwJBCaXpB1mo
NP3xaL9fGvfF9KGE0HOKfSyavVz5RHlapuC6z2+aUJAaYmYAX4uvROXGrGsNS3aJtlNCJ08XpxM2
OT9GQqzjzQhfYYrmrgptE9dKobuSycgaalfOvTz82TZBT790mUh0fPsor0xyyTWp+rwuFZSezXv2
xI+O8kE52hBVhoaXkH5GsImEc8E2t6hmFHiXlPOthCGx6THJRW63eXrRmJBl1k9FQv8+EVBDKZQW
CQtipzfdt+fqNCMuiU/vRr0bX0sFl6QKdg2CxOO9pXgwuxiUYjIUHwETVpFWxZ7xuw2Su9MDw1Yt
weIuu+QuPI2AUeRovV93ys24iPBry2zUUOdfYF2ezX3ChKAmlH4nCHbTY105cfj/n7/FSld2uPM1
S7VZ1KynJEt3hhnM/VOJSWZRpW47YqzMcJ+OQjuvmmIAoLMb2dVddDYPqTv65Nic+/31nWO/+H3J
4v2KuAw1mnWqLBZKNI3600jPuSyAqm+fK0x+KqZuKyqSqPfOYWZ5aqgMzL18H+AVaP55YE//3Hvx
PvVTWXAjb5RgsJ6VOe5kRWM2L2RCR46pME9IA8Z7prKaIsRXL8lPsms/jzeRS6GUDq1VsI7hOfN6
fUs3D/fqJ3DxvlfNisSguoMOw2Mxp04X3TOd4etGNj1+ZYTzxFDV9aRIgQIB7ZFBfZBWhGhzVM/X
rWx74soM54m2pfYTtXJGk9V+YqRcxm769e9ETTc9cWWK80RLKsx2ZtJkOc0PC132Y/F0fTXbH8bQ
DZS7DNRquDg1x+ivozSNxZhgkSq/GhKKHCDK/E9WeHBpMYwkTELEiGm+kPI4IW0SFZz+4VD9vRIe
TzqXatN2ORQR24g4BFrJchXugGl5yCrLm9GJmvPpJCfpzZJKtybJvUgTTSt9rOGxg/b2E7iDRtU8
6jMd6IsxPQ7Fk61eZGgbjcq3RsS4uNHVe2+KO1A079rR1hjOednJ9IdpOFL6pI8vg3pbATiWKk4V
i9hht33Fxj86um0GX6Aq20ozCAVoE2qWWurOxQ0VARQ2cBFsXW82uNdrHU9yZrUTPL6yLrSwfAky
moROh0yyL0mUnaaxD1Rd3bXyBDSlHLRZc6zUCkzqVWB0JKDAEl933u2w8vaTuCOytLXW9xPOuyH/
zIxD1SeOjhnpspAEhjYg8+8Wr7P0ZfU2zKZcs0oblmakJ5afedGX5EhBb+nnBxPw9fTb2Dn6w39a
Hg8wyyu7kRcFKAY1Oypj4vTFa4MBnEKkWLody/7eRp07HEo22kbR4XzSSTvRCPEMTvvflsIdiiWu
M1pqSHmoHcyq31KAfhtvtET8UswJPyQIb06qs6WuvtOcS2lIWhXnXOt3lYp5ecv2aNXcElC/5HEP
9ohud31pm6HFMCxT1hiYmS9ESiNLJAiWRqzUmVuM7qU3pbaHDFooUlzZUOyCGxqszo0yHAZeuPSk
MIY41XN4BMsXIDYN0ogJlRcloF+nXQkgGXUrlDxFu7p5zhgvmIrWmPZBwaK25RqlM3SKSvUpMwOZ
fpuS8zIILrwNkRKs7s0Mj/nVZ6lrVXbjjW48OGzwF7IBvn4gD8oF9OuDA6zoeQT5WTC9igHO24Hb
NBlTLoG4Bc+zEId6MgB/wDZXRR5bn6OADbSK372b5w11fGR+lkKAJXvvpAsZ87TLGTxCnw7l1D4Q
tM2uO+XmhbAywaUnbVzIVj8jsRy7Bza0Z0S3tUhqcaNhiu9lqUSXkaKgncQdaj0bZy1hamSMeGfx
IHngN6fofr4jF+NsXfrPDDI6O9k5BkX/XdgKYgqL7h/O+so8d9b7ahrzVkalIq5fjWh4GKKvTRHe
kSYGnROmCgBMvO0AoBKY3dzalVnu680VJVPRIZctLAjHRNFOT6lX2pbAzHYya5kIKirOO7Rj3nuJ
GqVlQhizoWldsvyGlE9Ld6fGe5vB89LnLGycilyaUdBY2YygK7PcrhYpNFwjisvALk+zfafRc2s+
GMrJRPWkFNja/oJvS+S2MkkKEtsm2t30EIL7jeli1VAgF70at082cI9407FWA8+CPXQSHUYWNhto
e4010rEZ9OsYcfJB3eW0AAZRKXGy8nEZSlFQY5/pg5eubHNpU2roGsbkYXsOIEW+L3w29jacin0P
ZLW6t0Sp4Oaeruyxv1/dgFKr21VUwl6qmfuUECzR9g2q7gEl39tq6RbydKgnW7BOgdkPTNlJC4Wp
Dlkvm11kDCHpgU0SimqvzPuu7CZfejWVdui1CDG6qJ+q8iU2BVOKmzfd2+79Lh6tdw/Mjc1gAJKX
TF9i0LhQELFpyQ+tv78en7ftmKCZV/Dq+EDz2mVDg2lrJA15Qm+kGFW84Uub9RB3rUQljU0HJMCz
oEQJchq+Cg9IZmi3ABqCVHTcLR4maYD1xXApxlp+6ftwVwn5DTYXt7LIhZC0TzVpYqqYrDjZX9rA
9kJfmlFJQUkPnVm1c6Qf4z76dn1PN31jZZaLJmHV6SpofrDQpnOm5bWsvesGNhqkuPCIZhgmWNLg
JVz6heBizFbClMJBB09O1Lc98tzsGLVA7heu5XWv1y1unqqVQfX9YUYPs4wsCrWtfixRv/vVGdY+
H5qHeESLwxycpuv8OCoFh+C3buSHU7Yyy109vZT3s5kgewjjOLCionTkXvP7Ce0iu7sdQgIVErCO
l7VTlpi8ptWtKQ8B7Ykzzk9hpB5ByHcZ+ihYKEjGEnIs0GKt1ekOLIt+mXRP0Wweeu0RRP5g4Okd
yDjtJVkKMrv06Wzs7Bp6hTTrLkuCfj5JbsrJdrs49amc+F2JHo9VVjdSunyr6uFoCYkLN+9eAORB
mWkqbOaSA3wsfWcUZo0gOrqym+wh67QDr6TPJOJEEW2zwbO2xV0Q3TCVXUsBoTOc5XODyWiUoHfy
ne6RoPSgkCVqqG4+5NcGuRtiJmobLgvaclnvMjnK4VSP6Cdlp27HQnbk6ZfCFbOvbuVNK7P8XEVZ
yw019YRVoxFXpQZSWMXJ1kXUuNtP9d9gefaWQKv//ZnJx3BJSY8zk4PExZddyenPsadQl8huB/kV
zQWET3Zm0Zz2VuIE9lMUYOA1AL5wPpOUGjAhJdaX54/zcFt3XmJ6OWrGEnAGRvXlemTY3M2VNc5r
+qS02DWPKpP8alp34NB1pOLhuo1t11wZ4bZSIl3UmAWqHqOrQjlxDMJD54x+dlEdyA57oh3cXpPG
WmUA9QA99P7LDV3V4dOhSFdH90t8O5HdLOII3Oz+4H/+tw3uYSTN5kITGXfTjAXlu/5XeSmAkLV2
1E/P8x3IYO9tH0HqBWCDfePKJ9F5Fy2Sc5NwHIsYWQaOOzlbUPqUcoQ/QQDfPAPrVXLekUS5VrTs
Bi4+z+7imS69BbxgX4H1esQVrDyL4aTb68K7CNgJDOvxDHhZJWVqUuFuXBRHpZ/izs8U/7o/ikxw
eQWqH02XVjjZkF53aQcdQYzttUSE9tuO/uxh+7+lcH44TlGemTkmBlj0V4EDLs+hz+QmE19ECLb5
hlZWtjh/VEe7gEwv3EG5nQEmaIP40daQn00vDRTuZi/3JK/fZ4x/lDrioodoSzlvzJS81xKZJRjA
mJEeJKsHG9yM17/bdmR820/OG+Um0asMKp7eoN4sfe71+p2e7Ejtm6NfqCK4rmhJXNDS6TxKSQZK
GjS08hgs0M2/aGhtpkhv382WuYKwldDRKhtU3MOhcOpKD0xCd8WYP1spKlSEKmdqSIAIA0jdACIl
kRN6l0DAYp5WihvHSsBs18XuZH7vFtUfzPrUYYPCqgZgQPvc5aZnkfygSb/UzPqB6jPIezDNkVig
aBlaR9GGcw5lj1qVfEv/JGttIEkSLvSsc1TyKkHhTMnRWQ7VyFWl9iwr4e6/fNMPjdJWTvJ5ZqxQ
inxXQ9uhT06W/ti3uw4IcF1w2QlOiS1zebA2LfZALYy45MXoL0oKeVsdY/jReJdO6ddlyZ6pmv4c
yshJ+uahzmKoYb5oICcwoiYY4vjFSqKdmo+HdvlWkNYdOmoINmT7sjTwLCAo0FoaXw2TFEPSoBEi
o4ur+KabHpNn49JB8VT3cx+ywkKKhE1HXxnkw2GMXlLLdHHZkxsyWP4sOSYo0P3RY5Paid+fohfM
yF3/8Js1aHDdqBaeQfiXB+SZakPrUMI4xuiOu3r3Oz8OstaVzg3ed8NXGbkBDTDuL0pct56Va8Oc
E0ypNuL1D77kJgWLpgUZs3ujpg6Oz/UVbu7r3yEZ2dz7NCSz5KmXmejXAHFMai5Oke37WuQu14Oi
LXNfrzc6ZcF7hxVMNH+ewCbOxu5DPzwM7gBpU9m3/XGPGlzniC6dzY1E8EJPEBgUTAG8X+BUm8mi
Mw3nMfJD62ZKHwkN6uHTH2zjygr3uYylViwELliRg1H6ZcRnW93/NxPclyKWWkxzj2pQMu9oG5jh
EfpK101sNq9ROMEUA7jh7A8k9mlSy6rZIdHu/MVHADpSj1zk22lX/BuddvbV+Zc3AIWyrtkMo8lP
uJiDlTSyhtbA6P4uneAxGGpOCiFHNoFkvoyn6VWwQJFJ5i2rkpddlASiBHD3yTePTF03d6UW78HF
ZbWaJlBeRa3kTf9bLZJLOookKu2afTYTCpXmzaAccMhkESXz5jFeWeGyDnVIjGTucUNN0dd6OVZ5
4mjRr+ubJ7LB5RqRPYbdMoLGKu0abwSAq1FRGmpN/7qZzVgBjIxFbEPTPtAj6rOlF7GJJHGwgr6I
HI081QBa0WDMX0tT5PEia1xkQliadIiIMRQN4+heThIQoBT0La/QIGIcARBxeMX8rJO+iDSpti+X
1UrZhq+c0QoTKLRAOALp8ABBOFTLC6fEGN4d2dWeDLG7xs2ek9sGHRfB9MP2p7QIirGABn5gh5Tn
oSESm6IFZQB0t2T5k2wIQI7bJ+3NBBcRtWEGV5OZsDbEmYy4uWzBzPH2l3szwMVDABSSojMBSqIV
9brM8tRaew3J7FIrecz14q7Gobvumttpj/pmk/OWxqqaTBnZOPBOuo32YGqinvw6fzZ9t3sWISK2
n2Yra5x/FJ2W13GMYvboQnXZY0RoxoUV5przH6UbK1NcXIwNOplKgynaaahPYVr4dYIKuj3/mhPh
kWM37oewj5QRc42s9MFjvcZwkIbBRA1wzE8gjF/GR2iZWQR1CEw1paMjT7tlccJOOBLAPOKKYR7+
ZUM3JUkGluv4xmdQsN0yxWz9qceQq+okj1HnCNxFsFIeCwYt96VtJzQ+5Pms5K3XWgdJjnw59KgS
mNl5SDy9cfs/QQopGkj6LMyd2R9Y7UxpzvWEETrI4egkY+fLEB7r5gylChEl5OYpB4YZg8RMx5Qf
frPUOBuGGZPrRTOCOKJ34/lJsInsWvn41d5McK6JMaK5jaUQRayizXa10fi1JB3aMjqkTfrUlvkB
dx/AZ53TaZnqpv0UhDQN1HqKnViG9lk0PbQpCRJlOc5V8qvvRSyC23U2HdcVmiKgVOMHu8ZxKSCU
gNs3vrFu7ecenafmFlwEaD51+wGT1JAb8dobBVV1lmYkHn0WoVa2C91vv4HHk1hSX4J6Gr9BvjeI
E/+IwerGpsftp+kYPZGjdrR96ZC8XP862uZNggl/0zJ1HXVgLr2RrEldoIKMr2Msj5E1YU45749F
Vnu0k/YVBf7J6uqjSdS7UJ4fEc8ucl88L8ljaumxk4aF39rTjk646+IxoJV2kNJfelU7ORAHVlHf
0ywH5a3u4cPuOkvzh6zFwclPEN6CBAnQQLN6k2XT7RTqrmrF99cXKFofl1gBxmuCWRPvznHaacul
BuwJAurXbYCPaMvHV7vIpVazVeSjUSH82hpkTCcaOZBHfgR5iFOlyz6pMPKd90oANgXA1SYPbBu3
GJ+Gn/9sqnxv4ip0NErum6bcm6NxVGrrwezNl1aW/Ewa3NTMP6fF8r2IgAvrzS8DnY9aqB0XCTDU
aLhV48WlmbwrNX1Pta9VP/lWX7m9gfGAWJKcjFjOoGmQ9Yo8vORGN6L0hlLwcRbmhebn2vieKU82
3ZUhHsRNF+jR7CAu7A3QJaILckxwMFszvR8zc98lxqeymRQHhCoOaSNXjvQfSTjvGhuHRJ9mp6LF
jakvn9tGNhyjkb+HcnRe8ujnpPWpI+XKXo3nACD8vbEkDjGgNUY0R41NxRmJ9lQkZpD1/VNSp4+Z
au0aDbyesVo4ao/RQFL8NKrCHxdzdOc5DMbFupFHajiW9KMeSYwO3wQ4TaMGZVsHTTE+V5q509QY
kMewuR+kcD+305MmDbt6qGdQ5iumh/k6J8yXSzHXfrMkl6kBH0mGA4gxvjSdA5uYbt7qn7Vp8qDo
fUNb+5RgPGxRyPe8Wx6kerxkE5BLaROUtAUxQdic4+K7pbfHAvRsi6E1btMUD6oR/cptelmo8aXT
GuJmQ74bjdpFV+1V0o3T0M6FkzfpQ57GrkaqkzEZt0aXDK7aFBlANC89hRgcqOEce4Ryi4yyf3Q3
KckxJM9lB99KJqdSlU+W7pfD3j5o92abYxCrwOjG0MQQHMX0hqx+KslT19rQi9PxrpGrs653ux60
QZh9PSxE+zqSyBuV0HbqZHZjDeSSWV2+lDEUPVP5uQ4LJyrr3CGLTnYqlUx8P+pFvX4GdtKtte+9
BJJtAv7EQX6KM+XUpbqTtZ9mKbnpp3AX22BeM7TZBZGlV8TLJQzz82hKF1WtjmlZeKGS+nH90vUG
lIkHj5QY65LySysVzjTQvZ5DfU5XdrX+Q5/j+wpXcRnqX5vRDuR0qR0gtt3cUODdOSqN89McE3+0
APmw1Ti4fvxZiPxwwa1qTFwiS7K66kqWyJKx309Lc8zKbmeV6TcQgB+XIU0E4YZdmB/tGRagGIBd
4Pvg71fPjtQOoxpy6IoXLXs6XQgY9dXwOQ6n/2aH74HGRiulPaOwA03PLO3bdld3Z13Ek7W9GhBx
WODxVVG6eL8aI04WJr3MarPNXiMYCsuo1+DOmPPP17/TdmGWTVJpyHUwWcrl4yQ3Guhm/K5Bakj9
pxNangd6W+yZ8gIrZBmYSAOrCLlpd5Ff7q+b334OrMxziVCU6nbfoGDnaU1bOF0XBpIh7dHfc83Z
2g9EP3fF8FQZUeYvAwgt21iAYNu8CwH9VYgOBjt4z/utlpdSV9sIvXQcA5A9OZijsSAeIljm5gdd
WeHeWG1pmGWUoLTcebJbXmIXCoegbbBQpWGlwvJQ7LKzPf0faVfSHDfOLH8RI7gvV669SmrJkixf
GJY95r7v/PUvYb+xKAjTmPF38cURqgZYKBSqsjLthJeuM88hIfDCYB7m1eheuqRrwpLqsujK04qq
wwrMXObqMihCu8xOWh4FDsccPUiZNotU6zMmsCETfLPWpjegvosbzlvUHtXYmrOvzEwdaocoqGiA
CtD9ZqtNkrYXgOScNawI0a/tTI4JdvlwY4Py0LZOk0aY8em0hwFaRmROXjv/yn4FbgOdXT7ZWKNO
/giYdjLNmEQVD+MeQwoHwvFoOMa9Cm2e1StcsbdDp/X/u6YWcFcbu1RKiIunw50Ou1K7y+tnI0fX
jVOfYZ6BjQkqRKNI2ep1gY1MpNCvYnR6DOlBqxNIGzWc9xX5tR9ug7fUk2Y2iIcoNeIEt0GYyjYI
IhIkOkJ+Y2AstbiY/53xBXu3sUYS4e3ds86xaZQxnuACVGQNW0p5CEBmkNpYkN9bEBcLD4sG6+nd
1ReOEE/a17eCV+7UffiweuYuuuUR0LIj8wZBRV0MxhLHimqh3BTdkA568qXelTbyjcOy47UzmPDe
DbJIpc6YViqhqg8oGq7RV5TrL9C+sqXefFon0ZZFAFGzzq/XwlYkgUcawY5Yv0MIrT079eayIFlB
orKWzpCCImuUnTqGWLDSOLUketdvAuaXRB8CT2cyhkGDLORlFNKoFlBvFhc/0/LDZL1qIY++h72h
GzPUfTOqGC3XJvSmylBFkW1NHLDw7REln9titkN1eehBUxviLQ9lWs7rklnb2NimHAcNzVVD1k5C
GMkoimANjIO845GkMMPJxgzlM+NqLEaI5zvh3lSFm8Rq7Un9sQo/rn8wNhJnY4eKyGEzSetgwo52
Kzqih8neAI2qu/U5c0AbtG+/aKnLE6Rgr03HjBDIqixAGN+f91WCYFNFqOyH7nXNL3hLVsD7jBxf
ZN6e1psVKqpYUR93CqaFgMW8LZed9N8lQhAXN3+fSq1KI5ONRMLfb4uXov4K2be85pUZ2OfpbQ2U
o6djqOWyhfxGrW564TiDdVXm3FvMDAD9BMhgyyg+AgXz/mvE3TiZeYqvQXABzX3pm3vr6+wIQR+A
wo7XnmetaGONDkhdNiuFmGLX8GgCOVmr3+ANed2neSYo91pKsWtHAdFBnr1EOcjCt7a+v26CibTe
LoNyriruLLXN8AA0eofcWihiHiU79kdbnX0ie9M+8kqW7GVhrg7vCQnJPHVSIzFThbQBriFqvtW1
Oyd7see8V1iJhSy+maDSpEJewZ6qI+HEI37uP4nFbau7Y+nEqDjw2NJZx3Nri3K7KlfkyAKtOPBG
pwnKRJnH+UQE4URnSbKoQ/lIljXwjJL93OQtQxNXbaYgWdeLyIcE8n4ol4OmDQAtrd5qQHxPbGyl
j+51tXeu22Z/qjfTVPBOAbFauxqvzry8TQUoaX5LlYfrJljX0HZ1lDeUILVWaqL+Jamxs8reOPyl
oKS4KCd9PeXZq6kE1w0ypx+3FinnaBajMwYV3UHrQfJJqdqyVfxbOTMQoqCtAekp4XAdNSd0lh0v
bjDv/K15yl/aeVx0A+yALvgh90WfnSdzsg1FdIYRQ/m6Ab2E8dB237Mq43xNZgtxY5puQlVJHopG
DFfN9xGYXwqMlrrdt9khRKu1o9/kAmevmf6DPhu6liAZNmkClrHJzXTNMN8gg2Q/sixXR79UsEKO
GXbo39ihrpckUlQB4rJo+LqETQTslMFs6yfRB5T0gRe/fk6ffDiQYI7FYwLwM4z7vD+QndVLy7pi
G0df8c2A0Iig/izAhyLPcmZH9vtAcBUbOMVHIjFfvV73YHIkrtmnYnasIzFtOqKDBVZzQOxrR5by
U6fJlyFPHuPZ4EUg9md8WzCVIaRTmZttjRMzHBZn8QpPem0OwHEH8gNqMJHTB1EJ5L19fZnMpw1h
6P17n6mvCq78tcxM1Hwmp/iqgkatPCoHyZNtweU9o2TmjbGxRbZgE2TnWYnbWsCMKxEXlZ8A5HZB
Vujk/hBUj6CHAWQ482I/cRa/uBu/ZH4eQObUHY56b5cBD6DPzGa3S6cCbywV0FInUVGdkDCnYvnY
WfpOr5b7Pl3A0Ld8RjXMhujPrpBHx5Clo2xNTtXN5xyatpolfOJ8C/KJr/kc8cnN/uBla6bhhHRH
DhZPcUcQEZpuZtmElaF9VO54zb1/ONJvH5+K0oWko08zkKwUR1pBnE7dIih3oo+arsfD8fMcnIrJ
Nd6WRp8g0+qr+RCL36PSDDRJ5MRfthWS9UgqRsZp8EE66E0SQs0FXFS4bIA31FJUcpuREw05Zugo
v6RD1hY6zIyZj6aa3noK78nwD0fz91JodEGtWmKhT2i9picJOSMm0l3jHpz//4Iu/B884c0WFe6G
CogNmTC5Eynl2ge5P4aLhCAF/LUMeNcz60mHueW/vxFNMoHekCREA24SvfDy1lusH4b8ojUqJ7bx
zFChbZHNQZB6NF217DTW7iq+DOktN3DzrFBBTVpGUR9FZNpiODr1hDBaPgo9Op9csDLT55BaAIcB
EkqL5sWROt0YJSIrZWqfR0sAavgohD+ux6CPNkwVMGicO0mDzoRBRYQclDfJIKEEpI4q3g73Vtz8
yIT1+bqVj5freytUKFAVDKSEyc/Kz0up2IIFYY31Liwumfx43RIDuvHOFF3+NJoFTJojNi2FcHHp
ql53RhsyUF3dHk4xKB5GMKKaGIXEvKuf78XXlct8TFKV92H9/U+gUplwscSxj8E1lO4VYOmTS+YA
ZUDoPJcdd16ZOPU1Y9RBNlRAOEfgssCudZvXDwpPQJvxmMVqgB9WdcIKCor/95dUt5ZSLapINzsP
2p2oAFSQBbd1d3bS+wgZbl45+v31j/gPNk0TgDITVKU0Sl8ppaWVI3Qah0PxRGgHsmA1nPR1dAhy
uQxWxV4fODY/XsZknW82qY2MogQdagPrTE/5pxr0awX0C9Mbyemd2CsdXkxk4Hve2yO/Z3P5G+oa
F7lhIo2HpBo0vZ1bEJDswjvdbT0ryL0fwgsvIfsYut6bpAKkPi/r0mQSctzhMRzMY7OOQZEuN1JS
cW5l5oHfbCblNClez00Uo4mrSNntJDc2evCOVLW7NSww/5LHPE5R5tKAKcPUs4ZmJt0DL6Q+jJup
VtxQP6bZRSidZfVDXrLBaFFhB6Hxjkl62VQ/NKenMV7lzsCYbOeph/CQeHhminf6Q3nMbcmJnMov
H3tgY2+5LCDMQL2xTAXqCgNEGvBgv3Jp6Dj47UPsgknXMw6TH+/UHaCHvAIjI0t4v1wqbufVkJhQ
rCBnv/uq4wGYOVpmD5jRIdTfZsvxGs4aaRqOqJWapRawu1P+MIovmfYHmQgWhHtOB3ORTvAS7w+d
nOVrEzUGZi6q44gOsG7amvyg8Z7ojFTuvR3qpDXToChmnEOwN18B0IFKqaLaRgx0i4bRORFsNKlx
gWaeL4OvXZZ5hIFsP8Uol2VYhDWD5nrIhSghg5kQEH1QL9FOPMwu1ozR/PmyINkfPq8eCWu8AMO1
SwXRJhqmsI0xNiM9GA/RPZBmKAHhEf+jfcZM4FncE1rcZdfymj5Mz9msl/qu8WrmWqbhyi0ghqxU
1euKm7e1OGkMg/GUfNa3baU+ayZFIRifAV0lQ2uZlz5IkR0/RMGMo9E+g+fLkxyyPnO1Rx8iAHc4
kumZVyshp+7Dlb/5FVRwbaFw3qcSecfiV3RBj1FbQvDKg5BzPyaJuZsbqq81waxmnP7xm3BSUNeT
vfZh7G3p3jgbQY9bar5J8FrnPdSZl8dmfeT/N3ZVJTNBcaxBykgDgGJ+Qh5ggYmjedIiTsBhFO/e
f1AqqhpdI5kjCsHYysVrLtB1s+XSIXOPHaicspAPciAn4NrHo0LqkKzClANQipA6/SAsr4LTeuUT
xAcw82hy1sc5FnQ/pZ6R8KQD0Q1v4nszwnil0Z/LNnKv507spPvti/2Ew26+WKPn+oQXJa7F1lZA
TIApM08/FfvhJvPGnRSon0mmiIHAHdQpvPSYcGtNzPsfAlSKYgG6/gHrM0P2tlVDeIqg6p4WiRiv
rZ6zYfWH/r/DRYjP/DZF43yAw+0abcCxyCt7DF+S7oDxB/v6jrKOgI4UA/opuKjwLnt/BJQkbDCQ
i0BjdcGg+5p5mYzA0o+T+HrdEMtDtoaoAzD1xlqsJuoAC6q60qmqXZ0H6OOthfL4sJLjUdUQrvoi
Cap8F6ZumMve2uc2l4WR/Fz6dG2WQ0unyvqQW6mA5UCC3Ym7s9HdFaNTGF6IUaysff6fNo9uVWuE
aKiGAI6b1TdK55jLTcYVfeZ8IJ26UeeqMrRcgLeB563cy97wOD7Hz0TWY70Q7Ys6ALKMC0phPWHB
JamIGooP6gdwWdpNYmgQfWQxCAPVW3fhTjkQLmo+sw6j8m8iY3+zRV0zsa7EYlShTmg+Grfrd/Wg
uM1fBYBf6Q3Urf3wE4qUTo2bNXLmv9LHivMRmY/NrX3qrKmRmYQamcweDuoFdWrSrEUdVgqs2IEg
LJbMu+CYeTVp0qoSQgmYOqh0ZdXBNpL3SEOnix5ku+Si3uEwOIQtnRQmrnvpPyzwzRqVtYBYPDYE
AxsMaXAJBYn8NnqsAsNrEju0ZYgVDc8CZ5aPfebfTFIpCuC7Sh7G8J9Y+NKtdj4mtiZVgI67YPXn
xEr2CXmzRfnPMOc1BuuRay96fw95Ar9qMQUQWZxt5Jmh3CTHDk5Fj4OYld/F9Biatxbv1cxMR7Z+
QUXjUhjbES1bPJuBtyS5Xfuc7A1vcIF+BHu+wmPaIX72MVy+bR0VmiF+ICVtidD8q1imvRaO7soP
RDBA3E3HhCcZwHZ8SZEMFDYwQ0FHzEZXK/C6IlHQ7OUnOQ3RPSP9H9BQc5UqiF9/WJ2ko25lWJhS
oLErUxUqraHgOWnKL010r0276weLlYcDeUsUriUVFKfUKU4lUe6HBEUOGb31WrFN+UFNfaG/CeXv
Y+RMC+euZh6qjT3qHAMVPwlWB+8YBzsqvvV1IK83c+2X1eP1hbG01hH031ZGHd80BascHrAYAruM
kO0Z3eLYuu3eOMYuerGa3Zy0s+xXLjTVOHvKPGUby9RhBk6/zjIiPCypqxvJsi+oL1r/R3Wc7QKp
wzx3RRWGZCt/ciHeJrvkkATN5/iZVIcJazKGY/Z5wJsA5q2OOt+51YkY5yLXqvRpqYD5X71h+pPQ
u9lB6kxbmVBJWY9CUWkFC2ZAIoxAmei8Rd/UJua8LxgtVdzdb8ZUikgoTQ0oSxLi1NaVfAvM8lnl
qCgNS46GhN9yx8Byi2eOdzKj1sYoVV+vRSiDQgeNPKEkXzw3zrjTT50rBG1g7ROfB0hkhpGNOSoD
y4WkVUqIgbm5ZXoQGXwU9PTCWdJHONL7faRCSWEqTR+BANhNYsfSvEpI7Gp2y/RSV15SwbKDyQLO
vckJJzTb/NpVvajUFrZx9Yz6oldf12LBTJw/QEiFsz7i2B9C8WYPqYBidpPStQ385BfZNuBVThEk
X4qgTZ0M+sR4f+ykyQbn1D23y87bWyqkiHE+tYOIQ0eY0WNH2rW7DA12yDrsr6+Sc7pp3k2pkpe1
A++qm2QPaXTCwJ3+39vQ7/2ECiDd0BdCWsL148hLFTvvf4QN73gxc//Nt6ICSDVNgzBGP1vDwucu
SM7zQfUbn3Am8uoT7NQU+DsRfPIA/tDTxsYqh2lBpHW6w+Ap4GhMPGCMvs/o85i7OoggCXD9G5GP
/cERNwapDewtcZ4FeZHdLPrURIqNsYg2imxML1y3w3T4jR16E4UKJYIBuQf46HLhUmTeoDla+cMU
nDT6ft0WZ010y1MQ40G1CtyZLWjCar8rA8ju2ar1ct0MO3l7WxPdlSvmBOrBwkwAYRJ0nnLX3Mv7
X7SrFoRqOdaYYXdjjQq7dbzUQxyhHzcdzCA6ktJc5oS79TABWJe5ecATK2Qe341BKgbjTilmJYdB
obp0A5CtNysPocDdQiqFsyYhzYUQcTDeYwshf6EhucfoFrR+/0WLkWzRFWen5xuNLlKmZEVA0h7q
vWB3TvGYoNpY7c3jvxjfYl7LOuRCJLxpgSig9s+EwxvjvIKl4tK7pGkburob7ggSMkfPlvuIZh4x
A4w3QEYAQfCzfL0pOmqrVSiNiGcthnTuNbtHgmrBTWIXXSoTxPh4xPQgIU583oOa6SjQIcXDAtwQ
mFPAtm8Md7WYR9C6V9DcPDXG0cp/KNzCNPNMb2xQjiKFQjc11khynDDIjgiLKEq/qHftzzpI+Dq8
xo8RN9XhWaWu6WwJ16HUQlzTIB8c7pYOwqennjcoyds/8is2+4cZ+X6eB1l2k/qp1NAfghpMOzvX
4wdjuBdfCAgC8vBDFYtugWXFUDYdYdCSzwOKOoAc/mW66/3kQyLuOPjNvrVbZ3rVverJSrn8hszo
tbFORa9mkTs9sdCASzvXWM6KwhmL4/19ygfT3qhyc8bR7oavsvFU59717WNHqs0CKAeMlz5PMXWK
McKz5BP63W/R3go0NA1zh5cGMB1iY4tyuyURATSWkAUoipNNl1kKJPnh+np4Jiify7p67vsV3yOJ
a9L53RW6bEfz6F43wzxAm5VQ78oimo2sJNw2QuZPcWI3y904fTXAhnDdDrM3t/VuKo9pV0kvO9JG
MnM3DEjHJQswLnvfGjaZll3c6Jvgdqji8LA5JHH5cKdsVkglNlEyp3m5IuqS5mNxyAICUPwTqYx3
p5fuXFVLDxUDMppYKRXmtp8Wa8fZQc6nontWcddOxgSBHdQ4wnP5KXYaJ3bF1DY6EFlAVnrYF27a
2GAV/u88Cu/XRsUGsB6NBa41QLb0Vyu5lVA9qoyDpPxvvkiXpzBAAGKeQkHZtzsoZXGDCjdGaW3B
4LJMkmBzxScUKlagJy6PY49Q23kzeO8y5PDafQLaR6AMgvhR4yyMF5t+chhtLpB5XOXRanogpj/X
+85uHAFUtUog+/UBVEyci4SJ5dgcNYUKHW1ViYNM5vrloN5PN40Tusmp2Q+3/MYAO0qBJVHB+8uA
kvv7m7EoRshXkye5Ep7T2pXDbyWQ6hzHZ3+t30bo/uUolkserRZQNofR7fc/JVX07+Z+8EkFJTb5
qBDmi5KQP/5alkX+f/O9ln6aelBNkNmO4oYoJUEPbU/wJ/xuEjMp3Jiizpa8TnKOzBAs/OnDOv+F
Ymw5fWkrTzYvKq9qQ9z6o9u/LYts9GZZzbKo65ThHLfRfFS62RNNnkoZY7CJxIo3G9TRAt5tTScJ
uDaQ6Fm9ZpvDrdX7RgHWB8dQDqF2srgzn7zPRV3HVS1lxYqE2x0btxgKgAaOJRC7velqzcNYBanp
dYNTWJwnM8f5LeqcSdoyDJVIamDzrTIcsnW2O4l3mHnfjLqgNWswVhU8QT+vL6JU3Bv2fKmQDGau
8JI64mV8uX7emGW2zRekbmpoAkIbPBoVVwA7/XzQ12BR7mJxNyc81Bf7RjMN1O1VBWqx1NqqUi/a
QcbYaWmd9b80U7DXxqkWLr6ZnQK82aFWlPZFL2ZKo7jVjxxJ1K46xP56Px8LZ6jtaI/GAHpVcmFn
vrorMe93fT8VcoQ/Hrs381SQnCexUAtAQV2jEwbbCpuLignuAiM6aHQ6CXRLWl238xJ86kte7LUR
NBiy8GmuweizjF5edOAaN7w+nO+SNXlu0W+w+3ze13LhmE12zHVjtXUI0abCbJuR5ZWt/CmpgGyR
sTxpBXXUYxLFnEuN7f2/V0UjF9Kph+Dn2OOtrtxrIdQ3v7RZcH3n/iGYvNmg4vDQdnEDgl5SUgmD
6hAi5Cd3mDPjSm4yxkFJ2HqzRIXhSU5ToUL7G1Nm8hmKly6qD3b0pfZjX75LTtpNg3I9cgOMhB3+
6Hm+sU2FZUMvJlHIEUfKetrnOVI4RT/GXKUGdrN2Y4cKzZC2qrNkQtajN758MICLjx7bYj+iQEWq
yzqYjr9zPiDH9emp5XYYezXq4CRgYtwbfnQYAcb9BcwQXG7RnmeNCsjyEMm9GAMcFy+QI8iCaPhU
Tg+zBayxMDnDgPpVVDlWcjPmkdMsg399texQ/eZDVDhT21xBnQVXeWRCGNaabhal5tEbMHsDFqo4
gMgaoD2lrrqizCq9FZFJLodop+16wLhXh7xneGBK5mI2hqi91OZpqtIU9RzgEjrrkKrP1zeLGZM3
f5/arGFpp84qkeyrQb8HTjuYIP7KXwbbjCUaBtizRMCo36c8g9WmUoH53V/DzjCjBCp0IHkyQ+yc
23qzQ8WPchHbIYlQYhNQydYV4a6ZDLsVv4Yp+CfhbZj2to0l80NhcMSm/nZ9M9ltzY15KoTI1ZiJ
uYbqvZa3r6UWXzA3eSjlxmnj6gFMUXbUV3YIHgQtTjEypwKZpI27emzPqGNEjrou++u/iHy+D3fe
5gdRsQZDZwhE9Yxy0vig5L4iLvZSN+48nYeUJ3jDuonAeosCLkZ3TSAn3n/jbBzDxKoBv62byzhB
o0j/EvLkPzg26Od9kkEdvOnJQNhwCuPHXnfAanp9y5gFQEMBiQumNaDHRctNg3Op70Fx/6vHD5ms
Hbn1jB0kp8HsZxyAt3UbqJiSZgIkATnWWR/M0NCJ1kGaglIFdVBGM1bKijxRu8LT1TuxAztqYCVO
mvyJr24tUUeliLTKECUgXzvMZxHAvYomZ+qOO3Ff7RHKHAhkfLq+tczrfWuTOh9Lv2hVHONJrJ7D
S4+bKHdTV7uZL9o96f0ne9PW/WWH0brhyKO6Z8YGg8z5yAZExFV61EdvVMxLNuRw2pMnekhxH5MT
5AaRdPJ6x0w31cCEjfox0Lh0i8Gc+shQQ7gQSHh25iI5maruZf3l+nay3qzgR0TWDlIQCTId7w/c
XIgl1MuBBuyV70vYgEB9ACmuu1aPg/q5EzieyRw825qjrqIhavMunABbIq2F6RyhuRDfynd5bid3
RBpP2Mv36V+8A8E1S91QVt+UlRoDazYdVj+/Ix6j3hUTEhgQCgLGqu2N07TjvRZYF9Z2sdRbZRpy
dVFllCuLkfBk2LrhVWMNNSUnTXeN4qWq4F7/mkyf2XxNKnyC8HhSFsLGmuFmFECC/CDziC3JF6Jv
g82iPlRw5CKdowUOI5Sf8m6v4K2VdLtO2V1fCXvvED9FMKRYGt3naqRCl5IRxezRAhVvUgdNiSG+
JX+0yuFpEiU/axs30/6o/gD28d92qcvOaiGRNMgACUJ43Y6OZPozfxIC0iLl4VTZSzQMMHVhmA9I
vvdHL5F6bdJLlDrIqC4Zg4eEIt4lxv76TpJf/PGDvZmhYnTZl6iZW7i+s2G082mfWHfXDTCdDmEP
BTYJbKB04VAJpybU+wX5gVGc9eR7E7ePUx1zQgfbCih0MDKOWWA6WzbTNtMKCZEDHOb9ENkFnE56
vL4SdpwAPPRvI1R4qsQlBl86ioX9NwLGLjG2Bq5pFObX+/IHQbyrz2B/OSa8AMV0BdCi4GJBrAXz
3HtXyExFyCwyQSJFYJeEwIk8J05vJTt5bm4K5W5urU9VXnO2lOkZG6uUry9h1bddBwdMqrtMuUkN
zt9nhgpTxRAJRvzxL+XgcrROc6sgGsXdQSvPU2NiK/1GqOzrn42Z72zsUB4eRUsdrS3ibDi6IpQS
OumlhT5B8UNYeBQ2TC/cmKI+lJzp9ZQSygKh0wBX28nyj6ziHFjetlGfJQstsx4bOGEB0vXUz5Wv
+urH08v1TWNasTADgCkAaLrSpG1l3yx9M6GQJqYPqWq5qJh42WriWa1wPg/PEnUNlmOsJaKJnKkS
P8nWw6h+gTiu3fNeuWwzQH+o4FVTTbo+MYfZNGoLPs2qYs4sgyaoVe0nGXiMjtP/ZlZfiMjY36bI
T9kU340+FcowxmgbSXvrF8wU7cX96hgHBUKn8V855xwxn4RQsEIeqGJWRaa7aWa/duVKwN4QiTzh
uHqKYUPO0iYwaDIWU0PqlIc8ZYUkyEUioitE6Y7mxAJDpRXp4GYAmyghXyYKhQSbzJsnZX21rRnq
7OpLF9Z6hqX1qtc0tjbEGKG9ASktxwmZY4KmqGEAG6AZCyrX77+ZXClSpAo/gbuYtjwUB/MAiLnX
AZkUu8sLGCVudB/X/KPimL56LAOuVBEr3G5+AU3jo5ejtnY9sLz6WT1YPuQPBC9DLQv00qA/f24f
LZcrUcfeXgvvB0U2MCVAJb5x0Q/Z0qIeuRw6TBj1++FcBPMlO8v7jgx2uMkDXxqXWes1xTer1Ikf
M2PQjWHFdaZBQlky78TJ9CN5OvV559eNkNnL0P+IJ9VOYovDK89bMfWdUZ8XmzSRAHOvW8cq0X8D
3daY26LJkVYli6DzKlyehI0Bgp7QhHzvUIuYy2OGbrDbALlcrn6aDIHVnWLtWQoP+fr5erhmolW3
5uhbYczzqOlgjqCYDR/sDy8gp/OUCy7VU3oY7FLgHBnWXbe1SP5/E+VGKY7mCJM07lQ9pe2DOj2H
KkfXjfmxNntI/n9jwkhqVHPzFcwZS+Vp2UtqCHYootSl8bSNmYdvY4k6CBokh0ItRpJa5Ind9WCa
ivfXvxBzuyDuasgQsAJ5DOV4ZWfqVT4izx7D1ZmF11AeLym0RK5bYd49JsBPKOugSw/Y8vstG7Wi
DOUaqWIBXctPv3guLQeAUaI8lnvWXuBtHfs4K0jiwFoBHU+6njQVYaW25PUsjuC19gtM0c29Fwm9
M31v0kAqjykEs/5knWTQx8QLEJSM1DqVGbMjokkuBnd2V1eyw9QuIKfYnQh2TnBVnqIb+T4fzvPG
IBW0xGkFS3ILeKwcmIcO5eVfmAQemQrT5TdmKDcxGrnLEh1pipkH4OruypPZ7vWQ01xgL0Y3ZUiy
iKJCl3WkLJtMLYeX/KJpyIJsL3mpx6uVMxeDJAC86nj7qfTTbww7rSsU8JGlq+W0TeKIuZ8NN0v3
3wXskai+GaKrDpD+CeEoaAc1k/q9zkuvNqrHTil5mRYJ2h+cYGOHerIIaSyKjQ4ccVoB1Cs7ENK8
BZT4kxIoTnvPn49lBo2NPSr9MTSjMOKBxNissxX0mDJZcEIh/5M4uzFD3VWDboql0uIwjYoTTqHT
CQdx+kvobq8fWmaQ3Zih7qhKaIdeiNF5NZf+vtEB0e+L3XUTHI+zqEup18E8XqIDj5dy4SjluR8F
WxExzWb9uG6I+WV0cngsVEdB7vQ+zqLMNGtli7UkuQmShYMlAi03Xf43I2S1m/tPnoqyz0zykFAA
dy5aL8ryQyHmnE1jRoPNWqhYWoxr0ULfBMh/sKcl6c0EJH77UGHAsYvtBWJ6y8o5SDyLVDC1SkED
6TNxOL/fE5qYf9cS5H0kKpj2k1HKEmrjbiSc4txRct2Ja14exF4LYP4WJOpFjS7O4Fk2jsYAsKbe
5rbZ3ICCc8m/WqYDwaTaRItqf90pmE0GaEKZBmH7gpobFYTmrpsMdZkUABhEJ9pJNshgQV6EAH7h
BXDm2jamqPiTKPrSYPKO1CDDYAiKINoT8hne25w51LtdEhWA0MuP+pmMp0VPww+iw0QAr6thE6Cm
cRB9W/JqZ1c/cg0T1/4Q0PHtkLkoyNHphmIvGUPUhwjoRBa885Q9eUJ36FSZLxk49sbWJnx3yzMP
CMJkljDfDNNdxtRMmw5ScoiF5/g0QcSzgyJ5+4z3kJP6ptu50R0Sqt3oQa8DIp46L08kTnJl4TTE
WBPG0uhKQvPgQIjkhiQ002eALNF55E0WM8umIC/EFmO2HiUKKlZGUt5Kegpb+nmBw5YuCE9ATHWs
QdNEmLNrt3mAyAsnRWT6LqA+yIM1GagzyqfQ/Sw7o0GMUX8nbPGu8Hn1c/bLa2OHutWMtstnDXoa
yESrJ8lX3Cyz21fpMtWEVxO62qKIF6Z3PQjwFkdtqW7NCqpmCDp/J3AQF/b5mAru4qgbCOKeoTBF
SEdb0GSrTofubf862jN0ZsEo+MAfsmde4FBFsyTdguQiXYcBm2eZqSnS7FhoP+VD6BvCUwrG3FDh
JCMcQ3S5RRy0qhPrWXHXPiiyO914iqDfO7xc/048K1SsThK5kZMJYIJ1OYZQkBzL73N21PLFvW6H
WQMkanL/v28GFalNMVQNCF1DaXrf7rMb2YsO0s3sABUIDyRUKonP619ybVInLG2qPo8zwEfJ0OW4
J86RPeKLod8N7lXYrZ0/mWPeLpM6bKbRaGtRIFWRl32cvCixU87761tJ/sSHyAhqQtnQIWeNhsv7
pEtRwtAoeqxqWc9h8iStwfW/z0QogKTitwEq+Wk7MQEL2AR2VVD6iB6GEXu375z62Hur5xwA+Zjs
+NA8k6Yilz2JmRJtjJPA8i6l7MI4k4iS/T7ZYT5nn/qFE78SbJniQQc2MO9547JkPVc2lCZiMCOl
UYcJ662NPdjC4nZ2jXWfpt8KxW4xWX99e5nYms320tiaUQ/nTE9moFVRCRv34Xn1NT85CE69QzIR
hGCy1QLdzy/xmbC+/Y/WqXM4t3E5Gy2sV4vdnzQ7evrFTaLvoYS4U23JgYzASQfp3L8Zq2VdCxB3
MlDAliVVpouOsRAV/SwAypcSwY9g3ClBvONfCywn2pqhTqHaJXODmo7ilqpXt4es+ZTyGOdZTrM1
QV1wVhQp3ZyjqFQXChCW+yn6Hs4PoXyT9qeQVw5hZYFbY9Qt18hQfVsyXOG6fJlTXwy/JwNkeYeT
1PCaquytM3UMB+uWBKm59+dvRoGwKjJS3ynx1hpfVuGk95zqDrMIaIm/jfys2G0OubnoWT4K2Lzl
Ygari8HjW8MzbwlNmQgxDV57mpm+b+1Rt1wqaZOaZQPcLvIIERzJ3sfCNm6Q6Ol3SdC5xDQkYYB4
5hdJWAF7a506cqFQT30Y4ZVc1Om+L8qDuoS8oMJKly1JlkSgu2QMdVOXwiAtS2plKMSYZzMoT/Fd
fkc0ECxPBMsAhK9RDdQgEJJ6+WP4L8gy2V90Y5+6M0JzKNdsRAwNv5QI3BLkgMcDeRthKhXdPe4X
JXtGx+zteik3XcQZkgWkvKoGPx8nQeQVTm7rdnvzL55/HGs0S0QkhqLQWMhmQTzqARwPsEt4+qXk
Nu14uBrm+3mzNrpeHVeLBtI5+At58xm+ZFfn/GgFpSfc8d7PzNP+9tlMyjWXNEzFqsbC6hR82N1R
1h8t3jQ5zwaVhY0RKDLRbsC49WztCqu9oAHgVVnnXL/ZmAF5sxQq5osLVN/FFmYGubKrZjkkJZqg
fexMXe2m0P8c0TW5bvIfvhTEThU0FwyD5vfP1EpJcAvAC88jsKNDYL6o8MHirg14dfd/OGFvtqg7
YExiZR1lJNAxSh3ied2Z360S7/DJbe4Iyf4kc1IFdtQkJABIx4DG/fmLNlFasFAxT1Pga3p/RBND
9jAkXdgY5BmPynnxRTf1Cgi7gtsmdJRP17eWGTM3tqmv2db5Ui99jDNQPy39Gczf1/8+MxHZ/H3i
tJu1VXkRz6ME+Mjoj6fCI+M8w0nlgvFZzyuAVH5vIfXRTCMWOlUGCLYMH8PqZBm1nWm3kcpL2Vmz
GFs7VPi3lqmwIImEAFU/NZVX5+fO8mbj0wjqdLG4RN1RNF6u7+A/OP/b2qiQP/Zrr9QRxiaMpLJN
HS3JMJBVV9VfZ8wwS96IQccmO8U8gT7mm3+7WCr262nbpFoObGV4Bob6TAp/kQeK9Mf1oBxQjjpy
q3DM2xU1GvSICGqajshNFmozyOGABMPZI0O4JVJ1yZEx+BhzWh3MMLYxRUVkcej0VSb512ipjiFk
ntr+H2nXtWM3rmy/SIASFV4Vdt6d3elFcGgr56yvv4s9OG41m3fzHA+MmRcDrk2qqlhh1araKWO/
7EZ3AFPLLMAbcA0N4AqgcizQs7OdNskYTWMMMbHQ6D+rWnWK4u6ynogEMCbQ5F2HxaHwy+XwXVbu
/yodtlcHYFRfqq2k1HMgXov2bPQPhiZajyE6AKPnoWJiSD/Bxx+C60jOMO8oksD1EqsjMAo9Bkm/
BCa+AWDPC1gwJ9sllleqIiAW9yX+kMN2IRNlNuomRHFCtk+z+W2UvHwSfG1uzWX1Odh59TKNkFYk
yC+TvemcsxsaKw0hGIXwUjj1/S2mWwWlYtGpGItByz+wsa4a8cW8U8dv2TS5pXl7WYm5z8Xq5pgY
xliWFMMiUGL50GHTnLFfDv0eNRDBkytQBJt59WY9V8MR7CpeN18Z0VsqbdXgthHVZrmAiPU3Yh4/
aVSUXq/wjbpNs++3E5Db5oGuLxOFl6JrY2y/inTJLBSUqmgVmGLRKSYB24/3l78O/ylafR7GB9hB
mcyIjlDi3hR7Srkt703w7fw3uaToSIw3yJeRTMqM1DWKC2eZfqlTtwv0whljC9tIOulXEcy+HoqC
Mb4TAkjB1giiCXaeoBy7viIWwHdE/5mlZ8sWRRB81fsQwKjeqOhJAegMvJzu51f9NvKyDmX00es9
cqZsJJk/glVQpCFc48WucMzLyRhJYhEYkamYpaFSVUy+xdoVKXxNqO7UAXzJFbHKRdZUbL7Q2Vb4
YMR1E9MNaoj1QK6WY62C9UDH1zJfehGZMP9AH8IYlZexupGo2MGMTc9eoV4NzQ9QyjoCfeeeiBJb
oLNPAzDGHYETBOislk7I+YCM+6COfTOx59Xe5hvpRoSk5VsXEGZoU9FBLrafuxjNqMgNpBkAYFKe
a2wywuhqey8mceFq4UoU48vrJcvNnK5M1zvdGweUKpTfdnaQ8+e/usGPMzE3KA1tZvUj8otkMlwt
rx15nvYAZ3iT3Pll3O5HvasdM1ye5lpxrSAD/7qItoC6ii96uTosY3LoiNhtqKBm0g+LIy8O9mI4
6XJXSqqTd64Zi8IMrg9ZyWPcfj4BR1+ZsIMm/lboz4ruXb5U0cdjVN+QUNotWnBpxvqmLzDK8JMo
t/kQ/Z32f3w7xtu3k71EKiWl1ZZ0G8fA1dkzsGiLX0+KL1nWoTFBs62+FZp+tCZ70wex4J3msihh
Yeofk2BegUxO+iqlBWb1ttpHz4sTeAOgACRz6DMqyv25PmUljb5Jq2Q1CtpetTo4Sau4KsgZFeZJ
BFDjrmdanYhtN/adIfVhiEoQZZdfPCTGFF2Ojhk6/w5iUuC87S3Gsz1Ywn46R74VOiIuO35ggh0k
iqKYhoHtDsxBmxC8Thl+RG9gaXC9HfqtJu0X+3bRn4kVuLqxVXpBwsVtd9kfQlmkg1QUvaJiuPS9
H0NPW1yDMDJ3i123qz1M7eHpm53+KX6Kr0XjA9xowtAMjN2Cdhuu/POBy6ZIE5NSLgG/ctB2MagH
9E12ECWwXAVaiWHUtSyyMKLbSjxJ+9Um2wRa+1dVPhNExICb4Y1g0QwGsQa9knCSvgRGo9pUUecZ
w+NlD8MvSa2kMC4zk9QWnKYSpSJ0O8++XkCOUt5ixi2F9QFQvFPv4xvaRPgvuMy4l7iSzbjPYCnG
pq3h3hqNgkQ23Y/+ZQEZSw/S+2Yb+AuqfqIPx3XZWOSpAipt03bvZ/2ow7TXOzpYly5nRfkuN4Kw
j3um1b/PKAbQJ9aUpCjx5bWr60+ldB7U+8vfTCSCsemwb8a0TDpEePVeHx86LAZNBQ8Pvzb6cQy2
g6uXJcHSU9QA8syh60BjP5CceKs070tasN4Nkzn7y8fiV6EowwoQbqams63MTBpJXS8ASM2HxaPU
6BCpXWW/B5+4iW+OTv5DFbgq/lV+iGS0vylrYJgkPOB2vJnmXQhQuYhcguuQVqdilLzFUjeji6EQ
lAuFgq7+O5ISqrdfQp+VGCZUyGq5mUpa8ZhvQTDvFMOjhfme6ZdWiFBW3KBkJYmxoKQowcZWowKr
gfsDQaxrluZr1GinIrF+ClSCWyZcyWKsSeulElsqKLg3Oi7ZcxBuLOU4JM9l6NXaPot3lTm7qQjm
IvpkjIFhWayqldFM35D/ZQ6b/vgLn4ztgeW2nAy6TLMoVX0r5cg1+p9Fb77qAHpqVo0CpbCqzfd+
f/SdLbuaOaqunYKXWTVdJPeTtWnq+zl1FXkrTY9xiUZ755jN62z0jj77ff92+YNytdRG40N/55Zg
kRrK1EhNV1Fj0J6RKvTJz1htHSV2FVWECuEedSWKSXzSoCH1BDCwZ5KdJr8UGAO+fBYu6y0Aa38O
w2Q8Y2t1pUGR5/LW2mbbZtOcdD/2U6wHA/HWsfYoQle8CZPrs1ZiGZ+VRjHSgh53SJa7Tt+MoBnN
Ra6Ya3crGYzTqmcs6JpShDfJnsZvyjHe0mY3bTyLcLGi4zCOSzZCaaxz5B56UlXOFGS3TZadlSoW
vJr852V1JsZvmbke5ph6pi1nbTOfsY8dnPAyAEn+hPWzXYmum/1LoCIiJWT8lz7EejakwDb2YDfF
6Mg7Kik+LcDnNW6zLVwRGy3XOWMtuon6P5HVL2CTvDAmZYRyaGHlDsFGb16rwEejVaD8Ajks3gRT
pHWQxBTUErujfhOCtHA6CLmJ+brx5zTvdZRVmmaVYWoA54sAsZ3dksh+0lieFovYl7n+/uPS3nPT
lZjAINgOniHwoE+0giSFosUqYejJz3FXchiHYcgBUSu6R5Pi1CQHxEjXhtcBb073Aojw3qK7Y9xE
pJqVTAp8oaJ+KPTOCcBgOigiXit+gmlbsgyCRQsDWYxVLR2WHds52r79iCn0GTl7HWzKtt9N8uKS
UHK7+blbFgfrzzYC46LX9eX9XIlmjCtcsD97BCsc0OQ9xu4Lb9qBzhE1OwqAFQP9eJ+PyDKWq2ET
KhiRWWxCGRohxqdD+Ptb/SA58jk82N+X3yX6o7YnqnpydPKTMMYtEknuUlAyIPuTt3LpBvJZ7l4k
0I/PZKsW2JUoqldz9AUCsdIMMy0GQfX4c2JErBh0MBlcfi35Jobu5Xyjmw+XPxlv5h5CLE1Bx1fW
wGP9Wcg4NktSoluCd0W+arxqX21A1WU6WOm5LxK3AyaVgtpHB8v+Yi9E2I9Ab3f5R3Bc16ffwAYG
QLM0cksDg8Fpe9kxR6/tf8/V9rIY7gdE1QWD4JYOngb69yunUgW6VbbKe9tuHfeL8lnuZ/sQQyiO
YSXG7jLLMOYcpeTMn35F2jVoRi8fhK/3KxHMR8taNSWkt2i1n2K1sk0hOwUAcPCR5/pHLoIycpAX
RFaIAjAjsWQQIX0+0Vx02mQr8JJNN20aM/fBaOfIkebINgYQ9GKr5Y+SjixKIreCk3Ke60+iGY/S
FkFd9RkoIYC9aLDBpdjQffF5gU4A7W3MP0TBz/9ztx+HZbSkaTFMmIZ4enrwkJFNBjJtp32hsZa8
Iy+ixi69OsZjrs/3DqReK0s46XogoxmQjfdG6KpBiRTAXXA2U0jszgkhP8litCYaQOo2mEBXtfG4
XbpvPeh126W9w1hHrPWnpr1Ouu+J9pxH6V9w8kA0nDTg0AocGrWZ1TEzcGECfT6gONe54Qxu2F0t
BNzyVeVDBuOfl3mxoxy/wkuK21nvr7W5OY1K5vbxfa1bvzBH58zNfRUEV2DrdAY5+KHP2rGaBhFQ
le8APn4IYy5JFRaREsOdSd0zUbVzXirOqFl/8dh+ulPGNGawhmjVgGSVrjk0UA+SXOs0uIVDl7MG
rvy/QxA+iWPsIosjkoUNPmE2HiUF24aKc9AKYlheRrAWwqI3wrwtg4HOcQ4/G7DopH79LQXkVX6m
FU9KoxMJ3gQeluOTRMYoEnk2bTNE/h3twyuyQTnoW4VRTkrdowH8lL0Gfvx02alx9YNyCmPaEpPY
bJ9bjRUj6hoUhjTjx9gQt6zPIQprl4XwrxL8/7b+Ts7HUtc1o1TEhQScRYMFMMpJ2ZHELRMHl7mh
xTt0GhI3FJyMf5to12oYMKS8EIySyFNA5owAskx1MnLJLvSlK90jBxpP07lG2+vdywelav7Fg36I
ZFWGJEGvjz3MfqzJddU9gObuu9mbbiX9bntsGLUDkcpwolyCPrtmgPQCTCIsj36lNnVujuApacA/
WF+lhxwbxZbDO1ZuI+1FOHCuuqzEMXauj+FoDyEMb4xVp4sfluxeErU1+TLAu4R8AS0attmeFrUi
2WAXge+UnbQmd92I7ZGaLJj347poNPT/I4b+/eoZWDKtM+3BpnBKa4+dCLd13OwuqwP3JLpqAKiM
yBl1z88i6jlZQtB3YDgt3reTiwUYUSqIh7in0IEMBiUbJvbZhtZkhGFaVdi5EWTKlgT9w1wnAhHU
Tr4o9UoE883zLrLkOccTIm8pemnYtVhIJuad5HVEQdOt2iAhAaWzzk4Fz6QYI9B7IbJ7nvBIucHW
cDG66D/U5+AldrPH+jR7/nKIdtgYhVFC8boGrvkSsGuCqE1HHsIkOYMOEvccXDoewfjSPIYehsGd
IbNAHilvgxrDrZEqMGDu5a5EMlpojZE0lSWyxnpyxvQwWY5qFm6bbfLYH59II4LQi45IVXal9Y2k
DaWeIe/vgu+AYzhtfk4JlsE0zhxhOhPB3mUT4KRT6PViGgcjMsh02IaaTMe8S1wqBQtGQeoU0cbS
wNkmaofyQuVPghgtDaXQJiFBBKKW1d6ulT0qs94iBeAdbzajbDudPG9a8q3RQB9MUJMFK9Hlo3Ks
/dMvYN6baeja0JBg7XObOsPs2d1dVgmu0/xqi2sZbONN6rMKc2ngAaobpx0HJ5BAW51stPZaF+5c
5l+pAnJ1DMwroHxh3JccYclHm86yl/UwRAos1WSs5HzPdZ7svahzxDEFcFd8iGMy727SlaQCUdY7
B4iGOlu/abHdQAT4Fh6LsfLeMKSgWmTZK0rHOLQOgtU7CicZvfilE86RcA1gdSrGwAu9HtQgXmSv
yV/M/obYN2RxBxGcRHR3jFmHapNj7IaucNz/w5/S+HTXgQgYw1W/1WHoYVfeY+6LdFkGXJ3enOIe
6/smLy8wnxKh8UsEzVf+xdna+wA7OBjpb1nJitUmzWsD5mTN1xOIr6ZDkOGDDb/+wmqVDzGM34jK
fJCrEoWtGPzX5T6VDqm+vyyCf2sfIhjHoFlK0zYGPk5lpVtlyRxFG91i1Pbo6jlGowr8EK/zhHFf
/KE4F7ANMgquteYSN1h6iympzpOeh33m5dvxW3Qfbw3HctqH4Ck4VmcRtoYXcH+Sy6h6NxRym6j4
VtkeFKCYhowUJ/TD87KlG7LLB4porUXdWB6c6JNURvUrtVzqoanfzbk/lE/2jjLA2WCKl3ztVbrK
joWFFd1YnQDCg3l7+dNy7W511YxBYByHNGqnyt5UFMcMjMtGGHtYBX3ueiwem99U5bGryeayUF46
9enIjGkk9jBMAUivMbAoAYAdY7K7dI1f9nlxZS9F2C+CpHKfNtR96ZAyQmG2jK+DxVhfcklGYzh0
lSU+x+rka7K8u3wwrqGsxDC2OJMmbJcZr5ue3pPuaCa3pbnTiu9j7F0WRDWRCWltWMef8zAWGZZ2
lFWgzvCCvr2qGnKtp4rACgUi2PZ9NsdGhpBA9sLhm53vu1TgVLifBHRj7wPIWCrNqL0RJVoJHgXZ
68zfOWUDG8OTlg4CJ8y36ZUYRsHN0O5kXYIYmkQve8xFIb+cbumibMTgoKAtfVHNmqsFK5GMdlv1
JJvZDPcVqA9z8gNbXdLEm7PrMr29rAX8SGAlidG30UBuRtdme9HJ2GobOpmRtGB5ogs6Kt0RDRpz
VWIljtW6rCurokKsb4SdqxNpn82z4HvxtcKw3kdI0a5hYqgxUpuhqtFRjpf81DW1qw3G3dT0vuDm
+N/oQw7zxEylJiNUg1osWeIV6UMxm9t5MbBlPAVNQv1kTdq+kMpTqT8MivwL+5/fgjq4baXXuO63
o6o6mj0J8lTR2en1rwKGEmSCcawgAyh77FKv45M8YzRl+Iu5Z2TaH0dnDG/WyZzCGSIdVg/zhN5D
cd3quzLeD9Ehs93LFy06E2N+y2hYcxD1iB7H8AcQ8lszKl9AJCFwVrw+7adDMTY30gBS79DEKfvy
XCMDnsNul8vGI1Gjq8Vud0Eaup1ePmiBiL5epEqMEaqTnWM5NMw9jvdNeGPnz7N9ZzdvpfVw+S55
cxWoG4HCR0EeiiXrzCFBpQ0OnhkJhtZtVetUFe5i/xgxdlMrpzx9GbB9MtAfEyxlFAjmGv5KMHNE
Ex6NZJkio41j/ox39bY5Gjc9MreN/oyr3vXHScRMylUcwDzonA92SrF1QamzWuTjiJ6r+fdY3VbZ
lSFq13JPBcY6wwSdgPllzKcx5ymwA9ibkr90kROSn4Jro/nll1d6JYBR/nqKcyte3sOcwRu/08Xu
y9bemo9i6iqeEmIliWKoNpaIfQGXYiC0DswQYIHBdoLGdqEUy/wtyu+T+nT5VLyIcS2J3urKSxly
JtlDhHywlaTHdDKdNCt2ytxsLbV4QBV7n8wVPtrzZanckHEtlvFavZROFYkQ8dhEcmPZ3Mh9dci6
CXM42U2tyL5dDI4VFE9JpGzKTnKVot3lRHu1Ur0WeBv63djvagK3TmF+MriamXfQzuV8KWsUFNVG
2cUxIoqyuLO7dEO0UPAe8nQUZXGkQaBCA1KIMXmzjUHITlDC0LAnPVWq3RzMgjoy94OuRDDGPaly
qBYDtDQJc8ewjkH6o8gip1fdfjoOoRtP+l88CutDMfenJrjUvoc7UUrkGZ3fJ4k7pM3msspwTeLj
XGwAK3V9gFlBBEelbTn6mJ4lafRCML/KA8h8hAuceOAPwOv+fCoW/IEOUWVrPWoLsTliwkC9KRNo
nqwOO9KN+6Q0PdWINnP1M8OwVlUGTjYt39tsqwXxbRnGG1x66vSNtEmi0JHm9HZJ3+Is+tbEoXf5
Znjw908/lYmy0Oap0nAM8AGuixPl1bL2hiffU0b1fAMSlP+92/lJHBNsRTLmX/UKX6JtN7py1Ouz
2QqUmPdcrC+f8Uo5FiyWowI7UUngllgwPFrlLpLmf3kSxgslS4V2f5ACQTEY2zxPd6mtOkkkWi4t
sHqLeTi0tJ2KBIsdvDg0T6Ux3yq2tf+XOsB4Fs3oLSNIkatq14OnoVcbefo+PNElK6Aw3Ys487g+
c2UdjJcZ6qCpNNCHeZl+B6KKMMsd2/TKTPBOiMQwrmVOyWBil6jsVUbnp5a1mwK87HLtWqZo25PA
b7K90gU0AvMANvr3hTHpwfYp5bwspBLmaza8PEUg0qf983tbo9gb2CXE2M0eq+Em+6qU7y7rAv/S
PkQw38Yk81QvMUqISAJa29XKQ6s8zqJPQ/+VL6+m+iGF+TQ5GAxrpUGIYqu/Zu3B0vyyrbfL/IrE
Hxs8BT6Ob0I2dpECO0K3qzLXNpRLS6IW5YXc2qVp+mBNwnED6ia/nuhDBuN0ErycrRWhcvfeoH9O
vNztwGEWOMpZ2ouSb74efAhjXE/ZDkkz1GjNB+FzOx6s6JSLmuPcUqQJNrj/XBrjd6a5SfohxoGy
04A5Tvu624+zQ4Ec/fiOXgzAvhpdWdjH+yMGidNlNeQ/2B/SGU2vytQepgLSsbzZKZOrqb0z0Chq
VWcUoRdFohiN16dBSgeA6T1rfJ0ntEsBj+n9NHgoTP/fHYrRepB0y6QOcQ5NvjEmtw/uJLVysb3Q
mTAQe1kWESg9C4ALpsyIYzo70QNQgSXYV9PSefUcb4aw+a7IWY9dU8FjbkWbUu0RIU9OrvSOaYIh
f5J1R4tiPzambTnphz41r0wlcRIbv7YtDsn0UBvFlVJrG4PMitMQLIxIO39s1LNtN0ddm3Z5mh5t
s/AIqXaNlt42U+XpY+6p6M4qSbStp9Bb4nnTyRaQM6Q6dLK5D6fOW5IK1djCb/sldrQif7M6ZZ8X
8S3J7Oe4Il6WPBWZiHee75D+6BsL6slByKkCSouYwbJPbST75XQk44seFn4UWI7SCe2LlxCu7Os9
hFzlTrkZp3O0IHEYe22z5A9FnW9k0n4DUGuL1P66bHW/LAq3jHM3Rm5zWT0ESv+OX1hJT+deLbqp
grsKbkpgTbNNpbq5dioXge/luiqwq1CsNbG/wKCnKVHDWYKgxbrGUHZQ75dS4CtEIqhrXp0lx6bU
iFbLvMjczco1UQdH0kQzViIhzBvSVoVWt1RBrCbe2WXtgvvaNwwRyxK33wWq/j/3xbwjJskkabGR
Uo/u6EtY0LaAUj7xjH3s1nuAvbzAp3AvUZ2aWzRby6XnX11ilzejvOiQ22vK0ZxmV26RrEjpjWpX
m0a3HClK4BQ6DD/0m8u6KJTNPDVZoY692gEqmGjYg2zfZt3BxHKn+S62vg3Glay5/SjY28rV/9U1
M+/LIC8knwCp9SKr/qWng9eb069StQ82fByZwrvLR+S6l5U45o1J6dZgO8BzRuJTKu1C7ZxgRzcW
sGftTayKDILbCzA11AcByEfflC0OVlFuK1KJSqu0s7b2Bip0XNDkaEA5J55t50aMK2HM2RZ9VrQl
QrqVShj26Y+1+Ui6O7ChXL5CrhgQ8byDOxXCeujFlPK+bCM800R2bKtxu667kgDtniJDUNYSiWIc
il2PKHBOOJFcXFlN6Bmk/E3axKmnWrS+lV/LWh2L8SuFmqFYpGUUJovNW25TYDGichfvRy9whvN8
TM6qQBf52rESybiYqZ4IxkJG6mIGDwgLJz5UR8rWRCfByN8Y2koY41cIJhHThRqaXTiqsm+rb1X2
hmHtNn3+C/0ANpbCci1sq2GCq6XISBgTnKoIDtN87MxD0NaO3ojQ/lxT/pDDpnqpXTSdRd/tOemv
QU57P4ygcoys/Zi011OuOktW+pePxv9iK5kMeKmV4hnrO1GjkXbGlm4klVyCFFMD3FgcenO1fyWM
0f4wsTtignXRM4pfWvaNdMjQw1ddxIrHLzyt5DCa31hq2pIQclp/8uLj+4qY3fQOyKwOLYaVBA6E
qvWXDG0lj1H7KDex0krG/EmXjB4po0NnhYKSEA/2CXzZHyVkN3RNRmBLXdvRM4HIzZeetV3g6V5z
n56X2xB8CLMH7AaowjG4l3rjcbmJN0LoCv1Alw5KP/D6KZ9zkgx0E9noNifVNdwSf5Y7c1tvIl9k
37z9N5+OzLykYxZNdTcCTlH7s6u64VG6RuC6HZzwlDyaIJ7Wf0ieIbAI3h6ET1KZR0fLMfXSdrjo
0dWeq18Ik475AaVcTBThpYudGlxm7a54X9QxOyLiOW70sPrMjK9JhpSAhX5Ar315UpRvpf7Lqrex
BWrMl8uWf9kWsW7186cELkIC/wRshASHZngLo5+6fWu0omSRi4wwAYeh4wWq9QV536daYVR9848t
YlHVrjzQxc7qXsfIbr9v3ORVExyN3tEXLQVzEgX70/+Yh6G39UStwwz4GEwiY3PitvH/m20OIjGM
MWhyOWOtZwhjAPmmBvLNESyS/wXLO9e7rI7DmkHeZYZS4Tha56qpo5m+rOzG6BAj31XjO1vFujRv
NHbx8Da/VoMwneQa/Uo+YxBKZ2CMt4R3o3tXaFvW2Jvn3kNUhp6siGvrfWzh0sejt75yMRE6f2lT
IcAsh+oOLfztGLRP2WA0jtY3nrW0GzmrHCVvH3vQ0oYhOciRsWnm0tOK2U9b66k24k05pNdj0gBc
bJ4CUnhzKT2YUnCWRgQLY9vueiN8q+3sHrC0A572Q1mYT9OY/i7S9jkKhwd0Ve7aGFgeFCekrujQ
qGo3UnhvqLEjgc8tsvtNEeWnSIpgqstNaPZ3ZjC6CST7+URRmIZvZ9UeWPHtGOdggysTV6nLo2ED
sx9KcB2S+tw1/T2ZUAnv7c4lcYp/PHlIEuXB6gZUURIMgQ8vY0UOlpq95tH8YueLb+iRb8u91zaA
+9vFbV9UrjL2TtcA3xRkrxF5xF44h0zB85COV20c7TUpP4O+003l6oeUVvehddM38d2QGZ5SyZu5
vc170Uwdz8OA/EgDttKQgSRgvmTSzmoD6kbojbyvh3PUntKfjfTrshujtsyqy0oI235rW70rlwxv
hAmYMmpSjr0gAcq8y1K4R0FmoAPlhF3jbJm3t81IaVSYYFBv5HCTYN5BhmcGf9NlOVzsBZZD/xHE
RBJD3mtzviCmleSbwj5kUeXIsdtq9xU5VlmzsQ1/DreRiHaedz7zw8RZrrk4SHJL0/HmDb1D2qck
cKXFzfT7y6d7d7zsx1qLYYLNipR5BkwURlcAPaVb0WgVogKlH2Uvr7fqPjyQq84ZfM0tN3QwWt0Y
u3knakTwdGb9M5gwNApGosS0vSZHWIhQzZ4ul15h/RVaaC2HCUMNo0vjmG5nrOyzPJzUeBssr3BA
rmwaTpw+YLq1nAQJJvexoDOKdJZKQRXws/usAJto0wVGF9m5s1Q39t+wgtvmh4QvuqJLaiRRcHsE
0r4Y8VB5aobeHWJTZAzcB3YliVEXo62bwqZjgtj/5uV3AF/c08mq6n4GtQHS2HE/bRe/uVWPhSsK
6blx2Eo2oyNZpZgTRoAUb6okJM5zvLWCYIun2C+X6a0rc9FhBR+OHapCq6DvwK8MyjsQAXvjo+4q
jvZD8rvQKSNQ+SlvkS86JNfdrL8l425aa1HiosIN9wQzHrmfb5vEJWe6XjK8F7WW+KHg6k6ZuCxT
4KkjbF//pwD5bG60HVYBweC1reLWv7DY602YsXBtfSWTCdKwsVsOphEnRCx40t1ljx1L16mb7vWN
fgycHDOuwlvletOVTCZgI30w2GGjAOpyMq/HA3VuQGS86C/JU+tJIEOOXpM3UVtLdFAmSiNqX5aF
hWq4teyU8THrTkn5/bL/5tFcgtVZoZgk+n921iQn/ZJMMR05xZo0YzucTGTVxca+StFncimTvvJm
7xNfAi7yr+xjJZs5X1qrMhQVRZjWr/bqQQVHWHSt3sj3oFtzSg+OvPQEx+Ve6Uok40tNaUxDLIb7
R1/bO7A3ehil9wIP0G6cNn/Rn+ongUx6jC9P5IdMdnLNGIJ6jAwc08RsJzaHkqcarOeBF3UOTS9K
LzpQQrTqNdxU//K8LK9cpcd6FIbIPfUicwurPtp27KXZcQoKNOB+p3FfOLOs+8CluVKLoDr+rgRI
5wZlF47/9oPrjAcec83IMRjwD8+T+kiXqaQu1sZsDIfOu9k3okSHiO6eea8XzGCSAk1+oBvDezWG
vzDC20jXvtkgjJaHbKuO8pu06A/NGJ9npXDaSHUTJdwr/Xhoyt/YD/mokcihjchKQ3SD9UDggnZT
XbqhxECutfxQyv4pK+V9akyPOSFONiIcCLuj1KK8HT+rKaql9jHMUieso5tE7c9xmmwGgv54WblS
quPWl008PKEftm2C6QWQ4Gtb/Y62vSPl8n42Xky5Aj+Bdcyi8XZMlV2vYduU0SGBaoqHLBa1BPgF
k5XKMo+INo9VNdHyKN0BXaEloDj5FSW3oAsy6SJm+zZwMKKOuaLmvIwCx8B1tivpzKMSWmo8Fwpa
dJOU7kfSvbWF8ljKReZM+ByXrVPgEHTmMVHNRunyHplwNR1j/QaUK7W2+3cimLdjKdsqsiYU7UmB
uCruR8ceTV8zJUEsLro2xp1WqtVm2kxLliDUC160/nuhbvK/YKpcPxgsfVOZZl1YZRgCCMrWaYbf
I+baRrKfetvPiHv55vilbNTo6UAfyB5kRhPaIQ+THj1GhBeyu5xaLEPPXXmvHbJdcRbxX/FVwQKE
lHJmgGn3c5xtzEtu6iaUvlxM18yWjR78MIxwc/lM1HS+vgYfUhjTikJQChULqvPl/GoBoynq1YtO
wVxZGXZlJNOELJROhPhxe62V28tH4BfjQTD3n5tijAac+HrVtjMisAGzQwDkVUnvBIl5si3dm2Ig
us3UI7npGnbpSI2fSP1RjR4u/wq+a//4EYxZxa0u9VVGn1Vrcctoj6EzkBqBEDf1sBWsKwvvsjze
xa7zeOZiZ6tNpilIUbPDtqzgJA8bWdS64enGWgRzr00ZZC1pAai2Qf5qd7/aXGBQPBexFsDcWT9P
4Omr4YoCUIe15GoAzacd3EdqIrgsviAYkaXgDzbef7alCGDKycRuGi/orONkg3wwNq8k/UG2RLwA
/M/yIYmJKeYA332RKqxAAZPP8tNcdnErcKzcnArH+HMa1jOYeQZOYsAcF6zyRl1Ywq7T/rndA429
FRGV8oWpWEyAHXDExGDO56tT28gMoxnzK3EOB2u8mpgwUWNPr18xDFon100OZNuxVwU4aPrpWb9k
fYhl+fIsI5o1JQGvopH7FghGCHBWN0NxlIkwL6bXdUkUoxxBqzdFbeGTNVj8gOknX00c4vceKvoA
q0gnEXMez1Osj8aoiI5qd2kHMuis2l0y31naPSq8pXIygt6Jgl+X3QT3zVpLY5TFKgKzVDRcZI25
UXo67Dd6wrzTJt/Y+78grgNrDCFExuIIYrDYDVshg9pVgCNO5fVUYLayn53QXLZkHLbDIrJqrn9a
SWMijGmqdanIShzNzu/7rt0ZIHe7fH3vyIyvyoGevAEiTM1mOepCE8MzKABTPjWaLCkOdrMD94cN
ynRneHoO9/UJTKPHzC19jD1I4GB4ufwTuB5Fe6/XYlYO/AufDTBPFhsk5x14MJvZDevCmZbCUYTz
xVTrvhx0JYZe9qorMleqFJXK+0GVTeHFh9K1XeOa9ptAvyO4Vu6X07BzkZa6ZUwAfhaWD3Or2RFc
pAGgdvktCfeX74xrYqt/nzGxUdfqsCct7qxzI+uAjSt7cLTk5GxJbqGUm8vSuAGIBQYrTFHBQWJT
y+fj6OPc6BImZaAkyoY2kBVUfLGVg44Umvt5KwtTV67P+pDIAjlso6+GGUB0RKKQ6LZIXbsdLRpQ
TpggdESZK/cBXcljPphGljYvQ5ywmbAIsgD7ZVzr17HZHadGxFnNv04dLGq2bVsoMzNhwdREhhTr
UMXpuvdlFysmjsYNQUNQc3NvPooagtyzrcQxbkRvJ21OYqQQIxkcxaw8BRtkh7N4rTDXxFaCGDUx
jS6oVPrROjQkaPoQHvR955SARso/RKBIwakMpvtuYU3UaDY4VYlHzTpkTeaoKUbGYkeg/HxBhmIQ
zEYReP/Pyp8nU/J/pH1Xc9060u0vYhUzwFemnbSVLcl+YdmSzZwzf/23oLlzREGcjTueBx+7jqrU
BNDdaHRYa5FTrKpx85/Dod4BiVWy09/LjlVw6Wl+js7aoyXwIJteEUhrYIcB4hoyhZ+lzhGheWlg
eflyo1d+X363RDsoEsF5xGCpUX5nyMBheGfJ36boIM/u5c0TieD2rgxauQ4VrGLS7s3wTzA858vr
ZRGbOXG62il2fivHbnZ0zCzAagDNSfE1F84JpcWH4Ht1GoDBXfvzczE67d9FVSuxnBGDnGNsh4q1
7+OtTP9UAK2qGuBGY1wQ5IOhK8otMuP5cn8Z4FMkFsj6EHt8XubSlFIQSSAMsixAi43HjGAarDSu
RgqOytj8GUvSFWplpkD9N09wJZa7abLamKQ8ncBTNEhHCd10UmXuolI0A7ppZCsxnLpnyijF1RTB
R8l3o1nbGEX0tPa1asLdZXURrYdTei2nQDYbO9UFW+59lHSYgVBuyZDuL4vZDABW6+EUfx67IFJL
uHij7I/5nB7acXQui9h8QaxEcHofL+FYLDNWQhtgRGM0a248Tb2TDUwnCO9j0flw2o75D00hMzp1
5CPx0eMbuSpaWLS7yWtQAWp/9bZ81+9FnWTbjzOAFhKNIvZAAPJZ6bu4Mbq4b+Ci8Era6R6jq1MG
tzzU6IYVVZ02g6oPYXxZVrXabJlqvJOmHmBZtzTxImC/6xhx0txoEOEj/oe1gU8UsTdsmgfUDEB1
rkU5+GY7V0ZvHritjs2/GR8Ew+nbSv8hiosAtNFaZhCrs4b6m0VyrPlXWghEbM4JgGf8n+VwR0Xz
qVG1AjJmeZcvu8z8VYa/pQQzMuZOip9n9PrGorbizXWBkU43KProEeV+Vo98Mi0pXUbEAGm3L5b6
PpQjD1Yh8BnbV8xKDmdqdOqNPpILvGhfAMUCGrJ6p39vnmOH7NBh4smn4F5Udt1UxpVIzuDCsiat
EsLdR/P0IMdolRq74zwDAl6rbINku14RXKSbF8xKIqckhdUiUpV6HGBXuYbqSXHp5pHHeB5Mr1Rv
Z/Vw2YGJTo/TmLLRTcUCBq8bTyjImQD5K/O9KcTH2vST5r+SSQbaqLirpatG1H4UXC159STND53y
0yxAFjY+LtafywvadJIrSdzd0kY6HaxiBIVQ+xMFPxUZUqI/pn+DkUbxsEQnqCJbQLL9rPWSpuZW
UiKosgI/B7X3dI0zuryS7SfKSgan8a2UNVY74gHLXnzyOXPNxE2ekVpubdWOPEmzCyF2NzuILxEO
npkItalOAGP8eV2jWfbjlGBd2kPvMbCD3EEvU2iTs+yrrnToRNA1m+fFEGM1E4kBgMd+Fth1gBzJ
NWRzErQkhoAi6AuHDvYswq8RyHl3nasINTCrJOtkbKYuXZUWhicPQeMO4/7ymW1JseR/5TE1i7wf
6UpKmsj9YrAHkQFgPnQSkMfe3BERINeWNVkyPAE4ownaBrkwtKGy1MklsOo1C/MpTeeUZWRXDdAp
UtkDZvf3v1kUEGE1pNxMnc/OZq2WyFaJNwo6d8vkrY2+gSB9LkVzI5tZRGjCv+Xw6dhJrgFVU+H2
6kAGs6BFIfKrU3x4h1hwFcHYzeZJ4aCASkPee8w+612+oMs7mMA3aixPNHhtyh2g6Oym/ovHF8q6
/4jhHHrShmOeFwieaPqgKqeoes3Vn5ePZ9NPrGVwJmSWatZWZMA1ddV7wZENvyTPk8PgIfV94En+
ZXlbV8ZKHD83TYIw7nDhg8dM0+2iubdAip54fyNDB4kUdg68HZx7nQN1onIHr5CXsa2rz1L5lI5v
l2VsWhHIh/4tg2nIylZnkkyFksAjlPVrNVznweSDL2fK3YqoguVsDrEBk+gfWexbVrK6wdLMNGO9
mrsR6Lm7fgdk7Ed6qMDwghpAibkTRVRJ3j6nD5mc6ul5YM69BZmGuVdaJ1bfOvXh8hZuG9GHCF7z
4qbuihEWGzY+ra5ABWrXkVv1ohretmv42D8+FTnQphiqBC4IY0N/dA+h3+MAmFfGRRzdBYLTEmyc
xblXukxhUQQsNYiWFUwoTftUfry8cZtTzCuFsLgnfZfKZlGgTef9bo8cDXQVxrV1T6+MHxlGUd8Z
HdwaTcSxIKpgp85f8GvB3AVfqL2uSxl4MiZctFnvDe3DJL3044PWPI2xoMC2WdmwFIruYF3VUNvj
pBm0kcyBcYyicL3YUwifnhbeoj5hSOFX3eiOFCt2mrYnZP1uUwO0mRNADdCYdD1K3VnKwRKuqs7Q
5qHdp4bTmoni6PVjoASinvXtffn4Ui5ujBIjbGMM/btdddbaXZDc6gWmFz152I2KQMG2zeZDFlPA
lTcgUdzHGeuOieebrmq8oOpfgOZ6HNG/cFnPtlX5QxLn49o0Jx1VS2SOGr+TvqflI11mQXbqPxjn
hxDOuSESSIFTj+VMr4tP/PYseVkC6HjW30a+i3g0v7ptqC9YNhQNnZso7HCbl5hNWtdSgtljTKNE
7TmQDpOEZJXl6JXgnL7u3mdR3O7pckszdDMD+Qs9YdW+JvtKxOix4QggQ3svIwGkm/LNWFXQ1303
ocWC8UDKQE1ARyjDGb1lreFsftU4Go4u2/VJdI9vnNtn0dy55TSLm8jATuq76jFHXkc9ZCftDnML
3rzXG+eyKm6EKZ/F8fdRQTRDGiCOlZMWMCyl36gbo5ykA0NLzLe6eXg6clYa+mW+MjQO+ZI0UxfJ
GEMGBH9VeHnMAAEXgfZvijFA6ocpBfqV2m+RwwAcAwSbOJ9zE2ghf6JFcFkIRPBxcUFaaWgLaXGl
6IdZ/ynQfNZqotNhpZrP9wJO52MdBnfpLTkiYksHXGrRKfZggem99MrklFo3YXvuO2r3+m8FRb/L
SiFaGncNKqnadFGMvEAdgzatUPepYR3LVgSfva3qq9Vx91DXWHJdp1gdAw2JT9qpQ2HdArNe44A2
SXDFbmQVP+8ld5fEM8g0rBmq997CB/p6hi9B0PUsn4TZWbZDl86N7fDqLpmNHBDqCnrrljpG0TRN
nrs6OtLCeJzRfZtM1J3HwEu11g9UdUcj9U4Nvl0+xK9X5+flcm7SnI1m1MIYLgyxZnvSIUq/HbJj
op1oKxggF+4t57R6C6YudYCeCM4sX6sgC17tO8/0U58cBOtiOn9pbzmPJek65vLw2nYbHKcNyMmH
fk6cfJn3Zj65pVT+AkuqK/XAL0vi5mjVxfewTSy7DeZzPEluLi+uGTVOqeX7cbQiZDWeDZo80chA
rr40PVkG1qXceiTK7ayg10Uf75KkvqtyzY8y1R7S2rGCHHTHvS31/WO5vJml+TzllT93vYdGb4Dn
D47am72tAmwqqHPTzhbpqtPKH8kQnvuodKIkPqax4ZXNfa6QhyAvcvS/ZweznXNHjzEDtETSi6oH
QFNagPGl2Jkc/x5T48HMZHtc0DGkW5JNTZBSEgvYqulzT+ITKcLI0YPcLyPN18LiKTA1h9Y/i7g/
aGi1Ky3yeyz7K1qPqa0U0Rnc3iJyx6+BFNM8YmIsE/zWOt/iMSUt5twnEwN/1nEuQ7tOvV69Muq3
y4qw7aU+xHBeCoWRXE7KELwP1eAMo2knc74rk0UQLW9GNqvVcE4qTbWobYcAOhP2/lIk+7K6K6TG
jmYDr8NYoN2qSBznpZTBoBPpdFyQVfMwxMndGP4eyOKnbfjNqDuHRlAUCqTsvH1Yusntu+p6aubB
7lrFKxbZTtT2uLTUcuJiuTVH6QU8m5ljtfKp6bUTUQYffNBX41R7U6LfdUO0/4tjQcsUuNbADvuF
2lOrKjkAdDv8Tt8cZ5o6aAT2x1CkZJunvxLDuTcJfez9JOGGr7VTLZ8ilNB/X17IpgNdSeB8mtIU
SkqQG3U7zH/DSxtTjPbHXQJmqSp/roz/1Ydyz/ahs/pkaOFDi6vZa+0a6Bf6IQcgJ+p5Ai3b3LyP
i5fvEAmkqNYXFVehMfkJKHyNU2v8jyK4yMWoGlKZA66fdszsfvDm5pHMx784odUyOA8wGFNU6SFK
r2itcVWlBxAXBRHSAwj/7G6ud+G0CAIy0cZxzgB4WHNFCTYukRVn6E2nosNRpiIOS4EH5Zsp00jT
BnXB4LkRSFdLDt7oLj7FueTpXSrYww0glE/e+n0ubxWqSGahDPqAUIUFYYtbvJdcjX0EJNAB2crq
fryRXFFT2fY+/uO731E8V0IxsFQkRQHtiKvbqdujjKaEgvj8P0SX/8jgM6IWVHAZSthvoqAsWeuZ
bVjGtRRL7pgohq2a45XWgf0JhB07SW4zO5OCF9AgPF1WUma2X8KVlRvhwhUdWA2t3MKhy8fhgGG2
HaOOjo6i8FYkhv18taNTp+IBjk4BPBvDvbZPAdrDeH9FYtj1c2E1fMqvtabFkjI2NBI8hOVVJOqQ
3tT8j93is3zIJKl6ZOD3Z3pkBxO4nN7M9nEUkUNv6t9KDOc5ZlpH4ZzjkuowxGvXbb83rOiatKJs
r2g5nL+gNXqRyIBchSQ/o4PebDF3nRFbob8vK9lm1LBaDxc1mOB37JYYul5W19XylE2Y2hheafdA
dNm7LGoDaAEOYyWL7e1K09LCVBb8B0fUFOdsvl0yw86lF1rK17gvj2kdouyVxU6kJEddVuwuLF0i
RXfzoj0gXvAojTAXgyZZQLJGmXkVmSV7Ie2INf+Ws6dQqnez2Qquo203t/pqdlKrrx4BcRUWzAxH
Z3K723pnOawlHjBXdnmFjI6tnmIMXQqCIdG5cDFEPzYjCcAZ6w5ZclvE1uM8R/sAl22izS78wuvl
s9l+h5m6IYNJBoVOPrMLlF4lH1rotYSO8SU8YVur+WkO9mpz7ipA9nt15gStqEi4reYfYjn1U1BD
+dfwfUselBgPmfKqI5Xd5KL1iQRxugdGKlSra7gH88yoaY0bxiqduVZoK9e6bfZO5+Q3haPfX95X
9mu/er2P9XHKU3XzmGC/gUokv0jBbaXC97mXRWwAVzOz+pDBqUqrNkETo74GBV388H72uofS6faN
N3jgQnlvnyz92CUHRuZ+WfbW8gxGX43Erax+mZFaGmkp8hDhhtRVtob+QtpTh5i1/7+J4ZxulKVT
lrUWsFrVyWmN2g6ln5UlIn3baLfCsMlqNZzP7RI8t42JkYE0mafVx26anCp/MaW7dLHD0qfWQcFs
9eW1bVqewV48GNgEOArflZw0jVpMFVkAXxDvm4fIZTP1pl/cha6IpHXzjbiWxZnb3KIVT2H8NYpp
/TFqdPWaeY1R8EQ5pGp4bWX9bbqU/gwOAcs0nRyPsL752eO5N7flPepbntLH3+chPc0R3udzoXpt
1V7VGr0apMBpA2sXDeQ5DRdv0uiNhl5D0XaxQ+AtijXpqDrVqPmlZ3cGTfCECXhcwK7ygu4FzNOG
30D44xhQ9XMoBGbfVHGi47lG4SK+tEtWMZB6SwWOmER2rt9V1S7KRQ+4rRAM2Dj/lsF3SZpyrGsR
k9FidAGjGYo9eyY6/cFEaZt29VP3Maju7kdbiGcgksw9tuKJoE9HY6sbrrNhN2novwPrprTvJXci
T+HzZWUXbKbGGXJdA8BMblAziI2TBN0CWEW9uyxCEy2Js+K86Uyy0A5ZPr04DTo6QVGqrMmz0lje
2C33SUvv2wxBfSfFx0gFtVASd7ugTw7KHD7Ic7xXKuUwF8lDoke7bKYYyW1OtVFe1fX8UvfFD2Ri
r8d62KdT6S8q4C86cqiT+ICE2BtV+8w2ZQnwr7kb9pEjocRJ08Iu+z8pTErSRFMNzL1/NYgP5eFs
WtUCOa/Zy7KVD2WSelL/LYn3UnjGtJR3eW+3PeRKUdn5rmIhC0D5dR4DQyavQjtqgO6G47QLTTsb
BXGWElnVsHHjoN5HqIEKhIuUh7tLtb7IKvgslirOr3Vv2veVbb6B4gRw9QjDUpfcSldIX10WK9pe
9vPVkistb2M5Mxe3aY9K9li2XmG66Z9axAvFjunSMXKvvWZp8bLtJqht+T1FvCsLSsebZkEVDaDc
GID50tc7FpU1FwZ+f/hntmo7N2/V8poGe0PdqfUdyHBEYQmz5S8LAv8zWMIoOk1N9kGrjWvpmGRq
AYjNkDpZ5VrVox4fC22/lLc0uFcnX5rOlbwvG1ET/0aXAu5x1HFZ9zJGDTRuK4sU7XQjrVFDicoj
4DF8NQnQUq+pTiZNTiEHfqvOD+jod8q2tAmOMsPQf4YvttH9sh+b8Ab9Sk/ANvZI+IIexwdSWE6v
6AK//w6b83WLPj6U2yKVDIpaKwM65JICvPaDg8SGgxYpJ+iba6kZH4MmOPdVdVRV7baR6RMaSPdk
pC/BLB+UYTy0GcZjqs5pFyzSHJzGst46GZ2eOv6/Oh10atjT3NmRIdtISp7Vrt+rSuKmYfMWlrCh
oHycjAjojx0wJevdVATXOTqaWnRSpnJrExnmddmetgLx1eHwUEJa2LRLraAlmoK9F32rt5Iu2aU5
YfJdVATddBgYv1XA8Wyh2ZEzXbmQw9Qwe2Q25EdlqW1VAil9EIgUfdNyV2I4dQs1VOdoCLYdfRfp
DhvlbPbZyYRTMjBa2d/M+3L/N3v4sTBOb4IwaEsSyMBjVP4k6q+kRy5q9ltTVOPfOqv3aTmKHm/l
S/ewadWDNDCOH3W66RaYSfO6lPeNdLi8nM2E21oO2+GVq+gxFxqScUCmi9kpQVMYq8dBL8zKwiSd
4igTepZpGDhaPpylAsTroSEaSmSbxhvj+iO4u22U1a5TExyjrNwZVmJX+mFhXSiJH8+v+McQv/6P
y+YutIbqeSWjn+r/JVBZKBu5wZ5VlgHKINjkLWNASzbFOLhJyJcWzCxvh6wYRsTNOrKWYepm8B3p
LLrGtq5LIN1o6ABn4A98HkGtKHp9JBxlO3wbRw+9pbZOz0njzEImRWZXXw5sJYrTmjyuh25mHBOF
2fpFqt2YClJ/STHsrT72kKXDczsTJb23brX1+jgtqaKylED4yZDpUT/1y2PoYfL3rgboI+B8BKTI
m5upw/LwtrZU/PlsFyq4BEDohlkcUjxaSr+fGyTA1HFXIYdmBKOgXrlpAB/S+AxtOMmDlsdYWnIA
puRx2GuYxGl2okTwZr7CXMnh3hxzkOdxyG6Azh29fg/oY8a3VR/jH+HOOvcHsst3lceQ1MHG6F22
uU0rILoCajpQ+sLcP+9o2NbAXK7xOEiSe1K6KZtTFIjYfNCbKxncI2eWkhbdAsbizkfVgdNEPQSd
Sgw5dhft/mY5aHhH9oWAbYhTkBSxV7VMCOpiHfRruQbEpMlHt7VADzd7vaiCRBVALRTEc5ycqW/6
tFigGtFhdrI39Hh66Vm3lyP5g6Y9z7z/75e1Esdr4lzVdQ+ZSEqXJwVQmHgsloJweMu01iI4RTBp
N1tqjpopStxS9igt34Px99K4pqg5dEvj1oI4bWjNRRmA34xWmoSlN8802I1aZl/eMNFquDdvM4Ov
670CPOmvSSXfxA1Lp2K4XspswFw9XZa2MbuHJmAdCVN2k6BOxnleFY9hU1sAPD29MrR3xDzLnniz
rz/kV2xMASwdDyJos80gYS2UbfQqSKibRJkphnUwk675OSSm+2WvHpQj9Utqiwrd76ih/O0CoHyC
Qr2FN9P7z1fi0jKYaDEheEwX+pBYjwuN70Iw1ZK6fssIJtLL8aSa82sfBXs9aR0id0cA115n7YJH
cfjbSrRjNY77cqrtdlQOkQHU3Co5RchBE+DGm/Hg1N0UoSlo/GHCHUW0u5fn6WpI6W9Nlw6zVb3F
YeANJD2ZY+VYqnHIgcn4N2e5WicXvabAnqdJhLggOizA+rFO6Y/4W7BvwUXnqDYw639Jt6Kp4K24
cr23nDsxmqSTSAUvbA7hoSqKlwbYnYHV4q0yCOx80/w+lsc/NxCMjL0MyAQ3N05KdpWqb3V+d3kL
t1cDok30pRLlSwdz2rVTjVsammKeCtOrou8kvqMIly+L2Qp3qPEhhosWw4oowG+BU5xaAE3T26Z6
koFuXQKEFHOeafj9sjjRqpjLWek/Uds+CRZsnDYZNo1+J+Vtlz+nhah8sX1AqDqZyBRgeItzXWMV
yGkN+mJAy+bovctdUlOQEsbu5eUwlfpqzh9iOJeVSUaY6xm7wToUHU2XWBR9WfeqBErRyg5Gvy8O
/5tEzl8hAh/lQkd0b5nxszLqLvgP/ayPnSLP3THUXADx2VAcwUK372rEAv/eUE5P6LSERhKzCNwL
dqDS81XJHn51J+LQG8bRKwciF7LVa4wx9X8kcqoSTVVf0QrTPGV9b5a3Q/Qrnq8NeS8ZTjF+K8F7
Gf6+vLebSsOqTkCDAsUtP2WashqAztbYz/M+y6PDZKV7QkQE9BtzXrjoPuTwU6ZL0NCgw/j0+wst
PUUviPbR4c4QSTD28jt2RbhCmxf5SiAXlhRVqye5CoGAW3UX2oJhoXfQwfdaKuZNkokgNTaNfCWO
C07qIErCMoORA0beyWrFMWO0niaJ9iuIRoGaMAv7YoEEeGiIvJGP0Tl7gKRA1iaE/SQ4ytOL3Asm
QLcDhJUATvELM2iQsypRBz0yEsDwKB+WIyavQAFouf89ziU0YyWM03mwAJCWzjneYUt60yfKM3hd
vL9Q8pUI7mYeI0OzRgnvW6WRPWKML2M/HTWtKATBo+hguNs4bWpJJQxgOyvtxcAERydC59p0vh8r
4SceurAgdRVgs4oGmeful5q6loI7S3ubSieM3MV6urx120sykWtAYforAXZRR+O4jAgwKGZvQO9t
p0SwaZu3MfmQwL5gdT0mRW3NWstoXsHA0zchhuEMN86ezVm5WorekYJMoA6b70q6EskZkJUpHWko
LhR9J71WfnBA8h4owjKCNFGX3WahB3gISJyizPqVxTZpurYpSoDhwaY8tfshFehsBxZYqS9oVf+h
xs1hVkHmEwT+5ZMTSuZc0pjqoSmZkPzejnayPB31HRRA93/TYQOOXhOAvgam7vkx+HSYMqnWIAin
Fcx2PtlTewo0p0sFjmnTp38I4rW/jiSDLCleSwgUfT2dIYfYUonepRCl1p7uBDvIduiLo6UYqNOR
ZPlKhkqysNeNUVvQN5i99UimEAc9U7ENPlQn9tPny+I2qy10JY5zU5ZRqNbC0h3qLthFTvOQ7wI/
BZwL2Qe3jOWMgjc9fkl9UH6jJOqCA+ryF2w7/tUXcA4MNSZjJjlQwxsklBgXQuTqt9ORAQ1YB1Gf
4aZr+RDGN4eWgI2e1YkVl9TF7cYcqDyiIGDzVl6J4IIASU0ivTCZu6z1PyBuPCChWjjR0p9Rl/mb
V8VKFmduALxa6gkI8uj7OobZQY+e9HEfJ9+WCahXguTp5jWwksWF+oA/meWuxbpK6cqMnbS8LcKT
jiuhyZ4bUAiIxsxFR8X56EWOpCJHosIdihtTfqKWK1A8dhAXLI2HMWyIIi1qDZjV7GrCWJhil0BX
Yc078kmYNWWb80UWYifCUpeAcuG8Py3TaECshnLqlBwn7UcyElC8aT/HxMQsX2YHVLYnmczoXwck
sPxSIFkB/AtRxLjtn1ffwUVZQYDW+XyCsU1o+cpb3dZC4mG0amdheLcK529xqe6wM6Gt1SKglO0r
cCWci7rCIRv0ijLXtisOy2E5Lbv0UQWNg7jRfNMIV6I4t1Yb6UhmNOu7snSrKPcLAQDMoRXlDtip
XTpVznUh07lkygKT0OdDEJ2n6UeQCix8WwQyxBirAvYGX5EppFrtJZY3M4bjFPlldhO0Ig8sksFZ
WqpVQZeBFAvvJNmRvcydTgaxo1/qjXnD0GXH/XRDClGosGV+wM3RMHAty19JPGlRYsp+QgzGCgnp
iVXPZFQPSjc5Cllft3zJWhanDjKNsjBScFCdWz/F7xT1uSP9zq5rtFa2e7H+bUUNa4GcZoCNZcpJ
jC2dM5f08M3XMcPotTAdJQrPt2LZlSh+qGea03RsBgBkWNrg9QGw0KQXI1btprkf++OSen/hNi1A
SFgAmJNlmUfps7QyywwN16e8K68rH/HCvgQQfeOEwnGRzV1E2x56TzE7jukx2N8qTJdKhWRg5Vjc
qMEYNCp2xtGs73rlgYrABTbzLtZKFHdg/UDaRiogikHCMxuoz6yXM71SfbSO5n8Br2wpK3mEZWVW
S9OKKLS6hGlkU7tqE94rceqGRLODOdtfPrEtX7gWxQUk1dSDdq55Z/Hyyvqg6ugYdVTR6L1oBwkX
i9RRVViThgf8AIBPw/hhKuNV1Elv/SI/Njooj2PiFAAQ6ul4G0fjjTqr52X6fnmtm8bwcYx8PrJd
IjTMTOwj+vKlL2JH7vNvdfOsTo1Xoi1garPDZYmi3eWcp56WQ13o4Dwm5d3UOX2KsbfxZEWJyEuL
BDEvvtIYJSFyIhlsaaigzBaYLktn2M83BJCj2t0C4AZ53z8HwjBpK3RZqw/7rpVcS6W5mamwd2sf
X2t+epQccGbdLA7D5hZ7zq3LCO0+KgOKMDQETJ/FVSpQYoMQoG1m0aLiFsL2Rz+1TEH0RzavhJUc
zio6s2miISBIQg4Y51aKnRp0t2k/P9LiuYjoCwG7QFiO1+EQH2g/+nnX+03S3IEBal+Ewy6r0WVu
TqZtzG+9OtyZY3cY69mde/KmDdgdkvyIRvIbb3TTLuTuEJs1ZqLD+FZb2tq2TOCXZCS2p2j5teSG
W7cdyjWgM0iW8M6ck3ORoTqnaC21C726j3pttzT1qSn1+yWgjpbRfV1Q8HPIu9DKfDKPbmS2uyaU
jiQfXzW5Ps61cUTznD13b+OweKExAWAIPQjm4JshOTVJ7Ety870KmnNgaa6W6e4IVLkqptedpT6m
RufIY7kHCKxfEunlst1snjMBOiooRnDaXwIba0gKw4JaGfn3hdqS9iMIBdWjzSNeieBMM0Niu5li
+PSlOUd1Z1uYF/nfFsHZZFMC9LrpYJPYtjE/9up1/jcxJviu/tknzvzSMBiWssMiQq20u/TcG/dU
mDDa9C0rY+B8d9fLVUYZFYS+0/zCH07dY+QgVSl5xAkf0QYnIQ2bOZ3AW29OZ62NnXtTVkQuMWLP
UGiQ9EVDI55hjAsx2I8uxiWd0MGdeCMae9l8h6ylcnpB02psMU7EpI6ArgUa2x09pAf5KrsTpak2
tRyTDpi3A73lF3bLoEqDlGoAFGKDpgBzrZJjgebry1q4mUKxALiAMR4FeOg8CpMK4ICZFDpqmE/A
agTjsfQE/Fg0MFZO9k20fZtLWgnjFBLzLlRVKhRM1d91yfpVnMWcPMGKREK4pyLw2PQQhQwU/K5k
Z/ZobSdoxAE1+ROwbw54M+7DG5EVbEabq4Vx0Wbej3VatbgR0vo2qb0eQEWA56qbQxELg+hN16Qb
hm4A6xrqwSl+MZoqQhGsj01fyx5IZu5yjCbqdntVeHiSPIuK9tsb+iGQ0/lObwxFr1Gakqt6n486
pp7Lg95JgufqpiMB1biCxyoAjPjSXhAW8hjrE9KJYwiaT68eTcwdAnJCUI7aPCsThCFglDHBKMOW
uwpK4nnJqtaCCZtJ/0hVihE2+pSl38PZ8rUheRKo4+ZxrcRxOk8nStUphxNW76rExoilC4pSF4GQ
Zfe+7GvAavib5jBrJZKzAAzbJkVU42opBssmCwNskHb4EJGlMdfO5zDWcjitBwz0DNo3yLEekluV
NeZAC+XSbuzEKxyRjW02H63Fce8sXcFGpjN2cnglts8wjam73IdXPeiom91oL6IrRqApfMa3SMJR
VXUmEGQYrKCug7AEVKs3aFG8B+AUHq3KQ+bIgumATXv7OD4eDCcc5hQg2xCbZINtkqc+OLdCTOrN
FMpKCHdtZ1ZtweJwdvKRMfpKXniwjqpdOaBPExj29qW5ksV5rCoEK9UwYEH6TvEluwVmauowsIH8
RpQtFVibyvkqtdSNbjRQ187Duyw55osgLmQ6dkHl+cSvYkSROvd4EJeR1KJjHb0OTdUD4T312yW5
iYoHOoTHwtIEpaTN7OtK+VXOjQSxCgCMGIIDjDGzGajwqjyYJ/EjajsiMIEbDnuyvtIfJlRtrIQ9
2ua74kB85Xm5N1GJCx0TyS6hbmzb2Ic0Tg8jJWzywkQZAp4edgbaNPgR6nYemuYw21kDzCb1s51o
kEIkllPJcUTfX5ni6b0EP3JQJ+sN+AKPg956Zi8w5+1IdbWhnE7mUai1HSsaIaUGWE1gyP3C89sO
D+GO7FR0/Hdg1RUmwDYBKTGr+885cvdclvR50k4whelVepXs5qZwF4CszW/dH8UBRXns1w+hKz1e
vu82syimBXonCnYdpFM+365VVeWzpCoLpnomO54fB1PCXycj/9lRJI8Eneub0gjiVgCHEYwEczcd
oWaig6+VtUGbh6wbvGq+Hhu0TAaTbTWxVy/64fL6NqOUlUTuzouqdowLBYoTy/MpJpojG7UbFNWe
WP89RAIFHwHquFTXdYxVcCafWEZiBbOG/H0Akti+PEyVdiUHy9kKXy4v6uuNwyRhkkln0Rd6kj8f
mjwakmwkoO2UlKdCv5En5AoEl8CmCIyhWOwxg6Pi9CKrg0ErQrSK9ZXTTIGdD44+CRNdX90zFvIh
hc8AYUoOJHEUcOPMm+hOv0t883YBjnqZ2N1x8hiMjnrdnuJf/x987V+uhs+yuU1cwkrSkypW3Txb
PNrIPgiGnQh1sr84q9USOYc59YFaIEGkukUSWHaRqz+KpngAYZVAzob/+LwezkUC2KEGXw8gn6MD
Y62I0cQM6lgGRaTv0f/mzUfNjm+CayFWAUvTfb5jIZhgVBVc1hYqPJzjmkLggagF6lbJ1YBHnLmb
M/t9muKbhUJPfEY/40P103BSv74pzqIb6atL+Syds7oFnYdkzBXVVRZ1VyqJk7R/Ir3xjfE1z1D4
LETvnk3LWC2X92GKgSMlqeYiYWfnqN3O1k9ddAmJhHBui6JI0VU6mCZocR0NRzNpXZrVAhvftL7V
Sjgblxpj7JQRLG6D3xza3bAffWknniP6end/OqH3UGn1gAvzZYSJQz8keg7iATnL/KpvtT3p2/0C
qjCBIRhfY8rP8jjDRpSc5IUsATNOx2g/nL+PpP2hLPSrWkdldZi9WI7flpp+y4s4tKX/Y+67lis3
lmx/RXHeoYE3N2ZOxMBtT0+2eUFsstnw3uPr7yp2UxssQrs0zX44fJDURkhkIV2lWVkCr1XMvvIq
sKES/S5pgbXpjaJZ9hmZawRWZxUpJjKyQNv3bzItMjmuuOdlzsKSs2OMJl5M9EyDFcqZ5WP0UR4A
lzQCBqmUMkszBlP0H3kxPMS8cCXr3K4FxmOrtVdVp19y2vSkA9RGU4X1JN9iwfUuRmdf0kuf0sw3
fUCooJv3UcFmFqNHXrNWonU4qAx/wjoxykZJo8BlioAd63ltKv1ohjVrk95CUPX2o1DWqcsxNcFh
FRHuL4obO+mK3D9Tq3b1S9meLNUFXtqhZTX/LRvFk4i/9A3PZM+rM60LDRj5xlW3wpO/FtaeLdyE
e3HTu7h1uP0usmAVGZq10I/8ll3KJnI8aNYlmi9+zMDkK3nTrb012XJaWcUhsYRv593MwoXjLUXK
DpZ6GPGVTxD/VyiiWtMOIc5LtMqadXwfUb0lRNm/qPTkMMvAWoJsBVaETNmFp28G74bB0LIJlBDm
SIKE8Q9KYvhuUjytxYq/2pFc0YF+ALo8cP1V9R21ELM7SByzVLtMk6x9xvwtZg8p04HCW6NjnTZg
w/rUQUB6IY/fB2DvnmdtWd1OVCh1a2sPu8ZIoBhD37CRwIwqllP+G3070aBOrxKUSo+Tl8UdAM7E
CWbY6uMf/H29f23D4Xes0S/W8RHGZ9oWGr2v66GIzciAUwGAi7JTUCM9f3gLaSXIH9pAgTwMRId3
ecfGGw2P5KXhTmDdkWjnhGGvVtK6FbUt8Ia+5wI6ROGX9aK4HfLp89hkO0T8TxPcKael6/Pvs8jz
6XVo71YPbdl1KbyNJuyzaT8WB4U51UnE7l2EhSZ2GfOH2FVOd+T3oQBAxkGBR1sVmxTJBH5TbjAU
jnZ5VtZumZ0TKcqMeKWK/ngukuxhHEy/yHf+BJAjIFecP7VlAzljibIiUxxnQlVD0/hrdQWPcB2v
hFWz9tzWll1xLQMBmUFykTOD1zQdiRIZaCNvhbNOpzws+km0p3orNevJ+AR5Oc/VomLPSFDyPzbA
ujcCA1MoXrXRVeOiaVmoSQvpHoj/jAZhc6ZjfgIovrHE/qx2G178hBu97m3PJD3DLGlYtPWk3ASI
APU9bFzU8hhr0DEK0ssu0vt8lZu86ETd7flzWwxEZ2Qog4j8Ven5I4wV6UwmfUa1W26aVfsrqjoj
Q0lABMz+fOBIF2iK6gFAggKz6jbnWWGdGC0CWsOlPiBO7Sq8ycQbbcRu+u0vTDISITh9F0oIsMsH
qykCHFiZ6m6d34d+ZvWBf4jq0f4YP5Q9APaE6nkZKIXpSpXuYOEa9W7yWY2Ji3cEQ1OxMgEdYO/S
UHUS675SQdB8jIdNtpBzVo+uF+MyjAQGRwxSdJd/VyvFWGTY2gZ8rJUSDG4joqFN9y91Pdp0FWtL
j7Zsd/5i7d2Cj5zP1CGD7+Hrp7jT9pF4rPiuNpO4wuInzspq1Q0TLP8cqwutAs49r60lrwFsv4y9
05Xl+ZWl+MdoGOyqr3Gj5dW9USJVwnn7zP/ky0NsanqEOeXckdAx2rapk9fRU9i8XHwsfUSDkpbW
hjW16iHMJ8lO1M7kfcVMen0Xt+GNkWNZgtGFa3kqt8KY3Ss1EpDt0JvNcG94yD0qWG8giy4vPQBI
CuBLNxK2sKLNy8zGyRLVwCoAJTaUgRlHGZZnqfxnseq35VDf6uJNNjZPnpJYRSR8rXTBBFqG1SfV
Wi7vpKBpzcQzvg4rUdpnMuNbL2mjIMLWkywZIBspbSzKMA9rAdnqXrtte0ArSWjvS26rnKUmCy1x
BOXnRInSSGzh0Etdg+kX/Mwcms/TeJV6FyKwcPnvqeRk0XVrrHo9MXtMk/csSBzCBx0gzKlTWspV
Cdqmck2wCyne4za3ntJfyW7OSVAOG/LNjXGFo+y4gxp807M7rI1DD3vnnjc4S+oyp0NlPpApi8Mo
xfBUJD5MuhtzXxtWjzCLBJX3kEeOV/mcx6UwAh5wmK/yIruTDYO1wGDRVyOxQWI2pFHfpbuLSA0a
NYFVG1CQhFauwghgxL2dYc9T/mn6dv7kFmOqOTnq6GI+GquswWWXLHoiGbjyPrUyLNzBQlQzvzRs
4ct5iovqNeOPOkgvxR2qB8AKRsFLW500q8+S1VD67sBHDE1evN/OmKOLuzVwTFu58UgCodnULx27
JLfJLkmSl36nSyem6HKuAHBJTh3RPiGvmo2AhUXBBUlDs+5KS25ozg8V86R6qOh5Poi2xylo+9t7
WP/VGlbUxCY/sSavFu3DjCcq8tHLgvMLNBUBR+cu8r+IPOvrLN1Q5tyQF5hFpa3UlarRIcfXb4sN
KQlma//K/0ed4iytomu6KqyDJwi4ANZOsVEh5tiW01nk3lCtDHtiFilYX4oyrnyaayOfY+9q546O
dtvZJIsUr4Yt58SYMc83kpU48S2zXWMpr44chIJLH6plqPa8PVMp6zKdE+FSDDU9tGO9LvrAkfjM
TeKkN9ucO0rRLZcOji6kq/OKvZg+mNOmeNaiSOMSA2APpGkJLQBW6AA2WIuAOG42L3OeaBitgTbu
sirnyzblxDXlZxRU0IaMw306jQAWcB1q674GiinjprboAmZnS5nKnufbFuM8om10n2CvPC80+Z7R
A/CyXP29JTmxQpnHps4jdKXClZFDlNF82KL/K3PTZ9UGCCA2fHfrYqccGgcjdS5ZOZhZ9TpSLDKb
E1xXDkEvAALF+v8+GYlY5cQ8jdo08AYaTQGBY1dRvu2L8sADl/C8ADHOl17yUGlq3AfIK9tZgjBe
8h5SeTQ7g2f0hrHIUEa05SZ9lEpCBtPcQcF/G/y7sWYtF/8bi/PXh6SRv5O46DwuAhkyMQLH6uqb
DLlcYnC0TeWeP7rlUJLXDAUr6AX1Xbs0Go093eDweeRD+OCtJCTuwhVwKi8HBx3bK1a74GJCDZuy
0T2CH+ABUmIa5UET+XpJ7Gl8IdnlKrYUJz1En4AbZvUb9LvdTxJDPkTicd7pxokoLYOJpnF+HiE0
qmzBLUdL3WoumQtTbnwnPBiWag6OYk2OaCrQg8psrJC5inxRepAMUtH9gNk0hTI1woA7Ay/AK0p1
uKpkeT1E5XcZUPkMZhfpiBihwgUEU+y0w8pTng9Iqc02RFOqj161qwuGwV4mcbp+UA5e7jiuwrIk
0S7l6zZKzKC8AvImg49lr/DXJUfkiceaeXlRClQ5THEHAPzaNW91d2QLTbX2N7LNXzao1lcrObJY
6LvneXvX7SBzsYcaHTxCmV/0/i3nOX7AaBMjX/qdNM4Yo+xIraWdorVQgbB6Qv+P2abHrmmtZLS5
kXPO6zeLFvWpBE5XpFYnQ3yRm/aoV0u8paqXUww3mw2MT7YYzM4Yo+KyqB8LwA8lSD6QqHmlbiTE
zMmW1fu+ABVJrr8otWPvq/we7D/1SmTXIhwgWWlbuMM6B1rfTbEbn4yVaCbbfp18rp16jQqww4KK
XObxRJv6eEJjxGiW59A+uwckPJDm0BAP+KT/e5fuWxap74aKbYaNeDjKKnG5GiMTV/l0c140SNTx
XgxPnFBfa+jzmgsEnKLAXyXSPSc7AZaDYRvdwH2LWTXKxUBr9smI2s2U2Q+CtBELhEB1CUTi/aTu
5PjQcAzDtIA68fbYqEgyBlhRocsvEjjsi025825yx7jkzMBCs49itaTnYCeb1UOwq1YZ070tsinB
VpHue8yXUiU9L4sLwZ9kRO8ZBhOlZO2p8UYNFOTofcYtaFGzZ6QoQYxbWW2DgjSA1Z/TUDKD4jap
n7rYCRvvV/RaQv+XAqRFdGmRV5l9vLJJ/DopsTXdGNGaIF8O/BfjWTMcjIWV0xNg1Rn0loOSGUEq
YJYrjNjHvYJ+sMrkLczOXg6Pnt1ZgxPtigvxF7aQQWxm9KigBMFBPvkpzrJRnVq7V+PP51VtOaaT
SL8sQO/fw+yrKdeGsUSCYFe5bDaxI0dmCMCw7AI3mzULZH9ZCk/UKC0YiokP+5pcBTRsyzR7lEX5
at2MrJTToq+ccUXJRRr2WpqTuDsvPVstSqdShG1Y8ocPnh4lDno1FRjoQ0hDer6wUtDt1vLdABT1
ZgUkzTWD2iJXkHMB12DMob9ctGbSLkx5LzcybuBpqewC1XdQ4DOFAtg1A9qwxsnpxmbT6cV9Hisr
kZ+cUizdii/MXD8mOvdryjB7H8pOi5km8qMC7rl1cBWuy5V6pQKm20RfMiZzDTt8PH8ALP4pU616
YhIjWhbtXENMLMS2UHs2N3QMW80iQwmpiIVjuuAjf1jr2bpP6nutkcy8ib+d52bRTM5Oj5LR2PN6
UdMRzynDxVBvGmWVhJ+i8CCmm/OEWPxQQtq1EjcBlxuBoxdZetG4wtBa4jA558mQx7zz2jN+KFPV
JlGZYMoLplHqTKAvm1NZ22NZfumqCBuLs+tMvT1PcdGanCjSWKk6mgE0sUXjXitNF+koolF73GLA
4TrPVes8qeUzVDQCwg1cBrrVuMli1Q87kmybNrKwy7wrebw5T2I5b43r1ysN8a0z45W0itocNBCk
7lFedjmrcPzDsO0xKcSvhS8sg7J8fieCVChXyeGkZTwpnyLINx6batwExUoMWaVG1uFRdmJS27QN
MtzKpOKgx7vauEfO7IOHR95hZhvrLkRgWiJTR1BEJew7hB9Dkk42f/SaZc/SF9bA07LvnH0wylB4
cqJ6jfeS2OItEYkt0rItm6TfbGTG3cvqdfpYlLkIQ7GtyhGJ/3FwUFfEqnbTEyxZWvWy5ckMx8aS
DMpkyAWn5kCsQEogdvPqvmt6dPJ/DgDecf6zLdpABah92JAmkGv7268W9G0St7GO7L/cma2AVCD8
dREcuG7DruEvK9iMGsVVFABkQFZxhMKluhKtwsXi5MOTagY3PoAdfDSHn+eOyPU7i4hhTcRVuMxi
VOEtd2qka3zSI+b39Auxuxum1fnnL+rV7PmU/LVKKjTZpIh2NF3U+j7Jd03ASBAvDMEhAJ3RoL4Q
MEM7mUuRoErQTo/twoDgENFNL8EgsTZ+LHapzmnR30cSC9TRcV6KSUaEpXWxl9z2Kxk71b42D40j
Wd1gJitW/Y5JmHJdHdpyS02EYGTIfzuZna+ki9zqV8MnDquhSQYOoG/1bXZgWWDGF6S75nR1SqSW
XD4b7KFMk3AVaIYZTzHr2rJYlzp9xZevPLOOvVZz8pjAUkmdFZa3ebwexV3TrGKURqPJ9Oo7X7qX
JIZ2LxcrFQN7GJBbfL+Ph88bNesbOBgEbdtaAziNZsh7OT2OHYqkObq6R3Tzt5m+HjS0u5zXjkWD
OSNOtHPGc4L8wuBPiJZLxQykx1Kx5NAy2tSsWzOfWGvXFr8kWduEBS8Slj1S9+umnLDgSMY9apRv
dYyKChuvYbU3vGwof2dQZkSoCEFXatHPYp1ECOE6uuMd4MWUpreZVtLWKKzeBqADsMu6yPRdgRFF
LrqEGW0qWBD6MNV6gnuu3rfdpSJe6vJ66q7PfzMmh9RHy6Qk4QsV3YnYsjK4ooVWjk17kbgpEHjU
2xJ9d7a2wgwNgeFhWNNld65iWY4Bk40NUpQVqI0p7AYPAXkUPOoZliBGqwnxUKEmaz8Y1qWsfsb6
SasepfswjSxNCZzz3C8fsYF6B2oeqqFRtlaqRWx3JIC56rhO4wuf780SAB3Fp/Nklv2gJkFICToC
UAveakZQI9BMRDR+JJJqquXkYMeM22kJ2QmxNsYRUQW2VwmdG0/GHSYHV3mnYHHGQwkM+vOvsqg1
szehPJiHZQehIKckAnWjdAPQIS78lUOdkaAONVQTbfA6VbR9j7tDEg5gVfwTJymbQGIETUQ232nn
jBLlvoxCSPOMhINj6nAN1jzqX86f1nKJakaBktA0DXJdapHEA1LuVYFkAzCx7OACflE0R/O6XbNQ
w5fzXSeKdJdgH7ad7GfgCbAnDinBZY91ZNb2D6Qa4ypg4bv+DUWyqUURdQmowG+FU674UZwq8EhA
Eqc9Su5buOIrAr5VXo67gPHRliXwRI4yOLLgiaNAdgGUY+sMKiZhgtQMFVavlcgvS8eJEKV03OBh
5UaLrEIxRZi24tMHrTHux6m5DlvP7Qx1G/doLSiBneCjkzHKTYDruFrA6eYop3tdyq7VuL2AJ3XH
Eet2x9Auk+nQhtU68uXRFccHzCvdYLN2Z6mAlwoywQqK0LPGcNzooriHouO5cnXXds3ea+ILLSpa
c8jGfSVwmyjhrb7HFkftXuHiC77FJl8lu05q1QqG8i7m0VlboR2VU1TFlJTBjPjiMAX6ZdR3mzwd
1hLmULr2rjYaM+daKx+7e6yW2VX6daD4phEK90E4WGWRWwOfWD1ZYsk3Oy++4vrmBvCrx2T0gc8N
znRhtLiseWg14DEpqr8zxH47+fK+0GOzHaNPXlltqzze8ga3ivMMLZrCamhSUxweOqx4bQfBxYqc
B43HoKmEwqrYOHWN6dmBt7R2NLVGRVcpOKiEu77mSzPwyhVg2fZtJJpiz68GdbgUu2kDmBAgGN23
ffZQyN1eSr81UeKbBQ/YslLed41CVuiaAwJHfuxXQirHZh95ez0Fus1g2EEhWNogWp7auhr2cccT
JjX8ZqWr45UGG++HCvC1j32D5WUalo52oxkkxXU7pjeCNGI3rSIAeNtQ78sscdJC3rV1bWeFfF2K
mSOHvVmI6aWX12416d+U8knL9cuiER+yqXf7sX2Qfd6d0GwaNmjNCQVEPtMnLY7XntDc5Kmx5aIO
vGumnna5mZYolDZeX9lcho7XKQpMQwxLM/eAQqlj9UdoTDZabG7SRpisSU+PuldYbSCYFYd/o3qC
nU5WnPiHetS/anJ3W5TSIypSTpENGz6NTFFNsEtk+Cqm4mbQi7XA9XaTaDhPgAR36Y6vh10bok8C
vbQcQN5S4dngMG2IhUSGHNwybCmJld5b65M+Uq5Ha1Hp9psMvWAPglu4/nVsFdi0svEtsHqpsorf
y9EFNry+2jXKD/UeSlppVWAueT+53Sbcile1G1xgf+7Ks3JGQwiTGuWLaq7RxrKA18OcpRNcqbi4
ed/Gp8lJ0HPJap1YjFtIiwDuuGQ0h4p9A6PDpnUVlUe1aqBVn7KssrLSjZqCleVZtNYzSlQAXJd6
L/UZKu+o9gATEh12BBriSvzsmdj9ZGcWx2Ru+ShnNCmHBDAKnZ8mfLh6i0W16wyqbIb7eDM5zcp3
NUYJfvnOhKEYgmpAhv4pOUF7otgo2LNrt0Zka5FhptXzgC5xfpLv1ekhikpT7vhHLNK7Z2jE8uGe
KFMyE6qRpo88NIIMa2Zu4IpX8hcRZwqra6OI4KIq2W8HBhYG4eedHs74pWKaXqxKbexQqhnU3vKm
wuxrJx8eevlmMBwGh4s6f6JFN88afhNWXQutqOxqT8ZDI0DvyXf5Jrf5ncoAUFnUCsAUY2pIRBxD
9y0OSlXUEyeJYGxymyzYCnlrSsVzPzwx2Fq86c4oUaasiJB3Lzp8uOGpd0QrA4QE6c0yDv69tyeA
RTAxDuzrJ9Yk0XJV25BIqd7QlHfbU6vaQLsNXJzdT1VoJhjbiGppO2jtqgq1Xd3Lu1H2bqayWFWl
DmePHSrxeFGPtdtLg1vllZ1lrVN7JJYZVkMKh9SW/KOc6Ob5M1o+otOLUmGemlW5OHC4vQq68Z0P
QreT20cuzDBuAhnIDFM1WEgUi+pkaCQlgCgW61DfBrJeCTcrlLAb2hCtFdl34w7VOOYg6BIZRJuC
qkiCAQBZyl7kKtB4dc8gLYYuPPRUPcoR41ZOVJBW0TkJyjBE3tgpRgerS1acZG6zrhwiU790ASeQ
jgDggZ+U6P7CuAnQnabgAk5gUNCE5Hi2iE6dHw3NrO7PJfWEamKBm4gFBQAWePt5kGiUAdeB1HMc
YwUkyUS15oiGxpIheYuXtjkhSg7GsMrBKz5QsNcx7h/f1JbvpNghvpmqlyGIfl0CJZNBdlEsZuxR
XkvrtYRDIQsLcVC8bOLeVPJy3bUsLOjF69qcO0qxxDjJANmUka7wAlc2fZu5ns1fGQcSavyDJM1S
N/icHuF7ltUbVaRO2i6AVdVXI1bt6BeTtE69Yz2slNTShEPW3Z03HUsOak6Rsq66VgRB6EMqG0O2
VCwWrC+y5lESNg1raHJRz2bfjFJlAHAUPyqoMkaBpbXh9C4ppP+inp1En9LnKuWzFgE6GZBBFz+2
3GzjQ7LzfIcH8nu/Zq74W1Y19CwQEH1ZECkXX3pin0s1CtBZ2LnNUJsTXH02NDdDVDDCJwYpiWrN
bP1h0MMEDgkFQdfodAcjoWaEFNcA53teLpYu9KKIrUXY6odGC7r3yPMjeeBjoE/BC7pDnK8TWWLE
u4tKPCNBfaggVZqmSA0k6oLM9AN1kwEh3OhYw9QsTqjvI0WNYBgyJNzDndSIgf7CmppbNoJ/caLQ
LbNdExpjKPvgZE9msqS1imKpdhNaqilY/F1o90z818VI+vSBMFL71lREiacohgITCCh8KwG8Wo7k
X1zgwj6md6LAWVUo222jmG1lfDkvG+c/HG5Fb0lLRo70iAoN8/jr2HBG8Tt2S54nsSjpsxOlDLwa
CfmYeugMq7qdLHwu2vsMwE86w/i9hMTvfP+MDJGdmb2d5EkuVQ4fTm8lt0pbs1efBAPBrOS76ijv
0Kbvatm1UTf3IunzSBvHqwxX1updVoxI6HxLYs/sW+MW6xIs1QjX549h2QHNXpByCMCjj9KwwQtq
WE0MACfDxT4tV7WHwDKwWgULkG0GRdbJkz+fHUlpdNiQHRQEkQV75x1v212GW+8biluVqV/6lrcD
CLUlMmdribaf+xSUe6irppkqHa6PDMZon0UHDVdfosvUEi5aw+wc1R0RR2CZjG8zb6VEYM/RpixR
neik8RfGrnHJ9E7soPnsrnDIqhA2GCNLeyh7hOyv7AEvT8CWTyfqAzNUb2JWLp1Bg668KmirLHqY
dhsJKYV/yvJPidozPASLBmWAPF+dhgoLkuFjDxWGnZHzHFkIaSwr95K+mEljL2djGBPnWhaY3w+2
Y36VyJu8sxrR8fTvenXXJQ8MDVgMiU46R+fox85Ter+CJI5WsffXiZ0fMher4rFGqXaTi2412rnd
8hiu/+CJUtZIUSoxaDNIhgKp07ZicJ8kjwzmltUbG8sEQPlhZpkyKFqmT1qK2hlEvUCSoNwmwD/7
JpsqFhIOVmHi6mNlK4//JXt+IktZlXFEiR5rTeEyBqAn73pRMHvR8pkz8n/jik+EKDMy5OgE6EWC
mrluAYhE5rGxf/BbaROsEZQ9HRQDPsgbZT1QMlDDoEaAIZWDW8pAXGg+81N7rcUGo5zD+ni06fD8
OvBbfDwZ9YAiLS1fQLOKbgtJtWHIybJJ/OscadBOLBwuuXFCQYdPUKROYRFTS5rQcca74v4fzKcR
2X5vgk/0KGuiVahp8ANpBf+cPxAY8WGHUO1hWgF5wo0c9tqDv3GtJ4rkBGamBYvulaQwcnK3479P
drrObpFtjcCid6m7hcIuwZPPc45HKqgR0ojLMgkdnY2rYzcnDnWXwahgJce9uFHNctNekt153J77
wmrWWszzAhf9Ve9f1ufMuNXKPs+Q4kYUfCDTjeG22T2R0XpAkDDhpf4mrDoRo4yMF3NenXTQ9rwy
k81gc2Z6zTnFLjVMA+humlPbGKhGrh6dd9yaDW6+bMFP9Clr02Stj9W4GlrJx3WpfQ4K1P0PQ3E1
srCgFr8o6gK6AShg7FynFHIQNM6Q0NVqx0OKnY+Oyj/zRWqq6V4Z7hOPs0WRoZiLJuBEkdbLrIux
szZCJ06uYRzeGPeF2JtBHGO9knJ73gYsqqQsANKClwRRoxv85ELmkbwOJRttSChnDlecELAqOUTk
36nEjAb1pXhVbApcZMmIgfDZX0sAbkRp9jbGuH1qB1tmdMviiXIP7Si3hgjcT6xp6zdqJ6+0qsTC
aEQvqeaM2DqsTsWqb7O9VASfvIzfTWG97cQ76dcymzPOKa+RD7hehw1ONxZWggckNgRRd+c/4KIa
zEhQ0umnWJMwDIjQjNpu88nMtUdVXeXadc7KoS42UiJqeJUVOuAs0tgbUg9xGrk1ZBgN5EY73sNX
kF7h3D3P12LkOSNG+Ypp8JB4NkDMS1dR+tlQXCX6hfLGnB/KOXhCWQ7o1YScSNxhECMXEK6pX18a
SshgZnHedk6K8gq5h/7hpoANkUvlckRBvQI2rO7VF6qsuFHwtfWzLwArAYKB5mqK5qqpt6vq7DFK
PwVcbtfoYTh/vIsdVKJCdtsaSFUDfPytZ+SKSUqFkEMWEniqMib4ZCe3gOb00qYi3I9r8eY8xcUP
StqkVV2TAXZBHUHYGy0wHTUkxYVh0yL3mbTo0cr79uE8nWUvOJMcYh5mXrCcdD9Fp5RgTwK658sr
Tsc4E/5TRKFM3ZC2nPw6E0yP+xywNtwwLM9L4DojTfriKp1D7m4Q97l8IdYrBm8MU/oiZzMCAKzv
ytyHtpML9GTXFoBUsWOphKvV19mKBW3D4oeypGJU+y1ielxj69ZCGm/n+zJLNVgsUTaykgoR1R/0
Z7Xb4IpsdE4PnSnfaqsGPZLeBQuvYDkknIkHJfhqmY6+1kE8fgCiFG5yyTlkXlCw9F2xYtVQF8X+
RI4u2NZtlQpdATs2ccchyT4DZ8sUsoJRgl6moqCEyQNqAtPLb2U+mZokKCd08XDaqsMyrHA/jYw+
enXRi59IUGolozO4lTOQkPm7knci3Z3qx4QVw7KoEEZnAl60flFwZFqUE590YSXGgyXUriawYhLi
Pt7HJCduyHvM6EywRmGKTgVIQYfQNbD8rbghS6G4DWtidNlDn0hRSiR0VRY3LWFp8gjMcmsc9WpV
+oGdDSxlWrzRoSH2VQ4oZZLQANEmPhJ7lU3WMKDB8pGshjJWGaAWTFakxZI6SpVG4Im2aEMDYj82
tXae7iZpsGqT6/NGb5mKrpPhaGAS0H3pClcMY9ljQjoJeVPJVEA8PgYKIxb4G7NwokIFA6KMIF8K
cO0mMCYkA5tbQHRc/5iEzaz88TxTy/5XPtGjNDZAAbAWyXxS7TT7FIlQz55SMzEHdImKZvRVvWHB
0Syr1okipcB+P4SqH+G2L1TroFxLKOUna8VnmAkiYe8V60SFUmA0/rTY74OeEV6/bdOnsD8KMvaS
TxO6YnbonzPPnyMRsXPkKD0uNK1O6hzmVVzpWwKLQQqO7ML+siM8cUXpcF3oRSbUOub/tGAzBMNF
kKbOxzihVBebQoOAJwAffXMfGJsw3PbtXdlvAmFlpJ/k7uE8OabAU8rbikUixB66lkivlGrlqxhL
wXU7AVQQGY2qWKlkxhHSfdiFLMWl4rUEO8cJpkPRfjnPEEO8aXRWuYtCxLnY5qEWlhBmjoGGhC5D
5ayxzxNatud/yYJCWYqm1JK2bUFIh4THGz2+CPoUKydvU319nhKLJcpGCCnnA/gdTorTtwpGfyTl
c6miSJMcz9NZBH3BQl9R1Q0FE9v03Eg+1VLmTQJi89Gs9sBvWik30i65jVf+anRVN7aTFb9D8nj1
DxaRLbriE3H6WtnqXVqNJGsVbOKLdD3tRsk0vpJrZbFKc8bHW3QmM2LkZWZ+PxCmzJ9qRDGR76g9
oL3XWJbMOE0WDUpAeCnSco+MqpEIU9t7sUmQBsnqOPFbh3rDERfmHasZiEWUkpWaG5pQiRDWpnrq
Tv33xAv3RcKadl3OAczOj2j57PxktW79qgWZaBOu021gP6mXL+UEdgMwSy4IxzNSqlCLFQZ9fvR4
oG/Fyg+YMnAkJ7z8pUBmxhXlRfpA0dHF+XJ4dpRdaJ3jsabrmCdHuRCAlFT62CKpp38dMaCJbMMF
vyF9m8E1C+Bo0W7M2KFcCSDi+qjscHIBd0iqVVVf+N41loWfl/NF1zujQjkQri4boUlBpYyASF0C
TUazJ1wR681UhlYT73qF1YJOpOudtz+RpC9TXtOUYx7CIBacG/QPRr85zxLr+ZR18KcR+3EnmKIK
Mxu8FDyGGWviefnbnPIulBhUGLKMQ8AM27HR2rke2HxgqlmBgZ2v53lZNggnQpQQ6D72GwEdAZra
yA7PGa6KLS+l97NH9L+ehv/nP+dXP06//vd/49dPeTFWoR801C//fVk8Z7dN9fzcHI7Ff5P/9a+/
+u+3v8T/+fPJ9rE5vvmFA0DjZrxun6vx5rluk+b8n/54B7wiedBVHmbNXf7uEf/oL73w9rcP+uP5
5b3uxuL5f/71lLcZMCRunv0wz/7184823/7nXzok6b/ePeiFmXMPSI7guf2GJ8vqn6oow/OKEIgk
z/yfvy/+CWAoSUNvFsF0JD8vhGaH+He8v3ubhfM5/3fOvfmPUyGsC2QC9mO8S38qSEWiwiIDEwg/
ULvZEQjin4JKflsn/8AP/hj0/oOOAIiQHz0C/k/JAKyzija1lx+c6ewIOJyQIkuIX7Et/uXnP+4M
CCL/h6RAEf7kDcHQNYwtv/y8VQQBJ6RDBDT9pxj8x50AueJ/6ARk7U8FeBpIyVOsy38K2I6EGwe6
DsnPfx7rpNH9Q7xLxp8qVj1hBOMt75z2p4E/wMIFNJi/isU/1f5/YCL+8hBWECbfXhxI+FzPvBDz
L7za0PcPmPkHjDwZ/3rzN4lD+fHsk4P59xv/8mLhZn9IXPDsl2/+bv3uL//k/eWtftKa/9YbTt+8
2OufvP7mOnyujtVTgKCUOOifTF0cU3it//3uB8csrJvjG28IYTi96Duv+ZecnH3y9Fw9HsPo7YMR
43z4wVX6nIXH1wcRDwaJ++hTzWPmJ8dvz3Xw+izyYIKV/NEnH8Zjlh6r1we9PPZ3vHDQ0h8N5uuj
L4s55ew5fH0OeVeCh/TRp1rH9DH/9vabEaS0jz73tgr/2B+z+I0wyLitf/TBULrs7UN/g+CuERT+
sSP/uP3fm9d3JEcskEH9j77yJvuWZ8/120MGYvZveTL91N+gFttj8dY0CGQ67aOnsBsrf5xocyaQ
GYyPPvoir5oA3696fiMZyGt9/Nm3ebv87N8gGLvjdIyD90fyG/R6f8zrV+ZfBFlC1PvRcz4cn475
OxUh2eAPPxm6lyeULJOdxR9+8DH5FnbPb8+CNO3+hgcfR1qn1d/w5S6ei2Py+n4vn077DZ/u6lgd
n56TPzZ1csy+vT0O/bc8P34XqmDg9JWPxSv+PwpWrhA7hkURwoC+PowcygvA/Ue/4W2Y+ccCZuPN
k0lnyUeffBccQ3LQr096eWWSfvjwg49R+P6kRfE3fMK7IwqGb2JNDKb/hjduq5iEhbSZE3+HRbqf
Hp8XjoNc8j560g/hc5Md09cHvXzB32HqLuumyrs/Nk1btcUf//WH0+RV3rQ/NXNOTlCw0+j1N35d
g34S3LXZsQ7CCiRf/zNcIqrJqvRxordFdWySccne/H/urmapkeQIv0rfdjfCE6ZbgODiCCSEmAGx
LNKw4b2VpBpUS0vFtLphxYYjfPFD+OzTHnzz0TfexE/iL7tVs8pSIwl1ehhP7GWBiezq7Kz8zy9r
QBKXMBlmOIx10FLT1B2XvtEuZrVXUYcW2UjvzLnWHZlbC28eXPv0v4UOXXzo/iHg2GpIH1YVuo6K
1UzhAyUm/s9f/z69pZ/ayUwNFU5wqvp2rNxXY/qwjlGU2i4S4lVP0DNjm7w519OUaUUAFWDrjYRg
aAQFt07cp388NsrOEC+Z4IdsMlTWvQF9S8pYRNRvVfWlju3t0IKBPXWLMNKMlSNZPAWNoHsCH+9M
oc5kbhdp07a3faBWut9tf4sv1ZvYvBmMjHoznWaOHp1//gyBb99FpF1CWUAHnau7dOS5NQVr1hqu
sszKpwx185nMkkuwvPzvc1kjxqJl/yCqnFlaPP//LFnU0LF5ZBc2EpC5poXRDq7MgN0XCbe8FQdd
Fd+roWXZl7pAnNnOVKrH0KOLkkylnapKBEmCYZYopnZxu6sTvgCDE3WTsRNj41Z1ypcKHgwne7iW
7KLAtigviaTt57lw+wfAHIkODtHND6AXGDSMzLCbPL8/K5K1r5OrbWub3PDoVSKougJiH6caSZjg
3tO/k1sz4+qitrdO3F5PLqLaHlDjqkrCCql5pRR/E9dzyK6nhA/ZRrPAxA8+qYhUVQF29C9mwBw0
bASqTrar0GAQXKIUkugAMXPQMR8zjQqtI53bYglF+35iUj0MuiksBFPj0a6EtQR/ExUHR2OdeCaz
8CSe/wA4zEZBSVMlpt/XPEpH2bqGAuaqXEtB//UucLgDIJWv8AIfxX2U6NgNFrgQR6gXJAmjutZL
hnJDm83Kql+GxAM/K1XVqyoFeJ43JuNpklCArJ2Csbk6ONXJo76x917dhxaEChxeJRlXBQKeYgNz
ILip7Auut6/rP+GxpnIlCzAJmK4qF94m2jcX+wIC15qm1rscNG1d9bTNR01RsCNExqEuIAonZslm
EsJ+1dOeqMTqsiwYweBWJp6oyYC5cdQrV5Vq2/RhxlJeF5dI5bfRfziZ6pk7In269eHI+mvR1slY
TThZCT7Aj+LcPRS4Fc3EojGRiW+4I0D3NEMtI2FMCGnWoKo0vEXVyCtkoFFOgG4KyHZHhiQh73Ws
etp3OvEELJRoFHmHBHBHzTRzSUMJC3Su0ntPGiTaL85NOsp81ySk8b6qHO7G9l7d+keuVSd8bqDX
Uz1B4tlwPtMGkqrHPs9+0eh0yRKe4JQoFHVsPARP3BlzWabBpapH7tiJ8sKtPQFFgRJDyg8rUe+5
0OlIJ6QpmDcV1gX8YbR3PCiuKyRMM/rvfcV2KHBBLtGMkmEfhROAXB4kwm8sXfBvdL5cvqqc0Y32
2/bQU+nOv33JAuUEaM3ETFjOACCvAqTvkDRwZIjDeZt4ZU7cKwR0yZARpkGYyoQf9JAbDyCPSpA1
KXo5fTGOJEze+9sELGbOJdKy1c88z8GcofViaHnYKNEeeA3nagC5a6Kd1h02l489ARMFjQwDpW8S
LtASUU0XLbncqEZ1AW6jVK0D+wHXkN0WLNOMZBQzeuPQFabR4MhPT0hGAsbqzE7tPeM2oNB3MUrr
vu322unpb3RvykKz+m4tPEBL/EGIjQA7UW13/eNeL7WG0RbI3ya5cZRyJlBkSxUSnhe3A6QX1/yb
L6M93k+yAvnIl4r5K2+YXT2aIOgdkP5wdHLbjeYO97OTthfS9Ys4OcY5tykvo9jKEnvHdHORYfUM
1cuIFl20ZdnrvPxSifYRJR+V1+BJWfGKrC26c0vOXMNOjSUN9zJ+fE83gWs1LPc+2MXEDCZVa3Us
7cUWxmqicYkByxtfd+4Dex+zSjXsIsbMEqqhu0tcyn4flYS/vVHtADKjPEEsq7d6n3mLB3X01N6h
Z2rMeVfHGOLh3kGEPbMhmqX2sKjN5902D1M3o0T3HSW6sHVsVKH/MO2Gyc56uLpVdFP2fSq9BM+E
Oge7qMJgWwhwVsP6DsatVnocxWNfz2wUbXKbmI2Fj7JkFhbPP6/NL/6qhQtH3QP5yBd7lvuL++Wq
wkVDjcgVXfzENBOqifjMaeSFU254H5qzOy/1L9ED1kZLPwqMiblzJ8xtCEH8Vz3wW2R7HZWcKCHU
VSY6TZTmsaoEc3HWj+5w+Vklwp13Nhl6LJDwYs+yB2VSdtqaAGfPNWqDvIgNm+Qes73cfo8sgKOS
s3ZfIJ7+AXYoYVSXLdvLr1hXZUMTHCXKD20ICreq5HaBl8ActUhiSmkentKZg9bYoInZ6xSQ6Kv7
Ed21QQPTcY4L9B1hHt2P2wvHnzVa7R2ZnKpEgfDCBhC6b6aBn2lAdOQetv2Z25SHC7pZf4gZATj1
7CruRjsSarmXTfploR6hAgCfdZUnsqE5OepnQSebMomcUxfg0a9XrW7r6rp1/JeAhAd1tGBJ/uFg
7QCecD+MDiKsadxd7Tbmr1VmrD9Pqx8Fa8745026JD///zPb8Q16f5gMCCjnI5qNY0QFzEjDplOM
+zCyhF1WVS03kErmGkggDYQdSxgOMO50pNgkpoeaIzVcpCmR37zSd1k/NgPKuqEkEjRpspE9pOZ+
2l5lHuuxHcA24THrnycggZgS14nlzszKoHRDpdm0GDbhg6qEXVhVBpsgkHfifaAc0eQTjxxlkh8J
a9tUdzq41smQpWIIZaPqGxz/bFCsTJnE7wvYkdbN7I7ZV4mJ1dZHtNxb6L04aGfIMTKdQisdqnKj
lRggYDGyEsnxVjoy9o6ra4lpox6ufRu4CpzygUBM0cYAGFOuBwKy1gbMCOPtclIu+z3dtOHNXhYE
tKlWl4Tm079SHQy/eXtvDR/bDSWM15mezBgrSjK1L+fFuen7XgGWPldnBob0bDpixgW1EQG6pu9x
YVfAhnfQ6n6jphh1cSckNRxKmBG05tiUzyuGK7NvGwoxTWM+MB0c7gnwF2Q9ogK3uANDOvDbRQR0
b0dl0L5+IjyUMEYd+0haEs3+TCIkek8vDBxxRlVCsedUuVYPJXpPC2X5pmGmU5WxUy/XMF6ufq7g
5vMpE2zrdk/Z3gft6tlgpOPYy49I9DLOqzq59+YOmiczJBoau1TB5+05kURDY5cGWFRwroH1ww5N
6OBVPaAuen/86plE+rebeRlV1C2qn7ZnecgT1QSsXffpHzbo2fHTb/lUwGXy9M/JwPAqaFQT4DVy
RcYrlKEHQIAravLo69FIIiP8/mbpgkv0kCLovsXMRXCipszHiCT6MYFxZzwHORIZLEZSA30OzL5G
+wKe509LDn0k0Tf5kxn3Vf+BawyJjH6hQ5fvt0RDZgMoIj14RqxuhMxj9Tty1J9xjLs6oG2AEXa4
i0I4MptolV+rn14xqVlS4q6a5Fx8m3mOdPFXLV5iffZPDva5mKaoBIsQUkNM1dfiTUdfRENRafcP
Fkmvk+oynn+eJPqnyc+qX2PxFdYLWYkMuQOsquMfJVmfB9frOFs8aCVNiD+AE3KPoKGSPtwZRzR3
GN0P27u5SL5nJubpdwmEMDot4C+m7oR5MCwQZlPyCR0TasyBKiRqoxfqXiFCmdfRFg8uAbTYVDMU
GcuKdBJDGk1P9iTi+GM7hqfBuwUlfAJHtzxxLQFeCIgAH3lAogYK6JUhBvcz7pRLxLCn6NBgPh1W
6joB3P5uv8Mt8b5fKFHfx9AD+aB+YkOitEEt6FMKNFkWP5SoZlxiPDO1BPfD3X2JGn+B8XBm0nSa
6+oLfW+Y6hNBuiuecp4NeI4mkuhE72GOxQzVMD9+z/bRtukEMLc0EsOAPURcBX+akEs7LVOGEcDO
q6cTcsiNa4PpYUBvUBs8lSoLrbCEtCmR/G0gh2imo+DaACenVMmjeaH6e73vrnyCQBaigaE8r/IQ
SaBWNdGdC3Bdx4JcpCRSll3Ffa6IFtdXzkYRYEsLLd0ItTN+jSXSocU1hoOUjp5+i/V45k5MXMEG
Vvfj9oofwK8p5lbwBN4thUBToiBavEBhBYJvT/Ip/e/cqeklaugQ/oLjirIGdOfhb9us87IQY/Ff
sxBXMI4txg+qvtcXGMiWzVpIzHNiQOSDjW9L/P99zJMBguhwfx/TWbRLZX1duuwLf56ouRgN+Qq/
e3JDip3X8ldi4W5YBm0Amd0DKZDou24k6pGnECXKBKSfWDZVoiLetLH1+zkksKBbA0RMHAJTAlHt
BOHdYETNOF5nh0Ty90TFt89OTgr4pu0MW1lYFgcAt854VjD5KGMDDJOJRrhyBGnD20HI+khBMScl
PNirfuJLnWSOCjkN4Xqluj5h9j7J/MNGEjfkGlXVR6D2sQ+HYSj3As99uNczA2WzfF+hUSjACNEu
rsaWfRwJP7oB5CU/5SrhnpO6taVhosS6mIbN7nVa4sZIVLCalgL3b880EJknN9+VhfASAXU+rEtj
AASwAX1Z9hwJEJqmtc7hY4GeBBLNO5UgC1TyHSTqnyfmZ+OUD2lPiSUqJ0DxoIkgByGaIyuYQbK8
3WklGueGhmVuxWlN7NL2KAlw6AbA8JMS7h8IZFbnZ8+L0CSllGL6NF5Pi8E4TJCEuUTymcGJSAyw
nWqgwcxZlL9DZ3CMBFDsfseuBEbwncA9Z+3W2+dT+7DgXDl6ufmX2AXi8nBYSQatEeQj7kEP+WSD
Bm7uwkjA9LyzI+B5QZMfpTZm3QKhxDIcApGhmtGV1h8YqyQCiTPscugjwcUJC9yN5ijBoBvqcyV3
L5SACb1U8XiGVrRlpkvAHBcNoV7eD0uEHZ+2l/0L/RA0VVwCJiOBsHNhvD5TiRGCazXB7AN30yUy
rBfouuVUJSwKMfgnjaZmvpgKYDfVP96lSQfIjJc6bYDyF3iAukOhn16hZLZAZsNK7HffCih0+GdT
bD4p37y2jCyTvXjSokg2n+oYJd0/BEdTlHSm2KBe1KlI00BBYntQM5uMmP+PDQvVP0rP3iLmY5Ia
SbjoPUzN8dNKtBj0MgC8eYcVkMwf8Xnhx5KPc5KlWLPl+EpmG3gn7sftNeOPcNVKrEUk4YUvBYaR
xMB1xwyB2bhsggAsKDH60qSdgFSudvrG8ZhYvofqSr0OMJY9gIXtYLnTerTI10tDlKHVVE1DLL4N
Cd2q9S2fJ+deBo7zhb3lItNKSk5zHg5ihAR/+i8AAAD//w==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215347</xdr:colOff>
      <xdr:row>0</xdr:row>
      <xdr:rowOff>0</xdr:rowOff>
    </xdr:from>
    <xdr:to>
      <xdr:col>23</xdr:col>
      <xdr:colOff>257175</xdr:colOff>
      <xdr:row>3</xdr:row>
      <xdr:rowOff>91108</xdr:rowOff>
    </xdr:to>
    <xdr:sp macro="" textlink="">
      <xdr:nvSpPr>
        <xdr:cNvPr id="4" name="TITLE TEXT">
          <a:extLst>
            <a:ext uri="{FF2B5EF4-FFF2-40B4-BE49-F238E27FC236}">
              <a16:creationId xmlns:a16="http://schemas.microsoft.com/office/drawing/2014/main" id="{64573A09-B621-9968-252C-19EC733F59DC}"/>
            </a:ext>
          </a:extLst>
        </xdr:cNvPr>
        <xdr:cNvSpPr txBox="1"/>
      </xdr:nvSpPr>
      <xdr:spPr>
        <a:xfrm>
          <a:off x="3872947" y="0"/>
          <a:ext cx="10405028" cy="57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SPORT CLIMBING DASHBOARD  -  ASCENTS</a:t>
          </a:r>
          <a:r>
            <a:rPr lang="en-US" sz="3200" b="1" baseline="0">
              <a:solidFill>
                <a:schemeClr val="bg1"/>
              </a:solidFill>
            </a:rPr>
            <a:t> ABOVE 7A</a:t>
          </a:r>
          <a:r>
            <a:rPr lang="en-US" sz="3200" b="1">
              <a:solidFill>
                <a:schemeClr val="bg1"/>
              </a:solidFill>
            </a:rPr>
            <a:t> </a:t>
          </a:r>
        </a:p>
      </xdr:txBody>
    </xdr:sp>
    <xdr:clientData/>
  </xdr:twoCellAnchor>
  <xdr:twoCellAnchor>
    <xdr:from>
      <xdr:col>1</xdr:col>
      <xdr:colOff>85725</xdr:colOff>
      <xdr:row>51</xdr:row>
      <xdr:rowOff>9524</xdr:rowOff>
    </xdr:from>
    <xdr:to>
      <xdr:col>26</xdr:col>
      <xdr:colOff>190500</xdr:colOff>
      <xdr:row>74</xdr:row>
      <xdr:rowOff>19050</xdr:rowOff>
    </xdr:to>
    <xdr:sp macro="" textlink="">
      <xdr:nvSpPr>
        <xdr:cNvPr id="23" name="SHAPE SLICERS">
          <a:extLst>
            <a:ext uri="{FF2B5EF4-FFF2-40B4-BE49-F238E27FC236}">
              <a16:creationId xmlns:a16="http://schemas.microsoft.com/office/drawing/2014/main" id="{F19EB346-DAF3-4604-A6A9-388F3150803B}"/>
            </a:ext>
          </a:extLst>
        </xdr:cNvPr>
        <xdr:cNvSpPr/>
      </xdr:nvSpPr>
      <xdr:spPr bwMode="auto">
        <a:xfrm>
          <a:off x="485775" y="7296149"/>
          <a:ext cx="15344775" cy="3733801"/>
        </a:xfrm>
        <a:prstGeom prst="roundRect">
          <a:avLst>
            <a:gd name="adj" fmla="val 3171"/>
          </a:avLst>
        </a:prstGeom>
        <a:solidFill>
          <a:schemeClr val="accent3">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SLICERS</a:t>
          </a:r>
        </a:p>
      </xdr:txBody>
    </xdr:sp>
    <xdr:clientData/>
  </xdr:twoCellAnchor>
  <xdr:twoCellAnchor editAs="oneCell">
    <xdr:from>
      <xdr:col>1</xdr:col>
      <xdr:colOff>257177</xdr:colOff>
      <xdr:row>53</xdr:row>
      <xdr:rowOff>95250</xdr:rowOff>
    </xdr:from>
    <xdr:to>
      <xdr:col>3</xdr:col>
      <xdr:colOff>137797</xdr:colOff>
      <xdr:row>62</xdr:row>
      <xdr:rowOff>20955</xdr:rowOff>
    </xdr:to>
    <mc:AlternateContent xmlns:mc="http://schemas.openxmlformats.org/markup-compatibility/2006" xmlns:a14="http://schemas.microsoft.com/office/drawing/2010/main">
      <mc:Choice Requires="a14">
        <xdr:graphicFrame macro="">
          <xdr:nvGraphicFramePr>
            <xdr:cNvPr id="10" name="SLICER - GRADE">
              <a:extLst>
                <a:ext uri="{FF2B5EF4-FFF2-40B4-BE49-F238E27FC236}">
                  <a16:creationId xmlns:a16="http://schemas.microsoft.com/office/drawing/2014/main" id="{85130E2B-67A8-422B-AC5D-9EDA832CAD1B}"/>
                </a:ext>
              </a:extLst>
            </xdr:cNvPr>
            <xdr:cNvGraphicFramePr/>
          </xdr:nvGraphicFramePr>
          <xdr:xfrm>
            <a:off x="0" y="0"/>
            <a:ext cx="0" cy="0"/>
          </xdr:xfrm>
          <a:graphic>
            <a:graphicData uri="http://schemas.microsoft.com/office/drawing/2010/slicer">
              <sle:slicer xmlns:sle="http://schemas.microsoft.com/office/drawing/2010/slicer" name="SLICER - GRADE"/>
            </a:graphicData>
          </a:graphic>
        </xdr:graphicFrame>
      </mc:Choice>
      <mc:Fallback xmlns="">
        <xdr:sp macro="" textlink="">
          <xdr:nvSpPr>
            <xdr:cNvPr id="0" name=""/>
            <xdr:cNvSpPr>
              <a:spLocks noTextEdit="1"/>
            </xdr:cNvSpPr>
          </xdr:nvSpPr>
          <xdr:spPr>
            <a:xfrm>
              <a:off x="657227" y="7705725"/>
              <a:ext cx="109728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333375</xdr:colOff>
      <xdr:row>53</xdr:row>
      <xdr:rowOff>114300</xdr:rowOff>
    </xdr:from>
    <xdr:to>
      <xdr:col>11</xdr:col>
      <xdr:colOff>172085</xdr:colOff>
      <xdr:row>62</xdr:row>
      <xdr:rowOff>19685</xdr:rowOff>
    </xdr:to>
    <mc:AlternateContent xmlns:mc="http://schemas.openxmlformats.org/markup-compatibility/2006" xmlns:a14="http://schemas.microsoft.com/office/drawing/2010/main">
      <mc:Choice Requires="a14">
        <xdr:graphicFrame macro="">
          <xdr:nvGraphicFramePr>
            <xdr:cNvPr id="12" name="SLICER -YEAR">
              <a:extLst>
                <a:ext uri="{FF2B5EF4-FFF2-40B4-BE49-F238E27FC236}">
                  <a16:creationId xmlns:a16="http://schemas.microsoft.com/office/drawing/2014/main" id="{B1F5F930-BF2F-4ED6-8ACE-31E8C5A8A241}"/>
                </a:ext>
              </a:extLst>
            </xdr:cNvPr>
            <xdr:cNvGraphicFramePr/>
          </xdr:nvGraphicFramePr>
          <xdr:xfrm>
            <a:off x="0" y="0"/>
            <a:ext cx="0" cy="0"/>
          </xdr:xfrm>
          <a:graphic>
            <a:graphicData uri="http://schemas.microsoft.com/office/drawing/2010/slicer">
              <sle:slicer xmlns:sle="http://schemas.microsoft.com/office/drawing/2010/slicer" name="SLICER -YEAR"/>
            </a:graphicData>
          </a:graphic>
        </xdr:graphicFrame>
      </mc:Choice>
      <mc:Fallback xmlns="">
        <xdr:sp macro="" textlink="">
          <xdr:nvSpPr>
            <xdr:cNvPr id="0" name=""/>
            <xdr:cNvSpPr>
              <a:spLocks noTextEdit="1"/>
            </xdr:cNvSpPr>
          </xdr:nvSpPr>
          <xdr:spPr>
            <a:xfrm>
              <a:off x="4391025" y="7724775"/>
              <a:ext cx="22860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190501</xdr:colOff>
      <xdr:row>53</xdr:row>
      <xdr:rowOff>104775</xdr:rowOff>
    </xdr:from>
    <xdr:to>
      <xdr:col>7</xdr:col>
      <xdr:colOff>288290</xdr:colOff>
      <xdr:row>62</xdr:row>
      <xdr:rowOff>21590</xdr:rowOff>
    </xdr:to>
    <mc:AlternateContent xmlns:mc="http://schemas.openxmlformats.org/markup-compatibility/2006" xmlns:a14="http://schemas.microsoft.com/office/drawing/2010/main">
      <mc:Choice Requires="a14">
        <xdr:graphicFrame macro="">
          <xdr:nvGraphicFramePr>
            <xdr:cNvPr id="8" name="SLICER - TRIES">
              <a:extLst>
                <a:ext uri="{FF2B5EF4-FFF2-40B4-BE49-F238E27FC236}">
                  <a16:creationId xmlns:a16="http://schemas.microsoft.com/office/drawing/2014/main" id="{6BBBFC27-8631-4E61-8737-10FF091236E4}"/>
                </a:ext>
              </a:extLst>
            </xdr:cNvPr>
            <xdr:cNvGraphicFramePr/>
          </xdr:nvGraphicFramePr>
          <xdr:xfrm>
            <a:off x="0" y="0"/>
            <a:ext cx="0" cy="0"/>
          </xdr:xfrm>
          <a:graphic>
            <a:graphicData uri="http://schemas.microsoft.com/office/drawing/2010/slicer">
              <sle:slicer xmlns:sle="http://schemas.microsoft.com/office/drawing/2010/slicer" name="SLICER - TRIES"/>
            </a:graphicData>
          </a:graphic>
        </xdr:graphicFrame>
      </mc:Choice>
      <mc:Fallback xmlns="">
        <xdr:sp macro="" textlink="">
          <xdr:nvSpPr>
            <xdr:cNvPr id="0" name=""/>
            <xdr:cNvSpPr>
              <a:spLocks noTextEdit="1"/>
            </xdr:cNvSpPr>
          </xdr:nvSpPr>
          <xdr:spPr>
            <a:xfrm>
              <a:off x="1809751" y="7715250"/>
              <a:ext cx="2533649"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238124</xdr:colOff>
      <xdr:row>53</xdr:row>
      <xdr:rowOff>123825</xdr:rowOff>
    </xdr:from>
    <xdr:to>
      <xdr:col>13</xdr:col>
      <xdr:colOff>573404</xdr:colOff>
      <xdr:row>62</xdr:row>
      <xdr:rowOff>38100</xdr:rowOff>
    </xdr:to>
    <mc:AlternateContent xmlns:mc="http://schemas.openxmlformats.org/markup-compatibility/2006" xmlns:a14="http://schemas.microsoft.com/office/drawing/2010/main">
      <mc:Choice Requires="a14">
        <xdr:graphicFrame macro="">
          <xdr:nvGraphicFramePr>
            <xdr:cNvPr id="18" name="SLICER - MONTH">
              <a:extLst>
                <a:ext uri="{FF2B5EF4-FFF2-40B4-BE49-F238E27FC236}">
                  <a16:creationId xmlns:a16="http://schemas.microsoft.com/office/drawing/2014/main" id="{1D5167AA-C6C7-B360-097D-800D0660F2D0}"/>
                </a:ext>
              </a:extLst>
            </xdr:cNvPr>
            <xdr:cNvGraphicFramePr/>
          </xdr:nvGraphicFramePr>
          <xdr:xfrm>
            <a:off x="0" y="0"/>
            <a:ext cx="0" cy="0"/>
          </xdr:xfrm>
          <a:graphic>
            <a:graphicData uri="http://schemas.microsoft.com/office/drawing/2010/slicer">
              <sle:slicer xmlns:sle="http://schemas.microsoft.com/office/drawing/2010/slicer" name="SLICER - MONTH"/>
            </a:graphicData>
          </a:graphic>
        </xdr:graphicFrame>
      </mc:Choice>
      <mc:Fallback xmlns="">
        <xdr:sp macro="" textlink="">
          <xdr:nvSpPr>
            <xdr:cNvPr id="0" name=""/>
            <xdr:cNvSpPr>
              <a:spLocks noTextEdit="1"/>
            </xdr:cNvSpPr>
          </xdr:nvSpPr>
          <xdr:spPr>
            <a:xfrm>
              <a:off x="6734174" y="7734300"/>
              <a:ext cx="155448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53</xdr:row>
      <xdr:rowOff>123825</xdr:rowOff>
    </xdr:from>
    <xdr:to>
      <xdr:col>17</xdr:col>
      <xdr:colOff>21590</xdr:colOff>
      <xdr:row>62</xdr:row>
      <xdr:rowOff>38100</xdr:rowOff>
    </xdr:to>
    <mc:AlternateContent xmlns:mc="http://schemas.openxmlformats.org/markup-compatibility/2006" xmlns:a14="http://schemas.microsoft.com/office/drawing/2010/main">
      <mc:Choice Requires="a14">
        <xdr:graphicFrame macro="">
          <xdr:nvGraphicFramePr>
            <xdr:cNvPr id="2" name="SLICER - HEIGHT RANGE">
              <a:extLst>
                <a:ext uri="{FF2B5EF4-FFF2-40B4-BE49-F238E27FC236}">
                  <a16:creationId xmlns:a16="http://schemas.microsoft.com/office/drawing/2014/main" id="{86F51416-C7D8-B16C-23B8-43D078F846D3}"/>
                </a:ext>
              </a:extLst>
            </xdr:cNvPr>
            <xdr:cNvGraphicFramePr/>
          </xdr:nvGraphicFramePr>
          <xdr:xfrm>
            <a:off x="0" y="0"/>
            <a:ext cx="0" cy="0"/>
          </xdr:xfrm>
          <a:graphic>
            <a:graphicData uri="http://schemas.microsoft.com/office/drawing/2010/slicer">
              <sle:slicer xmlns:sle="http://schemas.microsoft.com/office/drawing/2010/slicer" name="SLICER - HEIGHT RANGE"/>
            </a:graphicData>
          </a:graphic>
        </xdr:graphicFrame>
      </mc:Choice>
      <mc:Fallback xmlns="">
        <xdr:sp macro="" textlink="">
          <xdr:nvSpPr>
            <xdr:cNvPr id="0" name=""/>
            <xdr:cNvSpPr>
              <a:spLocks noTextEdit="1"/>
            </xdr:cNvSpPr>
          </xdr:nvSpPr>
          <xdr:spPr>
            <a:xfrm>
              <a:off x="8343900" y="7734300"/>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533400</xdr:colOff>
      <xdr:row>53</xdr:row>
      <xdr:rowOff>123826</xdr:rowOff>
    </xdr:from>
    <xdr:to>
      <xdr:col>17</xdr:col>
      <xdr:colOff>19685</xdr:colOff>
      <xdr:row>62</xdr:row>
      <xdr:rowOff>38101</xdr:rowOff>
    </xdr:to>
    <mc:AlternateContent xmlns:mc="http://schemas.openxmlformats.org/markup-compatibility/2006" xmlns:a14="http://schemas.microsoft.com/office/drawing/2010/main">
      <mc:Choice Requires="a14">
        <xdr:graphicFrame macro="">
          <xdr:nvGraphicFramePr>
            <xdr:cNvPr id="14" name="SLICER - HEIGHT" hidden="1">
              <a:extLst>
                <a:ext uri="{FF2B5EF4-FFF2-40B4-BE49-F238E27FC236}">
                  <a16:creationId xmlns:a16="http://schemas.microsoft.com/office/drawing/2014/main" id="{8E4E9217-EC51-4756-B3ED-C5FF362B2900}"/>
                </a:ext>
              </a:extLst>
            </xdr:cNvPr>
            <xdr:cNvGraphicFramePr/>
          </xdr:nvGraphicFramePr>
          <xdr:xfrm>
            <a:off x="0" y="0"/>
            <a:ext cx="0" cy="0"/>
          </xdr:xfrm>
          <a:graphic>
            <a:graphicData uri="http://schemas.microsoft.com/office/drawing/2010/slicer">
              <sle:slicer xmlns:sle="http://schemas.microsoft.com/office/drawing/2010/slicer" name="SLICER - HEIGHT"/>
            </a:graphicData>
          </a:graphic>
        </xdr:graphicFrame>
      </mc:Choice>
      <mc:Fallback xmlns="">
        <xdr:sp macro="" textlink="">
          <xdr:nvSpPr>
            <xdr:cNvPr id="0" name=""/>
            <xdr:cNvSpPr>
              <a:spLocks noTextEdit="1"/>
            </xdr:cNvSpPr>
          </xdr:nvSpPr>
          <xdr:spPr>
            <a:xfrm>
              <a:off x="8248650" y="7734301"/>
              <a:ext cx="1933575"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104775</xdr:colOff>
      <xdr:row>53</xdr:row>
      <xdr:rowOff>133350</xdr:rowOff>
    </xdr:from>
    <xdr:to>
      <xdr:col>26</xdr:col>
      <xdr:colOff>59688</xdr:colOff>
      <xdr:row>73</xdr:row>
      <xdr:rowOff>21590</xdr:rowOff>
    </xdr:to>
    <mc:AlternateContent xmlns:mc="http://schemas.openxmlformats.org/markup-compatibility/2006" xmlns:a14="http://schemas.microsoft.com/office/drawing/2010/main">
      <mc:Choice Requires="a14">
        <xdr:graphicFrame macro="">
          <xdr:nvGraphicFramePr>
            <xdr:cNvPr id="7" name="SLICER - PARTNER">
              <a:extLst>
                <a:ext uri="{FF2B5EF4-FFF2-40B4-BE49-F238E27FC236}">
                  <a16:creationId xmlns:a16="http://schemas.microsoft.com/office/drawing/2014/main" id="{EEA71A99-160A-4EBA-98ED-5A0B8B5920FE}"/>
                </a:ext>
              </a:extLst>
            </xdr:cNvPr>
            <xdr:cNvGraphicFramePr/>
          </xdr:nvGraphicFramePr>
          <xdr:xfrm>
            <a:off x="0" y="0"/>
            <a:ext cx="0" cy="0"/>
          </xdr:xfrm>
          <a:graphic>
            <a:graphicData uri="http://schemas.microsoft.com/office/drawing/2010/slicer">
              <sle:slicer xmlns:sle="http://schemas.microsoft.com/office/drawing/2010/slicer" name="SLICER - PARTNER"/>
            </a:graphicData>
          </a:graphic>
        </xdr:graphicFrame>
      </mc:Choice>
      <mc:Fallback xmlns="">
        <xdr:sp macro="" textlink="">
          <xdr:nvSpPr>
            <xdr:cNvPr id="0" name=""/>
            <xdr:cNvSpPr>
              <a:spLocks noTextEdit="1"/>
            </xdr:cNvSpPr>
          </xdr:nvSpPr>
          <xdr:spPr>
            <a:xfrm>
              <a:off x="10258425" y="7743825"/>
              <a:ext cx="5438773" cy="3108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257174</xdr:colOff>
      <xdr:row>62</xdr:row>
      <xdr:rowOff>152401</xdr:rowOff>
    </xdr:from>
    <xdr:to>
      <xdr:col>17</xdr:col>
      <xdr:colOff>38100</xdr:colOff>
      <xdr:row>73</xdr:row>
      <xdr:rowOff>21590</xdr:rowOff>
    </xdr:to>
    <mc:AlternateContent xmlns:mc="http://schemas.openxmlformats.org/markup-compatibility/2006" xmlns:a14="http://schemas.microsoft.com/office/drawing/2010/main">
      <mc:Choice Requires="a14">
        <xdr:graphicFrame macro="">
          <xdr:nvGraphicFramePr>
            <xdr:cNvPr id="11" name="SLICER - CRAG">
              <a:extLst>
                <a:ext uri="{FF2B5EF4-FFF2-40B4-BE49-F238E27FC236}">
                  <a16:creationId xmlns:a16="http://schemas.microsoft.com/office/drawing/2014/main" id="{8126757E-8BF2-467C-8FC0-9001F583447B}"/>
                </a:ext>
              </a:extLst>
            </xdr:cNvPr>
            <xdr:cNvGraphicFramePr/>
          </xdr:nvGraphicFramePr>
          <xdr:xfrm>
            <a:off x="0" y="0"/>
            <a:ext cx="0" cy="0"/>
          </xdr:xfrm>
          <a:graphic>
            <a:graphicData uri="http://schemas.microsoft.com/office/drawing/2010/slicer">
              <sle:slicer xmlns:sle="http://schemas.microsoft.com/office/drawing/2010/slicer" name="SLICER - CRAG"/>
            </a:graphicData>
          </a:graphic>
        </xdr:graphicFrame>
      </mc:Choice>
      <mc:Fallback xmlns="">
        <xdr:sp macro="" textlink="">
          <xdr:nvSpPr>
            <xdr:cNvPr id="0" name=""/>
            <xdr:cNvSpPr>
              <a:spLocks noTextEdit="1"/>
            </xdr:cNvSpPr>
          </xdr:nvSpPr>
          <xdr:spPr>
            <a:xfrm>
              <a:off x="657224" y="9220201"/>
              <a:ext cx="9534526"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133350</xdr:colOff>
      <xdr:row>12</xdr:row>
      <xdr:rowOff>85725</xdr:rowOff>
    </xdr:from>
    <xdr:to>
      <xdr:col>6</xdr:col>
      <xdr:colOff>194310</xdr:colOff>
      <xdr:row>49</xdr:row>
      <xdr:rowOff>38100</xdr:rowOff>
    </xdr:to>
    <xdr:sp macro="" textlink="">
      <xdr:nvSpPr>
        <xdr:cNvPr id="20" name="SHAPE GRADES">
          <a:extLst>
            <a:ext uri="{FF2B5EF4-FFF2-40B4-BE49-F238E27FC236}">
              <a16:creationId xmlns:a16="http://schemas.microsoft.com/office/drawing/2014/main" id="{4186994B-3A1C-4C2E-AF03-01D9F5AB0BE3}"/>
            </a:ext>
          </a:extLst>
        </xdr:cNvPr>
        <xdr:cNvSpPr/>
      </xdr:nvSpPr>
      <xdr:spPr bwMode="auto">
        <a:xfrm>
          <a:off x="742950" y="1219200"/>
          <a:ext cx="3108960" cy="5943600"/>
        </a:xfrm>
        <a:prstGeom prst="roundRect">
          <a:avLst>
            <a:gd name="adj" fmla="val 3873"/>
          </a:avLst>
        </a:prstGeom>
        <a:solidFill>
          <a:schemeClr val="accent5">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GRADES</a:t>
          </a:r>
          <a:r>
            <a:rPr lang="en-US" sz="2400" b="1" baseline="0">
              <a:solidFill>
                <a:schemeClr val="bg1"/>
              </a:solidFill>
            </a:rPr>
            <a:t> &amp; ATTEMPTS</a:t>
          </a:r>
          <a:endParaRPr lang="en-US" sz="2400" b="1">
            <a:solidFill>
              <a:schemeClr val="bg1"/>
            </a:solidFill>
          </a:endParaRPr>
        </a:p>
      </xdr:txBody>
    </xdr:sp>
    <xdr:clientData/>
  </xdr:twoCellAnchor>
  <xdr:twoCellAnchor>
    <xdr:from>
      <xdr:col>1</xdr:col>
      <xdr:colOff>304800</xdr:colOff>
      <xdr:row>27</xdr:row>
      <xdr:rowOff>38100</xdr:rowOff>
    </xdr:from>
    <xdr:to>
      <xdr:col>6</xdr:col>
      <xdr:colOff>0</xdr:colOff>
      <xdr:row>37</xdr:row>
      <xdr:rowOff>64770</xdr:rowOff>
    </xdr:to>
    <xdr:graphicFrame macro="">
      <xdr:nvGraphicFramePr>
        <xdr:cNvPr id="16" name="% OF FLASH, OS, RP - AREA">
          <a:extLst>
            <a:ext uri="{FF2B5EF4-FFF2-40B4-BE49-F238E27FC236}">
              <a16:creationId xmlns:a16="http://schemas.microsoft.com/office/drawing/2014/main" id="{1DCA95E9-B5A4-4C67-BA0F-1E3D063C9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304800</xdr:colOff>
      <xdr:row>27</xdr:row>
      <xdr:rowOff>38100</xdr:rowOff>
    </xdr:from>
    <xdr:to>
      <xdr:col>6</xdr:col>
      <xdr:colOff>0</xdr:colOff>
      <xdr:row>37</xdr:row>
      <xdr:rowOff>64770</xdr:rowOff>
    </xdr:to>
    <xdr:graphicFrame macro="">
      <xdr:nvGraphicFramePr>
        <xdr:cNvPr id="25" name="% OF FLASH, OS, RP - COL" hidden="1">
          <a:extLst>
            <a:ext uri="{FF2B5EF4-FFF2-40B4-BE49-F238E27FC236}">
              <a16:creationId xmlns:a16="http://schemas.microsoft.com/office/drawing/2014/main" id="{B5A2D451-ADC2-41B2-97BD-0A54CD433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304799</xdr:colOff>
      <xdr:row>38</xdr:row>
      <xdr:rowOff>47625</xdr:rowOff>
    </xdr:from>
    <xdr:to>
      <xdr:col>5</xdr:col>
      <xdr:colOff>609599</xdr:colOff>
      <xdr:row>48</xdr:row>
      <xdr:rowOff>74295</xdr:rowOff>
    </xdr:to>
    <xdr:graphicFrame macro="">
      <xdr:nvGraphicFramePr>
        <xdr:cNvPr id="24" name="AVG TRIES PER ASCENT">
          <a:extLst>
            <a:ext uri="{FF2B5EF4-FFF2-40B4-BE49-F238E27FC236}">
              <a16:creationId xmlns:a16="http://schemas.microsoft.com/office/drawing/2014/main" id="{4C8CA6BD-6034-47A5-B7A9-5D4AAB1FB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314325</xdr:colOff>
      <xdr:row>16</xdr:row>
      <xdr:rowOff>38100</xdr:rowOff>
    </xdr:from>
    <xdr:to>
      <xdr:col>6</xdr:col>
      <xdr:colOff>9525</xdr:colOff>
      <xdr:row>26</xdr:row>
      <xdr:rowOff>64770</xdr:rowOff>
    </xdr:to>
    <xdr:graphicFrame macro="">
      <xdr:nvGraphicFramePr>
        <xdr:cNvPr id="17" name="GRADES - BARS">
          <a:extLst>
            <a:ext uri="{FF2B5EF4-FFF2-40B4-BE49-F238E27FC236}">
              <a16:creationId xmlns:a16="http://schemas.microsoft.com/office/drawing/2014/main" id="{87814E02-32E1-42CE-81AF-47DD15DD9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295275</xdr:colOff>
      <xdr:row>15</xdr:row>
      <xdr:rowOff>104775</xdr:rowOff>
    </xdr:from>
    <xdr:to>
      <xdr:col>5</xdr:col>
      <xdr:colOff>600075</xdr:colOff>
      <xdr:row>26</xdr:row>
      <xdr:rowOff>76200</xdr:rowOff>
    </xdr:to>
    <xdr:graphicFrame macro="">
      <xdr:nvGraphicFramePr>
        <xdr:cNvPr id="3" name="GRADES - PIE" hidden="1">
          <a:extLst>
            <a:ext uri="{FF2B5EF4-FFF2-40B4-BE49-F238E27FC236}">
              <a16:creationId xmlns:a16="http://schemas.microsoft.com/office/drawing/2014/main" id="{756429E7-F27A-46FC-B3BB-239F03A37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304800</xdr:colOff>
      <xdr:row>15</xdr:row>
      <xdr:rowOff>95250</xdr:rowOff>
    </xdr:from>
    <xdr:to>
      <xdr:col>6</xdr:col>
      <xdr:colOff>0</xdr:colOff>
      <xdr:row>26</xdr:row>
      <xdr:rowOff>66675</xdr:rowOff>
    </xdr:to>
    <xdr:graphicFrame macro="">
      <xdr:nvGraphicFramePr>
        <xdr:cNvPr id="6" name="GRADES - PYRAMID" hidden="1">
          <a:extLst>
            <a:ext uri="{FF2B5EF4-FFF2-40B4-BE49-F238E27FC236}">
              <a16:creationId xmlns:a16="http://schemas.microsoft.com/office/drawing/2014/main" id="{2104439C-A11B-451C-9452-1E55A401E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314326</xdr:colOff>
      <xdr:row>33</xdr:row>
      <xdr:rowOff>19050</xdr:rowOff>
    </xdr:from>
    <xdr:to>
      <xdr:col>6</xdr:col>
      <xdr:colOff>9526</xdr:colOff>
      <xdr:row>48</xdr:row>
      <xdr:rowOff>59055</xdr:rowOff>
    </xdr:to>
    <xdr:graphicFrame macro="">
      <xdr:nvGraphicFramePr>
        <xdr:cNvPr id="32" name="NUMBER OF TRIES - HIST" hidden="1">
          <a:extLst>
            <a:ext uri="{FF2B5EF4-FFF2-40B4-BE49-F238E27FC236}">
              <a16:creationId xmlns:a16="http://schemas.microsoft.com/office/drawing/2014/main" id="{823E08BB-3398-4FEA-9102-2EDCE7B10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400050</xdr:colOff>
      <xdr:row>12</xdr:row>
      <xdr:rowOff>76200</xdr:rowOff>
    </xdr:from>
    <xdr:to>
      <xdr:col>13</xdr:col>
      <xdr:colOff>64770</xdr:colOff>
      <xdr:row>49</xdr:row>
      <xdr:rowOff>28575</xdr:rowOff>
    </xdr:to>
    <xdr:sp macro="" textlink="">
      <xdr:nvSpPr>
        <xdr:cNvPr id="19" name="SHAPE TIME">
          <a:extLst>
            <a:ext uri="{FF2B5EF4-FFF2-40B4-BE49-F238E27FC236}">
              <a16:creationId xmlns:a16="http://schemas.microsoft.com/office/drawing/2014/main" id="{B9EA52CF-D35B-4A8C-A24C-94760A17BAE8}"/>
            </a:ext>
          </a:extLst>
        </xdr:cNvPr>
        <xdr:cNvSpPr/>
      </xdr:nvSpPr>
      <xdr:spPr bwMode="auto">
        <a:xfrm>
          <a:off x="4057650" y="1209675"/>
          <a:ext cx="3931920" cy="5943600"/>
        </a:xfrm>
        <a:prstGeom prst="roundRect">
          <a:avLst>
            <a:gd name="adj" fmla="val 2940"/>
          </a:avLst>
        </a:prstGeom>
        <a:solidFill>
          <a:schemeClr val="accent6">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TIME FEATURES</a:t>
          </a:r>
        </a:p>
      </xdr:txBody>
    </xdr:sp>
    <xdr:clientData/>
  </xdr:twoCellAnchor>
  <xdr:twoCellAnchor>
    <xdr:from>
      <xdr:col>6</xdr:col>
      <xdr:colOff>523873</xdr:colOff>
      <xdr:row>33</xdr:row>
      <xdr:rowOff>76200</xdr:rowOff>
    </xdr:from>
    <xdr:to>
      <xdr:col>12</xdr:col>
      <xdr:colOff>523873</xdr:colOff>
      <xdr:row>48</xdr:row>
      <xdr:rowOff>87630</xdr:rowOff>
    </xdr:to>
    <xdr:graphicFrame macro="">
      <xdr:nvGraphicFramePr>
        <xdr:cNvPr id="34" name="MONTHS - HIST">
          <a:extLst>
            <a:ext uri="{FF2B5EF4-FFF2-40B4-BE49-F238E27FC236}">
              <a16:creationId xmlns:a16="http://schemas.microsoft.com/office/drawing/2014/main" id="{67AAF358-4A88-4EF2-90B9-DA57A6DB8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533400</xdr:colOff>
      <xdr:row>15</xdr:row>
      <xdr:rowOff>95250</xdr:rowOff>
    </xdr:from>
    <xdr:to>
      <xdr:col>12</xdr:col>
      <xdr:colOff>533400</xdr:colOff>
      <xdr:row>32</xdr:row>
      <xdr:rowOff>85725</xdr:rowOff>
    </xdr:to>
    <xdr:graphicFrame macro="">
      <xdr:nvGraphicFramePr>
        <xdr:cNvPr id="33" name="YEARS - HIST">
          <a:extLst>
            <a:ext uri="{FF2B5EF4-FFF2-40B4-BE49-F238E27FC236}">
              <a16:creationId xmlns:a16="http://schemas.microsoft.com/office/drawing/2014/main" id="{59939449-3C2B-4B87-BA75-EA818BFDC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285749</xdr:colOff>
      <xdr:row>12</xdr:row>
      <xdr:rowOff>85724</xdr:rowOff>
    </xdr:from>
    <xdr:to>
      <xdr:col>26</xdr:col>
      <xdr:colOff>133349</xdr:colOff>
      <xdr:row>26</xdr:row>
      <xdr:rowOff>13334</xdr:rowOff>
    </xdr:to>
    <xdr:sp macro="" textlink="">
      <xdr:nvSpPr>
        <xdr:cNvPr id="22" name="SHAPE HABITS">
          <a:extLst>
            <a:ext uri="{FF2B5EF4-FFF2-40B4-BE49-F238E27FC236}">
              <a16:creationId xmlns:a16="http://schemas.microsoft.com/office/drawing/2014/main" id="{6A219843-E070-4387-A839-FC9093BEB3BA}"/>
            </a:ext>
          </a:extLst>
        </xdr:cNvPr>
        <xdr:cNvSpPr/>
      </xdr:nvSpPr>
      <xdr:spPr bwMode="auto">
        <a:xfrm>
          <a:off x="8210549" y="1219199"/>
          <a:ext cx="7772400" cy="2194560"/>
        </a:xfrm>
        <a:prstGeom prst="roundRect">
          <a:avLst>
            <a:gd name="adj" fmla="val 4907"/>
          </a:avLst>
        </a:prstGeom>
        <a:solidFill>
          <a:srgbClr val="7030A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HABITS </a:t>
          </a:r>
          <a:r>
            <a:rPr lang="en-US" sz="2400" b="1" baseline="0">
              <a:solidFill>
                <a:schemeClr val="bg1"/>
              </a:solidFill>
            </a:rPr>
            <a:t>&amp; PREFERENCES</a:t>
          </a:r>
          <a:endParaRPr lang="en-US" sz="2400" b="1">
            <a:solidFill>
              <a:schemeClr val="bg1"/>
            </a:solidFill>
          </a:endParaRPr>
        </a:p>
      </xdr:txBody>
    </xdr:sp>
    <xdr:clientData/>
  </xdr:twoCellAnchor>
  <xdr:twoCellAnchor>
    <xdr:from>
      <xdr:col>13</xdr:col>
      <xdr:colOff>390525</xdr:colOff>
      <xdr:row>15</xdr:row>
      <xdr:rowOff>38100</xdr:rowOff>
    </xdr:from>
    <xdr:to>
      <xdr:col>17</xdr:col>
      <xdr:colOff>329565</xdr:colOff>
      <xdr:row>25</xdr:row>
      <xdr:rowOff>64770</xdr:rowOff>
    </xdr:to>
    <xdr:graphicFrame macro="">
      <xdr:nvGraphicFramePr>
        <xdr:cNvPr id="5" name="ASCENT PER HEIGHT - BARS">
          <a:extLst>
            <a:ext uri="{FF2B5EF4-FFF2-40B4-BE49-F238E27FC236}">
              <a16:creationId xmlns:a16="http://schemas.microsoft.com/office/drawing/2014/main" id="{7BF2E903-E3E5-4578-9079-37D29AF46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447674</xdr:colOff>
      <xdr:row>15</xdr:row>
      <xdr:rowOff>38100</xdr:rowOff>
    </xdr:from>
    <xdr:to>
      <xdr:col>22</xdr:col>
      <xdr:colOff>325754</xdr:colOff>
      <xdr:row>25</xdr:row>
      <xdr:rowOff>64770</xdr:rowOff>
    </xdr:to>
    <xdr:graphicFrame macro="">
      <xdr:nvGraphicFramePr>
        <xdr:cNvPr id="31" name="PARTNERS - HIST">
          <a:extLst>
            <a:ext uri="{FF2B5EF4-FFF2-40B4-BE49-F238E27FC236}">
              <a16:creationId xmlns:a16="http://schemas.microsoft.com/office/drawing/2014/main" id="{F118D34E-3889-49DE-824E-67ABA808A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285751</xdr:colOff>
      <xdr:row>27</xdr:row>
      <xdr:rowOff>19049</xdr:rowOff>
    </xdr:from>
    <xdr:to>
      <xdr:col>26</xdr:col>
      <xdr:colOff>133351</xdr:colOff>
      <xdr:row>49</xdr:row>
      <xdr:rowOff>9524</xdr:rowOff>
    </xdr:to>
    <xdr:sp macro="" textlink="">
      <xdr:nvSpPr>
        <xdr:cNvPr id="21" name="SHAPES COUNTRIES">
          <a:extLst>
            <a:ext uri="{FF2B5EF4-FFF2-40B4-BE49-F238E27FC236}">
              <a16:creationId xmlns:a16="http://schemas.microsoft.com/office/drawing/2014/main" id="{07C4E6F5-191C-4AF6-9B80-6B9082440F2C}"/>
            </a:ext>
          </a:extLst>
        </xdr:cNvPr>
        <xdr:cNvSpPr/>
      </xdr:nvSpPr>
      <xdr:spPr bwMode="auto">
        <a:xfrm>
          <a:off x="8210551" y="3581399"/>
          <a:ext cx="7772400" cy="3552825"/>
        </a:xfrm>
        <a:prstGeom prst="roundRect">
          <a:avLst>
            <a:gd name="adj" fmla="val 3171"/>
          </a:avLst>
        </a:prstGeom>
        <a:solidFill>
          <a:srgbClr val="C0000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                                                         COUNTRIES &amp; PLACES</a:t>
          </a:r>
        </a:p>
      </xdr:txBody>
    </xdr:sp>
    <xdr:clientData/>
  </xdr:twoCellAnchor>
  <xdr:twoCellAnchor>
    <xdr:from>
      <xdr:col>20</xdr:col>
      <xdr:colOff>180975</xdr:colOff>
      <xdr:row>30</xdr:row>
      <xdr:rowOff>28575</xdr:rowOff>
    </xdr:from>
    <xdr:to>
      <xdr:col>25</xdr:col>
      <xdr:colOff>607695</xdr:colOff>
      <xdr:row>48</xdr:row>
      <xdr:rowOff>66675</xdr:rowOff>
    </xdr:to>
    <xdr:graphicFrame macro="">
      <xdr:nvGraphicFramePr>
        <xdr:cNvPr id="13" name="FAVORITE CRAGS - PIE">
          <a:extLst>
            <a:ext uri="{FF2B5EF4-FFF2-40B4-BE49-F238E27FC236}">
              <a16:creationId xmlns:a16="http://schemas.microsoft.com/office/drawing/2014/main" id="{82DF5BF3-B8EA-4AA1-BF34-978CB8C39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180975</xdr:colOff>
      <xdr:row>30</xdr:row>
      <xdr:rowOff>133350</xdr:rowOff>
    </xdr:from>
    <xdr:to>
      <xdr:col>25</xdr:col>
      <xdr:colOff>607695</xdr:colOff>
      <xdr:row>47</xdr:row>
      <xdr:rowOff>114300</xdr:rowOff>
    </xdr:to>
    <xdr:graphicFrame macro="">
      <xdr:nvGraphicFramePr>
        <xdr:cNvPr id="15" name="FAVORITE CRAGS - HIST" hidden="1">
          <a:extLst>
            <a:ext uri="{FF2B5EF4-FFF2-40B4-BE49-F238E27FC236}">
              <a16:creationId xmlns:a16="http://schemas.microsoft.com/office/drawing/2014/main" id="{FDF1097C-CD6C-47CC-9371-19C2EB82F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409575</xdr:colOff>
      <xdr:row>27</xdr:row>
      <xdr:rowOff>123824</xdr:rowOff>
    </xdr:from>
    <xdr:to>
      <xdr:col>20</xdr:col>
      <xdr:colOff>57150</xdr:colOff>
      <xdr:row>48</xdr:row>
      <xdr:rowOff>66674</xdr:rowOff>
    </xdr:to>
    <mc:AlternateContent xmlns:mc="http://schemas.openxmlformats.org/markup-compatibility/2006">
      <mc:Choice xmlns:cx4="http://schemas.microsoft.com/office/drawing/2016/5/10/chartex" Requires="cx4">
        <xdr:graphicFrame macro="">
          <xdr:nvGraphicFramePr>
            <xdr:cNvPr id="9" name="MAP">
              <a:extLst>
                <a:ext uri="{FF2B5EF4-FFF2-40B4-BE49-F238E27FC236}">
                  <a16:creationId xmlns:a16="http://schemas.microsoft.com/office/drawing/2014/main" id="{75DD9675-E223-4B75-9C97-33ECB09BC0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361045" y="4754879"/>
              <a:ext cx="4046220" cy="3539490"/>
            </a:xfrm>
            <a:prstGeom prst="rect">
              <a:avLst/>
            </a:prstGeom>
            <a:solidFill>
              <a:prstClr val="white"/>
            </a:solidFill>
            <a:ln w="1">
              <a:solidFill>
                <a:prstClr val="green"/>
              </a:solidFill>
            </a:ln>
          </xdr:spPr>
          <xdr:txBody>
            <a:bodyPr vertOverflow="clip" horzOverflow="clip"/>
            <a:lstStyle/>
            <a:p>
              <a:r>
                <a:rPr lang="en-AT"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552450</xdr:colOff>
      <xdr:row>29</xdr:row>
      <xdr:rowOff>114300</xdr:rowOff>
    </xdr:from>
    <xdr:to>
      <xdr:col>19</xdr:col>
      <xdr:colOff>66675</xdr:colOff>
      <xdr:row>46</xdr:row>
      <xdr:rowOff>104775</xdr:rowOff>
    </xdr:to>
    <xdr:graphicFrame macro="">
      <xdr:nvGraphicFramePr>
        <xdr:cNvPr id="30" name="COUNTRIES - PIE" hidden="1">
          <a:extLst>
            <a:ext uri="{FF2B5EF4-FFF2-40B4-BE49-F238E27FC236}">
              <a16:creationId xmlns:a16="http://schemas.microsoft.com/office/drawing/2014/main" id="{CAF06053-0CF7-4605-AA0B-CBCD580B0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438148</xdr:colOff>
      <xdr:row>15</xdr:row>
      <xdr:rowOff>38100</xdr:rowOff>
    </xdr:from>
    <xdr:to>
      <xdr:col>26</xdr:col>
      <xdr:colOff>11428</xdr:colOff>
      <xdr:row>25</xdr:row>
      <xdr:rowOff>64770</xdr:rowOff>
    </xdr:to>
    <xdr:graphicFrame macro="">
      <xdr:nvGraphicFramePr>
        <xdr:cNvPr id="27" name="PARTNERS - HIST">
          <a:extLst>
            <a:ext uri="{FF2B5EF4-FFF2-40B4-BE49-F238E27FC236}">
              <a16:creationId xmlns:a16="http://schemas.microsoft.com/office/drawing/2014/main" id="{549408C3-21FF-48CB-89A2-8637AA5C0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134618</xdr:colOff>
      <xdr:row>4</xdr:row>
      <xdr:rowOff>111759</xdr:rowOff>
    </xdr:from>
    <xdr:to>
      <xdr:col>26</xdr:col>
      <xdr:colOff>116618</xdr:colOff>
      <xdr:row>11</xdr:row>
      <xdr:rowOff>135890</xdr:rowOff>
    </xdr:to>
    <xdr:sp macro="" textlink="">
      <xdr:nvSpPr>
        <xdr:cNvPr id="26" name="SHAPE HABITS">
          <a:extLst>
            <a:ext uri="{FF2B5EF4-FFF2-40B4-BE49-F238E27FC236}">
              <a16:creationId xmlns:a16="http://schemas.microsoft.com/office/drawing/2014/main" id="{0E4E3B13-F091-4684-A4FF-71A9886B8DC9}"/>
            </a:ext>
          </a:extLst>
        </xdr:cNvPr>
        <xdr:cNvSpPr/>
      </xdr:nvSpPr>
      <xdr:spPr bwMode="auto">
        <a:xfrm>
          <a:off x="553718" y="751839"/>
          <a:ext cx="15984000" cy="1144271"/>
        </a:xfrm>
        <a:prstGeom prst="roundRect">
          <a:avLst>
            <a:gd name="adj" fmla="val 10240"/>
          </a:avLst>
        </a:prstGeom>
        <a:solidFill>
          <a:srgbClr val="00206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OVERVIEW</a:t>
          </a:r>
        </a:p>
      </xdr:txBody>
    </xdr:sp>
    <xdr:clientData/>
  </xdr:twoCellAnchor>
  <xdr:twoCellAnchor>
    <xdr:from>
      <xdr:col>15</xdr:col>
      <xdr:colOff>534669</xdr:colOff>
      <xdr:row>6</xdr:row>
      <xdr:rowOff>158115</xdr:rowOff>
    </xdr:from>
    <xdr:to>
      <xdr:col>20</xdr:col>
      <xdr:colOff>215539</xdr:colOff>
      <xdr:row>10</xdr:row>
      <xdr:rowOff>139365</xdr:rowOff>
    </xdr:to>
    <xdr:grpSp>
      <xdr:nvGrpSpPr>
        <xdr:cNvPr id="48" name="Group 47">
          <a:extLst>
            <a:ext uri="{FF2B5EF4-FFF2-40B4-BE49-F238E27FC236}">
              <a16:creationId xmlns:a16="http://schemas.microsoft.com/office/drawing/2014/main" id="{37293C6A-1963-D0A0-B9C6-A7298B7E5FF6}"/>
            </a:ext>
          </a:extLst>
        </xdr:cNvPr>
        <xdr:cNvGrpSpPr/>
      </xdr:nvGrpSpPr>
      <xdr:grpSpPr>
        <a:xfrm>
          <a:off x="9753212" y="1203629"/>
          <a:ext cx="2824452" cy="671274"/>
          <a:chOff x="759459" y="1182371"/>
          <a:chExt cx="2880000" cy="641650"/>
        </a:xfrm>
      </xdr:grpSpPr>
      <xdr:sp macro="" textlink="">
        <xdr:nvSpPr>
          <xdr:cNvPr id="28" name="SHAPE HABITS">
            <a:extLst>
              <a:ext uri="{FF2B5EF4-FFF2-40B4-BE49-F238E27FC236}">
                <a16:creationId xmlns:a16="http://schemas.microsoft.com/office/drawing/2014/main" id="{52712B81-AE6B-40AD-9E5D-BB13513D3159}"/>
              </a:ext>
            </a:extLst>
          </xdr:cNvPr>
          <xdr:cNvSpPr/>
        </xdr:nvSpPr>
        <xdr:spPr bwMode="auto">
          <a:xfrm>
            <a:off x="759459" y="1182371"/>
            <a:ext cx="2880000" cy="64165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tx1">
                    <a:lumMod val="75000"/>
                    <a:lumOff val="25000"/>
                  </a:schemeClr>
                </a:solidFill>
              </a:rPr>
              <a:t>TOTAL ASCENTS</a:t>
            </a:r>
          </a:p>
        </xdr:txBody>
      </xdr:sp>
      <xdr:sp macro="" textlink="'PIVOTS &amp; CALCULATIONS'!AN11">
        <xdr:nvSpPr>
          <xdr:cNvPr id="40" name="Deliveries_On_Time_Percentage">
            <a:extLst>
              <a:ext uri="{FF2B5EF4-FFF2-40B4-BE49-F238E27FC236}">
                <a16:creationId xmlns:a16="http://schemas.microsoft.com/office/drawing/2014/main" id="{95F9E798-6F63-487A-BBEE-BCAA190BCA0A}"/>
              </a:ext>
            </a:extLst>
          </xdr:cNvPr>
          <xdr:cNvSpPr txBox="1"/>
        </xdr:nvSpPr>
        <xdr:spPr>
          <a:xfrm>
            <a:off x="1795779" y="1463041"/>
            <a:ext cx="703581" cy="35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7510B0-3F76-4634-A74A-F25B045CE696}" type="TxLink">
              <a:rPr lang="en-US" sz="1600" b="0" i="0" u="none" strike="noStrike">
                <a:solidFill>
                  <a:srgbClr val="000000"/>
                </a:solidFill>
                <a:latin typeface="Arial"/>
                <a:cs typeface="Arial"/>
              </a:rPr>
              <a:pPr algn="ctr"/>
              <a:t>214</a:t>
            </a:fld>
            <a:endParaRPr lang="en-AT" sz="3200">
              <a:solidFill>
                <a:schemeClr val="tx1">
                  <a:lumMod val="75000"/>
                  <a:lumOff val="25000"/>
                </a:schemeClr>
              </a:solidFill>
            </a:endParaRPr>
          </a:p>
        </xdr:txBody>
      </xdr:sp>
    </xdr:grpSp>
    <xdr:clientData/>
  </xdr:twoCellAnchor>
  <xdr:twoCellAnchor>
    <xdr:from>
      <xdr:col>7</xdr:col>
      <xdr:colOff>154939</xdr:colOff>
      <xdr:row>6</xdr:row>
      <xdr:rowOff>137795</xdr:rowOff>
    </xdr:from>
    <xdr:to>
      <xdr:col>11</xdr:col>
      <xdr:colOff>484779</xdr:colOff>
      <xdr:row>10</xdr:row>
      <xdr:rowOff>159685</xdr:rowOff>
    </xdr:to>
    <xdr:grpSp>
      <xdr:nvGrpSpPr>
        <xdr:cNvPr id="51" name="Group 50">
          <a:extLst>
            <a:ext uri="{FF2B5EF4-FFF2-40B4-BE49-F238E27FC236}">
              <a16:creationId xmlns:a16="http://schemas.microsoft.com/office/drawing/2014/main" id="{7CE8CB25-7B2E-1920-5D18-A03EE82A7E59}"/>
            </a:ext>
          </a:extLst>
        </xdr:cNvPr>
        <xdr:cNvGrpSpPr/>
      </xdr:nvGrpSpPr>
      <xdr:grpSpPr>
        <a:xfrm>
          <a:off x="4337656" y="1177594"/>
          <a:ext cx="2845848" cy="723344"/>
          <a:chOff x="4419898" y="1091901"/>
          <a:chExt cx="2896286" cy="658758"/>
        </a:xfrm>
      </xdr:grpSpPr>
      <xdr:sp macro="" textlink="">
        <xdr:nvSpPr>
          <xdr:cNvPr id="29" name="SHAPE HABITS">
            <a:extLst>
              <a:ext uri="{FF2B5EF4-FFF2-40B4-BE49-F238E27FC236}">
                <a16:creationId xmlns:a16="http://schemas.microsoft.com/office/drawing/2014/main" id="{94ED0401-46C2-4F86-ADC7-7CB6570468FB}"/>
              </a:ext>
            </a:extLst>
          </xdr:cNvPr>
          <xdr:cNvSpPr/>
        </xdr:nvSpPr>
        <xdr:spPr bwMode="auto">
          <a:xfrm>
            <a:off x="4419898" y="1091901"/>
            <a:ext cx="2896286" cy="658758"/>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MAX GRADE</a:t>
            </a:r>
          </a:p>
        </xdr:txBody>
      </xdr:sp>
      <xdr:sp macro="" textlink="'PIVOTS &amp; CALCULATIONS'!AN10">
        <xdr:nvSpPr>
          <xdr:cNvPr id="42" name="Deliveries_On_Time_Percentage">
            <a:extLst>
              <a:ext uri="{FF2B5EF4-FFF2-40B4-BE49-F238E27FC236}">
                <a16:creationId xmlns:a16="http://schemas.microsoft.com/office/drawing/2014/main" id="{3CA69702-99B7-4FFC-B18C-92F2D9BC98C1}"/>
              </a:ext>
            </a:extLst>
          </xdr:cNvPr>
          <xdr:cNvSpPr txBox="1"/>
        </xdr:nvSpPr>
        <xdr:spPr>
          <a:xfrm>
            <a:off x="5523497" y="1396177"/>
            <a:ext cx="704732" cy="341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28B906-3977-4896-8D99-5A8F755B753C}" type="TxLink">
              <a:rPr lang="en-US" sz="1600" b="0" i="0" u="none" strike="noStrike">
                <a:solidFill>
                  <a:srgbClr val="000000"/>
                </a:solidFill>
                <a:latin typeface="Arial"/>
                <a:cs typeface="Arial"/>
              </a:rPr>
              <a:pPr algn="ctr"/>
              <a:t>7c+</a:t>
            </a:fld>
            <a:endParaRPr lang="en-AT" sz="5400" b="0">
              <a:solidFill>
                <a:schemeClr val="bg2">
                  <a:lumMod val="25000"/>
                </a:schemeClr>
              </a:solidFill>
            </a:endParaRPr>
          </a:p>
        </xdr:txBody>
      </xdr:sp>
    </xdr:grpSp>
    <xdr:clientData/>
  </xdr:twoCellAnchor>
  <xdr:twoCellAnchor>
    <xdr:from>
      <xdr:col>1</xdr:col>
      <xdr:colOff>472438</xdr:colOff>
      <xdr:row>6</xdr:row>
      <xdr:rowOff>138430</xdr:rowOff>
    </xdr:from>
    <xdr:to>
      <xdr:col>6</xdr:col>
      <xdr:colOff>143148</xdr:colOff>
      <xdr:row>10</xdr:row>
      <xdr:rowOff>159050</xdr:rowOff>
    </xdr:to>
    <xdr:grpSp>
      <xdr:nvGrpSpPr>
        <xdr:cNvPr id="50" name="Group 49">
          <a:extLst>
            <a:ext uri="{FF2B5EF4-FFF2-40B4-BE49-F238E27FC236}">
              <a16:creationId xmlns:a16="http://schemas.microsoft.com/office/drawing/2014/main" id="{C75AD514-EF63-2C4B-350F-3E11DC143B7E}"/>
            </a:ext>
          </a:extLst>
        </xdr:cNvPr>
        <xdr:cNvGrpSpPr/>
      </xdr:nvGrpSpPr>
      <xdr:grpSpPr>
        <a:xfrm>
          <a:off x="882096" y="1178229"/>
          <a:ext cx="2812386" cy="722074"/>
          <a:chOff x="9781538" y="1121409"/>
          <a:chExt cx="2883810" cy="649270"/>
        </a:xfrm>
      </xdr:grpSpPr>
      <xdr:sp macro="" textlink="">
        <xdr:nvSpPr>
          <xdr:cNvPr id="35" name="SHAPE HABITS">
            <a:extLst>
              <a:ext uri="{FF2B5EF4-FFF2-40B4-BE49-F238E27FC236}">
                <a16:creationId xmlns:a16="http://schemas.microsoft.com/office/drawing/2014/main" id="{16E7FDD9-F263-43A3-9852-4404FD6A95C0}"/>
              </a:ext>
            </a:extLst>
          </xdr:cNvPr>
          <xdr:cNvSpPr/>
        </xdr:nvSpPr>
        <xdr:spPr bwMode="auto">
          <a:xfrm>
            <a:off x="9781538" y="1121409"/>
            <a:ext cx="2883810" cy="64927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CLIMBS SINCE</a:t>
            </a:r>
          </a:p>
        </xdr:txBody>
      </xdr:sp>
      <xdr:sp macro="" textlink="">
        <xdr:nvSpPr>
          <xdr:cNvPr id="43" name="Deliveries_On_Time_Percentage">
            <a:extLst>
              <a:ext uri="{FF2B5EF4-FFF2-40B4-BE49-F238E27FC236}">
                <a16:creationId xmlns:a16="http://schemas.microsoft.com/office/drawing/2014/main" id="{6EFA204F-A37F-447E-9F6B-54002194BC14}"/>
              </a:ext>
            </a:extLst>
          </xdr:cNvPr>
          <xdr:cNvSpPr txBox="1"/>
        </xdr:nvSpPr>
        <xdr:spPr>
          <a:xfrm>
            <a:off x="10835638" y="1384151"/>
            <a:ext cx="715011" cy="34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2">
                    <a:lumMod val="25000"/>
                  </a:schemeClr>
                </a:solidFill>
                <a:latin typeface="Arial"/>
                <a:cs typeface="Arial"/>
              </a:rPr>
              <a:t>2006</a:t>
            </a:r>
          </a:p>
        </xdr:txBody>
      </xdr:sp>
    </xdr:grpSp>
    <xdr:clientData/>
  </xdr:twoCellAnchor>
  <xdr:twoCellAnchor>
    <xdr:from>
      <xdr:col>21</xdr:col>
      <xdr:colOff>104140</xdr:colOff>
      <xdr:row>6</xdr:row>
      <xdr:rowOff>139700</xdr:rowOff>
    </xdr:from>
    <xdr:to>
      <xdr:col>25</xdr:col>
      <xdr:colOff>428900</xdr:colOff>
      <xdr:row>10</xdr:row>
      <xdr:rowOff>157780</xdr:rowOff>
    </xdr:to>
    <xdr:grpSp>
      <xdr:nvGrpSpPr>
        <xdr:cNvPr id="46" name="Group 45">
          <a:extLst>
            <a:ext uri="{FF2B5EF4-FFF2-40B4-BE49-F238E27FC236}">
              <a16:creationId xmlns:a16="http://schemas.microsoft.com/office/drawing/2014/main" id="{F5810111-831B-FCC2-7BAC-1E579B817213}"/>
            </a:ext>
          </a:extLst>
        </xdr:cNvPr>
        <xdr:cNvGrpSpPr/>
      </xdr:nvGrpSpPr>
      <xdr:grpSpPr>
        <a:xfrm>
          <a:off x="13097648" y="1179499"/>
          <a:ext cx="2846483" cy="719534"/>
          <a:chOff x="13233400" y="1097280"/>
          <a:chExt cx="2872380" cy="640080"/>
        </a:xfrm>
      </xdr:grpSpPr>
      <xdr:sp macro="" textlink="">
        <xdr:nvSpPr>
          <xdr:cNvPr id="39" name="SHAPE HABITS">
            <a:extLst>
              <a:ext uri="{FF2B5EF4-FFF2-40B4-BE49-F238E27FC236}">
                <a16:creationId xmlns:a16="http://schemas.microsoft.com/office/drawing/2014/main" id="{55AE7093-AB1F-4921-B8A9-C628554FFDA0}"/>
              </a:ext>
            </a:extLst>
          </xdr:cNvPr>
          <xdr:cNvSpPr/>
        </xdr:nvSpPr>
        <xdr:spPr bwMode="auto">
          <a:xfrm>
            <a:off x="13233400" y="1097280"/>
            <a:ext cx="2872380" cy="64008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BEST YEAR</a:t>
            </a:r>
          </a:p>
        </xdr:txBody>
      </xdr:sp>
      <xdr:sp macro="" textlink="'PIVOTS &amp; CALCULATIONS'!AN32">
        <xdr:nvSpPr>
          <xdr:cNvPr id="45" name="Deliveries_On_Time_Percentage">
            <a:extLst>
              <a:ext uri="{FF2B5EF4-FFF2-40B4-BE49-F238E27FC236}">
                <a16:creationId xmlns:a16="http://schemas.microsoft.com/office/drawing/2014/main" id="{901BA56E-316E-47A6-B338-CADA060428D7}"/>
              </a:ext>
            </a:extLst>
          </xdr:cNvPr>
          <xdr:cNvSpPr txBox="1"/>
        </xdr:nvSpPr>
        <xdr:spPr>
          <a:xfrm>
            <a:off x="14318212" y="1377949"/>
            <a:ext cx="711201"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E32142-2DCE-4CDA-B510-37AF65A52F37}" type="TxLink">
              <a:rPr lang="en-US" sz="1600" b="0" i="0" u="none" strike="noStrike">
                <a:solidFill>
                  <a:srgbClr val="000000"/>
                </a:solidFill>
                <a:latin typeface="Arial"/>
                <a:cs typeface="Arial"/>
              </a:rPr>
              <a:pPr algn="ctr"/>
              <a:t>2025</a:t>
            </a:fld>
            <a:endParaRPr lang="en-AT" sz="5400">
              <a:solidFill>
                <a:schemeClr val="bg2">
                  <a:lumMod val="25000"/>
                </a:schemeClr>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9525</xdr:colOff>
      <xdr:row>5</xdr:row>
      <xdr:rowOff>0</xdr:rowOff>
    </xdr:from>
    <xdr:to>
      <xdr:col>34</xdr:col>
      <xdr:colOff>0</xdr:colOff>
      <xdr:row>21</xdr:row>
      <xdr:rowOff>152400</xdr:rowOff>
    </xdr:to>
    <xdr:graphicFrame macro="">
      <xdr:nvGraphicFramePr>
        <xdr:cNvPr id="8" name="Chart 7">
          <a:extLst>
            <a:ext uri="{FF2B5EF4-FFF2-40B4-BE49-F238E27FC236}">
              <a16:creationId xmlns:a16="http://schemas.microsoft.com/office/drawing/2014/main" id="{4CB546D5-B378-48F0-B363-DA14B4875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41</xdr:row>
      <xdr:rowOff>0</xdr:rowOff>
    </xdr:from>
    <xdr:to>
      <xdr:col>33</xdr:col>
      <xdr:colOff>266700</xdr:colOff>
      <xdr:row>58</xdr:row>
      <xdr:rowOff>152400</xdr:rowOff>
    </xdr:to>
    <xdr:graphicFrame macro="">
      <xdr:nvGraphicFramePr>
        <xdr:cNvPr id="4" name="Chart 3">
          <a:extLst>
            <a:ext uri="{FF2B5EF4-FFF2-40B4-BE49-F238E27FC236}">
              <a16:creationId xmlns:a16="http://schemas.microsoft.com/office/drawing/2014/main" id="{C749AC46-861C-4309-AF02-9FF85FDEC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édéric Malharin" refreshedDate="45768.983715856484" createdVersion="8" refreshedVersion="8" minRefreshableVersion="3" recordCount="185" xr:uid="{070E175E-4867-4CA3-9136-27CE1997D5E4}">
  <cacheSource type="worksheet">
    <worksheetSource name="SportClimbing"/>
  </cacheSource>
  <cacheFields count="17">
    <cacheField name="Date" numFmtId="168">
      <sharedItems containsSemiMixedTypes="0" containsNonDate="0" containsDate="1" containsString="0" minDate="2006-07-15T00:00:00" maxDate="2025-04-22T00:00:00"/>
    </cacheField>
    <cacheField name="Date_filter" numFmtId="168">
      <sharedItems/>
    </cacheField>
    <cacheField name="Day" numFmtId="0">
      <sharedItems containsSemiMixedTypes="0" containsString="0" containsNumber="1" containsInteger="1" minValue="1" maxValue="31"/>
    </cacheField>
    <cacheField name="Month" numFmtId="0">
      <sharedItems count="12">
        <s v="Jul"/>
        <s v="Apr"/>
        <s v="May"/>
        <s v="Aug"/>
        <s v="Nov"/>
        <s v="Dec"/>
        <s v="Jan"/>
        <s v="Feb"/>
        <s v="Mar"/>
        <s v="Jun"/>
        <s v="Sep"/>
        <s v="Oct"/>
      </sharedItems>
    </cacheField>
    <cacheField name="Year" numFmtId="0">
      <sharedItems containsSemiMixedTypes="0" containsString="0" containsNumber="1" containsInteger="1" minValue="2006" maxValue="2025" count="16">
        <n v="2006"/>
        <n v="2007"/>
        <n v="2008"/>
        <n v="2011"/>
        <n v="2012"/>
        <n v="2013"/>
        <n v="2016"/>
        <n v="2017"/>
        <n v="2018"/>
        <n v="2019"/>
        <n v="2020"/>
        <n v="2021"/>
        <n v="2022"/>
        <n v="2023"/>
        <n v="2024"/>
        <n v="2025"/>
      </sharedItems>
    </cacheField>
    <cacheField name="Route name" numFmtId="0">
      <sharedItems/>
    </cacheField>
    <cacheField name="Grade" numFmtId="0">
      <sharedItems/>
    </cacheField>
    <cacheField name="Country" numFmtId="0">
      <sharedItems/>
    </cacheField>
    <cacheField name="Crag" numFmtId="0">
      <sharedItems/>
    </cacheField>
    <cacheField name="Sector" numFmtId="0">
      <sharedItems/>
    </cacheField>
    <cacheField name="Height (m)" numFmtId="0">
      <sharedItems containsSemiMixedTypes="0" containsString="0" containsNumber="1" containsInteger="1" minValue="8" maxValue="40"/>
    </cacheField>
    <cacheField name="Height range (m)" numFmtId="0">
      <sharedItems/>
    </cacheField>
    <cacheField name="Belayer" numFmtId="0">
      <sharedItems/>
    </cacheField>
    <cacheField name="Total number of tries" numFmtId="0">
      <sharedItems containsMixedTypes="1" containsNumber="1" containsInteger="1" minValue="1" maxValue="50"/>
    </cacheField>
    <cacheField name="Tries num. only excl. outliers" numFmtId="0">
      <sharedItems containsString="0" containsBlank="1" containsNumber="1" containsInteger="1" minValue="1" maxValue="24"/>
    </cacheField>
    <cacheField name="onsight/flash/redpoint" numFmtId="0">
      <sharedItems/>
    </cacheField>
    <cacheField name="Score" numFmtId="0">
      <sharedItems containsSemiMixedTypes="0" containsString="0" containsNumber="1" containsInteger="1" minValue="10" maxValue="8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398495371" backgroundQuery="1" createdVersion="8" refreshedVersion="8" minRefreshableVersion="3" recordCount="0" supportSubquery="1" supportAdvancedDrill="1" xr:uid="{638DF3FE-A928-4EFE-A314-2A11BEC7CB37}">
  <cacheSource type="external" connectionId="1"/>
  <cacheFields count="2">
    <cacheField name="[Years].[YEARS].[YEARS]" caption="YEARS" numFmtId="0" hierarchy="21" level="1">
      <sharedItems containsString="0" containsBlank="1" containsNumber="1" containsInteger="1" minValue="2006" maxValue="2025" count="21">
        <n v="2006"/>
        <n v="2007"/>
        <n v="2008"/>
        <n v="2009"/>
        <n v="2010"/>
        <n v="2011"/>
        <n v="2012"/>
        <n v="2013"/>
        <n v="2014"/>
        <n v="2015"/>
        <n v="2016"/>
        <n v="2017"/>
        <n v="2018"/>
        <n v="2019"/>
        <n v="2020"/>
        <n v="2021"/>
        <n v="2022"/>
        <n v="2023"/>
        <n v="2024"/>
        <n v="2025"/>
        <m/>
      </sharedItems>
      <extLst>
        <ext xmlns:x15="http://schemas.microsoft.com/office/spreadsheetml/2010/11/main" uri="{4F2E5C28-24EA-4eb8-9CBF-B6C8F9C3D259}">
          <x15:cachedUniqueNames>
            <x15:cachedUniqueName index="0" name="[Years].[YEARS].&amp;[2006]"/>
            <x15:cachedUniqueName index="1" name="[Years].[YEARS].&amp;[2007]"/>
            <x15:cachedUniqueName index="2" name="[Years].[YEARS].&amp;[2008]"/>
            <x15:cachedUniqueName index="3" name="[Years].[YEARS].&amp;[2009]"/>
            <x15:cachedUniqueName index="4" name="[Years].[YEARS].&amp;[2010]"/>
            <x15:cachedUniqueName index="5" name="[Years].[YEARS].&amp;[2011]"/>
            <x15:cachedUniqueName index="6" name="[Years].[YEARS].&amp;[2012]"/>
            <x15:cachedUniqueName index="7" name="[Years].[YEARS].&amp;[2013]"/>
            <x15:cachedUniqueName index="8" name="[Years].[YEARS].&amp;[2014]"/>
            <x15:cachedUniqueName index="9" name="[Years].[YEARS].&amp;[2015]"/>
            <x15:cachedUniqueName index="10" name="[Years].[YEARS].&amp;[2016]"/>
            <x15:cachedUniqueName index="11" name="[Years].[YEARS].&amp;[2017]"/>
            <x15:cachedUniqueName index="12" name="[Years].[YEARS].&amp;[2018]"/>
            <x15:cachedUniqueName index="13" name="[Years].[YEARS].&amp;[2019]"/>
            <x15:cachedUniqueName index="14" name="[Years].[YEARS].&amp;[2020]"/>
            <x15:cachedUniqueName index="15" name="[Years].[YEARS].&amp;[2021]"/>
            <x15:cachedUniqueName index="16" name="[Years].[YEARS].&amp;[2022]"/>
            <x15:cachedUniqueName index="17" name="[Years].[YEARS].&amp;[2023]"/>
            <x15:cachedUniqueName index="18" name="[Years].[YEARS].&amp;[2024]"/>
            <x15:cachedUniqueName index="19" name="[Years].[YEARS].&amp;[2025]"/>
          </x15:cachedUniqueNames>
        </ext>
      </extLst>
    </cacheField>
    <cacheField name="[Measures].[Sum of Score]" caption="Sum of Score" numFmtId="0" hierarchy="32"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0"/>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399768519" backgroundQuery="1" createdVersion="8" refreshedVersion="8" minRefreshableVersion="3" recordCount="0" supportSubquery="1" supportAdvancedDrill="1" xr:uid="{A18BB18B-4740-4999-ABAD-92E25A0ECD2E}">
  <cacheSource type="external" connectionId="1"/>
  <cacheFields count="3">
    <cacheField name="[SportClimbing].[Height range (m)].[Height range (m)]" caption="Height range (m)" numFmtId="0" hierarchy="15" level="1">
      <sharedItems count="7">
        <s v="0-10"/>
        <s v="11-15"/>
        <s v="16-20"/>
        <s v="21-25"/>
        <s v="26-30"/>
        <s v="31-35"/>
        <s v="35+"/>
      </sharedItems>
    </cacheField>
    <cacheField name="[SportClimbing].[Grade].[Grade]" caption="Grade" numFmtId="0" hierarchy="10" level="1">
      <sharedItems count="6">
        <s v="7a"/>
        <s v="7a+"/>
        <s v="7b"/>
        <s v="7b+"/>
        <s v="7c"/>
        <s v="7c+"/>
      </sharedItems>
    </cacheField>
    <cacheField name="[Measures].[Average of Tries num. only excl. outliers]" caption="Average of Tries num. only excl. outliers" numFmtId="0" hierarchy="29"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1"/>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0"/>
      </fieldsUsage>
    </cacheHierarchy>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01620373" backgroundQuery="1" createdVersion="8" refreshedVersion="8" minRefreshableVersion="3" recordCount="0" supportSubquery="1" supportAdvancedDrill="1" xr:uid="{41CBC2E3-029F-4CDD-BB4A-12EE1AD892B8}">
  <cacheSource type="external" connectionId="1"/>
  <cacheFields count="4">
    <cacheField name="[SportClimbing].[Belayer].[Belayer]" caption="Belayer" numFmtId="0" hierarchy="16" level="1">
      <sharedItems count="4">
        <s v="Chris Awe"/>
        <s v="Chrissi"/>
        <s v="Christian"/>
        <s v="Tibor"/>
      </sharedItems>
    </cacheField>
    <cacheField name="[Measures].[Count of Belayer]" caption="Count of Belayer" numFmtId="0" hierarchy="27" level="32767"/>
    <cacheField name="[SportClimbing].[Year].[Year]" caption="Year" numFmtId="0" hierarchy="8" level="1">
      <sharedItems containsSemiMixedTypes="0" containsNonDate="0" containsString="0"/>
    </cacheField>
    <cacheField name="[SportClimbing].[Date_filter].[Date_filter]" caption="Date_filter" numFmtId="0" hierarchy="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2" memberValueDatatype="11" unbalanced="0">
      <fieldsUsage count="2">
        <fieldUsage x="-1"/>
        <fieldUsage x="3"/>
      </fieldsUsage>
    </cacheHierarchy>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2" memberValueDatatype="20" unbalanced="0">
      <fieldsUsage count="2">
        <fieldUsage x="-1"/>
        <fieldUsage x="2"/>
      </fieldsUsage>
    </cacheHierarchy>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02662036" backgroundQuery="1" createdVersion="8" refreshedVersion="8" minRefreshableVersion="3" recordCount="0" supportSubquery="1" supportAdvancedDrill="1" xr:uid="{49DF5B5D-AF05-473C-8F40-6AF8625638AF}">
  <cacheSource type="external" connectionId="1"/>
  <cacheFields count="2">
    <cacheField name="[SportClimbing].[Belayer].[Belayer]" caption="Belayer" numFmtId="0" hierarchy="16" level="1">
      <sharedItems count="10">
        <s v="Chris Awe"/>
        <s v="Chrissi"/>
        <s v="Christian"/>
        <s v="Gustavo"/>
        <s v="Guy"/>
        <s v="Kathy"/>
        <s v="Lena"/>
        <s v="Patrick"/>
        <s v="Tibor"/>
        <s v="Yoel"/>
      </sharedItems>
    </cacheField>
    <cacheField name="[Measures].[Sum of Score]" caption="Sum of Score" numFmtId="0" hierarchy="32"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03935183" backgroundQuery="1" createdVersion="8" refreshedVersion="8" minRefreshableVersion="3" recordCount="0" supportSubquery="1" supportAdvancedDrill="1" xr:uid="{7CC7EE5B-C1DB-4082-8B7C-269BCC580FF0}">
  <cacheSource type="external" connectionId="1"/>
  <cacheFields count="2">
    <cacheField name="[SportClimbing].[Grade].[Grade]" caption="Grade" numFmtId="0" hierarchy="10" level="1">
      <sharedItems count="6">
        <s v="7a"/>
        <s v="7a+"/>
        <s v="7b"/>
        <s v="7b+"/>
        <s v="7c"/>
        <s v="7c+"/>
      </sharedItems>
    </cacheField>
    <cacheField name="[Measures].[Count of Belayer]" caption="Count of Belayer" numFmtId="0" hierarchy="27"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05787038" backgroundQuery="1" createdVersion="8" refreshedVersion="8" minRefreshableVersion="3" recordCount="0" supportSubquery="1" supportAdvancedDrill="1" xr:uid="{4E3746F3-C866-485E-9FC2-1146007C4101}">
  <cacheSource type="external" connectionId="1"/>
  <cacheFields count="2">
    <cacheField name="[SportClimbing].[Year].[Year]" caption="Year" numFmtId="0" hierarchy="8" level="1">
      <sharedItems containsSemiMixedTypes="0" containsString="0" containsNumber="1" containsInteger="1" minValue="2006" maxValue="2026" count="17">
        <n v="2006"/>
        <n v="2007"/>
        <n v="2008"/>
        <n v="2011"/>
        <n v="2012"/>
        <n v="2013"/>
        <n v="2016"/>
        <n v="2017"/>
        <n v="2018"/>
        <n v="2019"/>
        <n v="2020"/>
        <n v="2021"/>
        <n v="2022"/>
        <n v="2023"/>
        <n v="2024"/>
        <n v="2025"/>
        <n v="2026"/>
      </sharedItems>
      <extLst>
        <ext xmlns:x15="http://schemas.microsoft.com/office/spreadsheetml/2010/11/main" uri="{4F2E5C28-24EA-4eb8-9CBF-B6C8F9C3D259}">
          <x15:cachedUniqueNames>
            <x15:cachedUniqueName index="0" name="[SportClimbing].[Year].&amp;[2006]"/>
            <x15:cachedUniqueName index="1" name="[SportClimbing].[Year].&amp;[2007]"/>
            <x15:cachedUniqueName index="2" name="[SportClimbing].[Year].&amp;[2008]"/>
            <x15:cachedUniqueName index="3" name="[SportClimbing].[Year].&amp;[2011]"/>
            <x15:cachedUniqueName index="4" name="[SportClimbing].[Year].&amp;[2012]"/>
            <x15:cachedUniqueName index="5" name="[SportClimbing].[Year].&amp;[2013]"/>
            <x15:cachedUniqueName index="6" name="[SportClimbing].[Year].&amp;[2016]"/>
            <x15:cachedUniqueName index="7" name="[SportClimbing].[Year].&amp;[2017]"/>
            <x15:cachedUniqueName index="8" name="[SportClimbing].[Year].&amp;[2018]"/>
            <x15:cachedUniqueName index="9" name="[SportClimbing].[Year].&amp;[2019]"/>
            <x15:cachedUniqueName index="10" name="[SportClimbing].[Year].&amp;[2020]"/>
            <x15:cachedUniqueName index="11" name="[SportClimbing].[Year].&amp;[2021]"/>
            <x15:cachedUniqueName index="12" name="[SportClimbing].[Year].&amp;[2022]"/>
            <x15:cachedUniqueName index="13" name="[SportClimbing].[Year].&amp;[2023]"/>
            <x15:cachedUniqueName index="14" name="[SportClimbing].[Year].&amp;[2024]"/>
            <x15:cachedUniqueName index="15" name="[SportClimbing].[Year].&amp;[2025]"/>
            <x15:cachedUniqueName index="16" name="[SportClimbing].[Year].&amp;[2026]"/>
          </x15:cachedUniqueNames>
        </ext>
      </extLst>
    </cacheField>
    <cacheField name="[Measures].[Count of Belayer]" caption="Count of Belayer" numFmtId="0" hierarchy="27"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2" memberValueDatatype="20" unbalanced="0">
      <fieldsUsage count="2">
        <fieldUsage x="-1"/>
        <fieldUsage x="0"/>
      </fieldsUsage>
    </cacheHierarchy>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07754631" backgroundQuery="1" createdVersion="8" refreshedVersion="8" minRefreshableVersion="3" recordCount="0" supportSubquery="1" supportAdvancedDrill="1" xr:uid="{1F882D17-6359-4C52-A0EF-F535B1A5BB4A}">
  <cacheSource type="external" connectionId="1"/>
  <cacheFields count="9">
    <cacheField name="[Measures].[Count of Belayer]" caption="Count of Belayer" numFmtId="0" hierarchy="27" level="32767"/>
    <cacheField name="[Years].[YEARS].[YEARS]" caption="YEARS" numFmtId="0" hierarchy="21" level="1">
      <sharedItems containsString="0" containsBlank="1" containsNumber="1" containsInteger="1" minValue="2006" maxValue="2025" count="21">
        <n v="2006"/>
        <n v="2007"/>
        <n v="2008"/>
        <n v="2009"/>
        <n v="2010"/>
        <n v="2011"/>
        <n v="2012"/>
        <n v="2013"/>
        <n v="2014"/>
        <n v="2015"/>
        <n v="2016"/>
        <n v="2017"/>
        <n v="2018"/>
        <n v="2019"/>
        <n v="2020"/>
        <n v="2021"/>
        <n v="2022"/>
        <n v="2023"/>
        <n v="2024"/>
        <n v="2025"/>
        <m/>
      </sharedItems>
      <extLst>
        <ext xmlns:x15="http://schemas.microsoft.com/office/spreadsheetml/2010/11/main" uri="{4F2E5C28-24EA-4eb8-9CBF-B6C8F9C3D259}">
          <x15:cachedUniqueNames>
            <x15:cachedUniqueName index="0" name="[Years].[YEARS].&amp;[2006]"/>
            <x15:cachedUniqueName index="1" name="[Years].[YEARS].&amp;[2007]"/>
            <x15:cachedUniqueName index="2" name="[Years].[YEARS].&amp;[2008]"/>
            <x15:cachedUniqueName index="3" name="[Years].[YEARS].&amp;[2009]"/>
            <x15:cachedUniqueName index="4" name="[Years].[YEARS].&amp;[2010]"/>
            <x15:cachedUniqueName index="5" name="[Years].[YEARS].&amp;[2011]"/>
            <x15:cachedUniqueName index="6" name="[Years].[YEARS].&amp;[2012]"/>
            <x15:cachedUniqueName index="7" name="[Years].[YEARS].&amp;[2013]"/>
            <x15:cachedUniqueName index="8" name="[Years].[YEARS].&amp;[2014]"/>
            <x15:cachedUniqueName index="9" name="[Years].[YEARS].&amp;[2015]"/>
            <x15:cachedUniqueName index="10" name="[Years].[YEARS].&amp;[2016]"/>
            <x15:cachedUniqueName index="11" name="[Years].[YEARS].&amp;[2017]"/>
            <x15:cachedUniqueName index="12" name="[Years].[YEARS].&amp;[2018]"/>
            <x15:cachedUniqueName index="13" name="[Years].[YEARS].&amp;[2019]"/>
            <x15:cachedUniqueName index="14" name="[Years].[YEARS].&amp;[2020]"/>
            <x15:cachedUniqueName index="15" name="[Years].[YEARS].&amp;[2021]"/>
            <x15:cachedUniqueName index="16" name="[Years].[YEARS].&amp;[2022]"/>
            <x15:cachedUniqueName index="17" name="[Years].[YEARS].&amp;[2023]"/>
            <x15:cachedUniqueName index="18" name="[Years].[YEARS].&amp;[2024]"/>
            <x15:cachedUniqueName index="19" name="[Years].[YEARS].&amp;[2025]"/>
          </x15:cachedUniqueNames>
        </ext>
      </extLst>
    </cacheField>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1"/>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09143517" backgroundQuery="1" createdVersion="8" refreshedVersion="8" minRefreshableVersion="3" recordCount="0" supportSubquery="1" supportAdvancedDrill="1" xr:uid="{DBD749E6-8D70-41D8-A8CC-84C599EC1F06}">
  <cacheSource type="external" connectionId="1"/>
  <cacheFields count="10">
    <cacheField name="[Measures].[Count of Belayer]" caption="Count of Belayer" numFmtId="0" hierarchy="27" level="32767"/>
    <cacheField name="[SportClimbing].[Month].[Month]" caption="Month" numFmtId="0" hierarchy="7" level="1">
      <sharedItems count="12">
        <s v="Apr"/>
        <s v="Aug"/>
        <s v="Dec"/>
        <s v="Feb"/>
        <s v="Jan"/>
        <s v="Jul"/>
        <s v="Jun"/>
        <s v="Mar"/>
        <s v="May"/>
        <s v="Nov"/>
        <s v="Oct"/>
        <s v="Sep"/>
      </sharedItems>
    </cacheField>
    <cacheField name="[MONTHS].[MONTHS 2].[MONTHS 2]" caption="MONTHS 2" numFmtId="0" hierarchy="2" level="1">
      <sharedItems count="12">
        <s v="Jan"/>
        <s v="Feb"/>
        <s v="Mar"/>
        <s v="Apr"/>
        <s v="May"/>
        <s v="Jun"/>
        <s v="Jul"/>
        <s v="Aug"/>
        <s v="Sep"/>
        <s v="Oct"/>
        <s v="Nov"/>
        <s v="Dec"/>
      </sharedItems>
    </cacheField>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2"/>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2" memberValueDatatype="130" unbalanced="0">
      <fieldsUsage count="2">
        <fieldUsage x="-1"/>
        <fieldUsage x="1"/>
      </fieldsUsage>
    </cacheHierarchy>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5"/>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6"/>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8"/>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3"/>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4"/>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7"/>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10763887" backgroundQuery="1" createdVersion="8" refreshedVersion="8" minRefreshableVersion="3" recordCount="0" supportSubquery="1" supportAdvancedDrill="1" xr:uid="{7CC608A1-3AC3-47C8-874D-083349D65011}">
  <cacheSource type="external" connectionId="1"/>
  <cacheFields count="9">
    <cacheField name="[SportClimbing].[Crag].[Crag]" caption="Crag" numFmtId="0" hierarchy="12" level="1">
      <sharedItems count="46">
        <s v="Achleiten"/>
        <s v="Ailefroide"/>
        <s v="Arboli"/>
        <s v="Arbolí"/>
        <s v="Arco"/>
        <s v="Atlantida"/>
        <s v="Berglsteinersee"/>
        <s v="Bichlersee"/>
        <s v="Can Paulet"/>
        <s v="Carol"/>
        <s v="Cavallers"/>
        <s v="Chulilla"/>
        <s v="Collegats"/>
        <s v="Dent de la Rancune"/>
        <s v="Etxauri"/>
        <s v="Fenda de Arrabida"/>
        <s v="Font Soleia"/>
        <s v="Garraf"/>
        <s v="Gelida"/>
        <s v="Gorges de la Cesse"/>
        <s v="Gorges du Tarn"/>
        <s v="Grau dels matxos"/>
        <s v="Hundepension"/>
        <s v="Le Coupeau"/>
        <s v="Le Fayet"/>
        <s v="Mallorca"/>
        <s v="Margalef"/>
        <s v="Martinswand"/>
        <s v="Marxuquera"/>
        <s v="Masriudoms"/>
        <s v="Montserrat norte"/>
        <s v="Montserrat sur"/>
        <s v="Ötztal"/>
        <s v="Penyes Aragonesas (Castellón)"/>
        <s v="Roc d'Anglars"/>
        <s v="Roc de la Lluna"/>
        <s v="Rodellar"/>
        <s v="Sadernes"/>
        <s v="Sautens"/>
        <s v="Silz"/>
        <s v="Siurana"/>
        <s v="Starkenbach"/>
        <s v="Unterinn"/>
        <s v="Zillertal - Astholz"/>
        <s v="Zillertal - Ewige Jagdgründe"/>
        <s v="Zillertal -Monkey Island"/>
      </sharedItems>
    </cacheField>
    <cacheField name="[Measures].[Count of Belayer]" caption="Count of Belayer" numFmtId="0" hierarchy="27" level="32767"/>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0"/>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12037035" backgroundQuery="1" createdVersion="8" refreshedVersion="8" minRefreshableVersion="3" recordCount="0" supportSubquery="1" supportAdvancedDrill="1" xr:uid="{20807ACE-EF13-49B7-9C50-6151DA6E539D}">
  <cacheSource type="external" connectionId="1"/>
  <cacheFields count="10">
    <cacheField name="[SportClimbing].[Country].[Country]" caption="Country" numFmtId="0" hierarchy="11" level="1">
      <sharedItems count="6">
        <s v="Austria"/>
        <s v="France"/>
        <s v="Germany"/>
        <s v="Italy"/>
        <s v="Portugal"/>
        <s v="Spain"/>
      </sharedItems>
    </cacheField>
    <cacheField name="[Measures].[Count of Belayer]" caption="Count of Belayer" numFmtId="0" hierarchy="27" level="32767"/>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2" memberValueDatatype="130" unbalanced="0">
      <fieldsUsage count="2">
        <fieldUsage x="-1"/>
        <fieldUsage x="0"/>
      </fieldsUsage>
    </cacheHierarchy>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6"/>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13657405" backgroundQuery="1" createdVersion="8" refreshedVersion="8" minRefreshableVersion="3" recordCount="0" supportSubquery="1" supportAdvancedDrill="1" xr:uid="{0C738BFB-A475-4821-BAAC-6F97E7E0D64B}">
  <cacheSource type="external" connectionId="1"/>
  <cacheFields count="9">
    <cacheField name="[SportClimbing].[Total number of tries].[Total number of tries]" caption="Total number of tries" numFmtId="0" hierarchy="17" level="1">
      <sharedItems count="15">
        <s v="1"/>
        <s v="10"/>
        <s v="12"/>
        <s v="14"/>
        <s v="2"/>
        <s v="24"/>
        <s v="3"/>
        <s v="4"/>
        <s v="40"/>
        <s v="5"/>
        <s v="6"/>
        <s v="7"/>
        <s v="8"/>
        <s v="flash"/>
        <s v="onsight"/>
      </sharedItems>
    </cacheField>
    <cacheField name="[Measures].[Count of Belayer]" caption="Count of Belayer" numFmtId="0" hierarchy="27" level="32767"/>
    <cacheField name="[SportClimbing].[Belayer].[Belayer]" caption="Belayer" numFmtId="0" hierarchy="16"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0"/>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15393521" backgroundQuery="1" createdVersion="8" refreshedVersion="8" minRefreshableVersion="3" recordCount="0" supportSubquery="1" supportAdvancedDrill="1" xr:uid="{6C96952E-A342-429B-9021-FABFA00C7C2D}">
  <cacheSource type="external" connectionId="1"/>
  <cacheFields count="9">
    <cacheField name="[SportClimbing].[Grade].[Grade]" caption="Grade" numFmtId="0" hierarchy="10" level="1">
      <sharedItems count="6">
        <s v="7a"/>
        <s v="7a+"/>
        <s v="7b"/>
        <s v="7b+"/>
        <s v="7c"/>
        <s v="7c+"/>
      </sharedItems>
    </cacheField>
    <cacheField name="[Measures].[Count of Belayer]" caption="Count of Belayer" numFmtId="0" hierarchy="27" level="32767"/>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17013891" backgroundQuery="1" createdVersion="8" refreshedVersion="8" minRefreshableVersion="3" recordCount="0" supportSubquery="1" supportAdvancedDrill="1" xr:uid="{0B67CAF8-2EDA-4687-8EF0-53C89B0BC7A4}">
  <cacheSource type="external" connectionId="1"/>
  <cacheFields count="9">
    <cacheField name="[Measures].[Count of Belayer]" caption="Count of Belayer" numFmtId="0" hierarchy="27" level="32767"/>
    <cacheField name="[SportClimbing].[Height range (m)].[Height range (m)]" caption="Height range (m)" numFmtId="0" hierarchy="15" level="1">
      <sharedItems count="7">
        <s v="0-10"/>
        <s v="11-15"/>
        <s v="16-20"/>
        <s v="21-25"/>
        <s v="26-30"/>
        <s v="31-35"/>
        <s v="35+"/>
      </sharedItems>
    </cacheField>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1"/>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6"/>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18634262" backgroundQuery="1" createdVersion="8" refreshedVersion="8" minRefreshableVersion="3" recordCount="0" supportSubquery="1" supportAdvancedDrill="1" xr:uid="{6CE7B693-E357-4194-90F1-A409FAD4A27C}">
  <cacheSource type="external" connectionId="1"/>
  <cacheFields count="10">
    <cacheField name="[SportClimbing].[onsight/flash/redpoint].[onsight/flash/redpoint]" caption="onsight/flash/redpoint" numFmtId="0" hierarchy="19" level="1">
      <sharedItems count="3">
        <s v="flash"/>
        <s v="onsight"/>
        <s v="redpoint"/>
      </sharedItems>
    </cacheField>
    <cacheField name="[Measures].[Count of Belayer]" caption="Count of Belayer" numFmtId="0" hierarchy="27" level="32767"/>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2" memberValueDatatype="130" unbalanced="0">
      <fieldsUsage count="2">
        <fieldUsage x="-1"/>
        <fieldUsage x="0"/>
      </fieldsUsage>
    </cacheHierarchy>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6"/>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20254632" backgroundQuery="1" createdVersion="8" refreshedVersion="8" minRefreshableVersion="3" recordCount="0" supportSubquery="1" supportAdvancedDrill="1" xr:uid="{34AAC4AA-AF88-4AD6-8649-5C38E4221176}">
  <cacheSource type="external" connectionId="1"/>
  <cacheFields count="9">
    <cacheField name="[SportClimbing].[Grade].[Grade]" caption="Grade" numFmtId="0" hierarchy="10" level="1">
      <sharedItems count="6">
        <s v="7a"/>
        <s v="7a+"/>
        <s v="7b"/>
        <s v="7b+"/>
        <s v="7c"/>
        <s v="7c+"/>
      </sharedItems>
    </cacheField>
    <cacheField name="[Measures].[Average of Tries num. only excl. outliers]" caption="Average of Tries num. only excl. outliers" numFmtId="0" hierarchy="29" level="32767"/>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21875002" backgroundQuery="1" createdVersion="8" refreshedVersion="8" minRefreshableVersion="3" recordCount="0" supportSubquery="1" supportAdvancedDrill="1" xr:uid="{C068A6E9-1389-452E-8C87-0945917E55BE}">
  <cacheSource type="external" connectionId="1"/>
  <cacheFields count="9">
    <cacheField name="[SportClimbing].[Grade].[Grade]" caption="Grade" numFmtId="0" hierarchy="10" level="1">
      <sharedItems count="6">
        <s v="7a"/>
        <s v="7a+"/>
        <s v="7b"/>
        <s v="7b+"/>
        <s v="7c"/>
        <s v="7c+"/>
      </sharedItems>
    </cacheField>
    <cacheField name="[Measures].[Count of Belayer]" caption="Count of Belayer" numFmtId="0" hierarchy="27" level="32767"/>
    <cacheField name="[SportClimbing].[onsight/flash/redpoint].[onsight/flash/redpoint]" caption="onsight/flash/redpoint" numFmtId="0" hierarchy="19" level="1">
      <sharedItems count="3">
        <s v="flash"/>
        <s v="onsight"/>
        <s v="redpoint"/>
      </sharedItems>
    </cacheField>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3"/>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4"/>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2" memberValueDatatype="130" unbalanced="0">
      <fieldsUsage count="2">
        <fieldUsage x="-1"/>
        <fieldUsage x="2"/>
      </fieldsUsage>
    </cacheHierarchy>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6"/>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23263888" backgroundQuery="1" createdVersion="8" refreshedVersion="8" minRefreshableVersion="3" recordCount="0" supportSubquery="1" supportAdvancedDrill="1" xr:uid="{57DE6C56-EBC5-4343-B032-5865A7A552CE}">
  <cacheSource type="external" connectionId="1"/>
  <cacheFields count="9">
    <cacheField name="[SportClimbing].[Belayer].[Belayer]" caption="Belayer" numFmtId="0" hierarchy="16" level="1">
      <sharedItems count="10">
        <s v="Angel"/>
        <s v="Chris Awe"/>
        <s v="Chrissi"/>
        <s v="Christian"/>
        <s v="Gustavo"/>
        <s v="Guy"/>
        <s v="Kathy"/>
        <s v="Lena"/>
        <s v="Tibor"/>
        <s v="Yoel"/>
      </sharedItems>
    </cacheField>
    <cacheField name="[Measures].[Count of Belayer]" caption="Count of Belayer" numFmtId="0" hierarchy="27" level="32767"/>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6103.922406712962" backgroundQuery="1" createdVersion="3" refreshedVersion="8" minRefreshableVersion="3" recordCount="0" supportSubquery="1" supportAdvancedDrill="1" xr:uid="{966D11C0-A909-4B36-A5EE-623EC54679F2}">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8940349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d v="2006-07-15T00:00:00"/>
    <b v="0"/>
    <n v="15"/>
    <x v="0"/>
    <x v="0"/>
    <s v="Mégaboule"/>
    <s v="7a"/>
    <s v="France"/>
    <s v="Roc d'Anglars"/>
    <s v="Révélations"/>
    <n v="15"/>
    <s v="11-15"/>
    <s v="Guhlm"/>
    <n v="7"/>
    <n v="7"/>
    <s v="redpoint"/>
    <n v="10"/>
  </r>
  <r>
    <d v="2007-07-22T00:00:00"/>
    <b v="0"/>
    <n v="22"/>
    <x v="0"/>
    <x v="1"/>
    <s v="Clin d'oeil à la Lune"/>
    <s v="7a"/>
    <s v="France"/>
    <s v="Roc d'Anglars"/>
    <s v="Révélations"/>
    <n v="25"/>
    <s v="21-25"/>
    <s v="Thomas Bur"/>
    <n v="4"/>
    <n v="4"/>
    <s v="redpoint"/>
    <n v="10"/>
  </r>
  <r>
    <d v="2008-04-19T00:00:00"/>
    <b v="0"/>
    <n v="19"/>
    <x v="1"/>
    <x v="2"/>
    <s v="Sex Machine"/>
    <s v="7a"/>
    <s v="France"/>
    <s v="Gorges de la Cesse"/>
    <s v="Cassiopée"/>
    <n v="25"/>
    <s v="21-25"/>
    <s v="Guhlm"/>
    <s v="flash"/>
    <n v="1"/>
    <s v="flash"/>
    <n v="10"/>
  </r>
  <r>
    <d v="2008-05-03T00:00:00"/>
    <b v="0"/>
    <n v="3"/>
    <x v="2"/>
    <x v="2"/>
    <s v="Bamboleiro"/>
    <s v="7a"/>
    <s v="France"/>
    <s v="Carol"/>
    <s v="Gauche"/>
    <n v="18"/>
    <s v="16-20"/>
    <s v="Teddy"/>
    <n v="2"/>
    <n v="2"/>
    <s v="redpoint"/>
    <n v="10"/>
  </r>
  <r>
    <d v="2011-08-06T00:00:00"/>
    <b v="0"/>
    <n v="6"/>
    <x v="3"/>
    <x v="3"/>
    <s v="Lola"/>
    <s v="7a"/>
    <s v="Spain"/>
    <s v="Rodellar"/>
    <s v="Pared de la Virgen"/>
    <n v="20"/>
    <s v="16-20"/>
    <s v="Shyamal"/>
    <n v="2"/>
    <n v="2"/>
    <s v="redpoint"/>
    <n v="10"/>
  </r>
  <r>
    <d v="2012-04-08T00:00:00"/>
    <b v="0"/>
    <n v="8"/>
    <x v="1"/>
    <x v="4"/>
    <s v="Manara Clic"/>
    <s v="7a"/>
    <s v="Spain"/>
    <s v="Roc de la Lluna"/>
    <s v="Sud"/>
    <n v="20"/>
    <s v="16-20"/>
    <s v="Patrick"/>
    <n v="2"/>
    <n v="2"/>
    <s v="redpoint"/>
    <n v="10"/>
  </r>
  <r>
    <d v="2012-11-21T00:00:00"/>
    <b v="0"/>
    <n v="21"/>
    <x v="4"/>
    <x v="4"/>
    <s v="De socials un 10"/>
    <s v="7a+"/>
    <s v="Spain"/>
    <s v="Gelida"/>
    <s v="Centre"/>
    <n v="25"/>
    <s v="21-25"/>
    <s v="David Valls"/>
    <n v="4"/>
    <n v="4"/>
    <s v="redpoint"/>
    <n v="15"/>
  </r>
  <r>
    <d v="2012-12-21T00:00:00"/>
    <b v="0"/>
    <n v="21"/>
    <x v="5"/>
    <x v="4"/>
    <s v="KA NO"/>
    <s v="7a+"/>
    <s v="Spain"/>
    <s v="Gelida"/>
    <s v="Centre"/>
    <n v="25"/>
    <s v="21-25"/>
    <s v="Patrick"/>
    <s v="flash"/>
    <n v="1"/>
    <s v="flash"/>
    <n v="15"/>
  </r>
  <r>
    <d v="2013-01-21T00:00:00"/>
    <b v="0"/>
    <n v="21"/>
    <x v="6"/>
    <x v="5"/>
    <s v="Amor suprem"/>
    <s v="7b"/>
    <s v="Spain"/>
    <s v="Gelida"/>
    <s v="Centre"/>
    <n v="25"/>
    <s v="21-25"/>
    <s v="Patrick"/>
    <n v="7"/>
    <n v="7"/>
    <s v="redpoint"/>
    <n v="25"/>
  </r>
  <r>
    <d v="2013-02-01T00:00:00"/>
    <b v="0"/>
    <n v="1"/>
    <x v="7"/>
    <x v="5"/>
    <s v="nº28"/>
    <s v="7a"/>
    <s v="Spain"/>
    <s v="Gelida"/>
    <s v="Centre"/>
    <n v="18"/>
    <s v="16-20"/>
    <s v="Andres Villarroel"/>
    <s v="onsight"/>
    <n v="1"/>
    <s v="onsight"/>
    <n v="10"/>
  </r>
  <r>
    <d v="2013-02-05T00:00:00"/>
    <b v="0"/>
    <n v="5"/>
    <x v="7"/>
    <x v="5"/>
    <s v="Neska polita"/>
    <s v="7a"/>
    <s v="Spain"/>
    <s v="Garraf"/>
    <s v="Mala Dona"/>
    <n v="12"/>
    <s v="11-15"/>
    <s v="Byron"/>
    <n v="12"/>
    <n v="12"/>
    <s v="redpoint"/>
    <n v="10"/>
  </r>
  <r>
    <d v="2013-02-09T00:00:00"/>
    <b v="0"/>
    <n v="9"/>
    <x v="7"/>
    <x v="5"/>
    <s v="Las Garretes del Garraf"/>
    <s v="7b+"/>
    <s v="Spain"/>
    <s v="Garraf"/>
    <s v="Mala Dona"/>
    <n v="25"/>
    <s v="21-25"/>
    <s v="Byron"/>
    <n v="2"/>
    <n v="2"/>
    <s v="redpoint"/>
    <n v="40"/>
  </r>
  <r>
    <d v="2013-02-26T00:00:00"/>
    <b v="0"/>
    <n v="26"/>
    <x v="7"/>
    <x v="5"/>
    <s v="Xapes Negres"/>
    <s v="7a+"/>
    <s v="Spain"/>
    <s v="Gelida"/>
    <s v="Centre"/>
    <n v="20"/>
    <s v="16-20"/>
    <s v="Marc Ros"/>
    <s v="flash"/>
    <n v="1"/>
    <s v="flash"/>
    <n v="15"/>
  </r>
  <r>
    <d v="2013-02-26T00:00:00"/>
    <b v="0"/>
    <n v="26"/>
    <x v="7"/>
    <x v="5"/>
    <s v="nº26"/>
    <s v="7a"/>
    <s v="Spain"/>
    <s v="Gelida"/>
    <s v="Centre"/>
    <n v="20"/>
    <s v="16-20"/>
    <s v="David Valls"/>
    <s v="onsight"/>
    <n v="1"/>
    <s v="onsight"/>
    <n v="10"/>
  </r>
  <r>
    <d v="2013-03-09T00:00:00"/>
    <b v="0"/>
    <n v="9"/>
    <x v="8"/>
    <x v="5"/>
    <s v="Merda de la serra"/>
    <s v="7a+"/>
    <s v="Spain"/>
    <s v="Gelida"/>
    <s v="Centre"/>
    <n v="20"/>
    <s v="16-20"/>
    <s v="Dave"/>
    <n v="2"/>
    <n v="2"/>
    <s v="redpoint"/>
    <n v="15"/>
  </r>
  <r>
    <d v="2013-03-09T00:00:00"/>
    <b v="0"/>
    <n v="9"/>
    <x v="8"/>
    <x v="5"/>
    <s v="Dos peluts i un destí"/>
    <s v="7a"/>
    <s v="Spain"/>
    <s v="Gelida"/>
    <s v="Centre"/>
    <n v="20"/>
    <s v="16-20"/>
    <s v="Dave"/>
    <n v="2"/>
    <n v="2"/>
    <s v="redpoint"/>
    <n v="10"/>
  </r>
  <r>
    <d v="2013-03-21T00:00:00"/>
    <b v="0"/>
    <n v="21"/>
    <x v="8"/>
    <x v="5"/>
    <s v="Simply Extrem"/>
    <s v="7b+"/>
    <s v="Spain"/>
    <s v="Garraf"/>
    <s v="Mala Dona"/>
    <n v="18"/>
    <s v="16-20"/>
    <s v="Byron"/>
    <n v="8"/>
    <n v="8"/>
    <s v="redpoint"/>
    <n v="40"/>
  </r>
  <r>
    <d v="2013-04-10T00:00:00"/>
    <b v="0"/>
    <n v="10"/>
    <x v="1"/>
    <x v="5"/>
    <s v="Garroma"/>
    <s v="7b+"/>
    <s v="Spain"/>
    <s v="Garraf"/>
    <s v="Mala Dona"/>
    <n v="25"/>
    <s v="21-25"/>
    <s v="Juan"/>
    <n v="14"/>
    <n v="14"/>
    <s v="redpoint"/>
    <n v="40"/>
  </r>
  <r>
    <d v="2013-04-13T00:00:00"/>
    <b v="0"/>
    <n v="13"/>
    <x v="1"/>
    <x v="5"/>
    <s v="Brigadistak"/>
    <s v="7a"/>
    <s v="Spain"/>
    <s v="Siurana"/>
    <s v="Siuranella Este"/>
    <n v="30"/>
    <s v="26-30"/>
    <s v="Gabo"/>
    <s v="onsight"/>
    <n v="1"/>
    <s v="onsight"/>
    <n v="10"/>
  </r>
  <r>
    <d v="2013-04-13T00:00:00"/>
    <b v="0"/>
    <n v="13"/>
    <x v="1"/>
    <x v="5"/>
    <s v="Lo dejé to blanco"/>
    <s v="7a"/>
    <s v="Spain"/>
    <s v="Siurana"/>
    <s v="Siuranella Este"/>
    <n v="30"/>
    <s v="26-30"/>
    <s v="Daniel Perez"/>
    <s v="onsight"/>
    <n v="1"/>
    <s v="onsight"/>
    <n v="10"/>
  </r>
  <r>
    <d v="2013-04-13T00:00:00"/>
    <b v="0"/>
    <n v="13"/>
    <x v="1"/>
    <x v="5"/>
    <s v="Lo més negre"/>
    <s v="7a"/>
    <s v="Spain"/>
    <s v="Siurana"/>
    <s v="Siuranella Este"/>
    <n v="25"/>
    <s v="21-25"/>
    <s v="Patrick"/>
    <n v="2"/>
    <n v="2"/>
    <s v="redpoint"/>
    <n v="10"/>
  </r>
  <r>
    <d v="2013-04-17T00:00:00"/>
    <b v="0"/>
    <n v="17"/>
    <x v="1"/>
    <x v="5"/>
    <s v="Calma Tensa"/>
    <s v="7b+"/>
    <s v="Spain"/>
    <s v="Gelida"/>
    <s v="Centre"/>
    <n v="20"/>
    <s v="16-20"/>
    <s v="Patrick"/>
    <n v="2"/>
    <n v="2"/>
    <s v="redpoint"/>
    <n v="40"/>
  </r>
  <r>
    <d v="2013-05-04T00:00:00"/>
    <b v="0"/>
    <n v="4"/>
    <x v="2"/>
    <x v="5"/>
    <s v="Imperatriz Esmeralda"/>
    <s v="7b+"/>
    <s v="Spain"/>
    <s v="Font Soleia"/>
    <s v="Paret Gran"/>
    <n v="22"/>
    <s v="21-25"/>
    <s v="Juan"/>
    <n v="10"/>
    <n v="10"/>
    <s v="redpoint"/>
    <n v="40"/>
  </r>
  <r>
    <d v="2013-05-29T00:00:00"/>
    <b v="0"/>
    <n v="29"/>
    <x v="2"/>
    <x v="5"/>
    <s v="Súbete a mi piel"/>
    <s v="7a"/>
    <s v="Spain"/>
    <s v="Font Soleia"/>
    <s v="Paret Gran"/>
    <n v="18"/>
    <s v="16-20"/>
    <s v="Juan"/>
    <n v="2"/>
    <n v="2"/>
    <s v="redpoint"/>
    <n v="10"/>
  </r>
  <r>
    <d v="2016-06-13T00:00:00"/>
    <b v="0"/>
    <n v="13"/>
    <x v="9"/>
    <x v="6"/>
    <s v="Josuai Lama"/>
    <s v="7a"/>
    <s v="Spain"/>
    <s v="Garraf"/>
    <s v="Cova dels Bombers"/>
    <n v="15"/>
    <s v="11-15"/>
    <s v="Hervé"/>
    <n v="2"/>
    <n v="2"/>
    <s v="redpoint"/>
    <n v="10"/>
  </r>
  <r>
    <d v="2016-11-12T00:00:00"/>
    <b v="0"/>
    <n v="12"/>
    <x v="4"/>
    <x v="6"/>
    <s v="Sugopy"/>
    <s v="7a"/>
    <s v="Spain"/>
    <s v="Siurana"/>
    <s v="Grau dels Masets Esquerra"/>
    <n v="25"/>
    <s v="21-25"/>
    <s v="Martyn"/>
    <s v="flash"/>
    <n v="1"/>
    <s v="flash"/>
    <n v="10"/>
  </r>
  <r>
    <d v="2017-04-02T00:00:00"/>
    <b v="0"/>
    <n v="2"/>
    <x v="1"/>
    <x v="7"/>
    <s v="Se m'apaga la baldufa"/>
    <s v="7a"/>
    <s v="Spain"/>
    <s v="Siurana"/>
    <s v="Esperó Primavera"/>
    <n v="20"/>
    <s v="16-20"/>
    <s v="Henry"/>
    <n v="2"/>
    <n v="2"/>
    <s v="redpoint"/>
    <n v="10"/>
  </r>
  <r>
    <d v="2017-04-13T00:00:00"/>
    <b v="0"/>
    <n v="13"/>
    <x v="1"/>
    <x v="7"/>
    <s v="Juan y Fran se nos van"/>
    <s v="7a+"/>
    <s v="Spain"/>
    <s v="Rodellar"/>
    <s v="Las ventanas"/>
    <n v="20"/>
    <s v="16-20"/>
    <s v="Yoel"/>
    <n v="3"/>
    <n v="3"/>
    <s v="redpoint"/>
    <n v="15"/>
  </r>
  <r>
    <d v="2017-04-15T00:00:00"/>
    <b v="0"/>
    <n v="15"/>
    <x v="1"/>
    <x v="7"/>
    <s v="Pasaba por aquí"/>
    <s v="7a"/>
    <s v="Spain"/>
    <s v="Rodellar"/>
    <s v="El Callejón"/>
    <n v="25"/>
    <s v="21-25"/>
    <s v="Gustavo"/>
    <n v="8"/>
    <n v="8"/>
    <s v="redpoint"/>
    <n v="10"/>
  </r>
  <r>
    <d v="2017-05-19T00:00:00"/>
    <b v="0"/>
    <n v="19"/>
    <x v="2"/>
    <x v="7"/>
    <s v="Good feeling"/>
    <s v="7a"/>
    <s v="Spain"/>
    <s v="Montserrat sur"/>
    <s v="Cova de l'Arcada"/>
    <n v="32"/>
    <s v="31-35"/>
    <s v="Andres Villarroel"/>
    <s v="onsight"/>
    <n v="1"/>
    <s v="onsight"/>
    <n v="10"/>
  </r>
  <r>
    <d v="2017-06-07T00:00:00"/>
    <b v="0"/>
    <n v="7"/>
    <x v="9"/>
    <x v="7"/>
    <s v="Viagraman"/>
    <s v="7a"/>
    <s v="Spain"/>
    <s v="Siurana"/>
    <s v="El Pati"/>
    <n v="25"/>
    <s v="21-25"/>
    <s v="Yoel"/>
    <n v="3"/>
    <n v="3"/>
    <s v="redpoint"/>
    <n v="10"/>
  </r>
  <r>
    <d v="2017-06-20T00:00:00"/>
    <b v="0"/>
    <n v="20"/>
    <x v="9"/>
    <x v="7"/>
    <s v="Performance"/>
    <s v="7a"/>
    <s v="Spain"/>
    <s v="Font Soleia"/>
    <s v="El Gruyere"/>
    <n v="25"/>
    <s v="21-25"/>
    <s v="Will"/>
    <s v="onsight"/>
    <n v="1"/>
    <s v="onsight"/>
    <n v="10"/>
  </r>
  <r>
    <d v="2017-06-20T00:00:00"/>
    <b v="0"/>
    <n v="20"/>
    <x v="9"/>
    <x v="7"/>
    <s v="Requiem"/>
    <s v="7a+"/>
    <s v="Spain"/>
    <s v="Font Soleia"/>
    <s v="El Gruyere"/>
    <n v="25"/>
    <s v="21-25"/>
    <s v="Will"/>
    <s v="onsight"/>
    <n v="1"/>
    <s v="onsight"/>
    <n v="15"/>
  </r>
  <r>
    <d v="2017-07-08T00:00:00"/>
    <b v="0"/>
    <n v="8"/>
    <x v="0"/>
    <x v="7"/>
    <s v="Fleck"/>
    <s v="7b"/>
    <s v="Spain"/>
    <s v="Collegats"/>
    <s v="La Pedrera"/>
    <n v="35"/>
    <s v="31-35"/>
    <s v="Yoel"/>
    <n v="2"/>
    <n v="2"/>
    <s v="redpoint"/>
    <n v="25"/>
  </r>
  <r>
    <d v="2017-08-12T00:00:00"/>
    <b v="0"/>
    <n v="12"/>
    <x v="3"/>
    <x v="7"/>
    <s v="Beso de Cobra"/>
    <s v="7a"/>
    <s v="Spain"/>
    <s v="Siurana"/>
    <s v="L'aparador"/>
    <n v="30"/>
    <s v="26-30"/>
    <s v="Tieme"/>
    <s v="onsight"/>
    <n v="1"/>
    <s v="onsight"/>
    <n v="10"/>
  </r>
  <r>
    <d v="2017-09-02T00:00:00"/>
    <b v="0"/>
    <n v="2"/>
    <x v="10"/>
    <x v="7"/>
    <s v="Crit de Panic"/>
    <s v="7a"/>
    <s v="Spain"/>
    <s v="Sadernes"/>
    <s v="Cova del Bisbe"/>
    <n v="25"/>
    <s v="21-25"/>
    <s v="Gustavo"/>
    <n v="3"/>
    <n v="3"/>
    <s v="redpoint"/>
    <n v="10"/>
  </r>
  <r>
    <d v="2017-09-13T00:00:00"/>
    <b v="0"/>
    <n v="13"/>
    <x v="10"/>
    <x v="7"/>
    <s v="Attack of the Spindly Killer Fish"/>
    <s v="7a+"/>
    <s v="Spain"/>
    <s v="Mallorca"/>
    <s v="Cala Sa Nau"/>
    <n v="10"/>
    <s v="0-10"/>
    <s v="water solo"/>
    <s v="onsight"/>
    <n v="1"/>
    <s v="onsight"/>
    <n v="15"/>
  </r>
  <r>
    <d v="2017-09-13T00:00:00"/>
    <b v="0"/>
    <n v="13"/>
    <x v="10"/>
    <x v="7"/>
    <s v="Rich Bitch"/>
    <s v="7a"/>
    <s v="Spain"/>
    <s v="Mallorca"/>
    <s v="Cala Mitjana"/>
    <n v="10"/>
    <s v="0-10"/>
    <s v="water solo"/>
    <s v="onsight"/>
    <n v="1"/>
    <s v="onsight"/>
    <n v="10"/>
  </r>
  <r>
    <d v="2017-09-13T00:00:00"/>
    <b v="0"/>
    <n v="13"/>
    <x v="10"/>
    <x v="7"/>
    <s v="Balsa Boys"/>
    <s v="7a+"/>
    <s v="Spain"/>
    <s v="Mallorca"/>
    <s v="Cala Mitjana"/>
    <n v="12"/>
    <s v="11-15"/>
    <s v="water solo"/>
    <n v="2"/>
    <n v="2"/>
    <s v="redpoint"/>
    <n v="15"/>
  </r>
  <r>
    <d v="2017-09-23T00:00:00"/>
    <b v="0"/>
    <n v="23"/>
    <x v="10"/>
    <x v="7"/>
    <s v="Brego"/>
    <s v="7a+"/>
    <s v="Spain"/>
    <s v="Font Soleia"/>
    <s v="El Gruyere"/>
    <n v="25"/>
    <s v="21-25"/>
    <s v="Guy"/>
    <s v="onsight"/>
    <n v="1"/>
    <s v="onsight"/>
    <n v="15"/>
  </r>
  <r>
    <d v="2017-09-25T00:00:00"/>
    <b v="0"/>
    <n v="25"/>
    <x v="10"/>
    <x v="7"/>
    <s v="Cetaci"/>
    <s v="7a+"/>
    <s v="Spain"/>
    <s v="Garraf"/>
    <s v="Cova dels Bombers"/>
    <n v="20"/>
    <s v="16-20"/>
    <s v="Guy"/>
    <n v="5"/>
    <n v="5"/>
    <s v="redpoint"/>
    <n v="15"/>
  </r>
  <r>
    <d v="2017-10-14T00:00:00"/>
    <b v="0"/>
    <n v="14"/>
    <x v="11"/>
    <x v="7"/>
    <s v="Huir para vivir"/>
    <s v="7a+"/>
    <s v="Spain"/>
    <s v="Siurana"/>
    <s v="Siuranella Este"/>
    <n v="30"/>
    <s v="26-30"/>
    <s v="Gustavo"/>
    <n v="3"/>
    <n v="3"/>
    <s v="redpoint"/>
    <n v="15"/>
  </r>
  <r>
    <d v="2017-10-15T00:00:00"/>
    <b v="0"/>
    <n v="15"/>
    <x v="11"/>
    <x v="7"/>
    <s v="Rauxa"/>
    <s v="7a+"/>
    <s v="Spain"/>
    <s v="Siurana"/>
    <s v="L'aparador"/>
    <n v="25"/>
    <s v="21-25"/>
    <s v="Shyamal"/>
    <n v="2"/>
    <n v="2"/>
    <s v="redpoint"/>
    <n v="15"/>
  </r>
  <r>
    <d v="2017-10-21T00:00:00"/>
    <b v="0"/>
    <n v="21"/>
    <x v="11"/>
    <x v="7"/>
    <s v="Jeketepeke"/>
    <s v="7a+"/>
    <s v="Spain"/>
    <s v="Siurana"/>
    <s v="El Cargol"/>
    <n v="25"/>
    <s v="21-25"/>
    <s v="Henry"/>
    <s v="onsight"/>
    <n v="1"/>
    <s v="onsight"/>
    <n v="15"/>
  </r>
  <r>
    <d v="2017-10-21T00:00:00"/>
    <b v="0"/>
    <n v="21"/>
    <x v="11"/>
    <x v="7"/>
    <s v="La panxa del bou"/>
    <s v="7a+"/>
    <s v="Spain"/>
    <s v="Siurana"/>
    <s v="Siuranella Este"/>
    <n v="28"/>
    <s v="26-30"/>
    <s v="Henry"/>
    <n v="3"/>
    <n v="3"/>
    <s v="redpoint"/>
    <n v="15"/>
  </r>
  <r>
    <d v="2017-10-22T00:00:00"/>
    <b v="0"/>
    <n v="22"/>
    <x v="11"/>
    <x v="7"/>
    <s v="Cojón prieto"/>
    <s v="7a"/>
    <s v="Spain"/>
    <s v="Siurana"/>
    <s v="L'Herbolari"/>
    <n v="30"/>
    <s v="26-30"/>
    <s v="Henry"/>
    <s v="onsight"/>
    <n v="1"/>
    <s v="onsight"/>
    <n v="10"/>
  </r>
  <r>
    <d v="2017-10-28T00:00:00"/>
    <b v="0"/>
    <n v="28"/>
    <x v="11"/>
    <x v="7"/>
    <s v="Cingles"/>
    <s v="7a"/>
    <s v="Spain"/>
    <s v="Grau dels matxos"/>
    <s v="page 4"/>
    <n v="25"/>
    <s v="21-25"/>
    <s v="Guy"/>
    <n v="2"/>
    <n v="2"/>
    <s v="redpoint"/>
    <n v="10"/>
  </r>
  <r>
    <d v="2017-10-28T00:00:00"/>
    <b v="0"/>
    <n v="28"/>
    <x v="11"/>
    <x v="7"/>
    <s v="Piano Piano"/>
    <s v="7a"/>
    <s v="Spain"/>
    <s v="Grau dels matxos"/>
    <s v="page 5"/>
    <n v="25"/>
    <s v="21-25"/>
    <s v="Guy"/>
    <n v="4"/>
    <n v="4"/>
    <s v="redpoint"/>
    <n v="10"/>
  </r>
  <r>
    <d v="2017-11-04T00:00:00"/>
    <b v="0"/>
    <n v="4"/>
    <x v="4"/>
    <x v="7"/>
    <s v="No ho sé"/>
    <s v="7b"/>
    <s v="Spain"/>
    <s v="Gelida"/>
    <s v="Centre"/>
    <n v="25"/>
    <s v="21-25"/>
    <s v="Angel"/>
    <n v="6"/>
    <n v="6"/>
    <s v="redpoint"/>
    <n v="25"/>
  </r>
  <r>
    <d v="2017-12-08T00:00:00"/>
    <b v="0"/>
    <n v="8"/>
    <x v="5"/>
    <x v="7"/>
    <s v="Little Ted"/>
    <s v="7a+"/>
    <s v="Spain"/>
    <s v="Siurana"/>
    <s v="Grau dels Masets Baix"/>
    <n v="25"/>
    <s v="21-25"/>
    <s v="Yoel"/>
    <n v="2"/>
    <n v="2"/>
    <s v="redpoint"/>
    <n v="15"/>
  </r>
  <r>
    <d v="2017-12-09T00:00:00"/>
    <b v="0"/>
    <n v="9"/>
    <x v="5"/>
    <x v="7"/>
    <s v="No m'enganyis mes"/>
    <s v="7a"/>
    <s v="Spain"/>
    <s v="Arbolí"/>
    <s v="Can Simiro"/>
    <n v="20"/>
    <s v="16-20"/>
    <s v="Dave"/>
    <s v="flash"/>
    <n v="1"/>
    <s v="flash"/>
    <n v="10"/>
  </r>
  <r>
    <d v="2017-12-10T00:00:00"/>
    <b v="0"/>
    <n v="10"/>
    <x v="5"/>
    <x v="7"/>
    <s v="Prendre la tête"/>
    <s v="7a+"/>
    <s v="Spain"/>
    <s v="Siurana"/>
    <s v="Can Gans Dionis"/>
    <n v="20"/>
    <s v="16-20"/>
    <s v="Karla Mexicana"/>
    <n v="3"/>
    <n v="3"/>
    <s v="redpoint"/>
    <n v="15"/>
  </r>
  <r>
    <d v="2017-12-16T00:00:00"/>
    <b v="0"/>
    <n v="16"/>
    <x v="5"/>
    <x v="7"/>
    <s v="Mystiflower"/>
    <s v="7a"/>
    <s v="Spain"/>
    <s v="Arbolí"/>
    <s v="El Dard"/>
    <n v="30"/>
    <s v="26-30"/>
    <s v="Pelu"/>
    <s v="onsight"/>
    <n v="1"/>
    <s v="onsight"/>
    <n v="10"/>
  </r>
  <r>
    <d v="2017-12-17T00:00:00"/>
    <b v="0"/>
    <n v="17"/>
    <x v="5"/>
    <x v="7"/>
    <s v="Mr Krek"/>
    <s v="7b"/>
    <s v="Spain"/>
    <s v="Arbolí"/>
    <s v="El Dard"/>
    <n v="30"/>
    <s v="26-30"/>
    <s v="Pelu"/>
    <n v="2"/>
    <n v="2"/>
    <s v="redpoint"/>
    <n v="25"/>
  </r>
  <r>
    <d v="2017-12-30T00:00:00"/>
    <b v="0"/>
    <n v="30"/>
    <x v="5"/>
    <x v="7"/>
    <s v="Anys Bionics"/>
    <s v="7b+"/>
    <s v="Spain"/>
    <s v="Siurana"/>
    <s v="El Salt de la Reina Mora"/>
    <n v="38"/>
    <s v="35+"/>
    <s v="Yoel"/>
    <s v="onsight"/>
    <n v="1"/>
    <s v="onsight"/>
    <n v="40"/>
  </r>
  <r>
    <d v="2017-12-31T00:00:00"/>
    <b v="0"/>
    <n v="31"/>
    <x v="5"/>
    <x v="7"/>
    <s v="Salmo veintitrés"/>
    <s v="7a"/>
    <s v="Spain"/>
    <s v="Arbolí"/>
    <s v="El Falcó"/>
    <n v="20"/>
    <s v="16-20"/>
    <s v="Yoel"/>
    <s v="onsight"/>
    <n v="1"/>
    <s v="onsight"/>
    <n v="10"/>
  </r>
  <r>
    <d v="2017-12-31T00:00:00"/>
    <b v="0"/>
    <n v="31"/>
    <x v="5"/>
    <x v="7"/>
    <s v="?"/>
    <s v="7a+"/>
    <s v="Spain"/>
    <s v="Arbolí"/>
    <s v="El Falcó"/>
    <n v="25"/>
    <s v="21-25"/>
    <s v="Yoel"/>
    <n v="2"/>
    <n v="2"/>
    <s v="redpoint"/>
    <n v="15"/>
  </r>
  <r>
    <d v="2018-01-05T00:00:00"/>
    <b v="0"/>
    <n v="5"/>
    <x v="6"/>
    <x v="8"/>
    <s v="Fotut Futur"/>
    <s v="7b"/>
    <s v="Spain"/>
    <s v="Garraf"/>
    <s v="Mala Dona"/>
    <n v="20"/>
    <s v="16-20"/>
    <s v="Lena"/>
    <n v="2"/>
    <n v="2"/>
    <s v="redpoint"/>
    <n v="25"/>
  </r>
  <r>
    <d v="2018-01-27T00:00:00"/>
    <b v="0"/>
    <n v="27"/>
    <x v="6"/>
    <x v="8"/>
    <s v="Megatrix"/>
    <s v="7b+"/>
    <s v="Spain"/>
    <s v="Gelida"/>
    <s v="Centre"/>
    <n v="25"/>
    <s v="21-25"/>
    <s v="Yoel"/>
    <n v="10"/>
    <n v="10"/>
    <s v="redpoint"/>
    <n v="40"/>
  </r>
  <r>
    <d v="2018-02-03T00:00:00"/>
    <b v="0"/>
    <n v="3"/>
    <x v="7"/>
    <x v="8"/>
    <s v="Qui s'ha mort"/>
    <s v="7b"/>
    <s v="Spain"/>
    <s v="Can Paulet"/>
    <s v="Esquerra"/>
    <n v="12"/>
    <s v="11-15"/>
    <s v="Yoel"/>
    <n v="3"/>
    <n v="3"/>
    <s v="redpoint"/>
    <n v="25"/>
  </r>
  <r>
    <d v="2018-02-22T00:00:00"/>
    <b v="0"/>
    <n v="22"/>
    <x v="7"/>
    <x v="8"/>
    <s v="Dale duro negro"/>
    <s v="7b"/>
    <s v="Spain"/>
    <s v="Chulilla"/>
    <s v="Sex shop"/>
    <n v="32"/>
    <s v="31-35"/>
    <s v="Lena"/>
    <s v="flash"/>
    <n v="1"/>
    <s v="flash"/>
    <n v="25"/>
  </r>
  <r>
    <d v="2018-02-23T00:00:00"/>
    <b v="0"/>
    <n v="23"/>
    <x v="7"/>
    <x v="8"/>
    <s v="Los caminantes"/>
    <s v="7b"/>
    <s v="Spain"/>
    <s v="Chulilla"/>
    <s v="Chorreras"/>
    <n v="32"/>
    <s v="31-35"/>
    <s v="Lena"/>
    <n v="2"/>
    <n v="2"/>
    <s v="redpoint"/>
    <n v="25"/>
  </r>
  <r>
    <d v="2018-02-24T00:00:00"/>
    <b v="0"/>
    <n v="24"/>
    <x v="7"/>
    <x v="8"/>
    <s v="?"/>
    <s v="7a"/>
    <s v="Spain"/>
    <s v="Chulilla"/>
    <s v="Oasis"/>
    <n v="32"/>
    <s v="31-35"/>
    <s v="Lena"/>
    <s v="onsight"/>
    <n v="1"/>
    <s v="onsight"/>
    <n v="10"/>
  </r>
  <r>
    <d v="2018-03-18T00:00:00"/>
    <b v="0"/>
    <n v="18"/>
    <x v="8"/>
    <x v="8"/>
    <s v="Baby sitter"/>
    <s v="7a"/>
    <s v="Spain"/>
    <s v="Margalef"/>
    <s v="La Mainadera"/>
    <n v="18"/>
    <s v="16-20"/>
    <s v="Kathy"/>
    <n v="2"/>
    <n v="2"/>
    <s v="redpoint"/>
    <n v="10"/>
  </r>
  <r>
    <d v="2018-03-30T00:00:00"/>
    <b v="0"/>
    <n v="30"/>
    <x v="8"/>
    <x v="8"/>
    <s v="Curriculo vaginal"/>
    <s v="7c"/>
    <s v="Spain"/>
    <s v="Chulilla"/>
    <s v="Sex shop"/>
    <n v="20"/>
    <s v="16-20"/>
    <s v="Guy"/>
    <n v="5"/>
    <n v="5"/>
    <s v="redpoint"/>
    <n v="60"/>
  </r>
  <r>
    <d v="2018-03-31T00:00:00"/>
    <b v="0"/>
    <n v="31"/>
    <x v="8"/>
    <x v="8"/>
    <s v="Zikrutiña mientras puedas"/>
    <s v="7a+"/>
    <s v="Spain"/>
    <s v="Chulilla"/>
    <s v="Muro de lamentaciones"/>
    <n v="18"/>
    <s v="16-20"/>
    <s v="Guy"/>
    <n v="2"/>
    <n v="2"/>
    <s v="redpoint"/>
    <n v="15"/>
  </r>
  <r>
    <d v="2018-04-01T00:00:00"/>
    <b v="0"/>
    <n v="1"/>
    <x v="1"/>
    <x v="8"/>
    <s v="?"/>
    <s v="7b+"/>
    <s v="Spain"/>
    <s v="Chulilla"/>
    <s v="Masters"/>
    <n v="30"/>
    <s v="26-30"/>
    <s v="Kathy"/>
    <n v="2"/>
    <n v="2"/>
    <s v="redpoint"/>
    <n v="40"/>
  </r>
  <r>
    <d v="2018-04-02T00:00:00"/>
    <b v="0"/>
    <n v="2"/>
    <x v="1"/>
    <x v="8"/>
    <s v="?"/>
    <s v="7b"/>
    <s v="Spain"/>
    <s v="Chulilla"/>
    <s v="Fantasía"/>
    <n v="30"/>
    <s v="26-30"/>
    <s v="Guy"/>
    <n v="4"/>
    <n v="4"/>
    <s v="redpoint"/>
    <n v="25"/>
  </r>
  <r>
    <d v="2018-04-18T00:00:00"/>
    <b v="0"/>
    <n v="18"/>
    <x v="1"/>
    <x v="8"/>
    <s v="Desvariant"/>
    <s v="7b"/>
    <s v="Spain"/>
    <s v="Arbolí"/>
    <s v="L'Obaga del Falcó"/>
    <n v="25"/>
    <s v="21-25"/>
    <s v="Ulises"/>
    <n v="2"/>
    <n v="2"/>
    <s v="redpoint"/>
    <n v="25"/>
  </r>
  <r>
    <d v="2018-04-20T00:00:00"/>
    <b v="0"/>
    <n v="20"/>
    <x v="1"/>
    <x v="8"/>
    <s v="Ay Mamita"/>
    <s v="7a"/>
    <s v="Spain"/>
    <s v="Siurana"/>
    <s v="El Pati"/>
    <n v="35"/>
    <s v="31-35"/>
    <s v="Kat"/>
    <s v="onsight"/>
    <n v="1"/>
    <s v="onsight"/>
    <n v="10"/>
  </r>
  <r>
    <d v="2018-04-22T00:00:00"/>
    <b v="0"/>
    <n v="22"/>
    <x v="1"/>
    <x v="8"/>
    <s v="Bindelef"/>
    <s v="7a+"/>
    <s v="Spain"/>
    <s v="Siurana"/>
    <s v="Can Codolar"/>
    <n v="35"/>
    <s v="31-35"/>
    <s v="Henry"/>
    <s v="onsight"/>
    <n v="1"/>
    <s v="onsight"/>
    <n v="15"/>
  </r>
  <r>
    <d v="2018-04-28T00:00:00"/>
    <b v="0"/>
    <n v="28"/>
    <x v="1"/>
    <x v="8"/>
    <s v="La mía"/>
    <s v="7a"/>
    <s v="Spain"/>
    <s v="Margalef"/>
    <s v="Culample 4"/>
    <n v="25"/>
    <s v="21-25"/>
    <s v="Kathy"/>
    <s v="onsight"/>
    <n v="1"/>
    <s v="onsight"/>
    <n v="10"/>
  </r>
  <r>
    <d v="2018-04-28T00:00:00"/>
    <b v="0"/>
    <n v="28"/>
    <x v="1"/>
    <x v="8"/>
    <s v="El Charlatán"/>
    <s v="7a+"/>
    <s v="Spain"/>
    <s v="Margalef"/>
    <s v="Culample 4"/>
    <n v="25"/>
    <s v="21-25"/>
    <s v="Kathy"/>
    <n v="2"/>
    <n v="2"/>
    <s v="redpoint"/>
    <n v="15"/>
  </r>
  <r>
    <d v="2018-04-29T00:00:00"/>
    <b v="0"/>
    <n v="29"/>
    <x v="1"/>
    <x v="8"/>
    <s v="La forum de les postures"/>
    <s v="7a"/>
    <s v="Spain"/>
    <s v="Margalef"/>
    <s v="Cabernet"/>
    <n v="30"/>
    <s v="26-30"/>
    <s v="Ulises"/>
    <s v="onsight"/>
    <n v="1"/>
    <s v="onsight"/>
    <n v="10"/>
  </r>
  <r>
    <d v="2018-04-29T00:00:00"/>
    <b v="0"/>
    <n v="29"/>
    <x v="1"/>
    <x v="8"/>
    <s v="Mar de fons"/>
    <s v="7b"/>
    <s v="Spain"/>
    <s v="Margalef"/>
    <s v="Cabernet"/>
    <n v="10"/>
    <s v="0-10"/>
    <s v="Kathy"/>
    <n v="3"/>
    <n v="3"/>
    <s v="redpoint"/>
    <n v="25"/>
  </r>
  <r>
    <d v="2018-05-26T00:00:00"/>
    <b v="0"/>
    <n v="26"/>
    <x v="2"/>
    <x v="8"/>
    <s v="Ladilla"/>
    <s v="7a"/>
    <s v="Spain"/>
    <s v="Sadernes"/>
    <s v="Castell s'Espasa dret"/>
    <n v="25"/>
    <s v="21-25"/>
    <s v="Gustavo"/>
    <s v="onsight"/>
    <n v="1"/>
    <s v="onsight"/>
    <n v="10"/>
  </r>
  <r>
    <d v="2018-05-26T00:00:00"/>
    <b v="0"/>
    <n v="26"/>
    <x v="2"/>
    <x v="8"/>
    <s v="Calendra"/>
    <s v="7a+"/>
    <s v="Spain"/>
    <s v="Sadernes"/>
    <s v="Castell s'Espasa dret"/>
    <n v="25"/>
    <s v="21-25"/>
    <s v="Gustavo"/>
    <s v="onsight"/>
    <n v="1"/>
    <s v="onsight"/>
    <n v="15"/>
  </r>
  <r>
    <d v="2018-06-10T00:00:00"/>
    <b v="0"/>
    <n v="10"/>
    <x v="9"/>
    <x v="8"/>
    <s v="Esgraons al cel"/>
    <s v="7a+"/>
    <s v="Spain"/>
    <s v="Montserrat norte"/>
    <s v="El prohibitivo"/>
    <n v="12"/>
    <s v="11-15"/>
    <s v="Kathy"/>
    <s v="flash"/>
    <n v="1"/>
    <s v="flash"/>
    <n v="15"/>
  </r>
  <r>
    <d v="2018-06-24T00:00:00"/>
    <b v="0"/>
    <n v="24"/>
    <x v="9"/>
    <x v="8"/>
    <s v="Menganos"/>
    <s v="7a+"/>
    <s v="Spain"/>
    <s v="Montserrat sur"/>
    <s v="La Piula"/>
    <n v="25"/>
    <s v="21-25"/>
    <s v="Kathy"/>
    <n v="2"/>
    <n v="2"/>
    <s v="redpoint"/>
    <n v="15"/>
  </r>
  <r>
    <d v="2018-09-10T00:00:00"/>
    <b v="0"/>
    <n v="10"/>
    <x v="10"/>
    <x v="8"/>
    <s v="Bisexual"/>
    <s v="7a"/>
    <s v="Spain"/>
    <s v="Mallorca"/>
    <s v="Cala Varques - Metrosexual"/>
    <n v="12"/>
    <s v="11-15"/>
    <s v="water solo"/>
    <n v="2"/>
    <n v="2"/>
    <s v="redpoint"/>
    <n v="10"/>
  </r>
  <r>
    <d v="2018-11-03T00:00:00"/>
    <b v="0"/>
    <n v="3"/>
    <x v="4"/>
    <x v="8"/>
    <s v="Salmoneti a contra corrent"/>
    <s v="7a"/>
    <s v="Spain"/>
    <s v="Siurana"/>
    <s v="Corral nou"/>
    <n v="22"/>
    <s v="21-25"/>
    <s v="Angel"/>
    <s v="onsight"/>
    <n v="1"/>
    <s v="onsight"/>
    <n v="10"/>
  </r>
  <r>
    <d v="2018-11-03T00:00:00"/>
    <b v="0"/>
    <n v="3"/>
    <x v="4"/>
    <x v="8"/>
    <s v="Bocadillo de calamares en el km 0"/>
    <s v="7a+"/>
    <s v="Spain"/>
    <s v="Siurana"/>
    <s v="Corral nou"/>
    <n v="25"/>
    <s v="21-25"/>
    <s v="Angel"/>
    <n v="2"/>
    <n v="2"/>
    <s v="redpoint"/>
    <n v="15"/>
  </r>
  <r>
    <d v="2019-04-05T00:00:00"/>
    <b v="0"/>
    <n v="5"/>
    <x v="1"/>
    <x v="9"/>
    <s v="Fisuterapia"/>
    <s v="7a"/>
    <s v="Spain"/>
    <s v="Siurana"/>
    <s v="Herbolari"/>
    <n v="30"/>
    <s v="26-30"/>
    <s v="Guy"/>
    <n v="2"/>
    <n v="2"/>
    <s v="redpoint"/>
    <n v="10"/>
  </r>
  <r>
    <d v="2019-04-06T00:00:00"/>
    <b v="0"/>
    <n v="6"/>
    <x v="1"/>
    <x v="9"/>
    <s v="Cargol treu banya"/>
    <s v="7a"/>
    <s v="Spain"/>
    <s v="Siurana"/>
    <s v="L'Olla"/>
    <n v="13"/>
    <s v="11-15"/>
    <s v="Guy"/>
    <n v="2"/>
    <n v="2"/>
    <s v="redpoint"/>
    <n v="10"/>
  </r>
  <r>
    <d v="2019-04-14T00:00:00"/>
    <b v="0"/>
    <n v="14"/>
    <x v="1"/>
    <x v="9"/>
    <s v="Café del mar"/>
    <s v="7a+"/>
    <s v="Spain"/>
    <s v="Montserrat norte"/>
    <s v="El Casot"/>
    <n v="25"/>
    <s v="21-25"/>
    <s v="Gustavo"/>
    <s v="flash"/>
    <n v="1"/>
    <s v="flash"/>
    <n v="15"/>
  </r>
  <r>
    <d v="2019-09-22T00:00:00"/>
    <b v="0"/>
    <n v="22"/>
    <x v="10"/>
    <x v="9"/>
    <s v="Jihad"/>
    <s v="7a+"/>
    <s v="Spain"/>
    <s v="Montserrat norte"/>
    <s v="Cova de l'os"/>
    <n v="20"/>
    <s v="16-20"/>
    <s v="Antonin"/>
    <n v="2"/>
    <n v="2"/>
    <s v="redpoint"/>
    <n v="15"/>
  </r>
  <r>
    <d v="2019-11-01T00:00:00"/>
    <b v="0"/>
    <n v="1"/>
    <x v="4"/>
    <x v="9"/>
    <s v="La Siberiana"/>
    <s v="7b"/>
    <s v="Spain"/>
    <s v="Siurana"/>
    <s v="Can Codolar"/>
    <n v="30"/>
    <s v="26-30"/>
    <s v="Guy"/>
    <n v="3"/>
    <n v="3"/>
    <s v="redpoint"/>
    <n v="25"/>
  </r>
  <r>
    <d v="2019-11-02T00:00:00"/>
    <b v="0"/>
    <n v="2"/>
    <x v="4"/>
    <x v="9"/>
    <s v="Tikis Mikis"/>
    <s v="7a"/>
    <s v="Spain"/>
    <s v="Siurana"/>
    <s v="Siuranella Centre"/>
    <n v="30"/>
    <s v="26-30"/>
    <s v="Gustavo"/>
    <n v="2"/>
    <n v="2"/>
    <s v="redpoint"/>
    <n v="10"/>
  </r>
  <r>
    <d v="2019-11-16T00:00:00"/>
    <b v="0"/>
    <n v="16"/>
    <x v="4"/>
    <x v="9"/>
    <s v="El ultimo poeta"/>
    <s v="7b"/>
    <s v="Spain"/>
    <s v="Margalef"/>
    <s v="La Mainadera"/>
    <n v="20"/>
    <s v="16-20"/>
    <s v="Inti"/>
    <n v="2"/>
    <n v="2"/>
    <s v="redpoint"/>
    <n v="25"/>
  </r>
  <r>
    <d v="2020-08-24T00:00:00"/>
    <b v="0"/>
    <n v="24"/>
    <x v="3"/>
    <x v="10"/>
    <s v="Cop de roc"/>
    <s v="7a+"/>
    <s v="Spain"/>
    <s v="Siurana"/>
    <s v="Can Codolar"/>
    <n v="35"/>
    <s v="31-35"/>
    <s v="Laila"/>
    <n v="2"/>
    <n v="2"/>
    <s v="redpoint"/>
    <n v="15"/>
  </r>
  <r>
    <d v="2020-08-27T00:00:00"/>
    <b v="0"/>
    <n v="27"/>
    <x v="3"/>
    <x v="10"/>
    <s v="Avui si que no m'enganyes"/>
    <s v="7b"/>
    <s v="Spain"/>
    <s v="Siurana"/>
    <s v="Siuranella Este"/>
    <n v="22"/>
    <s v="21-25"/>
    <s v="Inti"/>
    <n v="6"/>
    <n v="6"/>
    <s v="redpoint"/>
    <n v="25"/>
  </r>
  <r>
    <d v="2020-09-20T00:00:00"/>
    <b v="0"/>
    <n v="20"/>
    <x v="10"/>
    <x v="10"/>
    <s v="No name num 93"/>
    <s v="7a+"/>
    <s v="Spain"/>
    <s v="Grau dels matxos"/>
    <s v="page 4"/>
    <n v="25"/>
    <s v="21-25"/>
    <s v="Guy"/>
    <s v="flash"/>
    <n v="1"/>
    <s v="flash"/>
    <n v="15"/>
  </r>
  <r>
    <d v="2020-09-24T00:00:00"/>
    <b v="0"/>
    <n v="24"/>
    <x v="10"/>
    <x v="10"/>
    <s v="El Trapella num 90"/>
    <s v="7b+"/>
    <s v="Spain"/>
    <s v="Grau dels matxos"/>
    <s v="page 4"/>
    <n v="25"/>
    <s v="21-25"/>
    <s v="Guy"/>
    <n v="4"/>
    <n v="4"/>
    <s v="redpoint"/>
    <n v="40"/>
  </r>
  <r>
    <d v="2020-09-24T00:00:00"/>
    <b v="0"/>
    <n v="24"/>
    <x v="10"/>
    <x v="10"/>
    <s v="El Drac"/>
    <s v="7a"/>
    <s v="Spain"/>
    <s v="Grau dels matxos"/>
    <s v="page 4"/>
    <n v="25"/>
    <s v="21-25"/>
    <s v="Gabo"/>
    <s v="flash"/>
    <n v="1"/>
    <s v="flash"/>
    <n v="10"/>
  </r>
  <r>
    <d v="2020-09-26T00:00:00"/>
    <b v="0"/>
    <n v="26"/>
    <x v="10"/>
    <x v="10"/>
    <s v="Pota de bou"/>
    <s v="7a+"/>
    <s v="Spain"/>
    <s v="Grau dels matxos"/>
    <s v="page 6"/>
    <n v="25"/>
    <s v="21-25"/>
    <s v="Kat"/>
    <s v="onsight"/>
    <n v="1"/>
    <s v="onsight"/>
    <n v="15"/>
  </r>
  <r>
    <d v="2020-10-17T00:00:00"/>
    <b v="0"/>
    <n v="17"/>
    <x v="11"/>
    <x v="10"/>
    <s v="Ni me n'entero"/>
    <s v="7a"/>
    <s v="Spain"/>
    <s v="Siurana"/>
    <s v="Ca la Isabel"/>
    <n v="20"/>
    <s v="16-20"/>
    <s v="Guy"/>
    <s v="onsight"/>
    <n v="1"/>
    <s v="onsight"/>
    <n v="10"/>
  </r>
  <r>
    <d v="2020-10-18T00:00:00"/>
    <b v="0"/>
    <n v="18"/>
    <x v="11"/>
    <x v="10"/>
    <s v="ACDC"/>
    <s v="7b+"/>
    <s v="Spain"/>
    <s v="Siurana"/>
    <s v="Ca l'Onassis"/>
    <n v="28"/>
    <s v="26-30"/>
    <s v="Gustavo"/>
    <n v="4"/>
    <n v="4"/>
    <s v="redpoint"/>
    <n v="40"/>
  </r>
  <r>
    <d v="2020-10-24T00:00:00"/>
    <b v="0"/>
    <n v="24"/>
    <x v="11"/>
    <x v="10"/>
    <s v="?"/>
    <s v="7a"/>
    <s v="Spain"/>
    <s v="Siurana"/>
    <s v="Siuranella Este"/>
    <n v="30"/>
    <s v="26-30"/>
    <s v="Inti"/>
    <n v="2"/>
    <n v="2"/>
    <s v="redpoint"/>
    <n v="10"/>
  </r>
  <r>
    <d v="2020-10-25T00:00:00"/>
    <b v="0"/>
    <n v="25"/>
    <x v="11"/>
    <x v="10"/>
    <s v="No hi ha pa per tant xoriço"/>
    <s v="7a"/>
    <s v="Spain"/>
    <s v="Siurana"/>
    <s v="Grau dels Masets Baix"/>
    <n v="30"/>
    <s v="26-30"/>
    <s v="Kat"/>
    <s v="onsight"/>
    <n v="1"/>
    <s v="onsight"/>
    <n v="10"/>
  </r>
  <r>
    <d v="2021-04-22T00:00:00"/>
    <b v="0"/>
    <n v="22"/>
    <x v="1"/>
    <x v="11"/>
    <s v="Remulo y romo"/>
    <s v="7a"/>
    <s v="Spain"/>
    <s v="Siurana"/>
    <s v="Can Melafots"/>
    <n v="18"/>
    <s v="16-20"/>
    <s v="Lydia"/>
    <s v="onsight"/>
    <n v="1"/>
    <s v="onsight"/>
    <n v="10"/>
  </r>
  <r>
    <d v="2021-04-23T00:00:00"/>
    <b v="0"/>
    <n v="23"/>
    <x v="1"/>
    <x v="11"/>
    <s v="La Morena de Montsant"/>
    <s v="7a+"/>
    <s v="Spain"/>
    <s v="Siurana"/>
    <s v="El Cargol"/>
    <n v="40"/>
    <s v="35+"/>
    <s v="Bernardo"/>
    <s v="onsight"/>
    <n v="1"/>
    <s v="onsight"/>
    <n v="15"/>
  </r>
  <r>
    <d v="2021-04-24T00:00:00"/>
    <b v="0"/>
    <n v="24"/>
    <x v="1"/>
    <x v="11"/>
    <s v="Pako pintxo"/>
    <s v="7a"/>
    <s v="Spain"/>
    <s v="Siurana"/>
    <s v="Ca l'Orro"/>
    <n v="15"/>
    <s v="11-15"/>
    <s v="Bernardo"/>
    <n v="2"/>
    <n v="2"/>
    <s v="redpoint"/>
    <n v="10"/>
  </r>
  <r>
    <d v="2021-05-06T00:00:00"/>
    <b v="0"/>
    <n v="6"/>
    <x v="2"/>
    <x v="11"/>
    <s v="Clone Club"/>
    <s v="7a"/>
    <s v="Spain"/>
    <s v="Grau dels matxos"/>
    <s v="page 6"/>
    <n v="20"/>
    <s v="16-20"/>
    <s v="Guy"/>
    <s v="onsight"/>
    <n v="1"/>
    <s v="onsight"/>
    <n v="10"/>
  </r>
  <r>
    <d v="2021-05-14T00:00:00"/>
    <b v="0"/>
    <n v="14"/>
    <x v="2"/>
    <x v="11"/>
    <s v="La Transformació"/>
    <s v="7a"/>
    <s v="Spain"/>
    <s v="Siurana"/>
    <s v="Grau dels Masets Esquerra"/>
    <n v="25"/>
    <s v="21-25"/>
    <s v="Bernardo"/>
    <n v="4"/>
    <n v="4"/>
    <s v="redpoint"/>
    <n v="10"/>
  </r>
  <r>
    <d v="2021-05-19T00:00:00"/>
    <b v="0"/>
    <n v="19"/>
    <x v="2"/>
    <x v="11"/>
    <s v="Alpha"/>
    <s v="7a"/>
    <s v="Spain"/>
    <s v="Grau dels matxos"/>
    <s v="page 3"/>
    <n v="20"/>
    <s v="16-20"/>
    <s v="Bernardo"/>
    <s v="flash"/>
    <n v="1"/>
    <s v="flash"/>
    <n v="10"/>
  </r>
  <r>
    <d v="2021-05-20T00:00:00"/>
    <b v="0"/>
    <n v="20"/>
    <x v="2"/>
    <x v="11"/>
    <s v="Mainada de plafó"/>
    <s v="7b"/>
    <s v="Spain"/>
    <s v="Grau dels matxos"/>
    <s v="page 2"/>
    <n v="20"/>
    <s v="16-20"/>
    <s v="Guy"/>
    <n v="5"/>
    <n v="5"/>
    <s v="redpoint"/>
    <n v="25"/>
  </r>
  <r>
    <d v="2021-05-27T00:00:00"/>
    <b v="0"/>
    <n v="27"/>
    <x v="2"/>
    <x v="11"/>
    <s v="No pasarán"/>
    <s v="7b"/>
    <s v="Spain"/>
    <s v="Grau dels matxos"/>
    <s v="page 2"/>
    <n v="16"/>
    <s v="16-20"/>
    <s v="Guy"/>
    <n v="6"/>
    <n v="6"/>
    <s v="redpoint"/>
    <n v="25"/>
  </r>
  <r>
    <d v="2021-05-29T00:00:00"/>
    <b v="0"/>
    <n v="29"/>
    <x v="2"/>
    <x v="11"/>
    <s v="Semen up"/>
    <s v="7a"/>
    <s v="Spain"/>
    <s v="Siurana"/>
    <s v="Siuranella Este"/>
    <n v="20"/>
    <s v="16-20"/>
    <s v="Angel"/>
    <s v="onsight"/>
    <n v="1"/>
    <s v="onsight"/>
    <n v="10"/>
  </r>
  <r>
    <d v="2021-05-30T00:00:00"/>
    <b v="0"/>
    <n v="30"/>
    <x v="2"/>
    <x v="11"/>
    <s v="Daniel Taupin"/>
    <s v="7a+"/>
    <s v="Spain"/>
    <s v="Siurana"/>
    <s v="L'aparador"/>
    <n v="25"/>
    <s v="21-25"/>
    <s v="Angel"/>
    <n v="2"/>
    <n v="2"/>
    <s v="redpoint"/>
    <n v="15"/>
  </r>
  <r>
    <d v="2021-06-02T00:00:00"/>
    <b v="0"/>
    <n v="2"/>
    <x v="9"/>
    <x v="11"/>
    <s v="Tsunami"/>
    <s v="7a+"/>
    <s v="Spain"/>
    <s v="Grau dels matxos"/>
    <s v="El Sunyer"/>
    <n v="18"/>
    <s v="16-20"/>
    <s v="Guy"/>
    <s v="onsight"/>
    <n v="1"/>
    <s v="onsight"/>
    <n v="15"/>
  </r>
  <r>
    <d v="2021-06-02T00:00:00"/>
    <b v="0"/>
    <n v="2"/>
    <x v="9"/>
    <x v="11"/>
    <s v="El Nas"/>
    <s v="7a"/>
    <s v="Spain"/>
    <s v="Grau dels matxos"/>
    <s v="El Sunyer"/>
    <n v="18"/>
    <s v="16-20"/>
    <s v="Guy"/>
    <n v="2"/>
    <n v="2"/>
    <s v="redpoint"/>
    <n v="10"/>
  </r>
  <r>
    <d v="2021-06-13T00:00:00"/>
    <b v="0"/>
    <n v="13"/>
    <x v="9"/>
    <x v="11"/>
    <s v="Bous i Esquellets"/>
    <s v="7c"/>
    <s v="Spain"/>
    <s v="Grau dels matxos"/>
    <s v="El Sunyer"/>
    <n v="22"/>
    <s v="21-25"/>
    <s v="Sean"/>
    <n v="7"/>
    <n v="7"/>
    <s v="redpoint"/>
    <n v="60"/>
  </r>
  <r>
    <d v="2021-06-20T00:00:00"/>
    <b v="0"/>
    <n v="20"/>
    <x v="9"/>
    <x v="11"/>
    <s v="Las orelles del llop"/>
    <s v="7a+"/>
    <s v="Spain"/>
    <s v="Grau dels matxos"/>
    <s v="El Sunyer"/>
    <n v="18"/>
    <s v="16-20"/>
    <s v="Lydia"/>
    <s v="onsight"/>
    <n v="1"/>
    <s v="onsight"/>
    <n v="15"/>
  </r>
  <r>
    <d v="2021-06-20T00:00:00"/>
    <b v="0"/>
    <n v="20"/>
    <x v="9"/>
    <x v="11"/>
    <s v="Emboirats"/>
    <s v="7b"/>
    <s v="Spain"/>
    <s v="Grau dels matxos"/>
    <s v="El Sunyer"/>
    <n v="18"/>
    <s v="16-20"/>
    <s v="Lydia"/>
    <s v="onsight"/>
    <n v="1"/>
    <s v="onsight"/>
    <n v="25"/>
  </r>
  <r>
    <d v="2021-06-24T00:00:00"/>
    <b v="0"/>
    <n v="24"/>
    <x v="9"/>
    <x v="11"/>
    <s v="Tiramilles"/>
    <s v="7a+"/>
    <s v="Spain"/>
    <s v="Grau dels matxos"/>
    <s v="El Sunyer"/>
    <n v="18"/>
    <s v="16-20"/>
    <s v="Guy"/>
    <n v="2"/>
    <n v="2"/>
    <s v="redpoint"/>
    <n v="15"/>
  </r>
  <r>
    <d v="2021-11-14T00:00:00"/>
    <b v="0"/>
    <n v="14"/>
    <x v="4"/>
    <x v="11"/>
    <s v="Sac de Gemecs"/>
    <s v="7a"/>
    <s v="Spain"/>
    <s v="Siurana"/>
    <s v="Grau dels Masets Baix"/>
    <n v="25"/>
    <s v="21-25"/>
    <s v="Lydia"/>
    <s v="onsight"/>
    <n v="1"/>
    <s v="onsight"/>
    <n v="10"/>
  </r>
  <r>
    <d v="2022-01-30T00:00:00"/>
    <b v="0"/>
    <n v="30"/>
    <x v="6"/>
    <x v="12"/>
    <s v="Ventolera Cosmica"/>
    <s v="7c+"/>
    <s v="Spain"/>
    <s v="Gelida"/>
    <s v="Centre"/>
    <n v="20"/>
    <s v="16-20"/>
    <s v="Guy"/>
    <n v="50"/>
    <m/>
    <s v="redpoint"/>
    <n v="80"/>
  </r>
  <r>
    <d v="2022-02-10T00:00:00"/>
    <b v="0"/>
    <n v="10"/>
    <x v="7"/>
    <x v="12"/>
    <s v="LSD"/>
    <s v="7a"/>
    <s v="Spain"/>
    <s v="Penyes Aragonesas (Castellón)"/>
    <s v="La ciudad perdida de Muchapicha"/>
    <n v="15"/>
    <s v="11-15"/>
    <s v="Lena"/>
    <s v="onsight"/>
    <n v="1"/>
    <s v="onsight"/>
    <n v="10"/>
  </r>
  <r>
    <d v="2022-02-11T00:00:00"/>
    <b v="0"/>
    <n v="11"/>
    <x v="7"/>
    <x v="12"/>
    <s v="Blue agave"/>
    <s v="7a"/>
    <s v="Spain"/>
    <s v="Chulilla"/>
    <s v="Muro de lamentaciones"/>
    <n v="35"/>
    <s v="31-35"/>
    <s v="Lena"/>
    <s v="flash"/>
    <n v="1"/>
    <s v="flash"/>
    <n v="10"/>
  </r>
  <r>
    <d v="2022-02-12T00:00:00"/>
    <b v="0"/>
    <n v="12"/>
    <x v="7"/>
    <x v="12"/>
    <s v="Dumbo love"/>
    <s v="7a"/>
    <s v="Spain"/>
    <s v="Chulilla"/>
    <s v="Tierra de Nadie"/>
    <n v="20"/>
    <s v="16-20"/>
    <s v="Lena"/>
    <s v="onsight"/>
    <n v="1"/>
    <s v="onsight"/>
    <n v="10"/>
  </r>
  <r>
    <d v="2022-02-13T00:00:00"/>
    <b v="0"/>
    <n v="13"/>
    <x v="7"/>
    <x v="12"/>
    <s v="El Magnate del tomate"/>
    <s v="7a+"/>
    <s v="Spain"/>
    <s v="Chulilla"/>
    <s v="Chorreras"/>
    <n v="35"/>
    <s v="31-35"/>
    <s v="Donald"/>
    <s v="onsight"/>
    <n v="1"/>
    <s v="onsight"/>
    <n v="15"/>
  </r>
  <r>
    <d v="2022-03-17T00:00:00"/>
    <b v="0"/>
    <n v="17"/>
    <x v="8"/>
    <x v="12"/>
    <s v="SPUF"/>
    <s v="7a"/>
    <s v="Portugal"/>
    <s v="Fenda de Arrabida"/>
    <s v="Carallon"/>
    <n v="20"/>
    <s v="16-20"/>
    <s v="Vittorio"/>
    <s v="onsight"/>
    <n v="1"/>
    <s v="onsight"/>
    <n v="10"/>
  </r>
  <r>
    <d v="2022-05-25T00:00:00"/>
    <b v="0"/>
    <n v="25"/>
    <x v="2"/>
    <x v="12"/>
    <s v="Revelhao"/>
    <s v="7a"/>
    <s v="Portugal"/>
    <s v="Atlantida"/>
    <s v="Gaivotas"/>
    <n v="23"/>
    <s v="21-25"/>
    <s v="Alexandre Marques"/>
    <n v="3"/>
    <n v="3"/>
    <s v="redpoint"/>
    <n v="10"/>
  </r>
  <r>
    <d v="2022-06-10T00:00:00"/>
    <b v="0"/>
    <n v="10"/>
    <x v="9"/>
    <x v="12"/>
    <s v="Arseniac"/>
    <s v="7a"/>
    <s v="Spain"/>
    <s v="Arbolí"/>
    <s v="L'Obaga"/>
    <n v="23"/>
    <s v="21-25"/>
    <s v="Kathy"/>
    <s v="onsight"/>
    <n v="1"/>
    <s v="onsight"/>
    <n v="10"/>
  </r>
  <r>
    <d v="2022-06-17T00:00:00"/>
    <b v="0"/>
    <n v="17"/>
    <x v="9"/>
    <x v="12"/>
    <s v="?"/>
    <s v="7a+"/>
    <s v="Spain"/>
    <s v="Cavallers"/>
    <s v="Kaos"/>
    <n v="15"/>
    <s v="11-15"/>
    <s v="Kathy"/>
    <n v="3"/>
    <n v="3"/>
    <s v="redpoint"/>
    <n v="15"/>
  </r>
  <r>
    <d v="2022-07-16T00:00:00"/>
    <b v="0"/>
    <n v="16"/>
    <x v="0"/>
    <x v="12"/>
    <s v="L'âge de cristal"/>
    <s v="7a"/>
    <s v="France"/>
    <s v="Le Fayet"/>
    <s v="Thermes"/>
    <n v="16"/>
    <s v="16-20"/>
    <s v="Kati Golovina"/>
    <n v="2"/>
    <n v="2"/>
    <s v="redpoint"/>
    <n v="10"/>
  </r>
  <r>
    <d v="2022-07-23T00:00:00"/>
    <b v="0"/>
    <n v="23"/>
    <x v="0"/>
    <x v="12"/>
    <s v="La Haine"/>
    <s v="7a+"/>
    <s v="France"/>
    <s v="Le Coupeau"/>
    <s v="Right"/>
    <n v="16"/>
    <s v="16-20"/>
    <s v="Chris Knight"/>
    <n v="2"/>
    <n v="2"/>
    <s v="redpoint"/>
    <n v="15"/>
  </r>
  <r>
    <d v="2022-07-24T00:00:00"/>
    <b v="0"/>
    <n v="24"/>
    <x v="0"/>
    <x v="12"/>
    <s v="Doigts de fée pour un cœur de lion"/>
    <s v="7a+"/>
    <s v="France"/>
    <s v="Le Coupeau"/>
    <s v="Left"/>
    <n v="16"/>
    <s v="16-20"/>
    <s v="Chris Knight"/>
    <n v="2"/>
    <n v="2"/>
    <s v="redpoint"/>
    <n v="15"/>
  </r>
  <r>
    <d v="2022-09-04T00:00:00"/>
    <b v="0"/>
    <n v="4"/>
    <x v="10"/>
    <x v="12"/>
    <s v="Combat des chefs"/>
    <s v="7a+"/>
    <s v="France"/>
    <s v="Roc d'Anglars"/>
    <s v="Plan Plan"/>
    <n v="27"/>
    <s v="26-30"/>
    <s v="Teddy"/>
    <n v="5"/>
    <n v="5"/>
    <s v="redpoint"/>
    <n v="15"/>
  </r>
  <r>
    <d v="2022-10-08T00:00:00"/>
    <b v="0"/>
    <n v="8"/>
    <x v="11"/>
    <x v="12"/>
    <s v="Schuh des Manitou "/>
    <s v="7a"/>
    <s v="Austria"/>
    <s v="Zillertal - Ewige Jagdgründe"/>
    <s v="Wam"/>
    <n v="20"/>
    <s v="16-20"/>
    <s v="Juman"/>
    <s v="onsight"/>
    <n v="1"/>
    <s v="onsight"/>
    <n v="10"/>
  </r>
  <r>
    <d v="2022-10-08T00:00:00"/>
    <b v="0"/>
    <n v="8"/>
    <x v="11"/>
    <x v="12"/>
    <s v="Maracuja"/>
    <s v="7a"/>
    <s v="Austria"/>
    <s v="Zillertal - Ewige Jagdgründe"/>
    <s v="Wig"/>
    <n v="18"/>
    <s v="16-20"/>
    <s v="Juman"/>
    <s v="onsight"/>
    <n v="1"/>
    <s v="onsight"/>
    <n v="10"/>
  </r>
  <r>
    <d v="2022-11-01T00:00:00"/>
    <b v="0"/>
    <n v="1"/>
    <x v="4"/>
    <x v="12"/>
    <s v="It's Easy"/>
    <s v="7a+"/>
    <s v="Austria"/>
    <s v="Martinswand"/>
    <s v="Dschungelbuch Hauptteil"/>
    <n v="15"/>
    <s v="11-15"/>
    <s v="Chris Awe"/>
    <n v="3"/>
    <n v="3"/>
    <s v="redpoint"/>
    <n v="15"/>
  </r>
  <r>
    <d v="2022-11-05T00:00:00"/>
    <b v="0"/>
    <n v="5"/>
    <x v="4"/>
    <x v="12"/>
    <s v="Kotitscha"/>
    <s v="7a"/>
    <s v="Austria"/>
    <s v="Martinswand"/>
    <s v="Dschungelbuch Hauptteil"/>
    <n v="20"/>
    <s v="16-20"/>
    <s v="Chris Awe"/>
    <s v="onsight"/>
    <n v="1"/>
    <s v="onsight"/>
    <n v="10"/>
  </r>
  <r>
    <d v="2022-11-12T00:00:00"/>
    <b v="0"/>
    <n v="12"/>
    <x v="4"/>
    <x v="12"/>
    <s v="Blitzaktion"/>
    <s v="7a"/>
    <s v="Austria"/>
    <s v="Ötztal"/>
    <s v="Engelswand"/>
    <n v="12"/>
    <s v="11-15"/>
    <s v="Chris Awe"/>
    <n v="2"/>
    <n v="2"/>
    <s v="redpoint"/>
    <n v="10"/>
  </r>
  <r>
    <d v="2022-11-19T00:00:00"/>
    <b v="0"/>
    <n v="19"/>
    <x v="4"/>
    <x v="12"/>
    <s v="Blockparty"/>
    <s v="7a"/>
    <s v="Italy"/>
    <s v="Unterinn"/>
    <s v="Unterinn"/>
    <n v="10"/>
    <s v="0-10"/>
    <s v="Chris Awe"/>
    <n v="4"/>
    <n v="4"/>
    <s v="redpoint"/>
    <n v="10"/>
  </r>
  <r>
    <d v="2023-02-06T00:00:00"/>
    <b v="0"/>
    <n v="6"/>
    <x v="7"/>
    <x v="13"/>
    <s v="?"/>
    <s v="7a"/>
    <s v="Spain"/>
    <s v="Siurana"/>
    <s v="L'Herbolari"/>
    <n v="15"/>
    <s v="11-15"/>
    <s v="Lena"/>
    <n v="2"/>
    <n v="2"/>
    <s v="redpoint"/>
    <n v="10"/>
  </r>
  <r>
    <d v="2023-02-09T00:00:00"/>
    <b v="0"/>
    <n v="9"/>
    <x v="7"/>
    <x v="13"/>
    <s v="L'esquitx"/>
    <s v="7a"/>
    <s v="Spain"/>
    <s v="Siurana"/>
    <s v="Can Toni Gros"/>
    <n v="18"/>
    <s v="16-20"/>
    <s v="Chris Awe"/>
    <s v="flash"/>
    <n v="1"/>
    <s v="flash"/>
    <n v="10"/>
  </r>
  <r>
    <d v="2023-02-09T00:00:00"/>
    <b v="0"/>
    <n v="9"/>
    <x v="7"/>
    <x v="13"/>
    <s v="Jugant amb foc"/>
    <s v="7a"/>
    <s v="Spain"/>
    <s v="Siurana"/>
    <s v="Can Toni Gros"/>
    <n v="25"/>
    <s v="21-25"/>
    <s v="Juman"/>
    <n v="2"/>
    <n v="2"/>
    <s v="redpoint"/>
    <n v="10"/>
  </r>
  <r>
    <d v="2023-02-10T00:00:00"/>
    <b v="0"/>
    <n v="10"/>
    <x v="7"/>
    <x v="13"/>
    <s v="Kun"/>
    <s v="7a"/>
    <s v="Spain"/>
    <s v="Siurana"/>
    <s v="Siuranella Centre"/>
    <n v="28"/>
    <s v="26-30"/>
    <s v="Juman"/>
    <s v="flash"/>
    <n v="1"/>
    <s v="flash"/>
    <n v="10"/>
  </r>
  <r>
    <d v="2023-02-10T00:00:00"/>
    <b v="0"/>
    <n v="10"/>
    <x v="7"/>
    <x v="13"/>
    <s v="Mort de gana"/>
    <s v="7a"/>
    <s v="Spain"/>
    <s v="Siurana"/>
    <s v="Siuranella Centre"/>
    <n v="20"/>
    <s v="16-20"/>
    <s v="Lena"/>
    <n v="2"/>
    <n v="2"/>
    <s v="redpoint"/>
    <n v="10"/>
  </r>
  <r>
    <d v="2023-02-11T00:00:00"/>
    <b v="0"/>
    <n v="11"/>
    <x v="7"/>
    <x v="13"/>
    <s v="Enganyapardals"/>
    <s v="7a"/>
    <s v="Spain"/>
    <s v="Siurana"/>
    <s v="Siuranella Centre"/>
    <n v="28"/>
    <s v="26-30"/>
    <s v="Juman"/>
    <s v="onsight"/>
    <n v="1"/>
    <s v="onsight"/>
    <n v="10"/>
  </r>
  <r>
    <d v="2023-02-19T00:00:00"/>
    <b v="0"/>
    <n v="19"/>
    <x v="7"/>
    <x v="13"/>
    <s v="Fumanchu"/>
    <s v="7a+"/>
    <s v="Spain"/>
    <s v="Siurana"/>
    <s v="Négociée"/>
    <n v="18"/>
    <s v="16-20"/>
    <s v="Lena"/>
    <n v="2"/>
    <n v="2"/>
    <s v="redpoint"/>
    <n v="15"/>
  </r>
  <r>
    <d v="2023-02-19T00:00:00"/>
    <b v="0"/>
    <n v="19"/>
    <x v="7"/>
    <x v="13"/>
    <s v="Permagel"/>
    <s v="7a"/>
    <s v="Spain"/>
    <s v="Siurana"/>
    <s v="Siuranella Este"/>
    <n v="25"/>
    <s v="21-25"/>
    <s v="Chris Awe"/>
    <n v="2"/>
    <n v="2"/>
    <s v="redpoint"/>
    <n v="10"/>
  </r>
  <r>
    <d v="2023-02-22T00:00:00"/>
    <b v="0"/>
    <n v="22"/>
    <x v="7"/>
    <x v="13"/>
    <s v="L'os"/>
    <s v="7a"/>
    <s v="Spain"/>
    <s v="Marxuquera"/>
    <s v="Potente"/>
    <n v="18"/>
    <s v="16-20"/>
    <s v="Natasha"/>
    <s v="onsight"/>
    <n v="1"/>
    <s v="onsight"/>
    <n v="10"/>
  </r>
  <r>
    <d v="2023-02-26T00:00:00"/>
    <b v="0"/>
    <n v="26"/>
    <x v="7"/>
    <x v="13"/>
    <s v="Mikel"/>
    <s v="7a"/>
    <s v="Spain"/>
    <s v="Chulilla"/>
    <s v="Cherales Grande"/>
    <n v="30"/>
    <s v="26-30"/>
    <s v="Bernardo"/>
    <s v="onsight"/>
    <n v="1"/>
    <s v="onsight"/>
    <n v="10"/>
  </r>
  <r>
    <d v="2023-02-26T00:00:00"/>
    <b v="0"/>
    <n v="26"/>
    <x v="7"/>
    <x v="13"/>
    <s v="Y un cacau más"/>
    <s v="7a"/>
    <s v="Spain"/>
    <s v="Chulilla"/>
    <s v="Cherales Grande"/>
    <n v="25"/>
    <s v="21-25"/>
    <s v="Lena"/>
    <s v="flash"/>
    <n v="1"/>
    <s v="flash"/>
    <n v="10"/>
  </r>
  <r>
    <d v="2023-02-27T00:00:00"/>
    <b v="0"/>
    <n v="27"/>
    <x v="7"/>
    <x v="13"/>
    <s v="Hijos de Caín"/>
    <s v="7a"/>
    <s v="Spain"/>
    <s v="Chulilla"/>
    <s v="Perros"/>
    <n v="16"/>
    <s v="16-20"/>
    <s v="Klaus Charfreitag"/>
    <s v="onsight"/>
    <n v="1"/>
    <s v="onsight"/>
    <n v="10"/>
  </r>
  <r>
    <d v="2023-03-24T00:00:00"/>
    <b v="0"/>
    <n v="24"/>
    <x v="8"/>
    <x v="13"/>
    <s v="Wunderbare Welt der Schwerkraft "/>
    <s v="7a"/>
    <s v="Austria"/>
    <s v="Martinswand"/>
    <s v="Wunderbare Welt"/>
    <n v="22"/>
    <s v="21-25"/>
    <s v="Tibor"/>
    <s v="flash"/>
    <n v="1"/>
    <s v="flash"/>
    <n v="10"/>
  </r>
  <r>
    <d v="2023-05-27T00:00:00"/>
    <b v="0"/>
    <n v="27"/>
    <x v="2"/>
    <x v="13"/>
    <s v="Secret Garden"/>
    <s v="7a"/>
    <s v="Austria"/>
    <s v="Berglsteinersee"/>
    <s v="Secret Garden"/>
    <n v="15"/>
    <s v="11-15"/>
    <s v="Chris Awe"/>
    <n v="2"/>
    <n v="2"/>
    <s v="redpoint"/>
    <n v="10"/>
  </r>
  <r>
    <d v="2023-06-17T00:00:00"/>
    <b v="0"/>
    <n v="17"/>
    <x v="9"/>
    <x v="13"/>
    <s v="Bold Man"/>
    <s v="7a"/>
    <s v="Austria"/>
    <s v="Hundepension"/>
    <s v="Knappenwand"/>
    <n v="18"/>
    <s v="16-20"/>
    <s v="Chris Awe"/>
    <n v="2"/>
    <n v="2"/>
    <s v="redpoint"/>
    <n v="10"/>
  </r>
  <r>
    <d v="2023-07-03T00:00:00"/>
    <b v="0"/>
    <n v="3"/>
    <x v="0"/>
    <x v="13"/>
    <s v="Verschneidung links"/>
    <s v="7a"/>
    <s v="Austria"/>
    <s v="Zillertal - Astholz"/>
    <s v="Astholz"/>
    <n v="20"/>
    <s v="16-20"/>
    <s v="Asier"/>
    <n v="2"/>
    <n v="2"/>
    <s v="redpoint"/>
    <n v="10"/>
  </r>
  <r>
    <d v="2023-07-03T00:00:00"/>
    <b v="0"/>
    <n v="3"/>
    <x v="0"/>
    <x v="13"/>
    <s v="Gebi Crack"/>
    <s v="7a"/>
    <s v="Austria"/>
    <s v="Zillertal - Astholz"/>
    <s v="Astholz"/>
    <n v="10"/>
    <s v="0-10"/>
    <s v="Asier"/>
    <n v="2"/>
    <n v="2"/>
    <s v="redpoint"/>
    <n v="10"/>
  </r>
  <r>
    <d v="2023-07-03T00:00:00"/>
    <b v="0"/>
    <n v="3"/>
    <x v="0"/>
    <x v="13"/>
    <s v="Was nicht passt wird passend gemacht"/>
    <s v="7a"/>
    <s v="Austria"/>
    <s v="Zillertal - Astholz"/>
    <s v="Astholz"/>
    <n v="20"/>
    <s v="16-20"/>
    <s v="Asier"/>
    <n v="2"/>
    <n v="2"/>
    <s v="redpoint"/>
    <n v="10"/>
  </r>
  <r>
    <d v="2023-09-17T00:00:00"/>
    <b v="0"/>
    <n v="17"/>
    <x v="10"/>
    <x v="13"/>
    <s v="Dödl up"/>
    <s v="7a"/>
    <s v="Austria"/>
    <s v="Hundepension"/>
    <s v="Knappenwand"/>
    <n v="12"/>
    <s v="11-15"/>
    <s v="Tibor"/>
    <n v="3"/>
    <n v="3"/>
    <s v="redpoint"/>
    <n v="10"/>
  </r>
  <r>
    <d v="2023-10-28T00:00:00"/>
    <b v="0"/>
    <n v="28"/>
    <x v="11"/>
    <x v="13"/>
    <s v="Hokus Pokus"/>
    <s v="7a"/>
    <s v="Austria"/>
    <s v="Ötztal"/>
    <s v="Ötz"/>
    <n v="18"/>
    <s v="16-20"/>
    <s v="Betka"/>
    <n v="2"/>
    <n v="2"/>
    <s v="redpoint"/>
    <n v="10"/>
  </r>
  <r>
    <d v="2023-11-04T00:00:00"/>
    <b v="0"/>
    <n v="4"/>
    <x v="4"/>
    <x v="13"/>
    <s v="Tiramisu"/>
    <s v="7a"/>
    <s v="Austria"/>
    <s v="Starkenbach"/>
    <s v="Herbstwind"/>
    <n v="15"/>
    <s v="11-15"/>
    <s v="Betka"/>
    <n v="2"/>
    <n v="2"/>
    <s v="redpoint"/>
    <n v="10"/>
  </r>
  <r>
    <d v="2023-11-04T00:00:00"/>
    <b v="0"/>
    <n v="4"/>
    <x v="4"/>
    <x v="13"/>
    <s v="Türkischer Kaffee"/>
    <s v="7a"/>
    <s v="Austria"/>
    <s v="Starkenbach"/>
    <s v="Herbstwind"/>
    <n v="10"/>
    <s v="0-10"/>
    <s v="Betka"/>
    <n v="3"/>
    <n v="3"/>
    <s v="redpoint"/>
    <n v="10"/>
  </r>
  <r>
    <d v="2024-01-28T00:00:00"/>
    <b v="0"/>
    <n v="28"/>
    <x v="6"/>
    <x v="14"/>
    <s v="Vecchia Roma"/>
    <s v="7a"/>
    <s v="Austria"/>
    <s v="Martinswand"/>
    <s v="Wunderbare Welt"/>
    <n v="22"/>
    <s v="21-25"/>
    <s v="Tibor"/>
    <n v="6"/>
    <n v="6"/>
    <s v="redpoint"/>
    <n v="10"/>
  </r>
  <r>
    <d v="2024-03-10T00:00:00"/>
    <b v="0"/>
    <n v="10"/>
    <x v="8"/>
    <x v="14"/>
    <s v="Mister Inzing"/>
    <s v="7a+"/>
    <s v="Austria"/>
    <s v="Martinswand"/>
    <s v="Dschungelbuch Hauptteil"/>
    <n v="22"/>
    <s v="21-25"/>
    <s v="Chris Awe"/>
    <n v="2"/>
    <n v="2"/>
    <s v="redpoint"/>
    <n v="15"/>
  </r>
  <r>
    <d v="2024-03-20T00:00:00"/>
    <b v="0"/>
    <n v="20"/>
    <x v="8"/>
    <x v="14"/>
    <s v="Der keusche Josef aus dem Zillertal"/>
    <s v="7a"/>
    <s v="Austria"/>
    <s v="Martinswand"/>
    <s v="Wunderbare Welt"/>
    <n v="24"/>
    <s v="21-25"/>
    <s v="Tibor"/>
    <s v="flash"/>
    <n v="1"/>
    <s v="flash"/>
    <n v="10"/>
  </r>
  <r>
    <d v="2024-04-09T00:00:00"/>
    <b v="0"/>
    <n v="9"/>
    <x v="1"/>
    <x v="14"/>
    <s v="Viva die Fichte"/>
    <s v="7a"/>
    <s v="Austria"/>
    <s v="Martinswand"/>
    <s v="Wunderbare Welt"/>
    <n v="18"/>
    <s v="16-20"/>
    <s v="Tibor"/>
    <n v="3"/>
    <n v="3"/>
    <s v="redpoint"/>
    <n v="10"/>
  </r>
  <r>
    <d v="2024-04-09T00:00:00"/>
    <b v="0"/>
    <n v="9"/>
    <x v="1"/>
    <x v="14"/>
    <s v="Die Null im Kondom"/>
    <s v="7a"/>
    <s v="Austria"/>
    <s v="Martinswand"/>
    <s v="Wunderbare Welt"/>
    <n v="20"/>
    <s v="16-20"/>
    <s v="Tibor"/>
    <n v="2"/>
    <n v="2"/>
    <s v="redpoint"/>
    <n v="10"/>
  </r>
  <r>
    <d v="2024-05-01T00:00:00"/>
    <b v="1"/>
    <n v="1"/>
    <x v="2"/>
    <x v="14"/>
    <s v="Glasierte Leiste"/>
    <s v="7a+"/>
    <s v="Germany"/>
    <s v="Bichlersee"/>
    <s v="Bichlersee"/>
    <n v="22"/>
    <s v="21-25"/>
    <s v="Nadine"/>
    <n v="2"/>
    <n v="2"/>
    <s v="redpoint"/>
    <n v="15"/>
  </r>
  <r>
    <d v="2024-09-21T00:00:00"/>
    <b v="1"/>
    <n v="21"/>
    <x v="10"/>
    <x v="14"/>
    <s v="Little Lenny"/>
    <s v="7b"/>
    <s v="Austria"/>
    <s v="Silz"/>
    <s v="Guanacho"/>
    <n v="20"/>
    <s v="16-20"/>
    <s v="Christian"/>
    <n v="5"/>
    <n v="5"/>
    <s v="redpoint"/>
    <n v="25"/>
  </r>
  <r>
    <d v="2024-09-22T00:00:00"/>
    <b v="1"/>
    <n v="22"/>
    <x v="10"/>
    <x v="14"/>
    <s v="Sisyphos"/>
    <s v="7a+"/>
    <s v="Austria"/>
    <s v="Silz"/>
    <s v="Guanacho"/>
    <n v="12"/>
    <s v="11-15"/>
    <s v="Tibor"/>
    <s v="onsight"/>
    <n v="1"/>
    <s v="onsight"/>
    <n v="15"/>
  </r>
  <r>
    <d v="2024-09-22T00:00:00"/>
    <b v="1"/>
    <n v="22"/>
    <x v="10"/>
    <x v="14"/>
    <s v="Grissini Kombo"/>
    <s v="7a"/>
    <s v="Austria"/>
    <s v="Silz"/>
    <s v="Guanacho"/>
    <n v="20"/>
    <s v="16-20"/>
    <s v="Tibor"/>
    <n v="3"/>
    <n v="3"/>
    <s v="redpoint"/>
    <n v="10"/>
  </r>
  <r>
    <d v="2024-10-06T00:00:00"/>
    <b v="1"/>
    <n v="6"/>
    <x v="11"/>
    <x v="14"/>
    <s v="Mei ... was bringts ma?"/>
    <s v="7a+"/>
    <s v="Austria"/>
    <s v="Silz"/>
    <s v="Guanacho"/>
    <n v="20"/>
    <s v="16-20"/>
    <s v="Christian"/>
    <n v="4"/>
    <n v="4"/>
    <s v="redpoint"/>
    <n v="15"/>
  </r>
  <r>
    <d v="2024-11-17T00:00:00"/>
    <b v="1"/>
    <n v="17"/>
    <x v="4"/>
    <x v="14"/>
    <s v="Miss Easy"/>
    <s v="7c"/>
    <s v="Austria"/>
    <s v="Martinswand"/>
    <s v="Dschungelbuch Hauptteil"/>
    <n v="18"/>
    <s v="16-20"/>
    <s v="Christian"/>
    <n v="24"/>
    <n v="24"/>
    <s v="redpoint"/>
    <n v="60"/>
  </r>
  <r>
    <d v="2025-03-04T00:00:00"/>
    <b v="1"/>
    <n v="4"/>
    <x v="8"/>
    <x v="15"/>
    <s v="Crosta Panic"/>
    <s v="7a+"/>
    <s v="Spain"/>
    <s v="Siurana"/>
    <s v="El Pati"/>
    <n v="25"/>
    <s v="21-25"/>
    <s v="Tibor"/>
    <n v="2"/>
    <n v="2"/>
    <s v="redpoint"/>
    <n v="15"/>
  </r>
  <r>
    <d v="2025-03-08T00:00:00"/>
    <b v="1"/>
    <n v="8"/>
    <x v="8"/>
    <x v="15"/>
    <s v="Corta y dura"/>
    <s v="7a+"/>
    <s v="Spain"/>
    <s v="Masriudoms"/>
    <s v="Cova d’en Marian"/>
    <n v="8"/>
    <s v="0-10"/>
    <s v="Francesco"/>
    <n v="2"/>
    <n v="2"/>
    <s v="redpoint"/>
    <n v="15"/>
  </r>
  <r>
    <d v="2025-03-08T00:00:00"/>
    <b v="1"/>
    <n v="8"/>
    <x v="8"/>
    <x v="15"/>
    <s v="? (left of forn de pa)"/>
    <s v="7a"/>
    <s v="Spain"/>
    <s v="Masriudoms"/>
    <s v="Cova d’en Marian"/>
    <n v="27"/>
    <s v="26-30"/>
    <s v="Francesco"/>
    <n v="1"/>
    <n v="1"/>
    <s v="flash"/>
    <n v="10"/>
  </r>
  <r>
    <d v="2025-03-09T00:00:00"/>
    <b v="1"/>
    <n v="9"/>
    <x v="8"/>
    <x v="15"/>
    <s v="Colze de nena"/>
    <s v="7a+"/>
    <s v="Spain"/>
    <s v="Siurana"/>
    <s v="Siuranella Centre"/>
    <n v="22"/>
    <s v="21-25"/>
    <s v="Francesco"/>
    <n v="5"/>
    <n v="5"/>
    <s v="redpoint"/>
    <n v="15"/>
  </r>
  <r>
    <d v="2025-03-09T00:00:00"/>
    <b v="1"/>
    <n v="9"/>
    <x v="8"/>
    <x v="15"/>
    <s v="La vileta"/>
    <s v="7a"/>
    <s v="Spain"/>
    <s v="Siurana"/>
    <s v="Siuranella Centre"/>
    <n v="25"/>
    <s v="21-25"/>
    <s v="Francesco"/>
    <n v="2"/>
    <n v="2"/>
    <s v="redpoint"/>
    <n v="10"/>
  </r>
  <r>
    <d v="2025-03-10T00:00:00"/>
    <b v="1"/>
    <n v="10"/>
    <x v="8"/>
    <x v="15"/>
    <s v="Humor de gos"/>
    <s v="7a+"/>
    <s v="Spain"/>
    <s v="Siurana"/>
    <s v="Can Toni Gros"/>
    <n v="30"/>
    <s v="26-30"/>
    <s v="la reina Luca"/>
    <n v="3"/>
    <n v="3"/>
    <s v="redpoint"/>
    <n v="15"/>
  </r>
  <r>
    <d v="2025-03-16T00:00:00"/>
    <b v="1"/>
    <n v="16"/>
    <x v="8"/>
    <x v="15"/>
    <s v="Lua"/>
    <s v="7c"/>
    <s v="Spain"/>
    <s v="Siurana"/>
    <s v="Siuranella Este"/>
    <n v="40"/>
    <s v="35+"/>
    <s v="Tibor"/>
    <n v="8"/>
    <n v="8"/>
    <s v="redpoint"/>
    <n v="60"/>
  </r>
  <r>
    <d v="2025-03-17T00:00:00"/>
    <b v="1"/>
    <n v="17"/>
    <x v="8"/>
    <x v="15"/>
    <s v="Menjapendulo"/>
    <s v="7b"/>
    <s v="Spain"/>
    <s v="Siurana"/>
    <s v="Esperó Primavera"/>
    <n v="30"/>
    <s v="26-30"/>
    <s v="Tibor"/>
    <n v="2"/>
    <n v="2"/>
    <s v="redpoint"/>
    <n v="25"/>
  </r>
  <r>
    <d v="2025-03-18T00:00:00"/>
    <b v="1"/>
    <n v="18"/>
    <x v="8"/>
    <x v="15"/>
    <s v="Bellini"/>
    <s v="7a"/>
    <s v="Spain"/>
    <s v="Arboli"/>
    <s v="Falcololo"/>
    <n v="16"/>
    <s v="16-20"/>
    <s v="Yun"/>
    <n v="3"/>
    <n v="3"/>
    <s v="redpoint"/>
    <n v="10"/>
  </r>
  <r>
    <d v="2025-03-22T00:00:00"/>
    <b v="1"/>
    <n v="22"/>
    <x v="8"/>
    <x v="15"/>
    <s v="Guybrush"/>
    <s v="7a"/>
    <s v="Spain"/>
    <s v="Margalef"/>
    <s v="Espadelles extension"/>
    <n v="20"/>
    <s v="16-20"/>
    <s v="Tibor"/>
    <n v="2"/>
    <n v="2"/>
    <s v="redpoint"/>
    <n v="10"/>
  </r>
  <r>
    <d v="2025-03-24T00:00:00"/>
    <b v="1"/>
    <n v="24"/>
    <x v="8"/>
    <x v="15"/>
    <s v="Abre los ojos"/>
    <s v="7b"/>
    <s v="Spain"/>
    <s v="Siurana"/>
    <s v="Siuranella Sud"/>
    <n v="19"/>
    <s v="16-20"/>
    <s v="Tibor"/>
    <n v="3"/>
    <n v="3"/>
    <s v="redpoint"/>
    <n v="25"/>
  </r>
  <r>
    <d v="2025-03-24T00:00:00"/>
    <b v="1"/>
    <n v="24"/>
    <x v="8"/>
    <x v="15"/>
    <s v="La secallona"/>
    <s v="7a"/>
    <s v="Spain"/>
    <s v="Siurana"/>
    <s v="Siuranella Sud"/>
    <n v="24"/>
    <s v="21-25"/>
    <s v="Tibor"/>
    <n v="2"/>
    <n v="2"/>
    <s v="redpoint"/>
    <n v="10"/>
  </r>
  <r>
    <d v="2025-03-29T00:00:00"/>
    <b v="1"/>
    <n v="29"/>
    <x v="8"/>
    <x v="15"/>
    <s v="Sgeve d’autore"/>
    <s v="7a"/>
    <s v="Italy"/>
    <s v="Arco"/>
    <s v="Giardino di Nato"/>
    <n v="15"/>
    <s v="11-15"/>
    <s v="Chrissi"/>
    <s v="onsight"/>
    <n v="1"/>
    <s v="onsight"/>
    <n v="10"/>
  </r>
  <r>
    <d v="2025-03-29T00:00:00"/>
    <b v="1"/>
    <n v="29"/>
    <x v="8"/>
    <x v="15"/>
    <s v="Lo slancio"/>
    <s v="7b"/>
    <s v="Italy"/>
    <s v="Arco"/>
    <s v="Giardino di Nato"/>
    <n v="15"/>
    <s v="11-15"/>
    <s v="Chrissi"/>
    <n v="3"/>
    <n v="3"/>
    <s v="redpoint"/>
    <n v="25"/>
  </r>
  <r>
    <d v="2025-03-30T00:00:00"/>
    <b v="1"/>
    <n v="30"/>
    <x v="8"/>
    <x v="15"/>
    <s v="Cintura di Orione"/>
    <s v="7a+"/>
    <s v="Italy"/>
    <s v="Arco"/>
    <s v="Bassilandia - Petra margins"/>
    <n v="33"/>
    <s v="31-35"/>
    <s v="Chrissi"/>
    <s v="onsight"/>
    <n v="1"/>
    <s v="onsight"/>
    <n v="15"/>
  </r>
  <r>
    <d v="2025-04-06T00:00:00"/>
    <b v="1"/>
    <n v="6"/>
    <x v="1"/>
    <x v="15"/>
    <s v="Hundertwasser"/>
    <s v="7b+"/>
    <s v="Austria"/>
    <s v="Martinswand"/>
    <s v="Wunderbare Welt"/>
    <n v="26"/>
    <s v="26-30"/>
    <s v="Chrissi"/>
    <n v="5"/>
    <n v="5"/>
    <s v="redpoint"/>
    <n v="40"/>
  </r>
  <r>
    <d v="2025-04-21T00:00:00"/>
    <b v="1"/>
    <n v="21"/>
    <x v="1"/>
    <x v="15"/>
    <s v="Down Under"/>
    <s v="7a+"/>
    <s v="Austria"/>
    <s v="Martinswand"/>
    <s v="Bogen"/>
    <n v="22"/>
    <s v="21-25"/>
    <s v="Chrissi"/>
    <n v="6"/>
    <n v="6"/>
    <s v="redpoint"/>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461478-45E1-46A8-BAF1-A78B55E57B6B}" name="Count per number of attempts" cacheId="52" applyNumberFormats="0" applyBorderFormats="0" applyFontFormats="0" applyPatternFormats="0" applyAlignmentFormats="0" applyWidthHeightFormats="1" dataCaption="Values" tag="339ec8ee-5db3-4392-9937-3fe0c7072333" updatedVersion="8" minRefreshableVersion="3" useAutoFormatting="1" subtotalHiddenItems="1" itemPrintTitles="1" createdVersion="8" indent="0" outline="1" outlineData="1" multipleFieldFilters="0" chartFormat="7">
  <location ref="A24:B40" firstHeaderRow="1" firstDataRow="1" firstDataCol="1"/>
  <pivotFields count="9">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v="4"/>
    </i>
    <i>
      <x v="14"/>
    </i>
    <i>
      <x v="6"/>
    </i>
    <i>
      <x v="13"/>
    </i>
    <i>
      <x v="9"/>
    </i>
    <i>
      <x v="7"/>
    </i>
    <i>
      <x v="10"/>
    </i>
    <i>
      <x v="12"/>
    </i>
    <i>
      <x v="11"/>
    </i>
    <i>
      <x v="1"/>
    </i>
    <i>
      <x v="3"/>
    </i>
    <i>
      <x v="5"/>
    </i>
    <i>
      <x v="8"/>
    </i>
    <i>
      <x/>
    </i>
    <i>
      <x v="2"/>
    </i>
    <i t="grand">
      <x/>
    </i>
  </rowItems>
  <colItems count="1">
    <i/>
  </colItems>
  <dataFields count="1">
    <dataField name="Count per number of attempts"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number of attempt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E1BAAD-EE71-4690-8C7C-3D8BD3C5AED4}" name="Count per crag" cacheId="46" applyNumberFormats="0" applyBorderFormats="0" applyFontFormats="0" applyPatternFormats="0" applyAlignmentFormats="0" applyWidthHeightFormats="1" dataCaption="Values" tag="7775fffd-05a1-4d79-ab60-57ce118678dd" updatedVersion="8" minRefreshableVersion="3" visualTotals="0" useAutoFormatting="1" subtotalHiddenItems="1" itemPrintTitles="1" createdVersion="8" indent="0" outline="1" outlineData="1" multipleFieldFilters="0" chartFormat="6">
  <location ref="I4:J51" firstHeaderRow="1" firstDataRow="1" firstDataCol="1"/>
  <pivotFields count="9">
    <pivotField axis="axisRow" allDrilled="1" subtotalTop="0" showAll="0" sortType="descending" defaultSubtotal="0" defaultAttributeDrillState="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7">
    <i>
      <x v="40"/>
    </i>
    <i>
      <x v="21"/>
    </i>
    <i>
      <x v="4"/>
    </i>
    <i>
      <x v="11"/>
    </i>
    <i>
      <x v="27"/>
    </i>
    <i>
      <x v="18"/>
    </i>
    <i>
      <x v="17"/>
    </i>
    <i>
      <x v="3"/>
    </i>
    <i>
      <x v="26"/>
    </i>
    <i>
      <x v="16"/>
    </i>
    <i>
      <x v="39"/>
    </i>
    <i>
      <x v="25"/>
    </i>
    <i>
      <x v="36"/>
    </i>
    <i>
      <x v="30"/>
    </i>
    <i>
      <x v="34"/>
    </i>
    <i>
      <x v="37"/>
    </i>
    <i>
      <x v="45"/>
    </i>
    <i>
      <x v="43"/>
    </i>
    <i>
      <x v="6"/>
    </i>
    <i>
      <x v="20"/>
    </i>
    <i>
      <x v="32"/>
    </i>
    <i>
      <x v="14"/>
    </i>
    <i>
      <x v="44"/>
    </i>
    <i>
      <x v="29"/>
    </i>
    <i>
      <x v="41"/>
    </i>
    <i>
      <x v="23"/>
    </i>
    <i>
      <x/>
    </i>
    <i>
      <x v="38"/>
    </i>
    <i>
      <x v="31"/>
    </i>
    <i>
      <x v="22"/>
    </i>
    <i>
      <x v="1"/>
    </i>
    <i>
      <x v="5"/>
    </i>
    <i>
      <x v="24"/>
    </i>
    <i>
      <x v="8"/>
    </i>
    <i>
      <x v="15"/>
    </i>
    <i>
      <x v="19"/>
    </i>
    <i>
      <x v="12"/>
    </i>
    <i>
      <x v="33"/>
    </i>
    <i>
      <x v="13"/>
    </i>
    <i>
      <x v="9"/>
    </i>
    <i>
      <x v="42"/>
    </i>
    <i>
      <x v="35"/>
    </i>
    <i>
      <x v="28"/>
    </i>
    <i>
      <x v="10"/>
    </i>
    <i>
      <x v="7"/>
    </i>
    <i>
      <x v="2"/>
    </i>
    <i t="grand">
      <x/>
    </i>
  </rowItems>
  <colItems count="1">
    <i/>
  </colItems>
  <dataFields count="1">
    <dataField name="Count per crag" fld="1"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ra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493D59-E083-47DA-9D4D-1460B8EF9425}" name="% of flash, onsight, redpoint per grade" cacheId="67" applyNumberFormats="0" applyBorderFormats="0" applyFontFormats="0" applyPatternFormats="0" applyAlignmentFormats="0" applyWidthHeightFormats="1" dataCaption="Values" missingCaption="0" updatedVersion="8" minRefreshableVersion="3" visualTotals="0" useAutoFormatting="1" subtotalHiddenItems="1" rowGrandTotals="0" colGrandTotals="0" itemPrintTitles="1" createdVersion="8" indent="0" showEmptyRow="1" showEmptyCol="1" outline="1" outlineData="1" multipleFieldFilters="0" chartFormat="14">
  <location ref="A59:D66" firstHeaderRow="1" firstDataRow="2"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3">
    <i>
      <x/>
    </i>
    <i>
      <x v="1"/>
    </i>
    <i>
      <x v="2"/>
    </i>
  </colItems>
  <dataFields count="1">
    <dataField name="% of flash and OS per grade" fld="1" subtotal="count" showDataAs="percentOfRow" baseField="0" baseItem="2" numFmtId="9"/>
  </dataFields>
  <formats count="1">
    <format dxfId="4">
      <pivotArea outline="0" collapsedLevelsAreSubtotals="1" fieldPosition="0"/>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6E9829-7944-4354-B2AD-AC6DA8FF29C1}" name="Average of Tries num. only excl. outliers" cacheId="64" applyNumberFormats="0" applyBorderFormats="0" applyFontFormats="0" applyPatternFormats="0" applyAlignmentFormats="0" applyWidthHeightFormats="1" dataCaption="Values" tag="b6bef618-5ee3-4033-bc9f-da0ad76b62c8" updatedVersion="8" minRefreshableVersion="3" useAutoFormatting="1" subtotalHiddenItems="1" itemPrintTitles="1" createdVersion="8" indent="0" outline="1" outlineData="1" multipleFieldFilters="0" chartFormat="4">
  <location ref="A50:B57" firstHeaderRow="1" firstDataRow="1"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g Tries num. only excl. outliers" fld="1" subtotal="average" baseField="0" baseItem="0"/>
  </dataFields>
  <formats count="1">
    <format dxfId="5">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Tries num. only excl. outli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E39BEC-9B7E-4736-83C2-77A67DE2F572}" name="Score per year" cacheId="21" applyNumberFormats="0" applyBorderFormats="0" applyFontFormats="0" applyPatternFormats="0" applyAlignmentFormats="0" applyWidthHeightFormats="1" dataCaption="Values" missingCaption="0" updatedVersion="8" minRefreshableVersion="3" useAutoFormatting="1" subtotalHiddenItems="1" itemPrintTitles="1" createdVersion="8" indent="0" showEmptyRow="1" showEmptyCol="1" outline="1" outlineData="1" multipleFieldFilters="0">
  <location ref="U4:V26" firstHeaderRow="1" firstDataRow="1" firstDataCol="1"/>
  <pivotFields count="2">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core per year"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core per year"/>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ear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185487-D7BE-4B84-AFCC-7C3B48452CAC}" name="Count per year" cacheId="40" applyNumberFormats="0" applyBorderFormats="0" applyFontFormats="0" applyPatternFormats="0" applyAlignmentFormats="0" applyWidthHeightFormats="1" dataCaption="Values" missingCaption="0" tag="cb0df60a-b4f8-41ac-a10c-5197c46cb96e" updatedVersion="8" minRefreshableVersion="3" useAutoFormatting="1" subtotalHiddenItems="1" itemPrintTitles="1" createdVersion="8" indent="0" showEmptyRow="1" outline="1" outlineData="1" multipleFieldFilters="0" chartFormat="5">
  <location ref="F4:G26" firstHeaderRow="1" firstDataRow="1" firstDataCol="1"/>
  <pivotFields count="9">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per year"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yea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2DAC74-2BE8-487E-8AB1-12657AD3BF7A}" name="Avg num. tries per grade &amp; height" cacheId="24"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rowHeaderCaption="Rows" colHeaderCaption="Cols">
  <location ref="AA29:AI37" firstHeaderRow="1" firstDataRow="2" firstDataCol="1"/>
  <pivotFields count="3">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8">
    <i>
      <x/>
    </i>
    <i>
      <x v="1"/>
    </i>
    <i>
      <x v="2"/>
    </i>
    <i>
      <x v="3"/>
    </i>
    <i>
      <x v="4"/>
    </i>
    <i>
      <x v="5"/>
    </i>
    <i>
      <x v="6"/>
    </i>
    <i t="grand">
      <x/>
    </i>
  </colItems>
  <dataFields count="1">
    <dataField name="Avg num. tries per grade &amp; height" fld="2" subtotal="average" baseField="1" baseItem="0" numFmtId="169"/>
  </dataFields>
  <formats count="1">
    <format dxfId="6">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num. tries per grade &amp; heigh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2683C3-689D-44D3-BBB0-36623980704B}" name="Count per grade" cacheId="55" applyNumberFormats="0" applyBorderFormats="0" applyFontFormats="0" applyPatternFormats="0" applyAlignmentFormats="0" applyWidthHeightFormats="1" dataCaption="Values" tag="a184007c-ae66-4377-82bd-2234bdf27ab1" updatedVersion="8" minRefreshableVersion="3" useAutoFormatting="1" subtotalHiddenItems="1" itemPrintTitles="1" createdVersion="8" indent="0" showEmptyRow="1" showEmptyCol="1" outline="1" outlineData="1" multipleFieldFilters="0" chartFormat="12">
  <location ref="A4:B11" firstHeaderRow="1" firstDataRow="1"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per grade" fld="1" subtotal="count" baseField="0" baseItem="0"/>
  </dataFields>
  <chartFormats count="1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grad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894A69-AB97-4890-98C7-1F4FBCE4E20F}" name="Favorite Belayer last 12 months" cacheId="27" applyNumberFormats="0" applyBorderFormats="0" applyFontFormats="0" applyPatternFormats="0" applyAlignmentFormats="0" applyWidthHeightFormats="1" dataCaption="Values" missingCaption="0" updatedVersion="8" minRefreshableVersion="3" visualTotals="0" useAutoFormatting="1" subtotalHiddenItems="1" rowGrandTotals="0" colGrandTotals="0" itemPrintTitles="1" createdVersion="8" indent="0" showEmptyRow="1" showEmptyCol="1" outline="1" outlineData="1" multipleFieldFilters="0" chartFormat="3">
  <location ref="R24:S28" firstHeaderRow="1" firstDataRow="1" firstDataCol="1" rowPageCount="1" colPageCount="1"/>
  <pivotFields count="4">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4">
    <i>
      <x v="1"/>
    </i>
    <i>
      <x v="2"/>
    </i>
    <i>
      <x v="3"/>
    </i>
    <i>
      <x/>
    </i>
  </rowItems>
  <colItems count="1">
    <i/>
  </colItems>
  <pageFields count="1">
    <pageField fld="3" hier="5" name="[SportClimbing].[Date_filter].&amp;[True]" cap="True"/>
  </pageFields>
  <dataFields count="1">
    <dataField name="Count per Belayer" fld="1" subtotal="count" baseField="0" baseItem="0"/>
  </dataFields>
  <chartFormats count="1">
    <chartFormat chart="1" format="1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multipleItemSelectionAllowed="1" dragToData="1">
      <members count="1" level="1">
        <member name="[SportClimbing].[Date_filter].&amp;[True]"/>
      </members>
    </pivotHierarchy>
    <pivotHierarchy dragToData="1"/>
    <pivotHierarchy dragToData="1"/>
    <pivotHierarchy multipleItemSelectionAllowed="1" dragToData="1">
      <members count="2" level="1">
        <member name="[SportClimbing].[Year].&amp;[2023]"/>
        <member name="[SportClimbing].[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Belay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A90E3B-7F05-45C6-B009-CB81E54F82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2:V127" firstHeaderRow="1" firstDataRow="1" firstDataCol="1"/>
  <pivotFields count="17">
    <pivotField numFmtId="168" showAll="0"/>
    <pivotField showAll="0"/>
    <pivotField showAll="0"/>
    <pivotField axis="axisRow" showAll="0">
      <items count="13">
        <item x="6"/>
        <item x="7"/>
        <item x="8"/>
        <item x="1"/>
        <item x="2"/>
        <item x="9"/>
        <item x="0"/>
        <item x="3"/>
        <item x="10"/>
        <item x="11"/>
        <item x="4"/>
        <item x="5"/>
        <item t="default"/>
      </items>
    </pivotField>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4"/>
    <field x="3"/>
  </rowFields>
  <rowItems count="85">
    <i>
      <x/>
    </i>
    <i r="1">
      <x v="6"/>
    </i>
    <i>
      <x v="1"/>
    </i>
    <i r="1">
      <x v="6"/>
    </i>
    <i>
      <x v="2"/>
    </i>
    <i r="1">
      <x v="3"/>
    </i>
    <i r="1">
      <x v="4"/>
    </i>
    <i>
      <x v="3"/>
    </i>
    <i r="1">
      <x v="7"/>
    </i>
    <i>
      <x v="4"/>
    </i>
    <i r="1">
      <x v="3"/>
    </i>
    <i r="1">
      <x v="10"/>
    </i>
    <i r="1">
      <x v="11"/>
    </i>
    <i>
      <x v="5"/>
    </i>
    <i r="1">
      <x/>
    </i>
    <i r="1">
      <x v="1"/>
    </i>
    <i r="1">
      <x v="2"/>
    </i>
    <i r="1">
      <x v="3"/>
    </i>
    <i r="1">
      <x v="4"/>
    </i>
    <i>
      <x v="6"/>
    </i>
    <i r="1">
      <x v="5"/>
    </i>
    <i r="1">
      <x v="10"/>
    </i>
    <i>
      <x v="7"/>
    </i>
    <i r="1">
      <x v="3"/>
    </i>
    <i r="1">
      <x v="4"/>
    </i>
    <i r="1">
      <x v="5"/>
    </i>
    <i r="1">
      <x v="6"/>
    </i>
    <i r="1">
      <x v="7"/>
    </i>
    <i r="1">
      <x v="8"/>
    </i>
    <i r="1">
      <x v="9"/>
    </i>
    <i r="1">
      <x v="10"/>
    </i>
    <i r="1">
      <x v="11"/>
    </i>
    <i>
      <x v="8"/>
    </i>
    <i r="1">
      <x/>
    </i>
    <i r="1">
      <x v="1"/>
    </i>
    <i r="1">
      <x v="2"/>
    </i>
    <i r="1">
      <x v="3"/>
    </i>
    <i r="1">
      <x v="4"/>
    </i>
    <i r="1">
      <x v="5"/>
    </i>
    <i r="1">
      <x v="8"/>
    </i>
    <i r="1">
      <x v="10"/>
    </i>
    <i>
      <x v="9"/>
    </i>
    <i r="1">
      <x v="3"/>
    </i>
    <i r="1">
      <x v="8"/>
    </i>
    <i r="1">
      <x v="10"/>
    </i>
    <i>
      <x v="10"/>
    </i>
    <i r="1">
      <x v="7"/>
    </i>
    <i r="1">
      <x v="8"/>
    </i>
    <i r="1">
      <x v="9"/>
    </i>
    <i>
      <x v="11"/>
    </i>
    <i r="1">
      <x v="3"/>
    </i>
    <i r="1">
      <x v="4"/>
    </i>
    <i r="1">
      <x v="5"/>
    </i>
    <i r="1">
      <x v="10"/>
    </i>
    <i>
      <x v="12"/>
    </i>
    <i r="1">
      <x/>
    </i>
    <i r="1">
      <x v="1"/>
    </i>
    <i r="1">
      <x v="2"/>
    </i>
    <i r="1">
      <x v="4"/>
    </i>
    <i r="1">
      <x v="5"/>
    </i>
    <i r="1">
      <x v="6"/>
    </i>
    <i r="1">
      <x v="8"/>
    </i>
    <i r="1">
      <x v="9"/>
    </i>
    <i r="1">
      <x v="10"/>
    </i>
    <i>
      <x v="13"/>
    </i>
    <i r="1">
      <x v="1"/>
    </i>
    <i r="1">
      <x v="2"/>
    </i>
    <i r="1">
      <x v="4"/>
    </i>
    <i r="1">
      <x v="5"/>
    </i>
    <i r="1">
      <x v="6"/>
    </i>
    <i r="1">
      <x v="8"/>
    </i>
    <i r="1">
      <x v="9"/>
    </i>
    <i r="1">
      <x v="10"/>
    </i>
    <i>
      <x v="14"/>
    </i>
    <i r="1">
      <x/>
    </i>
    <i r="1">
      <x v="2"/>
    </i>
    <i r="1">
      <x v="3"/>
    </i>
    <i r="1">
      <x v="4"/>
    </i>
    <i r="1">
      <x v="8"/>
    </i>
    <i r="1">
      <x v="9"/>
    </i>
    <i r="1">
      <x v="10"/>
    </i>
    <i>
      <x v="15"/>
    </i>
    <i r="1">
      <x v="2"/>
    </i>
    <i r="1">
      <x v="3"/>
    </i>
    <i t="grand">
      <x/>
    </i>
  </rowItems>
  <colItems count="1">
    <i/>
  </colItems>
  <dataFields count="1">
    <dataField name="Sum of Scor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64391C-946B-456D-99CE-4A3336A8E1BB}"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16:AM34" firstHeaderRow="1" firstDataRow="1" firstDataCol="1"/>
  <pivotFields count="2">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unt of Belayer"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635E00-C4E9-4684-9284-60BF4B132C5C}" name="Favorite Belayer" cacheId="70" applyNumberFormats="0" applyBorderFormats="0" applyFontFormats="0" applyPatternFormats="0" applyAlignmentFormats="0" applyWidthHeightFormats="1" dataCaption="Values" tag="75b26e15-1250-4053-b299-fa9d58991114" updatedVersion="8" minRefreshableVersion="3" visualTotals="0" useAutoFormatting="1" subtotalHiddenItems="1" itemPrintTitles="1" createdVersion="8" indent="0" outline="1" outlineData="1" chartFormat="13">
  <location ref="O4:P15" firstHeaderRow="1" firstDataRow="1" firstDataCol="1"/>
  <pivotFields count="9">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5"/>
    </i>
    <i>
      <x v="8"/>
    </i>
    <i>
      <x v="7"/>
    </i>
    <i>
      <x v="1"/>
    </i>
    <i>
      <x v="6"/>
    </i>
    <i>
      <x v="9"/>
    </i>
    <i>
      <x v="3"/>
    </i>
    <i>
      <x v="4"/>
    </i>
    <i>
      <x/>
    </i>
    <i t="grand">
      <x/>
    </i>
  </rowItems>
  <colItems count="1">
    <i/>
  </colItems>
  <dataFields count="1">
    <dataField name="Count per belayer" fld="1" subtotal="count" baseField="0" baseItem="0"/>
  </dataFields>
  <chartFormats count="1">
    <chartFormat chart="2" format="8"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ends per belay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69F412-D0C8-4312-8E2F-9F2AB827AC65}" name="Count per country" cacheId="49" applyNumberFormats="0" applyBorderFormats="0" applyFontFormats="0" applyPatternFormats="0" applyAlignmentFormats="0" applyWidthHeightFormats="1" dataCaption="Values" tag="0f7bc240-192b-4515-a378-6001f0216c37" updatedVersion="8" minRefreshableVersion="3" useAutoFormatting="1" subtotalHiddenItems="1" itemPrintTitles="1" createdVersion="8" indent="0" showEmptyRow="1" showEmptyCol="1" outline="1" outlineData="1" multipleFieldFilters="0" chartFormat="6">
  <location ref="L19:M26" firstHeaderRow="1" firstDataRow="1" firstDataCol="1"/>
  <pivotFields count="1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5"/>
    </i>
    <i>
      <x/>
    </i>
    <i>
      <x v="3"/>
    </i>
    <i>
      <x v="1"/>
    </i>
    <i>
      <x v="4"/>
    </i>
    <i>
      <x v="2"/>
    </i>
    <i t="grand">
      <x/>
    </i>
  </rowItems>
  <colItems count="1">
    <i/>
  </colItems>
  <dataFields count="1">
    <dataField name="Count per country" fld="1" subtotal="count" baseField="0" baseItem="0"/>
  </dataFields>
  <chartFormats count="7">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ount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DBC98BF-9FE9-4BAE-977B-1E0A69F19EA2}" name="Distribution per height" cacheId="58" applyNumberFormats="0" applyBorderFormats="0" applyFontFormats="0" applyPatternFormats="0" applyAlignmentFormats="0" applyWidthHeightFormats="1" dataCaption="Values" tag="de2ba060-8a73-417f-8ee1-f86ab1119aee" updatedVersion="8" minRefreshableVersion="3" useAutoFormatting="1" subtotalHiddenItems="1" itemPrintTitles="1" createdVersion="8" indent="0" outline="1" outlineData="1" multipleFieldFilters="0" chartFormat="9">
  <location ref="R4:S12" firstHeaderRow="1" firstDataRow="1" firstDataCol="1"/>
  <pivotFields count="9">
    <pivotField dataField="1" subtotalTop="0" showAll="0" defaultSubtotal="0"/>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per height" fld="0"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heigh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07F50DF-46A1-48BA-8A98-966A6EBFD095}" name="Count per month" cacheId="43" applyNumberFormats="0" applyBorderFormats="0" applyFontFormats="0" applyPatternFormats="0" applyAlignmentFormats="0" applyWidthHeightFormats="1" dataCaption="Values" errorCaption="0" showError="1" missingCaption="0" tag="7dd5ddc3-df85-4b68-ac69-85847583c709" updatedVersion="8" minRefreshableVersion="3" useAutoFormatting="1" subtotalHiddenItems="1" itemPrintTitles="1" createdVersion="8" indent="0" showEmptyRow="1" showEmptyCol="1" outline="1" outlineData="1" multipleFieldFilters="0" chartFormat="4">
  <location ref="F27:G40" firstHeaderRow="1" firstDataRow="1" firstDataCol="1"/>
  <pivotFields count="10">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Count per month"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month"/>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MONTHS]"/>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7E063E9-D6AF-45AB-A3A6-85D172C304AD}" name="% of flash, onsight, redpoint" cacheId="61" applyNumberFormats="0" applyBorderFormats="0" applyFontFormats="0" applyPatternFormats="0" applyAlignmentFormats="0" applyWidthHeightFormats="1" dataCaption="Values" tag="ab1dea3c-0c36-415a-9a2b-781269620190" updatedVersion="8" minRefreshableVersion="3" useAutoFormatting="1" subtotalHiddenItems="1" itemPrintTitles="1" createdVersion="8" indent="0" outline="1" outlineData="1" multipleFieldFilters="0" chartFormat="5">
  <location ref="A43:B47" firstHeaderRow="1" firstDataRow="1" firstDataCol="1"/>
  <pivotFields count="1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 of flash, OS, RP" fld="1" subtotal="count" showDataAs="percentOfTotal" baseField="0" baseItem="0" numFmtId="165"/>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f flash, OS, RP"/>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85D1172-D381-46EB-B85D-E55F1A2CD34E}" name="Top10 Score per Belayer"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U27:V3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4"/>
    </i>
    <i>
      <x v="8"/>
    </i>
    <i>
      <x v="2"/>
    </i>
    <i>
      <x v="9"/>
    </i>
    <i>
      <x v="6"/>
    </i>
    <i>
      <x v="5"/>
    </i>
    <i>
      <x/>
    </i>
    <i>
      <x v="3"/>
    </i>
    <i>
      <x v="7"/>
    </i>
    <i t="grand">
      <x/>
    </i>
  </rowItems>
  <colItems count="1">
    <i/>
  </colItems>
  <dataFields count="1">
    <dataField name="Sum of Score"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2">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8ACDC65-3EC3-4481-89FA-84F4DA2A5D80}"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4:AM1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Belayer"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umber_of_tries" xr10:uid="{EE0836FE-5DCC-489C-A752-816322A94CE0}" sourceName="[SportClimbing].[Total number of tries]">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894034973">
      <levels count="2">
        <level uniqueName="[SportClimbing].[Total number of tries].[(All)]" sourceCaption="(All)" count="0"/>
        <level uniqueName="[SportClimbing].[Total number of tries].[Total number of tries]" sourceCaption="Total number of tries" count="15">
          <ranges>
            <range startItem="0">
              <i n="[SportClimbing].[Total number of tries].&amp;[1]" c="1"/>
              <i n="[SportClimbing].[Total number of tries].&amp;[10]" c="10"/>
              <i n="[SportClimbing].[Total number of tries].&amp;[12]" c="12"/>
              <i n="[SportClimbing].[Total number of tries].&amp;[14]" c="14"/>
              <i n="[SportClimbing].[Total number of tries].&amp;[2]" c="2"/>
              <i n="[SportClimbing].[Total number of tries].&amp;[24]" c="24"/>
              <i n="[SportClimbing].[Total number of tries].&amp;[3]" c="3"/>
              <i n="[SportClimbing].[Total number of tries].&amp;[4]" c="4"/>
              <i n="[SportClimbing].[Total number of tries].&amp;[40]" c="40"/>
              <i n="[SportClimbing].[Total number of tries].&amp;[5]" c="5"/>
              <i n="[SportClimbing].[Total number of tries].&amp;[6]" c="6"/>
              <i n="[SportClimbing].[Total number of tries].&amp;[7]" c="7"/>
              <i n="[SportClimbing].[Total number of tries].&amp;[8]" c="8"/>
              <i n="[SportClimbing].[Total number of tries].&amp;[flash]" c="flash"/>
              <i n="[SportClimbing].[Total number of tries].&amp;[onsight]" c="onsight"/>
            </range>
          </ranges>
        </level>
      </levels>
      <selections count="1">
        <selection n="[SportClimbing].[Total number of tries].[All]"/>
      </selections>
    </olap>
  </data>
  <extLst>
    <x:ext xmlns:x15="http://schemas.microsoft.com/office/spreadsheetml/2010/11/main" uri="{470722E0-AACD-4C17-9CDC-17EF765DBC7E}">
      <x15:slicerCacheHideItemsWithNoData count="1">
        <x15:slicerCacheOlapLevelName uniqueName="[SportClimbing].[Total number of tries].[Total number of tries]"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3ADBF717-C83E-4FF2-9F57-A109611EAA67}" sourceName="[SportClimbing].[Grade]">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894034973">
      <levels count="2">
        <level uniqueName="[SportClimbing].[Grade].[(All)]" sourceCaption="(All)" count="0"/>
        <level uniqueName="[SportClimbing].[Grade].[Grade]" sourceCaption="Grade" count="6">
          <ranges>
            <range startItem="0">
              <i n="[SportClimbing].[Grade].&amp;[7a]" c="7a"/>
              <i n="[SportClimbing].[Grade].&amp;[7a+]" c="7a+"/>
              <i n="[SportClimbing].[Grade].&amp;[7b]" c="7b"/>
              <i n="[SportClimbing].[Grade].&amp;[7b+]" c="7b+"/>
              <i n="[SportClimbing].[Grade].&amp;[7c]" c="7c"/>
              <i n="[SportClimbing].[Grade].&amp;[7c+]" c="7c+"/>
            </range>
          </ranges>
        </level>
      </levels>
      <selections count="1">
        <selection n="[SportClimbing].[Grade].[All]"/>
      </selections>
    </olap>
  </data>
  <extLst>
    <x:ext xmlns:x15="http://schemas.microsoft.com/office/spreadsheetml/2010/11/main" uri="{470722E0-AACD-4C17-9CDC-17EF765DBC7E}">
      <x15:slicerCacheHideItemsWithNoData count="1">
        <x15:slicerCacheOlapLevelName uniqueName="[SportClimbing].[Grade].[Grad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ag" xr10:uid="{57957EA0-0BAF-4904-9BB8-E48552AC0E2E}" sourceName="[SportClimbing].[Crag]">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894034973">
      <levels count="2">
        <level uniqueName="[SportClimbing].[Crag].[(All)]" sourceCaption="(All)" count="0"/>
        <level uniqueName="[SportClimbing].[Crag].[Crag]" sourceCaption="Crag" count="46">
          <ranges>
            <range startItem="0">
              <i n="[SportClimbing].[Crag].&amp;[Achleiten]" c="Achleiten"/>
              <i n="[SportClimbing].[Crag].&amp;[Ailefroide]" c="Ailefroide"/>
              <i n="[SportClimbing].[Crag].&amp;[Arboli]" c="Arboli"/>
              <i n="[SportClimbing].[Crag].&amp;[Arbolí]" c="Arbolí"/>
              <i n="[SportClimbing].[Crag].&amp;[Arco]" c="Arco"/>
              <i n="[SportClimbing].[Crag].&amp;[Atlantida]" c="Atlantida"/>
              <i n="[SportClimbing].[Crag].&amp;[Berglsteinersee]" c="Berglsteinersee"/>
              <i n="[SportClimbing].[Crag].&amp;[Bichlersee]" c="Bichlersee"/>
              <i n="[SportClimbing].[Crag].&amp;[Can Paulet]" c="Can Paulet"/>
              <i n="[SportClimbing].[Crag].&amp;[Carol]" c="Carol"/>
              <i n="[SportClimbing].[Crag].&amp;[Cavallers]" c="Cavallers"/>
              <i n="[SportClimbing].[Crag].&amp;[Chulilla]" c="Chulilla"/>
              <i n="[SportClimbing].[Crag].&amp;[Collegats]" c="Collegats"/>
              <i n="[SportClimbing].[Crag].&amp;[Dent de la Rancune]" c="Dent de la Rancune"/>
              <i n="[SportClimbing].[Crag].&amp;[Etxauri]" c="Etxauri"/>
              <i n="[SportClimbing].[Crag].&amp;[Fenda de Arrabida]" c="Fenda de Arrabida"/>
              <i n="[SportClimbing].[Crag].&amp;[Font Soleia]" c="Font Soleia"/>
              <i n="[SportClimbing].[Crag].&amp;[Garraf]" c="Garraf"/>
              <i n="[SportClimbing].[Crag].&amp;[Gelida]" c="Gelida"/>
              <i n="[SportClimbing].[Crag].&amp;[Gorges de la Cesse]" c="Gorges de la Cesse"/>
              <i n="[SportClimbing].[Crag].&amp;[Gorges du Tarn]" c="Gorges du Tarn"/>
              <i n="[SportClimbing].[Crag].&amp;[Grau dels matxos]" c="Grau dels matxos"/>
              <i n="[SportClimbing].[Crag].&amp;[Hundepension]" c="Hundepension"/>
              <i n="[SportClimbing].[Crag].&amp;[Le Coupeau]" c="Le Coupeau"/>
              <i n="[SportClimbing].[Crag].&amp;[Le Fayet]" c="Le Fayet"/>
              <i n="[SportClimbing].[Crag].&amp;[Mallorca]" c="Mallorca"/>
              <i n="[SportClimbing].[Crag].&amp;[Margalef]" c="Margalef"/>
              <i n="[SportClimbing].[Crag].&amp;[Martinswand]" c="Martinswand"/>
              <i n="[SportClimbing].[Crag].&amp;[Marxuquera]" c="Marxuquera"/>
              <i n="[SportClimbing].[Crag].&amp;[Masriudoms]" c="Masriudoms"/>
              <i n="[SportClimbing].[Crag].&amp;[Montserrat norte]" c="Montserrat norte"/>
              <i n="[SportClimbing].[Crag].&amp;[Montserrat sur]" c="Montserrat sur"/>
              <i n="[SportClimbing].[Crag].&amp;[Ötztal]" c="Ötztal"/>
              <i n="[SportClimbing].[Crag].&amp;[Penyes Aragonesas (Castellón)]" c="Penyes Aragonesas (Castellón)"/>
              <i n="[SportClimbing].[Crag].&amp;[Roc d'Anglars]" c="Roc d'Anglars"/>
              <i n="[SportClimbing].[Crag].&amp;[Roc de la Lluna]" c="Roc de la Lluna"/>
              <i n="[SportClimbing].[Crag].&amp;[Rodellar]" c="Rodellar"/>
              <i n="[SportClimbing].[Crag].&amp;[Sadernes]" c="Sadernes"/>
              <i n="[SportClimbing].[Crag].&amp;[Sautens]" c="Sautens"/>
              <i n="[SportClimbing].[Crag].&amp;[Silz]" c="Silz"/>
              <i n="[SportClimbing].[Crag].&amp;[Siurana]" c="Siurana"/>
              <i n="[SportClimbing].[Crag].&amp;[Starkenbach]" c="Starkenbach"/>
              <i n="[SportClimbing].[Crag].&amp;[Unterinn]" c="Unterinn"/>
              <i n="[SportClimbing].[Crag].&amp;[Zillertal - Astholz]" c="Zillertal - Astholz"/>
              <i n="[SportClimbing].[Crag].&amp;[Zillertal - Ewige Jagdgründe]" c="Zillertal - Ewige Jagdgründe"/>
              <i n="[SportClimbing].[Crag].&amp;[Zillertal -Monkey Island]" c="Zillertal -Monkey Island"/>
            </range>
          </ranges>
        </level>
      </levels>
      <selections count="1">
        <selection n="[SportClimbing].[Crag].[All]"/>
      </selections>
    </olap>
  </data>
  <extLst>
    <x:ext xmlns:x15="http://schemas.microsoft.com/office/spreadsheetml/2010/11/main" uri="{470722E0-AACD-4C17-9CDC-17EF765DBC7E}">
      <x15:slicerCacheHideItemsWithNoData count="1">
        <x15:slicerCacheOlapLevelName uniqueName="[SportClimbing].[Crag].[Crag]"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C6E0E4A-8119-4FCD-81C7-2CEF328A1A3B}" sourceName="[Years].[YEARS]">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894034973">
      <levels count="2">
        <level uniqueName="[Years].[YEARS].[(All)]" sourceCaption="(All)" count="0"/>
        <level uniqueName="[Years].[YEARS].[YEARS]" sourceCaption="YEARS" count="21">
          <ranges>
            <range startItem="0">
              <i n="[Years].[YEARS].&amp;[2006]" c="2006"/>
              <i n="[Years].[YEARS].&amp;[2007]" c="2007"/>
              <i n="[Years].[YEARS].&amp;[2008]" c="2008"/>
              <i n="[Years].[YEARS].&amp;[2011]" c="2011"/>
              <i n="[Years].[YEARS].&amp;[2012]" c="2012"/>
              <i n="[Years].[YEARS].&amp;[2013]" c="2013"/>
              <i n="[Years].[YEARS].&amp;[2016]" c="2016"/>
              <i n="[Years].[YEARS].&amp;[2017]" c="2017"/>
              <i n="[Years].[YEARS].&amp;[2018]" c="2018"/>
              <i n="[Years].[YEARS].&amp;[2019]" c="2019"/>
              <i n="[Years].[YEARS].&amp;[2020]" c="2020"/>
              <i n="[Years].[YEARS].&amp;[2021]" c="2021"/>
              <i n="[Years].[YEARS].&amp;[2022]" c="2022"/>
              <i n="[Years].[YEARS].&amp;[2023]" c="2023"/>
              <i n="[Years].[YEARS].&amp;[2024]" c="2024"/>
              <i n="[Years].[YEARS].&amp;[2025]" c="2025"/>
              <i n="[Years].[YEARS].&amp;" c="(blank)"/>
              <i n="[Years].[YEARS].&amp;[2009]" c="2009" nd="1"/>
              <i n="[Years].[YEARS].&amp;[2010]" c="2010" nd="1"/>
              <i n="[Years].[YEARS].&amp;[2014]" c="2014" nd="1"/>
              <i n="[Years].[YEARS].&amp;[2015]" c="2015" nd="1"/>
            </range>
          </ranges>
        </level>
      </levels>
      <selections count="1">
        <selection n="[Years].[YEARS].[All]"/>
      </selections>
    </olap>
  </data>
  <extLst>
    <x:ext xmlns:x15="http://schemas.microsoft.com/office/spreadsheetml/2010/11/main" uri="{470722E0-AACD-4C17-9CDC-17EF765DBC7E}">
      <x15:slicerCacheHideItemsWithNoData count="1">
        <x15:slicerCacheOlapLevelName uniqueName="[Years].[YEARS].[YEARS]" count="4"/>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layer1" xr10:uid="{CE44DC9C-25BA-4852-A339-E86B221485AA}" sourceName="[SportClimbing].[Belayer]">
  <pivotTables>
    <pivotTable tabId="16" name="Count per number of attempts"/>
    <pivotTable tabId="16" name="Count per country"/>
    <pivotTable tabId="16" name="Count per crag"/>
    <pivotTable tabId="16" name="Count per month"/>
    <pivotTable tabId="16" name="Count per year"/>
    <pivotTable tabId="16" name="Favorite Belayer"/>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894034973">
      <levels count="2">
        <level uniqueName="[SportClimbing].[Belayer].[(All)]" sourceCaption="(All)" count="0"/>
        <level uniqueName="[SportClimbing].[Belayer].[Belayer]" sourceCaption="Belayer" count="53">
          <ranges>
            <range startItem="0">
              <i n="[SportClimbing].[Belayer].&amp;[Alexandre Marques]" c="Alexandre Marques"/>
              <i n="[SportClimbing].[Belayer].&amp;[Andres Villarroel]" c="Andres Villarroel"/>
              <i n="[SportClimbing].[Belayer].&amp;[Angel]" c="Angel"/>
              <i n="[SportClimbing].[Belayer].&amp;[Antonin]" c="Antonin"/>
              <i n="[SportClimbing].[Belayer].&amp;[Asier]" c="Asier"/>
              <i n="[SportClimbing].[Belayer].&amp;[Bernardo]" c="Bernardo"/>
              <i n="[SportClimbing].[Belayer].&amp;[Betka]" c="Betka"/>
              <i n="[SportClimbing].[Belayer].&amp;[Byron]" c="Byron"/>
              <i n="[SportClimbing].[Belayer].&amp;[Chris Awe]" c="Chris Awe"/>
              <i n="[SportClimbing].[Belayer].&amp;[Chris Knight]" c="Chris Knight"/>
              <i n="[SportClimbing].[Belayer].&amp;[Chrissi]" c="Chrissi"/>
              <i n="[SportClimbing].[Belayer].&amp;[Christian]" c="Christian"/>
              <i n="[SportClimbing].[Belayer].&amp;[Daniel Perez]" c="Daniel Perez"/>
              <i n="[SportClimbing].[Belayer].&amp;[Dave]" c="Dave"/>
              <i n="[SportClimbing].[Belayer].&amp;[David Valls]" c="David Valls"/>
              <i n="[SportClimbing].[Belayer].&amp;[Donald]" c="Donald"/>
              <i n="[SportClimbing].[Belayer].&amp;[Francesco]" c="Francesco"/>
              <i n="[SportClimbing].[Belayer].&amp;[Gabo]" c="Gabo"/>
              <i n="[SportClimbing].[Belayer].&amp;[Guhlm]" c="Guhlm"/>
              <i n="[SportClimbing].[Belayer].&amp;[Gustavo]" c="Gustavo"/>
              <i n="[SportClimbing].[Belayer].&amp;[Guy]" c="Guy"/>
              <i n="[SportClimbing].[Belayer].&amp;[Henry]" c="Henry"/>
              <i n="[SportClimbing].[Belayer].&amp;[Hervé]" c="Hervé"/>
              <i n="[SportClimbing].[Belayer].&amp;[Inti]" c="Inti"/>
              <i n="[SportClimbing].[Belayer].&amp;[Juan]" c="Juan"/>
              <i n="[SportClimbing].[Belayer].&amp;[Juman]" c="Juman"/>
              <i n="[SportClimbing].[Belayer].&amp;[Karla Mexicana]" c="Karla Mexicana"/>
              <i n="[SportClimbing].[Belayer].&amp;[Kat]" c="Kat"/>
              <i n="[SportClimbing].[Belayer].&amp;[Kathy]" c="Kathy"/>
              <i n="[SportClimbing].[Belayer].&amp;[Kati Golovina]" c="Kati Golovina"/>
              <i n="[SportClimbing].[Belayer].&amp;[Klaus Charfreitag]" c="Klaus Charfreitag"/>
              <i n="[SportClimbing].[Belayer].&amp;[Laila]" c="Laila"/>
              <i n="[SportClimbing].[Belayer].&amp;[Lena]" c="Lena"/>
              <i n="[SportClimbing].[Belayer].&amp;[Luca]" c="Luca"/>
              <i n="[SportClimbing].[Belayer].&amp;[Lydia]" c="Lydia"/>
              <i n="[SportClimbing].[Belayer].&amp;[Marc Ros]" c="Marc Ros"/>
              <i n="[SportClimbing].[Belayer].&amp;[Martyn]" c="Martyn"/>
              <i n="[SportClimbing].[Belayer].&amp;[Nadine]" c="Nadine"/>
              <i n="[SportClimbing].[Belayer].&amp;[Natasha]" c="Natasha"/>
              <i n="[SportClimbing].[Belayer].&amp;[Patrick]" c="Patrick"/>
              <i n="[SportClimbing].[Belayer].&amp;[Pelu]" c="Pelu"/>
              <i n="[SportClimbing].[Belayer].&amp;[Sean]" c="Sean"/>
              <i n="[SportClimbing].[Belayer].&amp;[Shyamal]" c="Shyamal"/>
              <i n="[SportClimbing].[Belayer].&amp;[Teddy]" c="Teddy"/>
              <i n="[SportClimbing].[Belayer].&amp;[Thomas Bur]" c="Thomas Bur"/>
              <i n="[SportClimbing].[Belayer].&amp;[Tibor]" c="Tibor"/>
              <i n="[SportClimbing].[Belayer].&amp;[Tieme]" c="Tieme"/>
              <i n="[SportClimbing].[Belayer].&amp;[Ulises]" c="Ulises"/>
              <i n="[SportClimbing].[Belayer].&amp;[Vittorio]" c="Vittorio"/>
              <i n="[SportClimbing].[Belayer].&amp;[water solo]" c="water solo"/>
              <i n="[SportClimbing].[Belayer].&amp;[Will]" c="Will"/>
              <i n="[SportClimbing].[Belayer].&amp;[Yoel]" c="Yoel"/>
              <i n="[SportClimbing].[Belayer].&amp;[Yun]" c="Yun"/>
            </range>
          </ranges>
        </level>
      </levels>
      <selections count="1">
        <selection n="[SportClimbing].[Belayer].[All]"/>
      </selections>
    </olap>
  </data>
  <extLst>
    <x:ext xmlns:x15="http://schemas.microsoft.com/office/spreadsheetml/2010/11/main" uri="{470722E0-AACD-4C17-9CDC-17EF765DBC7E}">
      <x15:slicerCacheHideItemsWithNoData count="1">
        <x15:slicerCacheOlapLevelName uniqueName="[SportClimbing].[Belayer].[Belaye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_m" xr10:uid="{D38D332B-CCF9-44BD-A0E1-616CF09F8F19}" sourceName="[SportClimbing].[Height (m)]">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s>
  <data>
    <olap pivotCacheId="894034973">
      <levels count="2">
        <level uniqueName="[SportClimbing].[Height (m)].[(All)]" sourceCaption="(All)" count="0"/>
        <level uniqueName="[SportClimbing].[Height (m)].[Height (m)]" sourceCaption="Height (m)" count="23">
          <ranges>
            <range startItem="0">
              <i n="[SportClimbing].[Height (m)].&amp;[8]" c="8"/>
              <i n="[SportClimbing].[Height (m)].&amp;[10]" c="10"/>
              <i n="[SportClimbing].[Height (m)].&amp;[11]" c="11"/>
              <i n="[SportClimbing].[Height (m)].&amp;[12]" c="12"/>
              <i n="[SportClimbing].[Height (m)].&amp;[13]" c="13"/>
              <i n="[SportClimbing].[Height (m)].&amp;[15]" c="15"/>
              <i n="[SportClimbing].[Height (m)].&amp;[16]" c="16"/>
              <i n="[SportClimbing].[Height (m)].&amp;[18]" c="18"/>
              <i n="[SportClimbing].[Height (m)].&amp;[19]" c="19"/>
              <i n="[SportClimbing].[Height (m)].&amp;[20]" c="20"/>
              <i n="[SportClimbing].[Height (m)].&amp;[22]" c="22"/>
              <i n="[SportClimbing].[Height (m)].&amp;[23]" c="23"/>
              <i n="[SportClimbing].[Height (m)].&amp;[24]" c="24"/>
              <i n="[SportClimbing].[Height (m)].&amp;[25]" c="25"/>
              <i n="[SportClimbing].[Height (m)].&amp;[26]" c="26"/>
              <i n="[SportClimbing].[Height (m)].&amp;[27]" c="27"/>
              <i n="[SportClimbing].[Height (m)].&amp;[28]" c="28"/>
              <i n="[SportClimbing].[Height (m)].&amp;[30]" c="30"/>
              <i n="[SportClimbing].[Height (m)].&amp;[32]" c="32"/>
              <i n="[SportClimbing].[Height (m)].&amp;[33]" c="33"/>
              <i n="[SportClimbing].[Height (m)].&amp;[35]" c="35"/>
              <i n="[SportClimbing].[Height (m)].&amp;[38]" c="38"/>
              <i n="[SportClimbing].[Height (m)].&amp;[40]" c="40"/>
            </range>
          </ranges>
        </level>
      </levels>
      <selections count="1">
        <selection n="[SportClimbing].[Height (m)].[All]"/>
      </selections>
    </olap>
  </data>
  <extLst>
    <x:ext xmlns:x15="http://schemas.microsoft.com/office/spreadsheetml/2010/11/main" uri="{470722E0-AACD-4C17-9CDC-17EF765DBC7E}">
      <x15:slicerCacheHideItemsWithNoData count="1">
        <x15:slicerCacheOlapLevelName uniqueName="[SportClimbing].[Height (m)].[Height (m)]"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2" xr10:uid="{C71B0650-46EA-4E6C-9312-E95775CF418B}" sourceName="[MONTHS].[MONTHS 2]">
  <pivotTables>
    <pivotTable tabId="16" name="% of flash, onsight, redpoint"/>
    <pivotTable tabId="16" name="Average of Tries num. only excl. outliers"/>
    <pivotTable tabId="16" name="Favorite Belayer"/>
    <pivotTable tabId="16" name="Count per country"/>
    <pivotTable tabId="16" name="Count per crag"/>
    <pivotTable tabId="16" name="Count per grade"/>
    <pivotTable tabId="16" name="Distribution per height"/>
    <pivotTable tabId="16" name="Count per month"/>
    <pivotTable tabId="16" name="Count per number of attempts"/>
    <pivotTable tabId="16" name="Count per year"/>
    <pivotTable tabId="16" name="% of flash, onsight, redpoint per grade"/>
  </pivotTables>
  <data>
    <olap pivotCacheId="894034973">
      <levels count="2">
        <level uniqueName="[MONTHS].[MONTHS 2].[(All)]" sourceCaption="(All)" count="0"/>
        <level uniqueName="[MONTHS].[MONTHS 2].[MONTHS 2]" sourceCaption="MONTHS 2" count="12">
          <ranges>
            <range startItem="0">
              <i n="[MONTHS].[MONTHS 2].&amp;[Jan]" c="Jan"/>
              <i n="[MONTHS].[MONTHS 2].&amp;[Feb]" c="Feb"/>
              <i n="[MONTHS].[MONTHS 2].&amp;[Mar]" c="Mar"/>
              <i n="[MONTHS].[MONTHS 2].&amp;[Apr]" c="Apr"/>
              <i n="[MONTHS].[MONTHS 2].&amp;[May]" c="May"/>
              <i n="[MONTHS].[MONTHS 2].&amp;[Jun]" c="Jun"/>
              <i n="[MONTHS].[MONTHS 2].&amp;[Jul]" c="Jul"/>
              <i n="[MONTHS].[MONTHS 2].&amp;[Aug]" c="Aug"/>
              <i n="[MONTHS].[MONTHS 2].&amp;[Sep]" c="Sep"/>
              <i n="[MONTHS].[MONTHS 2].&amp;[Oct]" c="Oct"/>
              <i n="[MONTHS].[MONTHS 2].&amp;[Nov]" c="Nov"/>
              <i n="[MONTHS].[MONTHS 2].&amp;[Dec]" c="Dec"/>
            </range>
          </ranges>
        </level>
      </levels>
      <selections count="1">
        <selection n="[MONTHS].[MONTHS 2].[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range__m" xr10:uid="{3C1FCFFA-F8F4-417D-AECE-AFD813B9F293}" sourceName="[SportClimbing].[Height range (m)]">
  <pivotTables>
    <pivotTable tabId="16" name="% of flash, onsight, redpoint"/>
    <pivotTable tabId="16" name="Average of Tries num. only excl. outliers"/>
    <pivotTable tabId="16" name="Favorite Belayer"/>
    <pivotTable tabId="16" name="Count per country"/>
    <pivotTable tabId="16" name="Count per crag"/>
    <pivotTable tabId="16" name="Count per grade"/>
    <pivotTable tabId="16" name="Distribution per height"/>
    <pivotTable tabId="16" name="Count per month"/>
    <pivotTable tabId="16" name="Count per number of attempts"/>
    <pivotTable tabId="16" name="Count per year"/>
    <pivotTable tabId="16" name="% of flash, onsight, redpoint per grade"/>
  </pivotTables>
  <data>
    <olap pivotCacheId="894034973">
      <levels count="2">
        <level uniqueName="[SportClimbing].[Height range (m)].[(All)]" sourceCaption="(All)" count="0"/>
        <level uniqueName="[SportClimbing].[Height range (m)].[Height range (m)]" sourceCaption="Height range (m)" count="7">
          <ranges>
            <range startItem="0">
              <i n="[SportClimbing].[Height range (m)].&amp;[0-10]" c="0-10"/>
              <i n="[SportClimbing].[Height range (m)].&amp;[11-15]" c="11-15"/>
              <i n="[SportClimbing].[Height range (m)].&amp;[16-20]" c="16-20"/>
              <i n="[SportClimbing].[Height range (m)].&amp;[21-25]" c="21-25"/>
              <i n="[SportClimbing].[Height range (m)].&amp;[26-30]" c="26-30"/>
              <i n="[SportClimbing].[Height range (m)].&amp;[31-35]" c="31-35"/>
              <i n="[SportClimbing].[Height range (m)].&amp;[35+]" c="35+"/>
            </range>
          </ranges>
        </level>
      </levels>
      <selections count="1">
        <selection n="[SportClimbing].[Height range (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 TRIES" xr10:uid="{DC031239-5696-4400-94A8-168247819DF2}" cache="Slicer_Total_number_of_tries" caption="Total number of tries" columnCount="4" level="1" style="SlicerStyleDark1" rowHeight="225425"/>
  <slicer name="SLICER - GRADE" xr10:uid="{C9D86EF3-DA22-4E79-9417-61ECB4BE31B2}" cache="Slicer_Grade" caption="Grade" columnCount="2" level="1" style="Grade" rowHeight="225425"/>
  <slicer name="SLICER - CRAG" xr10:uid="{57EE081A-5355-4C6F-AF2A-30C624F4D53F}" cache="Slicer_Crag" caption="Crag" columnCount="7" level="1" style="SlicerStyleDark2 2" rowHeight="225425"/>
  <slicer name="SLICER -YEAR" xr10:uid="{9C5CB6E8-0DB1-4CE8-B125-C3696FFEC8D3}" cache="Slicer_YEARS" caption="Year" columnCount="4" level="1" style="SlicerStyleDark6" rowHeight="225425"/>
  <slicer name="SLICER - PARTNER" xr10:uid="{6A73B54E-930C-4E8F-9CD2-F22A2152753F}" cache="Slicer_Belayer1" caption="Climbing partner" columnCount="5" level="1" style="Belayer" rowHeight="225425"/>
  <slicer name="SLICER - HEIGHT" xr10:uid="{1C541FAA-BC74-4DDB-A62D-1E2A3A72EDEC}" cache="Slicer_Height__m" caption="Height (m)" columnCount="5" level="1" style="SlicerStyleDark5" rowHeight="225425"/>
  <slicer name="SLICER - MONTH" xr10:uid="{12489FBE-ACFB-4A32-815A-D35FA83CBF83}" cache="Slicer_MONTHS_2" caption="Month" columnCount="3" level="1" style="Month" rowHeight="225425"/>
  <slicer name="SLICER - HEIGHT RANGE" xr10:uid="{3BB562B2-DE17-4E06-8C74-FA86DBD22199}" cache="Slicer_Height_range__m" caption="Height range (m)" columnCount="2" level="1" style="SlicerStyleDark5"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SportClimbing" displayName="SportClimbing" ref="A1:Q215" totalsRowShown="0" headerRowDxfId="26" dataDxfId="25">
  <autoFilter ref="A1:Q215" xr:uid="{00000000-0009-0000-0100-00000B000000}"/>
  <tableColumns count="17">
    <tableColumn id="15" xr3:uid="{FE3DDA29-F15F-44B8-AEE9-6E7A12EB2621}" name="Date" dataDxfId="24">
      <calculatedColumnFormula>DATE(SportClimbing[[#This Row],[Year]],_xlfn.XLOOKUP(SportClimbing[[#This Row],[Month]],MONTHS[MONTHS 2],MONTHS[MONTHS 3]),SportClimbing[[#This Row],[Day]])</calculatedColumnFormula>
    </tableColumn>
    <tableColumn id="16" xr3:uid="{CD864414-533C-4B70-8D0E-C6C7958F5345}" name="Date_filter" dataDxfId="23">
      <calculatedColumnFormula>AND(SportClimbing[[#This Row],[Date]] &gt;= TODAY()-365, SportClimbing[[#This Row],[Date]] &lt;= TODAY())</calculatedColumnFormula>
    </tableColumn>
    <tableColumn id="1" xr3:uid="{00000000-0010-0000-0000-000001000000}" name="Day" dataDxfId="22"/>
    <tableColumn id="2" xr3:uid="{00000000-0010-0000-0000-000002000000}" name="Month" dataDxfId="21"/>
    <tableColumn id="3" xr3:uid="{00000000-0010-0000-0000-000003000000}" name="Year" dataDxfId="20"/>
    <tableColumn id="4" xr3:uid="{00000000-0010-0000-0000-000004000000}" name="Route name" dataDxfId="19"/>
    <tableColumn id="5" xr3:uid="{00000000-0010-0000-0000-000005000000}" name="Grade" dataDxfId="18"/>
    <tableColumn id="11" xr3:uid="{BFFEE807-DBDA-4F0E-AB51-6D193DCB058B}" name="Country" dataDxfId="17"/>
    <tableColumn id="6" xr3:uid="{00000000-0010-0000-0000-000006000000}" name="Crag" dataDxfId="16"/>
    <tableColumn id="7" xr3:uid="{00000000-0010-0000-0000-000007000000}" name="Sector" dataDxfId="15"/>
    <tableColumn id="8" xr3:uid="{00000000-0010-0000-0000-000008000000}" name="Height (m)" dataDxfId="14"/>
    <tableColumn id="12" xr3:uid="{81841973-0EB5-42FD-BFDD-2B7B229B7F5E}" name="Height range (m)" dataDxfId="13">
      <calculatedColumnFormula>IF(SportClimbing[[#This Row],[Height (m)]]&lt;11, "0-10", IF(SportClimbing[[#This Row],[Height (m)]]&lt;16, "11-15", IF(SportClimbing[[#This Row],[Height (m)]]&lt;21, "16-20", IF(SportClimbing[[#This Row],[Height (m)]]&lt;26, "21-25", IF(SportClimbing[[#This Row],[Height (m)]]&lt;31, "26-30", IF(SportClimbing[[#This Row],[Height (m)]]&lt;36, "31-35", "35+"))))))</calculatedColumnFormula>
    </tableColumn>
    <tableColumn id="9" xr3:uid="{00000000-0010-0000-0000-000009000000}" name="Belayer" dataDxfId="12"/>
    <tableColumn id="10" xr3:uid="{00000000-0010-0000-0000-00000A000000}" name="Total number of tries" dataDxfId="11"/>
    <tableColumn id="13" xr3:uid="{CFDCCC54-2F7A-4831-BA52-05C63F2A3A19}" name="Tries num. only excl. outliers" dataDxfId="10">
      <calculatedColumnFormula>IF(ISNUMBER(SportClimbing[[#This Row],[Total number of tries]])=TRUE, SportClimbing[[#This Row],[Total number of tries]], 1)</calculatedColumnFormula>
    </tableColumn>
    <tableColumn id="14" xr3:uid="{A0FF27BE-EC33-40AC-AEF4-B5788A5C4E1F}" name="onsight/flash/redpoint" dataDxfId="9">
      <calculatedColumnFormula>IF(ISNUMBER(SportClimbing[[#This Row],[Total number of tries]])=TRUE, "redpoint", SportClimbing[[#This Row],[Total number of tries]])</calculatedColumnFormula>
    </tableColumn>
    <tableColumn id="17" xr3:uid="{BD42760A-86CB-48E9-958C-2E58AD76AEA6}" name="Score" dataDxfId="8">
      <calculatedColumnFormula>_xlfn.XLOOKUP(SportClimbing[[#This Row],[Grade]],SCORE[GRADE],SCORE[SCORE],,)</calculatedColumnFormula>
    </tableColumn>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BDA1C8-67BC-46A4-B59F-88BB6F02F3A5}" name="YEARS" displayName="YEARS" ref="A1:A21" totalsRowShown="0">
  <autoFilter ref="A1:A21" xr:uid="{5DBDA1C8-67BC-46A4-B59F-88BB6F02F3A5}"/>
  <tableColumns count="1">
    <tableColumn id="1" xr3:uid="{94E9D351-C9E9-4065-813F-F63DB1439259}" name="YEA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5CDF67-69C6-4F8E-8866-17A2301F4074}" name="MONTHS" displayName="MONTHS" ref="C1:E13" totalsRowShown="0">
  <autoFilter ref="C1:E13" xr:uid="{F65CDF67-69C6-4F8E-8866-17A2301F4074}"/>
  <tableColumns count="3">
    <tableColumn id="1" xr3:uid="{077EAEE1-3C25-4029-8A12-05952909279A}" name="MONTHS 1"/>
    <tableColumn id="2" xr3:uid="{48F14ADA-60D5-42F2-B026-D004D0FF61D3}" name="MONTHS 2"/>
    <tableColumn id="3" xr3:uid="{6220A5CE-1022-4C93-A397-A38BF650EDBE}" name="MONTHS 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E91DC0-84F5-47BE-B79E-2355DF0C3A3F}" name="GRADES" displayName="GRADES" ref="G1:G9" totalsRowShown="0">
  <autoFilter ref="G1:G9" xr:uid="{C5E91DC0-84F5-47BE-B79E-2355DF0C3A3F}"/>
  <tableColumns count="1">
    <tableColumn id="1" xr3:uid="{1476F114-40F1-4E3E-BADA-69DE0D8C9ED5}" name="GRAD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E27473-E8A2-44E6-8CC2-65EBEEE0731C}" name="SCORE" displayName="SCORE" ref="I1:J9" totalsRowShown="0">
  <autoFilter ref="I1:J9" xr:uid="{4EE27473-E8A2-44E6-8CC2-65EBEEE0731C}"/>
  <tableColumns count="2">
    <tableColumn id="1" xr3:uid="{EC5139E1-DD24-4F5D-89A5-32581CB085D3}" name="GRADE"/>
    <tableColumn id="2" xr3:uid="{750B5A90-0220-490A-91AE-566A38B25C6F}" name="SCO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777E6EC-3309-4006-B375-6DD1372891AE}" name="SCORE6" displayName="SCORE6" ref="L1:M9" totalsRowShown="0">
  <autoFilter ref="L1:M9" xr:uid="{4777E6EC-3309-4006-B375-6DD1372891AE}"/>
  <tableColumns count="2">
    <tableColumn id="1" xr3:uid="{311A07EC-A46D-4512-B0F7-AC2953C86ACE}" name="GRADE"/>
    <tableColumn id="2" xr3:uid="{E09A33F7-0514-4F9C-8AB3-FD2E92DC57A8}" name="SCORE"/>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59999389629810485"/>
  </sheetPr>
  <dimension ref="A1:Q215"/>
  <sheetViews>
    <sheetView showGridLines="0" zoomScaleNormal="100" workbookViewId="0">
      <pane ySplit="1" topLeftCell="A189" activePane="bottomLeft" state="frozen"/>
      <selection pane="bottomLeft" activeCell="G213" sqref="G213"/>
    </sheetView>
  </sheetViews>
  <sheetFormatPr defaultColWidth="11.5546875" defaultRowHeight="13.2" x14ac:dyDescent="0.25"/>
  <cols>
    <col min="1" max="1" width="11.5546875" style="21"/>
    <col min="2" max="2" width="11.5546875" style="21" customWidth="1"/>
    <col min="3" max="3" width="11" bestFit="1" customWidth="1"/>
    <col min="4" max="4" width="8.77734375" bestFit="1" customWidth="1"/>
    <col min="5" max="5" width="7.21875" bestFit="1" customWidth="1"/>
    <col min="6" max="6" width="34.5546875" bestFit="1" customWidth="1"/>
    <col min="7" max="7" width="8.5546875" bestFit="1" customWidth="1"/>
    <col min="8" max="8" width="10.77734375" bestFit="1" customWidth="1"/>
    <col min="9" max="9" width="27.77734375" bestFit="1" customWidth="1"/>
    <col min="10" max="10" width="29.21875" bestFit="1" customWidth="1"/>
    <col min="11" max="11" width="12.21875" bestFit="1" customWidth="1"/>
    <col min="12" max="12" width="18" bestFit="1" customWidth="1"/>
    <col min="13" max="13" width="17.44140625" bestFit="1" customWidth="1"/>
    <col min="14" max="14" width="22.44140625" bestFit="1" customWidth="1"/>
    <col min="15" max="15" width="30" bestFit="1" customWidth="1"/>
    <col min="16" max="16" width="23.21875" bestFit="1" customWidth="1"/>
  </cols>
  <sheetData>
    <row r="1" spans="1:17" x14ac:dyDescent="0.25">
      <c r="A1" s="21" t="s">
        <v>421</v>
      </c>
      <c r="B1" s="21" t="s">
        <v>422</v>
      </c>
      <c r="C1" t="s">
        <v>136</v>
      </c>
      <c r="D1" t="s">
        <v>137</v>
      </c>
      <c r="E1" t="s">
        <v>138</v>
      </c>
      <c r="F1" t="s">
        <v>139</v>
      </c>
      <c r="G1" t="s">
        <v>140</v>
      </c>
      <c r="H1" t="s">
        <v>260</v>
      </c>
      <c r="I1" t="s">
        <v>141</v>
      </c>
      <c r="J1" t="s">
        <v>142</v>
      </c>
      <c r="K1" t="s">
        <v>143</v>
      </c>
      <c r="L1" t="s">
        <v>378</v>
      </c>
      <c r="M1" t="s">
        <v>144</v>
      </c>
      <c r="N1" t="s">
        <v>145</v>
      </c>
      <c r="O1" s="24" t="s">
        <v>407</v>
      </c>
      <c r="P1" t="s">
        <v>403</v>
      </c>
      <c r="Q1" t="s">
        <v>438</v>
      </c>
    </row>
    <row r="2" spans="1:17" x14ac:dyDescent="0.25">
      <c r="A2" s="21">
        <f>DATE(SportClimbing[[#This Row],[Year]],_xlfn.XLOOKUP(SportClimbing[[#This Row],[Month]],MONTHS[MONTHS 2],MONTHS[MONTHS 3]),SportClimbing[[#This Row],[Day]])</f>
        <v>38913</v>
      </c>
      <c r="B2" s="21" t="b">
        <f ca="1">AND(SportClimbing[[#This Row],[Date]] &gt;= TODAY()-365, SportClimbing[[#This Row],[Date]] &lt;= TODAY())</f>
        <v>0</v>
      </c>
      <c r="C2">
        <v>15</v>
      </c>
      <c r="D2" t="s">
        <v>365</v>
      </c>
      <c r="E2">
        <v>2006</v>
      </c>
      <c r="F2" t="s">
        <v>2</v>
      </c>
      <c r="G2" t="s">
        <v>3</v>
      </c>
      <c r="H2" t="s">
        <v>261</v>
      </c>
      <c r="I2" t="s">
        <v>1</v>
      </c>
      <c r="J2" t="s">
        <v>4</v>
      </c>
      <c r="K2">
        <v>15</v>
      </c>
      <c r="L2" t="str">
        <f>IF(SportClimbing[[#This Row],[Height (m)]]&lt;11, "0-10", IF(SportClimbing[[#This Row],[Height (m)]]&lt;16, "11-15", IF(SportClimbing[[#This Row],[Height (m)]]&lt;21, "16-20", IF(SportClimbing[[#This Row],[Height (m)]]&lt;26, "21-25", IF(SportClimbing[[#This Row],[Height (m)]]&lt;31, "26-30", IF(SportClimbing[[#This Row],[Height (m)]]&lt;36, "31-35", "35+"))))))</f>
        <v>11-15</v>
      </c>
      <c r="M2" t="s">
        <v>10</v>
      </c>
      <c r="N2">
        <v>7</v>
      </c>
      <c r="O2">
        <f>IF(ISNUMBER(SportClimbing[[#This Row],[Total number of tries]])=TRUE, SportClimbing[[#This Row],[Total number of tries]], 1)</f>
        <v>7</v>
      </c>
      <c r="P2" t="str">
        <f>IF(ISNUMBER(SportClimbing[[#This Row],[Total number of tries]])=TRUE, "redpoint", SportClimbing[[#This Row],[Total number of tries]])</f>
        <v>redpoint</v>
      </c>
      <c r="Q2">
        <f>_xlfn.XLOOKUP(SportClimbing[[#This Row],[Grade]],SCORE[GRADE],SCORE[SCORE],,)</f>
        <v>10</v>
      </c>
    </row>
    <row r="3" spans="1:17" x14ac:dyDescent="0.25">
      <c r="A3" s="21">
        <f>DATE(SportClimbing[[#This Row],[Year]],_xlfn.XLOOKUP(SportClimbing[[#This Row],[Month]],MONTHS[MONTHS 2],MONTHS[MONTHS 3]),SportClimbing[[#This Row],[Day]])</f>
        <v>39285</v>
      </c>
      <c r="B3" s="21" t="b">
        <f ca="1">AND(SportClimbing[[#This Row],[Date]] &gt;= TODAY()-365, SportClimbing[[#This Row],[Date]] &lt;= TODAY())</f>
        <v>0</v>
      </c>
      <c r="C3">
        <v>22</v>
      </c>
      <c r="D3" t="s">
        <v>365</v>
      </c>
      <c r="E3">
        <v>2007</v>
      </c>
      <c r="F3" t="s">
        <v>5</v>
      </c>
      <c r="G3" t="s">
        <v>3</v>
      </c>
      <c r="H3" t="s">
        <v>261</v>
      </c>
      <c r="I3" t="s">
        <v>1</v>
      </c>
      <c r="J3" t="s">
        <v>4</v>
      </c>
      <c r="K3">
        <v>25</v>
      </c>
      <c r="L3" t="str">
        <f>IF(SportClimbing[[#This Row],[Height (m)]]&lt;11, "0-10", IF(SportClimbing[[#This Row],[Height (m)]]&lt;16, "11-15", IF(SportClimbing[[#This Row],[Height (m)]]&lt;21, "16-20", IF(SportClimbing[[#This Row],[Height (m)]]&lt;26, "21-25", IF(SportClimbing[[#This Row],[Height (m)]]&lt;31, "26-30", IF(SportClimbing[[#This Row],[Height (m)]]&lt;36, "31-35", "35+"))))))</f>
        <v>21-25</v>
      </c>
      <c r="M3" t="s">
        <v>6</v>
      </c>
      <c r="N3">
        <v>4</v>
      </c>
      <c r="O3">
        <f>IF(ISNUMBER(SportClimbing[[#This Row],[Total number of tries]])=TRUE, SportClimbing[[#This Row],[Total number of tries]], 1)</f>
        <v>4</v>
      </c>
      <c r="P3" t="str">
        <f>IF(ISNUMBER(SportClimbing[[#This Row],[Total number of tries]])=TRUE, "redpoint", SportClimbing[[#This Row],[Total number of tries]])</f>
        <v>redpoint</v>
      </c>
      <c r="Q3">
        <f>_xlfn.XLOOKUP(SportClimbing[[#This Row],[Grade]],SCORE[GRADE],SCORE[SCORE],,)</f>
        <v>10</v>
      </c>
    </row>
    <row r="4" spans="1:17" x14ac:dyDescent="0.25">
      <c r="A4" s="21">
        <f>DATE(SportClimbing[[#This Row],[Year]],_xlfn.XLOOKUP(SportClimbing[[#This Row],[Month]],MONTHS[MONTHS 2],MONTHS[MONTHS 3]),SportClimbing[[#This Row],[Day]])</f>
        <v>39557</v>
      </c>
      <c r="B4" s="21" t="b">
        <f ca="1">AND(SportClimbing[[#This Row],[Date]] &gt;= TODAY()-365, SportClimbing[[#This Row],[Date]] &lt;= TODAY())</f>
        <v>0</v>
      </c>
      <c r="C4">
        <v>19</v>
      </c>
      <c r="D4" t="s">
        <v>368</v>
      </c>
      <c r="E4">
        <v>2008</v>
      </c>
      <c r="F4" t="s">
        <v>7</v>
      </c>
      <c r="G4" t="s">
        <v>3</v>
      </c>
      <c r="H4" t="s">
        <v>261</v>
      </c>
      <c r="I4" t="s">
        <v>8</v>
      </c>
      <c r="J4" t="s">
        <v>9</v>
      </c>
      <c r="K4">
        <v>25</v>
      </c>
      <c r="L4" t="str">
        <f>IF(SportClimbing[[#This Row],[Height (m)]]&lt;11, "0-10", IF(SportClimbing[[#This Row],[Height (m)]]&lt;16, "11-15", IF(SportClimbing[[#This Row],[Height (m)]]&lt;21, "16-20", IF(SportClimbing[[#This Row],[Height (m)]]&lt;26, "21-25", IF(SportClimbing[[#This Row],[Height (m)]]&lt;31, "26-30", IF(SportClimbing[[#This Row],[Height (m)]]&lt;36, "31-35", "35+"))))))</f>
        <v>21-25</v>
      </c>
      <c r="M4" t="s">
        <v>10</v>
      </c>
      <c r="N4" t="s">
        <v>11</v>
      </c>
      <c r="O4">
        <f>IF(ISNUMBER(SportClimbing[[#This Row],[Total number of tries]])=TRUE, SportClimbing[[#This Row],[Total number of tries]], 1)</f>
        <v>1</v>
      </c>
      <c r="P4" t="str">
        <f>IF(ISNUMBER(SportClimbing[[#This Row],[Total number of tries]])=TRUE, "redpoint", SportClimbing[[#This Row],[Total number of tries]])</f>
        <v>flash</v>
      </c>
      <c r="Q4">
        <f>_xlfn.XLOOKUP(SportClimbing[[#This Row],[Grade]],SCORE[GRADE],SCORE[SCORE],,)</f>
        <v>10</v>
      </c>
    </row>
    <row r="5" spans="1:17" x14ac:dyDescent="0.25">
      <c r="A5" s="21">
        <f>DATE(SportClimbing[[#This Row],[Year]],_xlfn.XLOOKUP(SportClimbing[[#This Row],[Month]],MONTHS[MONTHS 2],MONTHS[MONTHS 3]),SportClimbing[[#This Row],[Day]])</f>
        <v>39571</v>
      </c>
      <c r="B5" s="21" t="b">
        <f ca="1">AND(SportClimbing[[#This Row],[Date]] &gt;= TODAY()-365, SportClimbing[[#This Row],[Date]] &lt;= TODAY())</f>
        <v>0</v>
      </c>
      <c r="C5">
        <v>3</v>
      </c>
      <c r="D5" t="s">
        <v>155</v>
      </c>
      <c r="E5">
        <v>2008</v>
      </c>
      <c r="F5" t="s">
        <v>225</v>
      </c>
      <c r="G5" t="s">
        <v>3</v>
      </c>
      <c r="H5" t="s">
        <v>261</v>
      </c>
      <c r="I5" t="s">
        <v>12</v>
      </c>
      <c r="J5" t="s">
        <v>0</v>
      </c>
      <c r="K5">
        <v>18</v>
      </c>
      <c r="L5" t="str">
        <f>IF(SportClimbing[[#This Row],[Height (m)]]&lt;11, "0-10", IF(SportClimbing[[#This Row],[Height (m)]]&lt;16, "11-15", IF(SportClimbing[[#This Row],[Height (m)]]&lt;21, "16-20", IF(SportClimbing[[#This Row],[Height (m)]]&lt;26, "21-25", IF(SportClimbing[[#This Row],[Height (m)]]&lt;31, "26-30", IF(SportClimbing[[#This Row],[Height (m)]]&lt;36, "31-35", "35+"))))))</f>
        <v>16-20</v>
      </c>
      <c r="M5" t="s">
        <v>13</v>
      </c>
      <c r="N5">
        <v>2</v>
      </c>
      <c r="O5">
        <f>IF(ISNUMBER(SportClimbing[[#This Row],[Total number of tries]])=TRUE, SportClimbing[[#This Row],[Total number of tries]], 1)</f>
        <v>2</v>
      </c>
      <c r="P5" t="str">
        <f>IF(ISNUMBER(SportClimbing[[#This Row],[Total number of tries]])=TRUE, "redpoint", SportClimbing[[#This Row],[Total number of tries]])</f>
        <v>redpoint</v>
      </c>
      <c r="Q5">
        <f>_xlfn.XLOOKUP(SportClimbing[[#This Row],[Grade]],SCORE[GRADE],SCORE[SCORE],,)</f>
        <v>10</v>
      </c>
    </row>
    <row r="6" spans="1:17" x14ac:dyDescent="0.25">
      <c r="A6" s="21">
        <f>DATE(SportClimbing[[#This Row],[Year]],_xlfn.XLOOKUP(SportClimbing[[#This Row],[Month]],MONTHS[MONTHS 2],MONTHS[MONTHS 3]),SportClimbing[[#This Row],[Day]])</f>
        <v>40761</v>
      </c>
      <c r="B6" s="21" t="b">
        <f ca="1">AND(SportClimbing[[#This Row],[Date]] &gt;= TODAY()-365, SportClimbing[[#This Row],[Date]] &lt;= TODAY())</f>
        <v>0</v>
      </c>
      <c r="C6">
        <v>6</v>
      </c>
      <c r="D6" t="s">
        <v>158</v>
      </c>
      <c r="E6">
        <v>2011</v>
      </c>
      <c r="F6" t="s">
        <v>14</v>
      </c>
      <c r="G6" t="s">
        <v>3</v>
      </c>
      <c r="H6" t="s">
        <v>262</v>
      </c>
      <c r="I6" t="s">
        <v>15</v>
      </c>
      <c r="J6" t="s">
        <v>16</v>
      </c>
      <c r="K6">
        <v>20</v>
      </c>
      <c r="L6" t="str">
        <f>IF(SportClimbing[[#This Row],[Height (m)]]&lt;11, "0-10", IF(SportClimbing[[#This Row],[Height (m)]]&lt;16, "11-15", IF(SportClimbing[[#This Row],[Height (m)]]&lt;21, "16-20", IF(SportClimbing[[#This Row],[Height (m)]]&lt;26, "21-25", IF(SportClimbing[[#This Row],[Height (m)]]&lt;31, "26-30", IF(SportClimbing[[#This Row],[Height (m)]]&lt;36, "31-35", "35+"))))))</f>
        <v>16-20</v>
      </c>
      <c r="M6" t="s">
        <v>17</v>
      </c>
      <c r="N6">
        <v>2</v>
      </c>
      <c r="O6">
        <f>IF(ISNUMBER(SportClimbing[[#This Row],[Total number of tries]])=TRUE, SportClimbing[[#This Row],[Total number of tries]], 1)</f>
        <v>2</v>
      </c>
      <c r="P6" t="str">
        <f>IF(ISNUMBER(SportClimbing[[#This Row],[Total number of tries]])=TRUE, "redpoint", SportClimbing[[#This Row],[Total number of tries]])</f>
        <v>redpoint</v>
      </c>
      <c r="Q6">
        <f>_xlfn.XLOOKUP(SportClimbing[[#This Row],[Grade]],SCORE[GRADE],SCORE[SCORE],,)</f>
        <v>10</v>
      </c>
    </row>
    <row r="7" spans="1:17" x14ac:dyDescent="0.25">
      <c r="A7" s="21">
        <f>DATE(SportClimbing[[#This Row],[Year]],_xlfn.XLOOKUP(SportClimbing[[#This Row],[Month]],MONTHS[MONTHS 2],MONTHS[MONTHS 3]),SportClimbing[[#This Row],[Day]])</f>
        <v>41007</v>
      </c>
      <c r="B7" s="21" t="b">
        <f ca="1">AND(SportClimbing[[#This Row],[Date]] &gt;= TODAY()-365, SportClimbing[[#This Row],[Date]] &lt;= TODAY())</f>
        <v>0</v>
      </c>
      <c r="C7">
        <v>8</v>
      </c>
      <c r="D7" t="s">
        <v>368</v>
      </c>
      <c r="E7">
        <v>2012</v>
      </c>
      <c r="F7" t="s">
        <v>118</v>
      </c>
      <c r="G7" t="s">
        <v>3</v>
      </c>
      <c r="H7" t="s">
        <v>262</v>
      </c>
      <c r="I7" t="s">
        <v>18</v>
      </c>
      <c r="J7" t="s">
        <v>19</v>
      </c>
      <c r="K7">
        <v>20</v>
      </c>
      <c r="L7" t="str">
        <f>IF(SportClimbing[[#This Row],[Height (m)]]&lt;11, "0-10", IF(SportClimbing[[#This Row],[Height (m)]]&lt;16, "11-15", IF(SportClimbing[[#This Row],[Height (m)]]&lt;21, "16-20", IF(SportClimbing[[#This Row],[Height (m)]]&lt;26, "21-25", IF(SportClimbing[[#This Row],[Height (m)]]&lt;31, "26-30", IF(SportClimbing[[#This Row],[Height (m)]]&lt;36, "31-35", "35+"))))))</f>
        <v>16-20</v>
      </c>
      <c r="M7" t="s">
        <v>146</v>
      </c>
      <c r="N7">
        <v>2</v>
      </c>
      <c r="O7">
        <f>IF(ISNUMBER(SportClimbing[[#This Row],[Total number of tries]])=TRUE, SportClimbing[[#This Row],[Total number of tries]], 1)</f>
        <v>2</v>
      </c>
      <c r="P7" t="str">
        <f>IF(ISNUMBER(SportClimbing[[#This Row],[Total number of tries]])=TRUE, "redpoint", SportClimbing[[#This Row],[Total number of tries]])</f>
        <v>redpoint</v>
      </c>
      <c r="Q7">
        <f>_xlfn.XLOOKUP(SportClimbing[[#This Row],[Grade]],SCORE[GRADE],SCORE[SCORE],,)</f>
        <v>10</v>
      </c>
    </row>
    <row r="8" spans="1:17" x14ac:dyDescent="0.25">
      <c r="A8" s="21">
        <f>DATE(SportClimbing[[#This Row],[Year]],_xlfn.XLOOKUP(SportClimbing[[#This Row],[Month]],MONTHS[MONTHS 2],MONTHS[MONTHS 3]),SportClimbing[[#This Row],[Day]])</f>
        <v>41234</v>
      </c>
      <c r="B8" s="21" t="b">
        <f ca="1">AND(SportClimbing[[#This Row],[Date]] &gt;= TODAY()-365, SportClimbing[[#This Row],[Date]] &lt;= TODAY())</f>
        <v>0</v>
      </c>
      <c r="C8">
        <v>21</v>
      </c>
      <c r="D8" t="s">
        <v>160</v>
      </c>
      <c r="E8">
        <v>2012</v>
      </c>
      <c r="F8" t="s">
        <v>20</v>
      </c>
      <c r="G8" t="s">
        <v>21</v>
      </c>
      <c r="H8" t="s">
        <v>262</v>
      </c>
      <c r="I8" t="s">
        <v>22</v>
      </c>
      <c r="J8" t="s">
        <v>23</v>
      </c>
      <c r="K8">
        <v>25</v>
      </c>
      <c r="L8" t="str">
        <f>IF(SportClimbing[[#This Row],[Height (m)]]&lt;11, "0-10", IF(SportClimbing[[#This Row],[Height (m)]]&lt;16, "11-15", IF(SportClimbing[[#This Row],[Height (m)]]&lt;21, "16-20", IF(SportClimbing[[#This Row],[Height (m)]]&lt;26, "21-25", IF(SportClimbing[[#This Row],[Height (m)]]&lt;31, "26-30", IF(SportClimbing[[#This Row],[Height (m)]]&lt;36, "31-35", "35+"))))))</f>
        <v>21-25</v>
      </c>
      <c r="M8" t="s">
        <v>24</v>
      </c>
      <c r="N8">
        <v>4</v>
      </c>
      <c r="O8">
        <f>IF(ISNUMBER(SportClimbing[[#This Row],[Total number of tries]])=TRUE, SportClimbing[[#This Row],[Total number of tries]], 1)</f>
        <v>4</v>
      </c>
      <c r="P8" t="str">
        <f>IF(ISNUMBER(SportClimbing[[#This Row],[Total number of tries]])=TRUE, "redpoint", SportClimbing[[#This Row],[Total number of tries]])</f>
        <v>redpoint</v>
      </c>
      <c r="Q8">
        <f>_xlfn.XLOOKUP(SportClimbing[[#This Row],[Grade]],SCORE[GRADE],SCORE[SCORE],,)</f>
        <v>15</v>
      </c>
    </row>
    <row r="9" spans="1:17" x14ac:dyDescent="0.25">
      <c r="A9" s="21">
        <f>DATE(SportClimbing[[#This Row],[Year]],_xlfn.XLOOKUP(SportClimbing[[#This Row],[Month]],MONTHS[MONTHS 2],MONTHS[MONTHS 3]),SportClimbing[[#This Row],[Day]])</f>
        <v>41264</v>
      </c>
      <c r="B9" s="21" t="b">
        <f ca="1">AND(SportClimbing[[#This Row],[Date]] &gt;= TODAY()-365, SportClimbing[[#This Row],[Date]] &lt;= TODAY())</f>
        <v>0</v>
      </c>
      <c r="C9">
        <v>21</v>
      </c>
      <c r="D9" t="s">
        <v>161</v>
      </c>
      <c r="E9">
        <v>2012</v>
      </c>
      <c r="F9" t="s">
        <v>28</v>
      </c>
      <c r="G9" t="s">
        <v>21</v>
      </c>
      <c r="H9" t="s">
        <v>262</v>
      </c>
      <c r="I9" t="s">
        <v>22</v>
      </c>
      <c r="J9" t="s">
        <v>23</v>
      </c>
      <c r="K9">
        <v>25</v>
      </c>
      <c r="L9" t="str">
        <f>IF(SportClimbing[[#This Row],[Height (m)]]&lt;11, "0-10", IF(SportClimbing[[#This Row],[Height (m)]]&lt;16, "11-15", IF(SportClimbing[[#This Row],[Height (m)]]&lt;21, "16-20", IF(SportClimbing[[#This Row],[Height (m)]]&lt;26, "21-25", IF(SportClimbing[[#This Row],[Height (m)]]&lt;31, "26-30", IF(SportClimbing[[#This Row],[Height (m)]]&lt;36, "31-35", "35+"))))))</f>
        <v>21-25</v>
      </c>
      <c r="M9" t="s">
        <v>146</v>
      </c>
      <c r="N9" t="s">
        <v>11</v>
      </c>
      <c r="O9">
        <f>IF(ISNUMBER(SportClimbing[[#This Row],[Total number of tries]])=TRUE, SportClimbing[[#This Row],[Total number of tries]], 1)</f>
        <v>1</v>
      </c>
      <c r="P9" t="str">
        <f>IF(ISNUMBER(SportClimbing[[#This Row],[Total number of tries]])=TRUE, "redpoint", SportClimbing[[#This Row],[Total number of tries]])</f>
        <v>flash</v>
      </c>
      <c r="Q9">
        <f>_xlfn.XLOOKUP(SportClimbing[[#This Row],[Grade]],SCORE[GRADE],SCORE[SCORE],,)</f>
        <v>15</v>
      </c>
    </row>
    <row r="10" spans="1:17" x14ac:dyDescent="0.25">
      <c r="A10" s="21">
        <f>DATE(SportClimbing[[#This Row],[Year]],_xlfn.XLOOKUP(SportClimbing[[#This Row],[Month]],MONTHS[MONTHS 2],MONTHS[MONTHS 3]),SportClimbing[[#This Row],[Day]])</f>
        <v>41295</v>
      </c>
      <c r="B10" s="21" t="b">
        <f ca="1">AND(SportClimbing[[#This Row],[Date]] &gt;= TODAY()-365, SportClimbing[[#This Row],[Date]] &lt;= TODAY())</f>
        <v>0</v>
      </c>
      <c r="C10">
        <v>21</v>
      </c>
      <c r="D10" t="s">
        <v>151</v>
      </c>
      <c r="E10">
        <v>2013</v>
      </c>
      <c r="F10" t="s">
        <v>30</v>
      </c>
      <c r="G10" t="s">
        <v>29</v>
      </c>
      <c r="H10" t="s">
        <v>262</v>
      </c>
      <c r="I10" t="s">
        <v>22</v>
      </c>
      <c r="J10" t="s">
        <v>23</v>
      </c>
      <c r="K10">
        <v>25</v>
      </c>
      <c r="L10" t="str">
        <f>IF(SportClimbing[[#This Row],[Height (m)]]&lt;11, "0-10", IF(SportClimbing[[#This Row],[Height (m)]]&lt;16, "11-15", IF(SportClimbing[[#This Row],[Height (m)]]&lt;21, "16-20", IF(SportClimbing[[#This Row],[Height (m)]]&lt;26, "21-25", IF(SportClimbing[[#This Row],[Height (m)]]&lt;31, "26-30", IF(SportClimbing[[#This Row],[Height (m)]]&lt;36, "31-35", "35+"))))))</f>
        <v>21-25</v>
      </c>
      <c r="M10" t="s">
        <v>146</v>
      </c>
      <c r="N10">
        <v>7</v>
      </c>
      <c r="O10">
        <f>IF(ISNUMBER(SportClimbing[[#This Row],[Total number of tries]])=TRUE, SportClimbing[[#This Row],[Total number of tries]], 1)</f>
        <v>7</v>
      </c>
      <c r="P10" t="str">
        <f>IF(ISNUMBER(SportClimbing[[#This Row],[Total number of tries]])=TRUE, "redpoint", SportClimbing[[#This Row],[Total number of tries]])</f>
        <v>redpoint</v>
      </c>
      <c r="Q10">
        <f>_xlfn.XLOOKUP(SportClimbing[[#This Row],[Grade]],SCORE[GRADE],SCORE[SCORE],,)</f>
        <v>25</v>
      </c>
    </row>
    <row r="11" spans="1:17" x14ac:dyDescent="0.25">
      <c r="A11" s="21">
        <f>DATE(SportClimbing[[#This Row],[Year]],_xlfn.XLOOKUP(SportClimbing[[#This Row],[Month]],MONTHS[MONTHS 2],MONTHS[MONTHS 3]),SportClimbing[[#This Row],[Day]])</f>
        <v>41306</v>
      </c>
      <c r="B11" s="21" t="b">
        <f ca="1">AND(SportClimbing[[#This Row],[Date]] &gt;= TODAY()-365, SportClimbing[[#This Row],[Date]] &lt;= TODAY())</f>
        <v>0</v>
      </c>
      <c r="C11">
        <v>1</v>
      </c>
      <c r="D11" t="s">
        <v>152</v>
      </c>
      <c r="E11">
        <v>2013</v>
      </c>
      <c r="F11" t="s">
        <v>33</v>
      </c>
      <c r="G11" t="s">
        <v>3</v>
      </c>
      <c r="H11" t="s">
        <v>262</v>
      </c>
      <c r="I11" t="s">
        <v>22</v>
      </c>
      <c r="J11" t="s">
        <v>23</v>
      </c>
      <c r="K11">
        <v>18</v>
      </c>
      <c r="L11" t="str">
        <f>IF(SportClimbing[[#This Row],[Height (m)]]&lt;11, "0-10", IF(SportClimbing[[#This Row],[Height (m)]]&lt;16, "11-15", IF(SportClimbing[[#This Row],[Height (m)]]&lt;21, "16-20", IF(SportClimbing[[#This Row],[Height (m)]]&lt;26, "21-25", IF(SportClimbing[[#This Row],[Height (m)]]&lt;31, "26-30", IF(SportClimbing[[#This Row],[Height (m)]]&lt;36, "31-35", "35+"))))))</f>
        <v>16-20</v>
      </c>
      <c r="M11" t="s">
        <v>34</v>
      </c>
      <c r="N11" t="s">
        <v>130</v>
      </c>
      <c r="O11">
        <f>IF(ISNUMBER(SportClimbing[[#This Row],[Total number of tries]])=TRUE, SportClimbing[[#This Row],[Total number of tries]], 1)</f>
        <v>1</v>
      </c>
      <c r="P11" t="str">
        <f>IF(ISNUMBER(SportClimbing[[#This Row],[Total number of tries]])=TRUE, "redpoint", SportClimbing[[#This Row],[Total number of tries]])</f>
        <v>onsight</v>
      </c>
      <c r="Q11">
        <f>_xlfn.XLOOKUP(SportClimbing[[#This Row],[Grade]],SCORE[GRADE],SCORE[SCORE],,)</f>
        <v>10</v>
      </c>
    </row>
    <row r="12" spans="1:17" x14ac:dyDescent="0.25">
      <c r="A12" s="21">
        <f>DATE(SportClimbing[[#This Row],[Year]],_xlfn.XLOOKUP(SportClimbing[[#This Row],[Month]],MONTHS[MONTHS 2],MONTHS[MONTHS 3]),SportClimbing[[#This Row],[Day]])</f>
        <v>41310</v>
      </c>
      <c r="B12" s="21" t="b">
        <f ca="1">AND(SportClimbing[[#This Row],[Date]] &gt;= TODAY()-365, SportClimbing[[#This Row],[Date]] &lt;= TODAY())</f>
        <v>0</v>
      </c>
      <c r="C12">
        <v>5</v>
      </c>
      <c r="D12" t="s">
        <v>152</v>
      </c>
      <c r="E12">
        <v>2013</v>
      </c>
      <c r="F12" t="s">
        <v>31</v>
      </c>
      <c r="G12" t="s">
        <v>3</v>
      </c>
      <c r="H12" t="s">
        <v>262</v>
      </c>
      <c r="I12" t="s">
        <v>25</v>
      </c>
      <c r="J12" t="s">
        <v>26</v>
      </c>
      <c r="K12">
        <v>12</v>
      </c>
      <c r="L12" t="str">
        <f>IF(SportClimbing[[#This Row],[Height (m)]]&lt;11, "0-10", IF(SportClimbing[[#This Row],[Height (m)]]&lt;16, "11-15", IF(SportClimbing[[#This Row],[Height (m)]]&lt;21, "16-20", IF(SportClimbing[[#This Row],[Height (m)]]&lt;26, "21-25", IF(SportClimbing[[#This Row],[Height (m)]]&lt;31, "26-30", IF(SportClimbing[[#This Row],[Height (m)]]&lt;36, "31-35", "35+"))))))</f>
        <v>11-15</v>
      </c>
      <c r="M12" t="s">
        <v>147</v>
      </c>
      <c r="N12">
        <v>12</v>
      </c>
      <c r="O12">
        <f>IF(ISNUMBER(SportClimbing[[#This Row],[Total number of tries]])=TRUE, SportClimbing[[#This Row],[Total number of tries]], 1)</f>
        <v>12</v>
      </c>
      <c r="P12" t="str">
        <f>IF(ISNUMBER(SportClimbing[[#This Row],[Total number of tries]])=TRUE, "redpoint", SportClimbing[[#This Row],[Total number of tries]])</f>
        <v>redpoint</v>
      </c>
      <c r="Q12">
        <f>_xlfn.XLOOKUP(SportClimbing[[#This Row],[Grade]],SCORE[GRADE],SCORE[SCORE],,)</f>
        <v>10</v>
      </c>
    </row>
    <row r="13" spans="1:17" x14ac:dyDescent="0.25">
      <c r="A13" s="21">
        <f>DATE(SportClimbing[[#This Row],[Year]],_xlfn.XLOOKUP(SportClimbing[[#This Row],[Month]],MONTHS[MONTHS 2],MONTHS[MONTHS 3]),SportClimbing[[#This Row],[Day]])</f>
        <v>41314</v>
      </c>
      <c r="B13" s="21" t="b">
        <f ca="1">AND(SportClimbing[[#This Row],[Date]] &gt;= TODAY()-365, SportClimbing[[#This Row],[Date]] &lt;= TODAY())</f>
        <v>0</v>
      </c>
      <c r="C13">
        <v>9</v>
      </c>
      <c r="D13" t="s">
        <v>152</v>
      </c>
      <c r="E13">
        <v>2013</v>
      </c>
      <c r="F13" t="s">
        <v>42</v>
      </c>
      <c r="G13" t="s">
        <v>32</v>
      </c>
      <c r="H13" t="s">
        <v>262</v>
      </c>
      <c r="I13" t="s">
        <v>25</v>
      </c>
      <c r="J13" t="s">
        <v>26</v>
      </c>
      <c r="K13">
        <v>25</v>
      </c>
      <c r="L13" t="str">
        <f>IF(SportClimbing[[#This Row],[Height (m)]]&lt;11, "0-10", IF(SportClimbing[[#This Row],[Height (m)]]&lt;16, "11-15", IF(SportClimbing[[#This Row],[Height (m)]]&lt;21, "16-20", IF(SportClimbing[[#This Row],[Height (m)]]&lt;26, "21-25", IF(SportClimbing[[#This Row],[Height (m)]]&lt;31, "26-30", IF(SportClimbing[[#This Row],[Height (m)]]&lt;36, "31-35", "35+"))))))</f>
        <v>21-25</v>
      </c>
      <c r="M13" t="s">
        <v>147</v>
      </c>
      <c r="N13">
        <v>2</v>
      </c>
      <c r="O13">
        <f>IF(ISNUMBER(SportClimbing[[#This Row],[Total number of tries]])=TRUE, SportClimbing[[#This Row],[Total number of tries]], 1)</f>
        <v>2</v>
      </c>
      <c r="P13" t="str">
        <f>IF(ISNUMBER(SportClimbing[[#This Row],[Total number of tries]])=TRUE, "redpoint", SportClimbing[[#This Row],[Total number of tries]])</f>
        <v>redpoint</v>
      </c>
      <c r="Q13">
        <f>_xlfn.XLOOKUP(SportClimbing[[#This Row],[Grade]],SCORE[GRADE],SCORE[SCORE],,)</f>
        <v>40</v>
      </c>
    </row>
    <row r="14" spans="1:17" x14ac:dyDescent="0.25">
      <c r="A14" s="21">
        <f>DATE(SportClimbing[[#This Row],[Year]],_xlfn.XLOOKUP(SportClimbing[[#This Row],[Month]],MONTHS[MONTHS 2],MONTHS[MONTHS 3]),SportClimbing[[#This Row],[Day]])</f>
        <v>41331</v>
      </c>
      <c r="B14" s="21" t="b">
        <f ca="1">AND(SportClimbing[[#This Row],[Date]] &gt;= TODAY()-365, SportClimbing[[#This Row],[Date]] &lt;= TODAY())</f>
        <v>0</v>
      </c>
      <c r="C14">
        <v>26</v>
      </c>
      <c r="D14" t="s">
        <v>152</v>
      </c>
      <c r="E14">
        <v>2013</v>
      </c>
      <c r="F14" t="s">
        <v>36</v>
      </c>
      <c r="G14" t="s">
        <v>21</v>
      </c>
      <c r="H14" t="s">
        <v>262</v>
      </c>
      <c r="I14" t="s">
        <v>22</v>
      </c>
      <c r="J14" t="s">
        <v>23</v>
      </c>
      <c r="K14">
        <v>20</v>
      </c>
      <c r="L14" t="str">
        <f>IF(SportClimbing[[#This Row],[Height (m)]]&lt;11, "0-10", IF(SportClimbing[[#This Row],[Height (m)]]&lt;16, "11-15", IF(SportClimbing[[#This Row],[Height (m)]]&lt;21, "16-20", IF(SportClimbing[[#This Row],[Height (m)]]&lt;26, "21-25", IF(SportClimbing[[#This Row],[Height (m)]]&lt;31, "26-30", IF(SportClimbing[[#This Row],[Height (m)]]&lt;36, "31-35", "35+"))))))</f>
        <v>16-20</v>
      </c>
      <c r="M14" t="s">
        <v>37</v>
      </c>
      <c r="N14" t="s">
        <v>11</v>
      </c>
      <c r="O14">
        <f>IF(ISNUMBER(SportClimbing[[#This Row],[Total number of tries]])=TRUE, SportClimbing[[#This Row],[Total number of tries]], 1)</f>
        <v>1</v>
      </c>
      <c r="P14" t="str">
        <f>IF(ISNUMBER(SportClimbing[[#This Row],[Total number of tries]])=TRUE, "redpoint", SportClimbing[[#This Row],[Total number of tries]])</f>
        <v>flash</v>
      </c>
      <c r="Q14">
        <f>_xlfn.XLOOKUP(SportClimbing[[#This Row],[Grade]],SCORE[GRADE],SCORE[SCORE],,)</f>
        <v>15</v>
      </c>
    </row>
    <row r="15" spans="1:17" x14ac:dyDescent="0.25">
      <c r="A15" s="21">
        <f>DATE(SportClimbing[[#This Row],[Year]],_xlfn.XLOOKUP(SportClimbing[[#This Row],[Month]],MONTHS[MONTHS 2],MONTHS[MONTHS 3]),SportClimbing[[#This Row],[Day]])</f>
        <v>41331</v>
      </c>
      <c r="B15" s="21" t="b">
        <f ca="1">AND(SportClimbing[[#This Row],[Date]] &gt;= TODAY()-365, SportClimbing[[#This Row],[Date]] &lt;= TODAY())</f>
        <v>0</v>
      </c>
      <c r="C15">
        <v>26</v>
      </c>
      <c r="D15" t="s">
        <v>152</v>
      </c>
      <c r="E15">
        <v>2013</v>
      </c>
      <c r="F15" t="s">
        <v>35</v>
      </c>
      <c r="G15" t="s">
        <v>3</v>
      </c>
      <c r="H15" t="s">
        <v>262</v>
      </c>
      <c r="I15" t="s">
        <v>22</v>
      </c>
      <c r="J15" t="s">
        <v>23</v>
      </c>
      <c r="K15">
        <v>20</v>
      </c>
      <c r="L15" t="str">
        <f>IF(SportClimbing[[#This Row],[Height (m)]]&lt;11, "0-10", IF(SportClimbing[[#This Row],[Height (m)]]&lt;16, "11-15", IF(SportClimbing[[#This Row],[Height (m)]]&lt;21, "16-20", IF(SportClimbing[[#This Row],[Height (m)]]&lt;26, "21-25", IF(SportClimbing[[#This Row],[Height (m)]]&lt;31, "26-30", IF(SportClimbing[[#This Row],[Height (m)]]&lt;36, "31-35", "35+"))))))</f>
        <v>16-20</v>
      </c>
      <c r="M15" t="s">
        <v>24</v>
      </c>
      <c r="N15" t="s">
        <v>130</v>
      </c>
      <c r="O15">
        <f>IF(ISNUMBER(SportClimbing[[#This Row],[Total number of tries]])=TRUE, SportClimbing[[#This Row],[Total number of tries]], 1)</f>
        <v>1</v>
      </c>
      <c r="P15" t="str">
        <f>IF(ISNUMBER(SportClimbing[[#This Row],[Total number of tries]])=TRUE, "redpoint", SportClimbing[[#This Row],[Total number of tries]])</f>
        <v>onsight</v>
      </c>
      <c r="Q15">
        <f>_xlfn.XLOOKUP(SportClimbing[[#This Row],[Grade]],SCORE[GRADE],SCORE[SCORE],,)</f>
        <v>10</v>
      </c>
    </row>
    <row r="16" spans="1:17" x14ac:dyDescent="0.25">
      <c r="A16" s="21">
        <f>DATE(SportClimbing[[#This Row],[Year]],_xlfn.XLOOKUP(SportClimbing[[#This Row],[Month]],MONTHS[MONTHS 2],MONTHS[MONTHS 3]),SportClimbing[[#This Row],[Day]])</f>
        <v>41342</v>
      </c>
      <c r="B16" s="21" t="b">
        <f ca="1">AND(SportClimbing[[#This Row],[Date]] &gt;= TODAY()-365, SportClimbing[[#This Row],[Date]] &lt;= TODAY())</f>
        <v>0</v>
      </c>
      <c r="C16">
        <v>9</v>
      </c>
      <c r="D16" t="s">
        <v>367</v>
      </c>
      <c r="E16">
        <v>2013</v>
      </c>
      <c r="F16" t="s">
        <v>40</v>
      </c>
      <c r="G16" t="s">
        <v>21</v>
      </c>
      <c r="H16" t="s">
        <v>262</v>
      </c>
      <c r="I16" t="s">
        <v>22</v>
      </c>
      <c r="J16" t="s">
        <v>23</v>
      </c>
      <c r="K16">
        <v>20</v>
      </c>
      <c r="L16" t="str">
        <f>IF(SportClimbing[[#This Row],[Height (m)]]&lt;11, "0-10", IF(SportClimbing[[#This Row],[Height (m)]]&lt;16, "11-15", IF(SportClimbing[[#This Row],[Height (m)]]&lt;21, "16-20", IF(SportClimbing[[#This Row],[Height (m)]]&lt;26, "21-25", IF(SportClimbing[[#This Row],[Height (m)]]&lt;31, "26-30", IF(SportClimbing[[#This Row],[Height (m)]]&lt;36, "31-35", "35+"))))))</f>
        <v>16-20</v>
      </c>
      <c r="M16" t="s">
        <v>38</v>
      </c>
      <c r="N16">
        <v>2</v>
      </c>
      <c r="O16">
        <f>IF(ISNUMBER(SportClimbing[[#This Row],[Total number of tries]])=TRUE, SportClimbing[[#This Row],[Total number of tries]], 1)</f>
        <v>2</v>
      </c>
      <c r="P16" t="str">
        <f>IF(ISNUMBER(SportClimbing[[#This Row],[Total number of tries]])=TRUE, "redpoint", SportClimbing[[#This Row],[Total number of tries]])</f>
        <v>redpoint</v>
      </c>
      <c r="Q16">
        <f>_xlfn.XLOOKUP(SportClimbing[[#This Row],[Grade]],SCORE[GRADE],SCORE[SCORE],,)</f>
        <v>15</v>
      </c>
    </row>
    <row r="17" spans="1:17" x14ac:dyDescent="0.25">
      <c r="A17" s="21">
        <f>DATE(SportClimbing[[#This Row],[Year]],_xlfn.XLOOKUP(SportClimbing[[#This Row],[Month]],MONTHS[MONTHS 2],MONTHS[MONTHS 3]),SportClimbing[[#This Row],[Day]])</f>
        <v>41342</v>
      </c>
      <c r="B17" s="21" t="b">
        <f ca="1">AND(SportClimbing[[#This Row],[Date]] &gt;= TODAY()-365, SportClimbing[[#This Row],[Date]] &lt;= TODAY())</f>
        <v>0</v>
      </c>
      <c r="C17">
        <v>9</v>
      </c>
      <c r="D17" t="s">
        <v>367</v>
      </c>
      <c r="E17">
        <v>2013</v>
      </c>
      <c r="F17" t="s">
        <v>39</v>
      </c>
      <c r="G17" t="s">
        <v>3</v>
      </c>
      <c r="H17" t="s">
        <v>262</v>
      </c>
      <c r="I17" t="s">
        <v>22</v>
      </c>
      <c r="J17" t="s">
        <v>23</v>
      </c>
      <c r="K17">
        <v>20</v>
      </c>
      <c r="L17" t="str">
        <f>IF(SportClimbing[[#This Row],[Height (m)]]&lt;11, "0-10", IF(SportClimbing[[#This Row],[Height (m)]]&lt;16, "11-15", IF(SportClimbing[[#This Row],[Height (m)]]&lt;21, "16-20", IF(SportClimbing[[#This Row],[Height (m)]]&lt;26, "21-25", IF(SportClimbing[[#This Row],[Height (m)]]&lt;31, "26-30", IF(SportClimbing[[#This Row],[Height (m)]]&lt;36, "31-35", "35+"))))))</f>
        <v>16-20</v>
      </c>
      <c r="M17" t="s">
        <v>38</v>
      </c>
      <c r="N17">
        <v>2</v>
      </c>
      <c r="O17">
        <f>IF(ISNUMBER(SportClimbing[[#This Row],[Total number of tries]])=TRUE, SportClimbing[[#This Row],[Total number of tries]], 1)</f>
        <v>2</v>
      </c>
      <c r="P17" t="str">
        <f>IF(ISNUMBER(SportClimbing[[#This Row],[Total number of tries]])=TRUE, "redpoint", SportClimbing[[#This Row],[Total number of tries]])</f>
        <v>redpoint</v>
      </c>
      <c r="Q17">
        <f>_xlfn.XLOOKUP(SportClimbing[[#This Row],[Grade]],SCORE[GRADE],SCORE[SCORE],,)</f>
        <v>10</v>
      </c>
    </row>
    <row r="18" spans="1:17" x14ac:dyDescent="0.25">
      <c r="A18" s="21">
        <f>DATE(SportClimbing[[#This Row],[Year]],_xlfn.XLOOKUP(SportClimbing[[#This Row],[Month]],MONTHS[MONTHS 2],MONTHS[MONTHS 3]),SportClimbing[[#This Row],[Day]])</f>
        <v>41354</v>
      </c>
      <c r="B18" s="21" t="b">
        <f ca="1">AND(SportClimbing[[#This Row],[Date]] &gt;= TODAY()-365, SportClimbing[[#This Row],[Date]] &lt;= TODAY())</f>
        <v>0</v>
      </c>
      <c r="C18">
        <v>21</v>
      </c>
      <c r="D18" t="s">
        <v>367</v>
      </c>
      <c r="E18">
        <v>2013</v>
      </c>
      <c r="F18" t="s">
        <v>41</v>
      </c>
      <c r="G18" t="s">
        <v>32</v>
      </c>
      <c r="H18" t="s">
        <v>262</v>
      </c>
      <c r="I18" t="s">
        <v>25</v>
      </c>
      <c r="J18" t="s">
        <v>26</v>
      </c>
      <c r="K18">
        <v>18</v>
      </c>
      <c r="L18" t="str">
        <f>IF(SportClimbing[[#This Row],[Height (m)]]&lt;11, "0-10", IF(SportClimbing[[#This Row],[Height (m)]]&lt;16, "11-15", IF(SportClimbing[[#This Row],[Height (m)]]&lt;21, "16-20", IF(SportClimbing[[#This Row],[Height (m)]]&lt;26, "21-25", IF(SportClimbing[[#This Row],[Height (m)]]&lt;31, "26-30", IF(SportClimbing[[#This Row],[Height (m)]]&lt;36, "31-35", "35+"))))))</f>
        <v>16-20</v>
      </c>
      <c r="M18" t="s">
        <v>147</v>
      </c>
      <c r="N18">
        <v>8</v>
      </c>
      <c r="O18">
        <f>IF(ISNUMBER(SportClimbing[[#This Row],[Total number of tries]])=TRUE, SportClimbing[[#This Row],[Total number of tries]], 1)</f>
        <v>8</v>
      </c>
      <c r="P18" t="str">
        <f>IF(ISNUMBER(SportClimbing[[#This Row],[Total number of tries]])=TRUE, "redpoint", SportClimbing[[#This Row],[Total number of tries]])</f>
        <v>redpoint</v>
      </c>
      <c r="Q18">
        <f>_xlfn.XLOOKUP(SportClimbing[[#This Row],[Grade]],SCORE[GRADE],SCORE[SCORE],,)</f>
        <v>40</v>
      </c>
    </row>
    <row r="19" spans="1:17" x14ac:dyDescent="0.25">
      <c r="A19" s="21">
        <f>DATE(SportClimbing[[#This Row],[Year]],_xlfn.XLOOKUP(SportClimbing[[#This Row],[Month]],MONTHS[MONTHS 2],MONTHS[MONTHS 3]),SportClimbing[[#This Row],[Day]])</f>
        <v>41374</v>
      </c>
      <c r="B19" s="21" t="b">
        <f ca="1">AND(SportClimbing[[#This Row],[Date]] &gt;= TODAY()-365, SportClimbing[[#This Row],[Date]] &lt;= TODAY())</f>
        <v>0</v>
      </c>
      <c r="C19">
        <v>10</v>
      </c>
      <c r="D19" t="s">
        <v>368</v>
      </c>
      <c r="E19">
        <v>2013</v>
      </c>
      <c r="F19" t="s">
        <v>54</v>
      </c>
      <c r="G19" t="s">
        <v>32</v>
      </c>
      <c r="H19" t="s">
        <v>262</v>
      </c>
      <c r="I19" t="s">
        <v>25</v>
      </c>
      <c r="J19" t="s">
        <v>26</v>
      </c>
      <c r="K19">
        <v>25</v>
      </c>
      <c r="L19" t="str">
        <f>IF(SportClimbing[[#This Row],[Height (m)]]&lt;11, "0-10", IF(SportClimbing[[#This Row],[Height (m)]]&lt;16, "11-15", IF(SportClimbing[[#This Row],[Height (m)]]&lt;21, "16-20", IF(SportClimbing[[#This Row],[Height (m)]]&lt;26, "21-25", IF(SportClimbing[[#This Row],[Height (m)]]&lt;31, "26-30", IF(SportClimbing[[#This Row],[Height (m)]]&lt;36, "31-35", "35+"))))))</f>
        <v>21-25</v>
      </c>
      <c r="M19" t="s">
        <v>148</v>
      </c>
      <c r="N19">
        <v>14</v>
      </c>
      <c r="O19">
        <f>IF(ISNUMBER(SportClimbing[[#This Row],[Total number of tries]])=TRUE, SportClimbing[[#This Row],[Total number of tries]], 1)</f>
        <v>14</v>
      </c>
      <c r="P19" t="str">
        <f>IF(ISNUMBER(SportClimbing[[#This Row],[Total number of tries]])=TRUE, "redpoint", SportClimbing[[#This Row],[Total number of tries]])</f>
        <v>redpoint</v>
      </c>
      <c r="Q19">
        <f>_xlfn.XLOOKUP(SportClimbing[[#This Row],[Grade]],SCORE[GRADE],SCORE[SCORE],,)</f>
        <v>40</v>
      </c>
    </row>
    <row r="20" spans="1:17" x14ac:dyDescent="0.25">
      <c r="A20" s="21">
        <f>DATE(SportClimbing[[#This Row],[Year]],_xlfn.XLOOKUP(SportClimbing[[#This Row],[Month]],MONTHS[MONTHS 2],MONTHS[MONTHS 3]),SportClimbing[[#This Row],[Day]])</f>
        <v>41377</v>
      </c>
      <c r="B20" s="21" t="b">
        <f ca="1">AND(SportClimbing[[#This Row],[Date]] &gt;= TODAY()-365, SportClimbing[[#This Row],[Date]] &lt;= TODAY())</f>
        <v>0</v>
      </c>
      <c r="C20">
        <v>13</v>
      </c>
      <c r="D20" t="s">
        <v>368</v>
      </c>
      <c r="E20">
        <v>2013</v>
      </c>
      <c r="F20" t="s">
        <v>45</v>
      </c>
      <c r="G20" t="s">
        <v>3</v>
      </c>
      <c r="H20" t="s">
        <v>262</v>
      </c>
      <c r="I20" t="s">
        <v>43</v>
      </c>
      <c r="J20" t="s">
        <v>91</v>
      </c>
      <c r="K20">
        <v>30</v>
      </c>
      <c r="L20" t="str">
        <f>IF(SportClimbing[[#This Row],[Height (m)]]&lt;11, "0-10", IF(SportClimbing[[#This Row],[Height (m)]]&lt;16, "11-15", IF(SportClimbing[[#This Row],[Height (m)]]&lt;21, "16-20", IF(SportClimbing[[#This Row],[Height (m)]]&lt;26, "21-25", IF(SportClimbing[[#This Row],[Height (m)]]&lt;31, "26-30", IF(SportClimbing[[#This Row],[Height (m)]]&lt;36, "31-35", "35+"))))))</f>
        <v>26-30</v>
      </c>
      <c r="M20" t="s">
        <v>218</v>
      </c>
      <c r="N20" t="s">
        <v>130</v>
      </c>
      <c r="O20">
        <f>IF(ISNUMBER(SportClimbing[[#This Row],[Total number of tries]])=TRUE, SportClimbing[[#This Row],[Total number of tries]], 1)</f>
        <v>1</v>
      </c>
      <c r="P20" t="str">
        <f>IF(ISNUMBER(SportClimbing[[#This Row],[Total number of tries]])=TRUE, "redpoint", SportClimbing[[#This Row],[Total number of tries]])</f>
        <v>onsight</v>
      </c>
      <c r="Q20">
        <f>_xlfn.XLOOKUP(SportClimbing[[#This Row],[Grade]],SCORE[GRADE],SCORE[SCORE],,)</f>
        <v>10</v>
      </c>
    </row>
    <row r="21" spans="1:17" x14ac:dyDescent="0.25">
      <c r="A21" s="21">
        <f>DATE(SportClimbing[[#This Row],[Year]],_xlfn.XLOOKUP(SportClimbing[[#This Row],[Month]],MONTHS[MONTHS 2],MONTHS[MONTHS 3]),SportClimbing[[#This Row],[Day]])</f>
        <v>41377</v>
      </c>
      <c r="B21" s="21" t="b">
        <f ca="1">AND(SportClimbing[[#This Row],[Date]] &gt;= TODAY()-365, SportClimbing[[#This Row],[Date]] &lt;= TODAY())</f>
        <v>0</v>
      </c>
      <c r="C21">
        <v>13</v>
      </c>
      <c r="D21" t="s">
        <v>368</v>
      </c>
      <c r="E21">
        <v>2013</v>
      </c>
      <c r="F21" t="s">
        <v>46</v>
      </c>
      <c r="G21" t="s">
        <v>3</v>
      </c>
      <c r="H21" t="s">
        <v>262</v>
      </c>
      <c r="I21" t="s">
        <v>43</v>
      </c>
      <c r="J21" t="s">
        <v>91</v>
      </c>
      <c r="K21">
        <v>30</v>
      </c>
      <c r="L21" t="str">
        <f>IF(SportClimbing[[#This Row],[Height (m)]]&lt;11, "0-10", IF(SportClimbing[[#This Row],[Height (m)]]&lt;16, "11-15", IF(SportClimbing[[#This Row],[Height (m)]]&lt;21, "16-20", IF(SportClimbing[[#This Row],[Height (m)]]&lt;26, "21-25", IF(SportClimbing[[#This Row],[Height (m)]]&lt;31, "26-30", IF(SportClimbing[[#This Row],[Height (m)]]&lt;36, "31-35", "35+"))))))</f>
        <v>26-30</v>
      </c>
      <c r="M21" t="s">
        <v>52</v>
      </c>
      <c r="N21" t="s">
        <v>130</v>
      </c>
      <c r="O21">
        <f>IF(ISNUMBER(SportClimbing[[#This Row],[Total number of tries]])=TRUE, SportClimbing[[#This Row],[Total number of tries]], 1)</f>
        <v>1</v>
      </c>
      <c r="P21" t="str">
        <f>IF(ISNUMBER(SportClimbing[[#This Row],[Total number of tries]])=TRUE, "redpoint", SportClimbing[[#This Row],[Total number of tries]])</f>
        <v>onsight</v>
      </c>
      <c r="Q21">
        <f>_xlfn.XLOOKUP(SportClimbing[[#This Row],[Grade]],SCORE[GRADE],SCORE[SCORE],,)</f>
        <v>10</v>
      </c>
    </row>
    <row r="22" spans="1:17" x14ac:dyDescent="0.25">
      <c r="A22" s="21">
        <f>DATE(SportClimbing[[#This Row],[Year]],_xlfn.XLOOKUP(SportClimbing[[#This Row],[Month]],MONTHS[MONTHS 2],MONTHS[MONTHS 3]),SportClimbing[[#This Row],[Day]])</f>
        <v>41377</v>
      </c>
      <c r="B22" s="21" t="b">
        <f ca="1">AND(SportClimbing[[#This Row],[Date]] &gt;= TODAY()-365, SportClimbing[[#This Row],[Date]] &lt;= TODAY())</f>
        <v>0</v>
      </c>
      <c r="C22">
        <v>13</v>
      </c>
      <c r="D22" t="s">
        <v>368</v>
      </c>
      <c r="E22">
        <v>2013</v>
      </c>
      <c r="F22" t="s">
        <v>197</v>
      </c>
      <c r="G22" t="s">
        <v>3</v>
      </c>
      <c r="H22" t="s">
        <v>262</v>
      </c>
      <c r="I22" t="s">
        <v>43</v>
      </c>
      <c r="J22" t="s">
        <v>91</v>
      </c>
      <c r="K22">
        <v>25</v>
      </c>
      <c r="L22" t="str">
        <f>IF(SportClimbing[[#This Row],[Height (m)]]&lt;11, "0-10", IF(SportClimbing[[#This Row],[Height (m)]]&lt;16, "11-15", IF(SportClimbing[[#This Row],[Height (m)]]&lt;21, "16-20", IF(SportClimbing[[#This Row],[Height (m)]]&lt;26, "21-25", IF(SportClimbing[[#This Row],[Height (m)]]&lt;31, "26-30", IF(SportClimbing[[#This Row],[Height (m)]]&lt;36, "31-35", "35+"))))))</f>
        <v>21-25</v>
      </c>
      <c r="M22" t="s">
        <v>146</v>
      </c>
      <c r="N22">
        <v>2</v>
      </c>
      <c r="O22">
        <f>IF(ISNUMBER(SportClimbing[[#This Row],[Total number of tries]])=TRUE, SportClimbing[[#This Row],[Total number of tries]], 1)</f>
        <v>2</v>
      </c>
      <c r="P22" t="str">
        <f>IF(ISNUMBER(SportClimbing[[#This Row],[Total number of tries]])=TRUE, "redpoint", SportClimbing[[#This Row],[Total number of tries]])</f>
        <v>redpoint</v>
      </c>
      <c r="Q22">
        <f>_xlfn.XLOOKUP(SportClimbing[[#This Row],[Grade]],SCORE[GRADE],SCORE[SCORE],,)</f>
        <v>10</v>
      </c>
    </row>
    <row r="23" spans="1:17" x14ac:dyDescent="0.25">
      <c r="A23" s="21">
        <f>DATE(SportClimbing[[#This Row],[Year]],_xlfn.XLOOKUP(SportClimbing[[#This Row],[Month]],MONTHS[MONTHS 2],MONTHS[MONTHS 3]),SportClimbing[[#This Row],[Day]])</f>
        <v>41381</v>
      </c>
      <c r="B23" s="21" t="b">
        <f ca="1">AND(SportClimbing[[#This Row],[Date]] &gt;= TODAY()-365, SportClimbing[[#This Row],[Date]] &lt;= TODAY())</f>
        <v>0</v>
      </c>
      <c r="C23">
        <v>17</v>
      </c>
      <c r="D23" t="s">
        <v>368</v>
      </c>
      <c r="E23">
        <v>2013</v>
      </c>
      <c r="F23" t="s">
        <v>47</v>
      </c>
      <c r="G23" t="s">
        <v>32</v>
      </c>
      <c r="H23" t="s">
        <v>262</v>
      </c>
      <c r="I23" t="s">
        <v>22</v>
      </c>
      <c r="J23" t="s">
        <v>23</v>
      </c>
      <c r="K23">
        <v>20</v>
      </c>
      <c r="L23" t="str">
        <f>IF(SportClimbing[[#This Row],[Height (m)]]&lt;11, "0-10", IF(SportClimbing[[#This Row],[Height (m)]]&lt;16, "11-15", IF(SportClimbing[[#This Row],[Height (m)]]&lt;21, "16-20", IF(SportClimbing[[#This Row],[Height (m)]]&lt;26, "21-25", IF(SportClimbing[[#This Row],[Height (m)]]&lt;31, "26-30", IF(SportClimbing[[#This Row],[Height (m)]]&lt;36, "31-35", "35+"))))))</f>
        <v>16-20</v>
      </c>
      <c r="M23" t="s">
        <v>146</v>
      </c>
      <c r="N23">
        <v>2</v>
      </c>
      <c r="O23">
        <f>IF(ISNUMBER(SportClimbing[[#This Row],[Total number of tries]])=TRUE, SportClimbing[[#This Row],[Total number of tries]], 1)</f>
        <v>2</v>
      </c>
      <c r="P23" t="str">
        <f>IF(ISNUMBER(SportClimbing[[#This Row],[Total number of tries]])=TRUE, "redpoint", SportClimbing[[#This Row],[Total number of tries]])</f>
        <v>redpoint</v>
      </c>
      <c r="Q23">
        <f>_xlfn.XLOOKUP(SportClimbing[[#This Row],[Grade]],SCORE[GRADE],SCORE[SCORE],,)</f>
        <v>40</v>
      </c>
    </row>
    <row r="24" spans="1:17" x14ac:dyDescent="0.25">
      <c r="A24" s="21">
        <f>DATE(SportClimbing[[#This Row],[Year]],_xlfn.XLOOKUP(SportClimbing[[#This Row],[Month]],MONTHS[MONTHS 2],MONTHS[MONTHS 3]),SportClimbing[[#This Row],[Day]])</f>
        <v>41398</v>
      </c>
      <c r="B24" s="21" t="b">
        <f ca="1">AND(SportClimbing[[#This Row],[Date]] &gt;= TODAY()-365, SportClimbing[[#This Row],[Date]] &lt;= TODAY())</f>
        <v>0</v>
      </c>
      <c r="C24">
        <v>4</v>
      </c>
      <c r="D24" t="s">
        <v>155</v>
      </c>
      <c r="E24">
        <v>2013</v>
      </c>
      <c r="F24" t="s">
        <v>48</v>
      </c>
      <c r="G24" t="s">
        <v>32</v>
      </c>
      <c r="H24" t="s">
        <v>262</v>
      </c>
      <c r="I24" t="s">
        <v>49</v>
      </c>
      <c r="J24" t="s">
        <v>50</v>
      </c>
      <c r="K24">
        <v>22</v>
      </c>
      <c r="L24" t="str">
        <f>IF(SportClimbing[[#This Row],[Height (m)]]&lt;11, "0-10", IF(SportClimbing[[#This Row],[Height (m)]]&lt;16, "11-15", IF(SportClimbing[[#This Row],[Height (m)]]&lt;21, "16-20", IF(SportClimbing[[#This Row],[Height (m)]]&lt;26, "21-25", IF(SportClimbing[[#This Row],[Height (m)]]&lt;31, "26-30", IF(SportClimbing[[#This Row],[Height (m)]]&lt;36, "31-35", "35+"))))))</f>
        <v>21-25</v>
      </c>
      <c r="M24" t="s">
        <v>148</v>
      </c>
      <c r="N24">
        <v>10</v>
      </c>
      <c r="O24">
        <f>IF(ISNUMBER(SportClimbing[[#This Row],[Total number of tries]])=TRUE, SportClimbing[[#This Row],[Total number of tries]], 1)</f>
        <v>10</v>
      </c>
      <c r="P24" t="str">
        <f>IF(ISNUMBER(SportClimbing[[#This Row],[Total number of tries]])=TRUE, "redpoint", SportClimbing[[#This Row],[Total number of tries]])</f>
        <v>redpoint</v>
      </c>
      <c r="Q24">
        <f>_xlfn.XLOOKUP(SportClimbing[[#This Row],[Grade]],SCORE[GRADE],SCORE[SCORE],,)</f>
        <v>40</v>
      </c>
    </row>
    <row r="25" spans="1:17" x14ac:dyDescent="0.25">
      <c r="A25" s="21">
        <f>DATE(SportClimbing[[#This Row],[Year]],_xlfn.XLOOKUP(SportClimbing[[#This Row],[Month]],MONTHS[MONTHS 2],MONTHS[MONTHS 3]),SportClimbing[[#This Row],[Day]])</f>
        <v>41423</v>
      </c>
      <c r="B25" s="21" t="b">
        <f ca="1">AND(SportClimbing[[#This Row],[Date]] &gt;= TODAY()-365, SportClimbing[[#This Row],[Date]] &lt;= TODAY())</f>
        <v>0</v>
      </c>
      <c r="C25">
        <v>29</v>
      </c>
      <c r="D25" t="s">
        <v>155</v>
      </c>
      <c r="E25">
        <v>2013</v>
      </c>
      <c r="F25" t="s">
        <v>51</v>
      </c>
      <c r="G25" t="s">
        <v>3</v>
      </c>
      <c r="H25" t="s">
        <v>262</v>
      </c>
      <c r="I25" t="s">
        <v>49</v>
      </c>
      <c r="J25" t="s">
        <v>50</v>
      </c>
      <c r="K25">
        <v>18</v>
      </c>
      <c r="L25" t="str">
        <f>IF(SportClimbing[[#This Row],[Height (m)]]&lt;11, "0-10", IF(SportClimbing[[#This Row],[Height (m)]]&lt;16, "11-15", IF(SportClimbing[[#This Row],[Height (m)]]&lt;21, "16-20", IF(SportClimbing[[#This Row],[Height (m)]]&lt;26, "21-25", IF(SportClimbing[[#This Row],[Height (m)]]&lt;31, "26-30", IF(SportClimbing[[#This Row],[Height (m)]]&lt;36, "31-35", "35+"))))))</f>
        <v>16-20</v>
      </c>
      <c r="M25" t="s">
        <v>148</v>
      </c>
      <c r="N25">
        <v>2</v>
      </c>
      <c r="O25">
        <f>IF(ISNUMBER(SportClimbing[[#This Row],[Total number of tries]])=TRUE, SportClimbing[[#This Row],[Total number of tries]], 1)</f>
        <v>2</v>
      </c>
      <c r="P25" t="str">
        <f>IF(ISNUMBER(SportClimbing[[#This Row],[Total number of tries]])=TRUE, "redpoint", SportClimbing[[#This Row],[Total number of tries]])</f>
        <v>redpoint</v>
      </c>
      <c r="Q25">
        <f>_xlfn.XLOOKUP(SportClimbing[[#This Row],[Grade]],SCORE[GRADE],SCORE[SCORE],,)</f>
        <v>10</v>
      </c>
    </row>
    <row r="26" spans="1:17" x14ac:dyDescent="0.25">
      <c r="A26" s="21">
        <f>DATE(SportClimbing[[#This Row],[Year]],_xlfn.XLOOKUP(SportClimbing[[#This Row],[Month]],MONTHS[MONTHS 2],MONTHS[MONTHS 3]),SportClimbing[[#This Row],[Day]])</f>
        <v>42534</v>
      </c>
      <c r="B26" s="21" t="b">
        <f ca="1">AND(SportClimbing[[#This Row],[Date]] &gt;= TODAY()-365, SportClimbing[[#This Row],[Date]] &lt;= TODAY())</f>
        <v>0</v>
      </c>
      <c r="C26">
        <v>13</v>
      </c>
      <c r="D26" t="s">
        <v>366</v>
      </c>
      <c r="E26">
        <v>2016</v>
      </c>
      <c r="F26" t="s">
        <v>88</v>
      </c>
      <c r="G26" t="s">
        <v>3</v>
      </c>
      <c r="H26" t="s">
        <v>262</v>
      </c>
      <c r="I26" t="s">
        <v>25</v>
      </c>
      <c r="J26" t="s">
        <v>86</v>
      </c>
      <c r="K26">
        <v>15</v>
      </c>
      <c r="L26" t="str">
        <f>IF(SportClimbing[[#This Row],[Height (m)]]&lt;11, "0-10", IF(SportClimbing[[#This Row],[Height (m)]]&lt;16, "11-15", IF(SportClimbing[[#This Row],[Height (m)]]&lt;21, "16-20", IF(SportClimbing[[#This Row],[Height (m)]]&lt;26, "21-25", IF(SportClimbing[[#This Row],[Height (m)]]&lt;31, "26-30", IF(SportClimbing[[#This Row],[Height (m)]]&lt;36, "31-35", "35+"))))))</f>
        <v>11-15</v>
      </c>
      <c r="M26" t="s">
        <v>87</v>
      </c>
      <c r="N26">
        <v>2</v>
      </c>
      <c r="O26">
        <f>IF(ISNUMBER(SportClimbing[[#This Row],[Total number of tries]])=TRUE, SportClimbing[[#This Row],[Total number of tries]], 1)</f>
        <v>2</v>
      </c>
      <c r="P26" t="str">
        <f>IF(ISNUMBER(SportClimbing[[#This Row],[Total number of tries]])=TRUE, "redpoint", SportClimbing[[#This Row],[Total number of tries]])</f>
        <v>redpoint</v>
      </c>
      <c r="Q26">
        <f>_xlfn.XLOOKUP(SportClimbing[[#This Row],[Grade]],SCORE[GRADE],SCORE[SCORE],,)</f>
        <v>10</v>
      </c>
    </row>
    <row r="27" spans="1:17" x14ac:dyDescent="0.25">
      <c r="A27" s="21">
        <f>DATE(SportClimbing[[#This Row],[Year]],_xlfn.XLOOKUP(SportClimbing[[#This Row],[Month]],MONTHS[MONTHS 2],MONTHS[MONTHS 3]),SportClimbing[[#This Row],[Day]])</f>
        <v>42686</v>
      </c>
      <c r="B27" s="21" t="b">
        <f ca="1">AND(SportClimbing[[#This Row],[Date]] &gt;= TODAY()-365, SportClimbing[[#This Row],[Date]] &lt;= TODAY())</f>
        <v>0</v>
      </c>
      <c r="C27">
        <v>12</v>
      </c>
      <c r="D27" t="s">
        <v>160</v>
      </c>
      <c r="E27">
        <v>2016</v>
      </c>
      <c r="F27" t="s">
        <v>62</v>
      </c>
      <c r="G27" t="s">
        <v>3</v>
      </c>
      <c r="H27" t="s">
        <v>262</v>
      </c>
      <c r="I27" t="s">
        <v>43</v>
      </c>
      <c r="J27" t="s">
        <v>238</v>
      </c>
      <c r="K27">
        <v>25</v>
      </c>
      <c r="L27" t="str">
        <f>IF(SportClimbing[[#This Row],[Height (m)]]&lt;11, "0-10", IF(SportClimbing[[#This Row],[Height (m)]]&lt;16, "11-15", IF(SportClimbing[[#This Row],[Height (m)]]&lt;21, "16-20", IF(SportClimbing[[#This Row],[Height (m)]]&lt;26, "21-25", IF(SportClimbing[[#This Row],[Height (m)]]&lt;31, "26-30", IF(SportClimbing[[#This Row],[Height (m)]]&lt;36, "31-35", "35+"))))))</f>
        <v>21-25</v>
      </c>
      <c r="M27" t="s">
        <v>150</v>
      </c>
      <c r="N27" t="s">
        <v>11</v>
      </c>
      <c r="O27">
        <f>IF(ISNUMBER(SportClimbing[[#This Row],[Total number of tries]])=TRUE, SportClimbing[[#This Row],[Total number of tries]], 1)</f>
        <v>1</v>
      </c>
      <c r="P27" t="str">
        <f>IF(ISNUMBER(SportClimbing[[#This Row],[Total number of tries]])=TRUE, "redpoint", SportClimbing[[#This Row],[Total number of tries]])</f>
        <v>flash</v>
      </c>
      <c r="Q27">
        <f>_xlfn.XLOOKUP(SportClimbing[[#This Row],[Grade]],SCORE[GRADE],SCORE[SCORE],,)</f>
        <v>10</v>
      </c>
    </row>
    <row r="28" spans="1:17" x14ac:dyDescent="0.25">
      <c r="A28" s="21">
        <f>DATE(SportClimbing[[#This Row],[Year]],_xlfn.XLOOKUP(SportClimbing[[#This Row],[Month]],MONTHS[MONTHS 2],MONTHS[MONTHS 3]),SportClimbing[[#This Row],[Day]])</f>
        <v>42827</v>
      </c>
      <c r="B28" s="21" t="b">
        <f ca="1">AND(SportClimbing[[#This Row],[Date]] &gt;= TODAY()-365, SportClimbing[[#This Row],[Date]] &lt;= TODAY())</f>
        <v>0</v>
      </c>
      <c r="C28">
        <v>2</v>
      </c>
      <c r="D28" t="s">
        <v>368</v>
      </c>
      <c r="E28">
        <v>2017</v>
      </c>
      <c r="F28" t="s">
        <v>64</v>
      </c>
      <c r="G28" t="s">
        <v>3</v>
      </c>
      <c r="H28" t="s">
        <v>262</v>
      </c>
      <c r="I28" t="s">
        <v>43</v>
      </c>
      <c r="J28" t="s">
        <v>63</v>
      </c>
      <c r="K28">
        <v>20</v>
      </c>
      <c r="L28" t="str">
        <f>IF(SportClimbing[[#This Row],[Height (m)]]&lt;11, "0-10", IF(SportClimbing[[#This Row],[Height (m)]]&lt;16, "11-15", IF(SportClimbing[[#This Row],[Height (m)]]&lt;21, "16-20", IF(SportClimbing[[#This Row],[Height (m)]]&lt;26, "21-25", IF(SportClimbing[[#This Row],[Height (m)]]&lt;31, "26-30", IF(SportClimbing[[#This Row],[Height (m)]]&lt;36, "31-35", "35+"))))))</f>
        <v>16-20</v>
      </c>
      <c r="M28" t="s">
        <v>53</v>
      </c>
      <c r="N28">
        <v>2</v>
      </c>
      <c r="O28">
        <f>IF(ISNUMBER(SportClimbing[[#This Row],[Total number of tries]])=TRUE, SportClimbing[[#This Row],[Total number of tries]], 1)</f>
        <v>2</v>
      </c>
      <c r="P28" t="str">
        <f>IF(ISNUMBER(SportClimbing[[#This Row],[Total number of tries]])=TRUE, "redpoint", SportClimbing[[#This Row],[Total number of tries]])</f>
        <v>redpoint</v>
      </c>
      <c r="Q28">
        <f>_xlfn.XLOOKUP(SportClimbing[[#This Row],[Grade]],SCORE[GRADE],SCORE[SCORE],,)</f>
        <v>10</v>
      </c>
    </row>
    <row r="29" spans="1:17" x14ac:dyDescent="0.25">
      <c r="A29" s="21">
        <f>DATE(SportClimbing[[#This Row],[Year]],_xlfn.XLOOKUP(SportClimbing[[#This Row],[Month]],MONTHS[MONTHS 2],MONTHS[MONTHS 3]),SportClimbing[[#This Row],[Day]])</f>
        <v>42838</v>
      </c>
      <c r="B29" s="21" t="b">
        <f ca="1">AND(SportClimbing[[#This Row],[Date]] &gt;= TODAY()-365, SportClimbing[[#This Row],[Date]] &lt;= TODAY())</f>
        <v>0</v>
      </c>
      <c r="C29">
        <v>13</v>
      </c>
      <c r="D29" t="s">
        <v>368</v>
      </c>
      <c r="E29">
        <v>2017</v>
      </c>
      <c r="F29" t="s">
        <v>58</v>
      </c>
      <c r="G29" t="s">
        <v>21</v>
      </c>
      <c r="H29" t="s">
        <v>262</v>
      </c>
      <c r="I29" t="s">
        <v>15</v>
      </c>
      <c r="J29" t="s">
        <v>59</v>
      </c>
      <c r="K29">
        <v>20</v>
      </c>
      <c r="L29" t="str">
        <f>IF(SportClimbing[[#This Row],[Height (m)]]&lt;11, "0-10", IF(SportClimbing[[#This Row],[Height (m)]]&lt;16, "11-15", IF(SportClimbing[[#This Row],[Height (m)]]&lt;21, "16-20", IF(SportClimbing[[#This Row],[Height (m)]]&lt;26, "21-25", IF(SportClimbing[[#This Row],[Height (m)]]&lt;31, "26-30", IF(SportClimbing[[#This Row],[Height (m)]]&lt;36, "31-35", "35+"))))))</f>
        <v>16-20</v>
      </c>
      <c r="M29" t="s">
        <v>131</v>
      </c>
      <c r="N29">
        <v>3</v>
      </c>
      <c r="O29">
        <f>IF(ISNUMBER(SportClimbing[[#This Row],[Total number of tries]])=TRUE, SportClimbing[[#This Row],[Total number of tries]], 1)</f>
        <v>3</v>
      </c>
      <c r="P29" t="str">
        <f>IF(ISNUMBER(SportClimbing[[#This Row],[Total number of tries]])=TRUE, "redpoint", SportClimbing[[#This Row],[Total number of tries]])</f>
        <v>redpoint</v>
      </c>
      <c r="Q29">
        <f>_xlfn.XLOOKUP(SportClimbing[[#This Row],[Grade]],SCORE[GRADE],SCORE[SCORE],,)</f>
        <v>15</v>
      </c>
    </row>
    <row r="30" spans="1:17" x14ac:dyDescent="0.25">
      <c r="A30" s="21">
        <f>DATE(SportClimbing[[#This Row],[Year]],_xlfn.XLOOKUP(SportClimbing[[#This Row],[Month]],MONTHS[MONTHS 2],MONTHS[MONTHS 3]),SportClimbing[[#This Row],[Day]])</f>
        <v>42840</v>
      </c>
      <c r="B30" s="21" t="b">
        <f ca="1">AND(SportClimbing[[#This Row],[Date]] &gt;= TODAY()-365, SportClimbing[[#This Row],[Date]] &lt;= TODAY())</f>
        <v>0</v>
      </c>
      <c r="C30">
        <v>15</v>
      </c>
      <c r="D30" t="s">
        <v>368</v>
      </c>
      <c r="E30">
        <v>2017</v>
      </c>
      <c r="F30" t="s">
        <v>27</v>
      </c>
      <c r="G30" t="s">
        <v>3</v>
      </c>
      <c r="H30" t="s">
        <v>262</v>
      </c>
      <c r="I30" t="s">
        <v>15</v>
      </c>
      <c r="J30" t="s">
        <v>55</v>
      </c>
      <c r="K30">
        <v>25</v>
      </c>
      <c r="L30" t="str">
        <f>IF(SportClimbing[[#This Row],[Height (m)]]&lt;11, "0-10", IF(SportClimbing[[#This Row],[Height (m)]]&lt;16, "11-15", IF(SportClimbing[[#This Row],[Height (m)]]&lt;21, "16-20", IF(SportClimbing[[#This Row],[Height (m)]]&lt;26, "21-25", IF(SportClimbing[[#This Row],[Height (m)]]&lt;31, "26-30", IF(SportClimbing[[#This Row],[Height (m)]]&lt;36, "31-35", "35+"))))))</f>
        <v>21-25</v>
      </c>
      <c r="M30" t="s">
        <v>133</v>
      </c>
      <c r="N30">
        <v>8</v>
      </c>
      <c r="O30">
        <f>IF(ISNUMBER(SportClimbing[[#This Row],[Total number of tries]])=TRUE, SportClimbing[[#This Row],[Total number of tries]], 1)</f>
        <v>8</v>
      </c>
      <c r="P30" t="str">
        <f>IF(ISNUMBER(SportClimbing[[#This Row],[Total number of tries]])=TRUE, "redpoint", SportClimbing[[#This Row],[Total number of tries]])</f>
        <v>redpoint</v>
      </c>
      <c r="Q30">
        <f>_xlfn.XLOOKUP(SportClimbing[[#This Row],[Grade]],SCORE[GRADE],SCORE[SCORE],,)</f>
        <v>10</v>
      </c>
    </row>
    <row r="31" spans="1:17" x14ac:dyDescent="0.25">
      <c r="A31" s="21">
        <f>DATE(SportClimbing[[#This Row],[Year]],_xlfn.XLOOKUP(SportClimbing[[#This Row],[Month]],MONTHS[MONTHS 2],MONTHS[MONTHS 3]),SportClimbing[[#This Row],[Day]])</f>
        <v>42874</v>
      </c>
      <c r="B31" s="21" t="b">
        <f ca="1">AND(SportClimbing[[#This Row],[Date]] &gt;= TODAY()-365, SportClimbing[[#This Row],[Date]] &lt;= TODAY())</f>
        <v>0</v>
      </c>
      <c r="C31">
        <v>19</v>
      </c>
      <c r="D31" t="s">
        <v>155</v>
      </c>
      <c r="E31">
        <v>2017</v>
      </c>
      <c r="F31" t="s">
        <v>56</v>
      </c>
      <c r="G31" t="s">
        <v>3</v>
      </c>
      <c r="H31" t="s">
        <v>262</v>
      </c>
      <c r="I31" t="s">
        <v>71</v>
      </c>
      <c r="J31" t="s">
        <v>57</v>
      </c>
      <c r="K31">
        <v>32</v>
      </c>
      <c r="L31" t="str">
        <f>IF(SportClimbing[[#This Row],[Height (m)]]&lt;11, "0-10", IF(SportClimbing[[#This Row],[Height (m)]]&lt;16, "11-15", IF(SportClimbing[[#This Row],[Height (m)]]&lt;21, "16-20", IF(SportClimbing[[#This Row],[Height (m)]]&lt;26, "21-25", IF(SportClimbing[[#This Row],[Height (m)]]&lt;31, "26-30", IF(SportClimbing[[#This Row],[Height (m)]]&lt;36, "31-35", "35+"))))))</f>
        <v>31-35</v>
      </c>
      <c r="M31" t="s">
        <v>34</v>
      </c>
      <c r="N31" t="s">
        <v>130</v>
      </c>
      <c r="O31">
        <f>IF(ISNUMBER(SportClimbing[[#This Row],[Total number of tries]])=TRUE, SportClimbing[[#This Row],[Total number of tries]], 1)</f>
        <v>1</v>
      </c>
      <c r="P31" t="str">
        <f>IF(ISNUMBER(SportClimbing[[#This Row],[Total number of tries]])=TRUE, "redpoint", SportClimbing[[#This Row],[Total number of tries]])</f>
        <v>onsight</v>
      </c>
      <c r="Q31">
        <f>_xlfn.XLOOKUP(SportClimbing[[#This Row],[Grade]],SCORE[GRADE],SCORE[SCORE],,)</f>
        <v>10</v>
      </c>
    </row>
    <row r="32" spans="1:17" x14ac:dyDescent="0.25">
      <c r="A32" s="21">
        <f>DATE(SportClimbing[[#This Row],[Year]],_xlfn.XLOOKUP(SportClimbing[[#This Row],[Month]],MONTHS[MONTHS 2],MONTHS[MONTHS 3]),SportClimbing[[#This Row],[Day]])</f>
        <v>42893</v>
      </c>
      <c r="B32" s="21" t="b">
        <f ca="1">AND(SportClimbing[[#This Row],[Date]] &gt;= TODAY()-365, SportClimbing[[#This Row],[Date]] &lt;= TODAY())</f>
        <v>0</v>
      </c>
      <c r="C32">
        <v>7</v>
      </c>
      <c r="D32" t="s">
        <v>366</v>
      </c>
      <c r="E32">
        <v>2017</v>
      </c>
      <c r="F32" t="s">
        <v>60</v>
      </c>
      <c r="G32" t="s">
        <v>3</v>
      </c>
      <c r="H32" t="s">
        <v>262</v>
      </c>
      <c r="I32" t="s">
        <v>43</v>
      </c>
      <c r="J32" t="s">
        <v>61</v>
      </c>
      <c r="K32">
        <v>25</v>
      </c>
      <c r="L32" t="str">
        <f>IF(SportClimbing[[#This Row],[Height (m)]]&lt;11, "0-10", IF(SportClimbing[[#This Row],[Height (m)]]&lt;16, "11-15", IF(SportClimbing[[#This Row],[Height (m)]]&lt;21, "16-20", IF(SportClimbing[[#This Row],[Height (m)]]&lt;26, "21-25", IF(SportClimbing[[#This Row],[Height (m)]]&lt;31, "26-30", IF(SportClimbing[[#This Row],[Height (m)]]&lt;36, "31-35", "35+"))))))</f>
        <v>21-25</v>
      </c>
      <c r="M32" t="s">
        <v>131</v>
      </c>
      <c r="N32">
        <v>3</v>
      </c>
      <c r="O32">
        <f>IF(ISNUMBER(SportClimbing[[#This Row],[Total number of tries]])=TRUE, SportClimbing[[#This Row],[Total number of tries]], 1)</f>
        <v>3</v>
      </c>
      <c r="P32" t="str">
        <f>IF(ISNUMBER(SportClimbing[[#This Row],[Total number of tries]])=TRUE, "redpoint", SportClimbing[[#This Row],[Total number of tries]])</f>
        <v>redpoint</v>
      </c>
      <c r="Q32">
        <f>_xlfn.XLOOKUP(SportClimbing[[#This Row],[Grade]],SCORE[GRADE],SCORE[SCORE],,)</f>
        <v>10</v>
      </c>
    </row>
    <row r="33" spans="1:17" x14ac:dyDescent="0.25">
      <c r="A33" s="21">
        <f>DATE(SportClimbing[[#This Row],[Year]],_xlfn.XLOOKUP(SportClimbing[[#This Row],[Month]],MONTHS[MONTHS 2],MONTHS[MONTHS 3]),SportClimbing[[#This Row],[Day]])</f>
        <v>42906</v>
      </c>
      <c r="B33" s="21" t="b">
        <f ca="1">AND(SportClimbing[[#This Row],[Date]] &gt;= TODAY()-365, SportClimbing[[#This Row],[Date]] &lt;= TODAY())</f>
        <v>0</v>
      </c>
      <c r="C33">
        <v>20</v>
      </c>
      <c r="D33" t="s">
        <v>366</v>
      </c>
      <c r="E33">
        <v>2017</v>
      </c>
      <c r="F33" t="s">
        <v>65</v>
      </c>
      <c r="G33" t="s">
        <v>3</v>
      </c>
      <c r="H33" t="s">
        <v>262</v>
      </c>
      <c r="I33" t="s">
        <v>49</v>
      </c>
      <c r="J33" t="s">
        <v>66</v>
      </c>
      <c r="K33">
        <v>25</v>
      </c>
      <c r="L33" t="str">
        <f>IF(SportClimbing[[#This Row],[Height (m)]]&lt;11, "0-10", IF(SportClimbing[[#This Row],[Height (m)]]&lt;16, "11-15", IF(SportClimbing[[#This Row],[Height (m)]]&lt;21, "16-20", IF(SportClimbing[[#This Row],[Height (m)]]&lt;26, "21-25", IF(SportClimbing[[#This Row],[Height (m)]]&lt;31, "26-30", IF(SportClimbing[[#This Row],[Height (m)]]&lt;36, "31-35", "35+"))))))</f>
        <v>21-25</v>
      </c>
      <c r="M33" t="s">
        <v>149</v>
      </c>
      <c r="N33" t="s">
        <v>130</v>
      </c>
      <c r="O33">
        <f>IF(ISNUMBER(SportClimbing[[#This Row],[Total number of tries]])=TRUE, SportClimbing[[#This Row],[Total number of tries]], 1)</f>
        <v>1</v>
      </c>
      <c r="P33" t="str">
        <f>IF(ISNUMBER(SportClimbing[[#This Row],[Total number of tries]])=TRUE, "redpoint", SportClimbing[[#This Row],[Total number of tries]])</f>
        <v>onsight</v>
      </c>
      <c r="Q33">
        <f>_xlfn.XLOOKUP(SportClimbing[[#This Row],[Grade]],SCORE[GRADE],SCORE[SCORE],,)</f>
        <v>10</v>
      </c>
    </row>
    <row r="34" spans="1:17" x14ac:dyDescent="0.25">
      <c r="A34" s="21">
        <f>DATE(SportClimbing[[#This Row],[Year]],_xlfn.XLOOKUP(SportClimbing[[#This Row],[Month]],MONTHS[MONTHS 2],MONTHS[MONTHS 3]),SportClimbing[[#This Row],[Day]])</f>
        <v>42906</v>
      </c>
      <c r="B34" s="21" t="b">
        <f ca="1">AND(SportClimbing[[#This Row],[Date]] &gt;= TODAY()-365, SportClimbing[[#This Row],[Date]] &lt;= TODAY())</f>
        <v>0</v>
      </c>
      <c r="C34">
        <v>20</v>
      </c>
      <c r="D34" t="s">
        <v>366</v>
      </c>
      <c r="E34">
        <v>2017</v>
      </c>
      <c r="F34" t="s">
        <v>67</v>
      </c>
      <c r="G34" t="s">
        <v>21</v>
      </c>
      <c r="H34" t="s">
        <v>262</v>
      </c>
      <c r="I34" t="s">
        <v>49</v>
      </c>
      <c r="J34" t="s">
        <v>66</v>
      </c>
      <c r="K34">
        <v>25</v>
      </c>
      <c r="L34" t="str">
        <f>IF(SportClimbing[[#This Row],[Height (m)]]&lt;11, "0-10", IF(SportClimbing[[#This Row],[Height (m)]]&lt;16, "11-15", IF(SportClimbing[[#This Row],[Height (m)]]&lt;21, "16-20", IF(SportClimbing[[#This Row],[Height (m)]]&lt;26, "21-25", IF(SportClimbing[[#This Row],[Height (m)]]&lt;31, "26-30", IF(SportClimbing[[#This Row],[Height (m)]]&lt;36, "31-35", "35+"))))))</f>
        <v>21-25</v>
      </c>
      <c r="M34" t="s">
        <v>149</v>
      </c>
      <c r="N34" t="s">
        <v>130</v>
      </c>
      <c r="O34">
        <f>IF(ISNUMBER(SportClimbing[[#This Row],[Total number of tries]])=TRUE, SportClimbing[[#This Row],[Total number of tries]], 1)</f>
        <v>1</v>
      </c>
      <c r="P34" t="str">
        <f>IF(ISNUMBER(SportClimbing[[#This Row],[Total number of tries]])=TRUE, "redpoint", SportClimbing[[#This Row],[Total number of tries]])</f>
        <v>onsight</v>
      </c>
      <c r="Q34">
        <f>_xlfn.XLOOKUP(SportClimbing[[#This Row],[Grade]],SCORE[GRADE],SCORE[SCORE],,)</f>
        <v>15</v>
      </c>
    </row>
    <row r="35" spans="1:17" x14ac:dyDescent="0.25">
      <c r="A35" s="21">
        <f>DATE(SportClimbing[[#This Row],[Year]],_xlfn.XLOOKUP(SportClimbing[[#This Row],[Month]],MONTHS[MONTHS 2],MONTHS[MONTHS 3]),SportClimbing[[#This Row],[Day]])</f>
        <v>42924</v>
      </c>
      <c r="B35" s="21" t="b">
        <f ca="1">AND(SportClimbing[[#This Row],[Date]] &gt;= TODAY()-365, SportClimbing[[#This Row],[Date]] &lt;= TODAY())</f>
        <v>0</v>
      </c>
      <c r="C35">
        <v>8</v>
      </c>
      <c r="D35" t="s">
        <v>365</v>
      </c>
      <c r="E35">
        <v>2017</v>
      </c>
      <c r="F35" t="s">
        <v>73</v>
      </c>
      <c r="G35" t="s">
        <v>29</v>
      </c>
      <c r="H35" t="s">
        <v>262</v>
      </c>
      <c r="I35" t="s">
        <v>72</v>
      </c>
      <c r="J35" t="s">
        <v>74</v>
      </c>
      <c r="K35">
        <v>35</v>
      </c>
      <c r="L35" t="str">
        <f>IF(SportClimbing[[#This Row],[Height (m)]]&lt;11, "0-10", IF(SportClimbing[[#This Row],[Height (m)]]&lt;16, "11-15", IF(SportClimbing[[#This Row],[Height (m)]]&lt;21, "16-20", IF(SportClimbing[[#This Row],[Height (m)]]&lt;26, "21-25", IF(SportClimbing[[#This Row],[Height (m)]]&lt;31, "26-30", IF(SportClimbing[[#This Row],[Height (m)]]&lt;36, "31-35", "35+"))))))</f>
        <v>31-35</v>
      </c>
      <c r="M35" t="s">
        <v>131</v>
      </c>
      <c r="N35">
        <v>2</v>
      </c>
      <c r="O35">
        <f>IF(ISNUMBER(SportClimbing[[#This Row],[Total number of tries]])=TRUE, SportClimbing[[#This Row],[Total number of tries]], 1)</f>
        <v>2</v>
      </c>
      <c r="P35" t="str">
        <f>IF(ISNUMBER(SportClimbing[[#This Row],[Total number of tries]])=TRUE, "redpoint", SportClimbing[[#This Row],[Total number of tries]])</f>
        <v>redpoint</v>
      </c>
      <c r="Q35">
        <f>_xlfn.XLOOKUP(SportClimbing[[#This Row],[Grade]],SCORE[GRADE],SCORE[SCORE],,)</f>
        <v>25</v>
      </c>
    </row>
    <row r="36" spans="1:17" x14ac:dyDescent="0.25">
      <c r="A36" s="21">
        <f>DATE(SportClimbing[[#This Row],[Year]],_xlfn.XLOOKUP(SportClimbing[[#This Row],[Month]],MONTHS[MONTHS 2],MONTHS[MONTHS 3]),SportClimbing[[#This Row],[Day]])</f>
        <v>42959</v>
      </c>
      <c r="B36" s="21" t="b">
        <f ca="1">AND(SportClimbing[[#This Row],[Date]] &gt;= TODAY()-365, SportClimbing[[#This Row],[Date]] &lt;= TODAY())</f>
        <v>0</v>
      </c>
      <c r="C36">
        <v>12</v>
      </c>
      <c r="D36" t="s">
        <v>158</v>
      </c>
      <c r="E36">
        <v>2017</v>
      </c>
      <c r="F36" t="s">
        <v>90</v>
      </c>
      <c r="G36" t="s">
        <v>3</v>
      </c>
      <c r="H36" t="s">
        <v>262</v>
      </c>
      <c r="I36" t="s">
        <v>43</v>
      </c>
      <c r="J36" t="s">
        <v>44</v>
      </c>
      <c r="K36">
        <v>30</v>
      </c>
      <c r="L36" t="str">
        <f>IF(SportClimbing[[#This Row],[Height (m)]]&lt;11, "0-10", IF(SportClimbing[[#This Row],[Height (m)]]&lt;16, "11-15", IF(SportClimbing[[#This Row],[Height (m)]]&lt;21, "16-20", IF(SportClimbing[[#This Row],[Height (m)]]&lt;26, "21-25", IF(SportClimbing[[#This Row],[Height (m)]]&lt;31, "26-30", IF(SportClimbing[[#This Row],[Height (m)]]&lt;36, "31-35", "35+"))))))</f>
        <v>26-30</v>
      </c>
      <c r="M36" t="s">
        <v>89</v>
      </c>
      <c r="N36" t="s">
        <v>130</v>
      </c>
      <c r="O36">
        <f>IF(ISNUMBER(SportClimbing[[#This Row],[Total number of tries]])=TRUE, SportClimbing[[#This Row],[Total number of tries]], 1)</f>
        <v>1</v>
      </c>
      <c r="P36" t="str">
        <f>IF(ISNUMBER(SportClimbing[[#This Row],[Total number of tries]])=TRUE, "redpoint", SportClimbing[[#This Row],[Total number of tries]])</f>
        <v>onsight</v>
      </c>
      <c r="Q36">
        <f>_xlfn.XLOOKUP(SportClimbing[[#This Row],[Grade]],SCORE[GRADE],SCORE[SCORE],,)</f>
        <v>10</v>
      </c>
    </row>
    <row r="37" spans="1:17" x14ac:dyDescent="0.25">
      <c r="A37" s="21">
        <f>DATE(SportClimbing[[#This Row],[Year]],_xlfn.XLOOKUP(SportClimbing[[#This Row],[Month]],MONTHS[MONTHS 2],MONTHS[MONTHS 3]),SportClimbing[[#This Row],[Day]])</f>
        <v>42980</v>
      </c>
      <c r="B37" s="21" t="b">
        <f ca="1">AND(SportClimbing[[#This Row],[Date]] &gt;= TODAY()-365, SportClimbing[[#This Row],[Date]] &lt;= TODAY())</f>
        <v>0</v>
      </c>
      <c r="C37">
        <v>2</v>
      </c>
      <c r="D37" t="s">
        <v>159</v>
      </c>
      <c r="E37">
        <v>2017</v>
      </c>
      <c r="F37" t="s">
        <v>75</v>
      </c>
      <c r="G37" t="s">
        <v>3</v>
      </c>
      <c r="H37" t="s">
        <v>262</v>
      </c>
      <c r="I37" t="s">
        <v>76</v>
      </c>
      <c r="J37" t="s">
        <v>92</v>
      </c>
      <c r="K37">
        <v>25</v>
      </c>
      <c r="L37" t="str">
        <f>IF(SportClimbing[[#This Row],[Height (m)]]&lt;11, "0-10", IF(SportClimbing[[#This Row],[Height (m)]]&lt;16, "11-15", IF(SportClimbing[[#This Row],[Height (m)]]&lt;21, "16-20", IF(SportClimbing[[#This Row],[Height (m)]]&lt;26, "21-25", IF(SportClimbing[[#This Row],[Height (m)]]&lt;31, "26-30", IF(SportClimbing[[#This Row],[Height (m)]]&lt;36, "31-35", "35+"))))))</f>
        <v>21-25</v>
      </c>
      <c r="M37" t="s">
        <v>133</v>
      </c>
      <c r="N37">
        <v>3</v>
      </c>
      <c r="O37">
        <f>IF(ISNUMBER(SportClimbing[[#This Row],[Total number of tries]])=TRUE, SportClimbing[[#This Row],[Total number of tries]], 1)</f>
        <v>3</v>
      </c>
      <c r="P37" t="str">
        <f>IF(ISNUMBER(SportClimbing[[#This Row],[Total number of tries]])=TRUE, "redpoint", SportClimbing[[#This Row],[Total number of tries]])</f>
        <v>redpoint</v>
      </c>
      <c r="Q37">
        <f>_xlfn.XLOOKUP(SportClimbing[[#This Row],[Grade]],SCORE[GRADE],SCORE[SCORE],,)</f>
        <v>10</v>
      </c>
    </row>
    <row r="38" spans="1:17" x14ac:dyDescent="0.25">
      <c r="A38" s="21">
        <f>DATE(SportClimbing[[#This Row],[Year]],_xlfn.XLOOKUP(SportClimbing[[#This Row],[Month]],MONTHS[MONTHS 2],MONTHS[MONTHS 3]),SportClimbing[[#This Row],[Day]])</f>
        <v>42991</v>
      </c>
      <c r="B38" s="21" t="b">
        <f ca="1">AND(SportClimbing[[#This Row],[Date]] &gt;= TODAY()-365, SportClimbing[[#This Row],[Date]] &lt;= TODAY())</f>
        <v>0</v>
      </c>
      <c r="C38">
        <v>13</v>
      </c>
      <c r="D38" t="s">
        <v>159</v>
      </c>
      <c r="E38">
        <v>2017</v>
      </c>
      <c r="F38" t="s">
        <v>82</v>
      </c>
      <c r="G38" t="s">
        <v>21</v>
      </c>
      <c r="H38" t="s">
        <v>262</v>
      </c>
      <c r="I38" t="s">
        <v>77</v>
      </c>
      <c r="J38" t="s">
        <v>78</v>
      </c>
      <c r="K38">
        <v>10</v>
      </c>
      <c r="L38" t="str">
        <f>IF(SportClimbing[[#This Row],[Height (m)]]&lt;11, "0-10", IF(SportClimbing[[#This Row],[Height (m)]]&lt;16, "11-15", IF(SportClimbing[[#This Row],[Height (m)]]&lt;21, "16-20", IF(SportClimbing[[#This Row],[Height (m)]]&lt;26, "21-25", IF(SportClimbing[[#This Row],[Height (m)]]&lt;31, "26-30", IF(SportClimbing[[#This Row],[Height (m)]]&lt;36, "31-35", "35+"))))))</f>
        <v>0-10</v>
      </c>
      <c r="M38" t="s">
        <v>83</v>
      </c>
      <c r="N38" t="s">
        <v>130</v>
      </c>
      <c r="O38">
        <f>IF(ISNUMBER(SportClimbing[[#This Row],[Total number of tries]])=TRUE, SportClimbing[[#This Row],[Total number of tries]], 1)</f>
        <v>1</v>
      </c>
      <c r="P38" t="str">
        <f>IF(ISNUMBER(SportClimbing[[#This Row],[Total number of tries]])=TRUE, "redpoint", SportClimbing[[#This Row],[Total number of tries]])</f>
        <v>onsight</v>
      </c>
      <c r="Q38">
        <f>_xlfn.XLOOKUP(SportClimbing[[#This Row],[Grade]],SCORE[GRADE],SCORE[SCORE],,)</f>
        <v>15</v>
      </c>
    </row>
    <row r="39" spans="1:17" x14ac:dyDescent="0.25">
      <c r="A39" s="21">
        <f>DATE(SportClimbing[[#This Row],[Year]],_xlfn.XLOOKUP(SportClimbing[[#This Row],[Month]],MONTHS[MONTHS 2],MONTHS[MONTHS 3]),SportClimbing[[#This Row],[Day]])</f>
        <v>42991</v>
      </c>
      <c r="B39" s="21" t="b">
        <f ca="1">AND(SportClimbing[[#This Row],[Date]] &gt;= TODAY()-365, SportClimbing[[#This Row],[Date]] &lt;= TODAY())</f>
        <v>0</v>
      </c>
      <c r="C39">
        <v>13</v>
      </c>
      <c r="D39" t="s">
        <v>159</v>
      </c>
      <c r="E39">
        <v>2017</v>
      </c>
      <c r="F39" t="s">
        <v>81</v>
      </c>
      <c r="G39" t="s">
        <v>3</v>
      </c>
      <c r="H39" t="s">
        <v>262</v>
      </c>
      <c r="I39" t="s">
        <v>77</v>
      </c>
      <c r="J39" t="s">
        <v>79</v>
      </c>
      <c r="K39">
        <v>10</v>
      </c>
      <c r="L39" t="str">
        <f>IF(SportClimbing[[#This Row],[Height (m)]]&lt;11, "0-10", IF(SportClimbing[[#This Row],[Height (m)]]&lt;16, "11-15", IF(SportClimbing[[#This Row],[Height (m)]]&lt;21, "16-20", IF(SportClimbing[[#This Row],[Height (m)]]&lt;26, "21-25", IF(SportClimbing[[#This Row],[Height (m)]]&lt;31, "26-30", IF(SportClimbing[[#This Row],[Height (m)]]&lt;36, "31-35", "35+"))))))</f>
        <v>0-10</v>
      </c>
      <c r="M39" t="s">
        <v>83</v>
      </c>
      <c r="N39" t="s">
        <v>130</v>
      </c>
      <c r="O39">
        <f>IF(ISNUMBER(SportClimbing[[#This Row],[Total number of tries]])=TRUE, SportClimbing[[#This Row],[Total number of tries]], 1)</f>
        <v>1</v>
      </c>
      <c r="P39" t="str">
        <f>IF(ISNUMBER(SportClimbing[[#This Row],[Total number of tries]])=TRUE, "redpoint", SportClimbing[[#This Row],[Total number of tries]])</f>
        <v>onsight</v>
      </c>
      <c r="Q39">
        <f>_xlfn.XLOOKUP(SportClimbing[[#This Row],[Grade]],SCORE[GRADE],SCORE[SCORE],,)</f>
        <v>10</v>
      </c>
    </row>
    <row r="40" spans="1:17" x14ac:dyDescent="0.25">
      <c r="A40" s="21">
        <f>DATE(SportClimbing[[#This Row],[Year]],_xlfn.XLOOKUP(SportClimbing[[#This Row],[Month]],MONTHS[MONTHS 2],MONTHS[MONTHS 3]),SportClimbing[[#This Row],[Day]])</f>
        <v>42991</v>
      </c>
      <c r="B40" s="21" t="b">
        <f ca="1">AND(SportClimbing[[#This Row],[Date]] &gt;= TODAY()-365, SportClimbing[[#This Row],[Date]] &lt;= TODAY())</f>
        <v>0</v>
      </c>
      <c r="C40">
        <v>13</v>
      </c>
      <c r="D40" t="s">
        <v>159</v>
      </c>
      <c r="E40">
        <v>2017</v>
      </c>
      <c r="F40" t="s">
        <v>80</v>
      </c>
      <c r="G40" t="s">
        <v>21</v>
      </c>
      <c r="H40" t="s">
        <v>262</v>
      </c>
      <c r="I40" t="s">
        <v>77</v>
      </c>
      <c r="J40" t="s">
        <v>79</v>
      </c>
      <c r="K40">
        <v>12</v>
      </c>
      <c r="L40" t="str">
        <f>IF(SportClimbing[[#This Row],[Height (m)]]&lt;11, "0-10", IF(SportClimbing[[#This Row],[Height (m)]]&lt;16, "11-15", IF(SportClimbing[[#This Row],[Height (m)]]&lt;21, "16-20", IF(SportClimbing[[#This Row],[Height (m)]]&lt;26, "21-25", IF(SportClimbing[[#This Row],[Height (m)]]&lt;31, "26-30", IF(SportClimbing[[#This Row],[Height (m)]]&lt;36, "31-35", "35+"))))))</f>
        <v>11-15</v>
      </c>
      <c r="M40" t="s">
        <v>83</v>
      </c>
      <c r="N40">
        <v>2</v>
      </c>
      <c r="O40">
        <f>IF(ISNUMBER(SportClimbing[[#This Row],[Total number of tries]])=TRUE, SportClimbing[[#This Row],[Total number of tries]], 1)</f>
        <v>2</v>
      </c>
      <c r="P40" t="str">
        <f>IF(ISNUMBER(SportClimbing[[#This Row],[Total number of tries]])=TRUE, "redpoint", SportClimbing[[#This Row],[Total number of tries]])</f>
        <v>redpoint</v>
      </c>
      <c r="Q40">
        <f>_xlfn.XLOOKUP(SportClimbing[[#This Row],[Grade]],SCORE[GRADE],SCORE[SCORE],,)</f>
        <v>15</v>
      </c>
    </row>
    <row r="41" spans="1:17" x14ac:dyDescent="0.25">
      <c r="A41" s="21">
        <f>DATE(SportClimbing[[#This Row],[Year]],_xlfn.XLOOKUP(SportClimbing[[#This Row],[Month]],MONTHS[MONTHS 2],MONTHS[MONTHS 3]),SportClimbing[[#This Row],[Day]])</f>
        <v>43001</v>
      </c>
      <c r="B41" s="21" t="b">
        <f ca="1">AND(SportClimbing[[#This Row],[Date]] &gt;= TODAY()-365, SportClimbing[[#This Row],[Date]] &lt;= TODAY())</f>
        <v>0</v>
      </c>
      <c r="C41">
        <v>23</v>
      </c>
      <c r="D41" t="s">
        <v>159</v>
      </c>
      <c r="E41">
        <v>2017</v>
      </c>
      <c r="F41" t="s">
        <v>84</v>
      </c>
      <c r="G41" t="s">
        <v>21</v>
      </c>
      <c r="H41" t="s">
        <v>262</v>
      </c>
      <c r="I41" t="s">
        <v>49</v>
      </c>
      <c r="J41" t="s">
        <v>66</v>
      </c>
      <c r="K41">
        <v>25</v>
      </c>
      <c r="L41" t="str">
        <f>IF(SportClimbing[[#This Row],[Height (m)]]&lt;11, "0-10", IF(SportClimbing[[#This Row],[Height (m)]]&lt;16, "11-15", IF(SportClimbing[[#This Row],[Height (m)]]&lt;21, "16-20", IF(SportClimbing[[#This Row],[Height (m)]]&lt;26, "21-25", IF(SportClimbing[[#This Row],[Height (m)]]&lt;31, "26-30", IF(SportClimbing[[#This Row],[Height (m)]]&lt;36, "31-35", "35+"))))))</f>
        <v>21-25</v>
      </c>
      <c r="M41" t="s">
        <v>132</v>
      </c>
      <c r="N41" t="s">
        <v>130</v>
      </c>
      <c r="O41">
        <f>IF(ISNUMBER(SportClimbing[[#This Row],[Total number of tries]])=TRUE, SportClimbing[[#This Row],[Total number of tries]], 1)</f>
        <v>1</v>
      </c>
      <c r="P41" t="str">
        <f>IF(ISNUMBER(SportClimbing[[#This Row],[Total number of tries]])=TRUE, "redpoint", SportClimbing[[#This Row],[Total number of tries]])</f>
        <v>onsight</v>
      </c>
      <c r="Q41">
        <f>_xlfn.XLOOKUP(SportClimbing[[#This Row],[Grade]],SCORE[GRADE],SCORE[SCORE],,)</f>
        <v>15</v>
      </c>
    </row>
    <row r="42" spans="1:17" x14ac:dyDescent="0.25">
      <c r="A42" s="21">
        <f>DATE(SportClimbing[[#This Row],[Year]],_xlfn.XLOOKUP(SportClimbing[[#This Row],[Month]],MONTHS[MONTHS 2],MONTHS[MONTHS 3]),SportClimbing[[#This Row],[Day]])</f>
        <v>43003</v>
      </c>
      <c r="B42" s="21" t="b">
        <f ca="1">AND(SportClimbing[[#This Row],[Date]] &gt;= TODAY()-365, SportClimbing[[#This Row],[Date]] &lt;= TODAY())</f>
        <v>0</v>
      </c>
      <c r="C42">
        <v>25</v>
      </c>
      <c r="D42" t="s">
        <v>159</v>
      </c>
      <c r="E42">
        <v>2017</v>
      </c>
      <c r="F42" t="s">
        <v>85</v>
      </c>
      <c r="G42" t="s">
        <v>21</v>
      </c>
      <c r="H42" t="s">
        <v>262</v>
      </c>
      <c r="I42" t="s">
        <v>25</v>
      </c>
      <c r="J42" t="s">
        <v>86</v>
      </c>
      <c r="K42">
        <v>20</v>
      </c>
      <c r="L42" t="str">
        <f>IF(SportClimbing[[#This Row],[Height (m)]]&lt;11, "0-10", IF(SportClimbing[[#This Row],[Height (m)]]&lt;16, "11-15", IF(SportClimbing[[#This Row],[Height (m)]]&lt;21, "16-20", IF(SportClimbing[[#This Row],[Height (m)]]&lt;26, "21-25", IF(SportClimbing[[#This Row],[Height (m)]]&lt;31, "26-30", IF(SportClimbing[[#This Row],[Height (m)]]&lt;36, "31-35", "35+"))))))</f>
        <v>16-20</v>
      </c>
      <c r="M42" t="s">
        <v>132</v>
      </c>
      <c r="N42">
        <v>5</v>
      </c>
      <c r="O42">
        <f>IF(ISNUMBER(SportClimbing[[#This Row],[Total number of tries]])=TRUE, SportClimbing[[#This Row],[Total number of tries]], 1)</f>
        <v>5</v>
      </c>
      <c r="P42" t="str">
        <f>IF(ISNUMBER(SportClimbing[[#This Row],[Total number of tries]])=TRUE, "redpoint", SportClimbing[[#This Row],[Total number of tries]])</f>
        <v>redpoint</v>
      </c>
      <c r="Q42">
        <f>_xlfn.XLOOKUP(SportClimbing[[#This Row],[Grade]],SCORE[GRADE],SCORE[SCORE],,)</f>
        <v>15</v>
      </c>
    </row>
    <row r="43" spans="1:17" x14ac:dyDescent="0.25">
      <c r="A43" s="21">
        <f>DATE(SportClimbing[[#This Row],[Year]],_xlfn.XLOOKUP(SportClimbing[[#This Row],[Month]],MONTHS[MONTHS 2],MONTHS[MONTHS 3]),SportClimbing[[#This Row],[Day]])</f>
        <v>43022</v>
      </c>
      <c r="B43" s="21" t="b">
        <f ca="1">AND(SportClimbing[[#This Row],[Date]] &gt;= TODAY()-365, SportClimbing[[#This Row],[Date]] &lt;= TODAY())</f>
        <v>0</v>
      </c>
      <c r="C43">
        <v>14</v>
      </c>
      <c r="D43" t="s">
        <v>162</v>
      </c>
      <c r="E43">
        <v>2017</v>
      </c>
      <c r="F43" t="s">
        <v>99</v>
      </c>
      <c r="G43" t="s">
        <v>21</v>
      </c>
      <c r="H43" t="s">
        <v>262</v>
      </c>
      <c r="I43" t="s">
        <v>43</v>
      </c>
      <c r="J43" t="s">
        <v>91</v>
      </c>
      <c r="K43">
        <v>30</v>
      </c>
      <c r="L43" t="str">
        <f>IF(SportClimbing[[#This Row],[Height (m)]]&lt;11, "0-10", IF(SportClimbing[[#This Row],[Height (m)]]&lt;16, "11-15", IF(SportClimbing[[#This Row],[Height (m)]]&lt;21, "16-20", IF(SportClimbing[[#This Row],[Height (m)]]&lt;26, "21-25", IF(SportClimbing[[#This Row],[Height (m)]]&lt;31, "26-30", IF(SportClimbing[[#This Row],[Height (m)]]&lt;36, "31-35", "35+"))))))</f>
        <v>26-30</v>
      </c>
      <c r="M43" t="s">
        <v>133</v>
      </c>
      <c r="N43">
        <v>3</v>
      </c>
      <c r="O43">
        <f>IF(ISNUMBER(SportClimbing[[#This Row],[Total number of tries]])=TRUE, SportClimbing[[#This Row],[Total number of tries]], 1)</f>
        <v>3</v>
      </c>
      <c r="P43" t="str">
        <f>IF(ISNUMBER(SportClimbing[[#This Row],[Total number of tries]])=TRUE, "redpoint", SportClimbing[[#This Row],[Total number of tries]])</f>
        <v>redpoint</v>
      </c>
      <c r="Q43">
        <f>_xlfn.XLOOKUP(SportClimbing[[#This Row],[Grade]],SCORE[GRADE],SCORE[SCORE],,)</f>
        <v>15</v>
      </c>
    </row>
    <row r="44" spans="1:17" x14ac:dyDescent="0.25">
      <c r="A44" s="21">
        <f>DATE(SportClimbing[[#This Row],[Year]],_xlfn.XLOOKUP(SportClimbing[[#This Row],[Month]],MONTHS[MONTHS 2],MONTHS[MONTHS 3]),SportClimbing[[#This Row],[Day]])</f>
        <v>43023</v>
      </c>
      <c r="B44" s="21" t="b">
        <f ca="1">AND(SportClimbing[[#This Row],[Date]] &gt;= TODAY()-365, SportClimbing[[#This Row],[Date]] &lt;= TODAY())</f>
        <v>0</v>
      </c>
      <c r="C44">
        <v>15</v>
      </c>
      <c r="D44" t="s">
        <v>162</v>
      </c>
      <c r="E44">
        <v>2017</v>
      </c>
      <c r="F44" t="s">
        <v>98</v>
      </c>
      <c r="G44" t="s">
        <v>21</v>
      </c>
      <c r="H44" t="s">
        <v>262</v>
      </c>
      <c r="I44" t="s">
        <v>43</v>
      </c>
      <c r="J44" t="s">
        <v>44</v>
      </c>
      <c r="K44">
        <v>25</v>
      </c>
      <c r="L44" t="str">
        <f>IF(SportClimbing[[#This Row],[Height (m)]]&lt;11, "0-10", IF(SportClimbing[[#This Row],[Height (m)]]&lt;16, "11-15", IF(SportClimbing[[#This Row],[Height (m)]]&lt;21, "16-20", IF(SportClimbing[[#This Row],[Height (m)]]&lt;26, "21-25", IF(SportClimbing[[#This Row],[Height (m)]]&lt;31, "26-30", IF(SportClimbing[[#This Row],[Height (m)]]&lt;36, "31-35", "35+"))))))</f>
        <v>21-25</v>
      </c>
      <c r="M44" t="s">
        <v>17</v>
      </c>
      <c r="N44">
        <v>2</v>
      </c>
      <c r="O44">
        <f>IF(ISNUMBER(SportClimbing[[#This Row],[Total number of tries]])=TRUE, SportClimbing[[#This Row],[Total number of tries]], 1)</f>
        <v>2</v>
      </c>
      <c r="P44" t="str">
        <f>IF(ISNUMBER(SportClimbing[[#This Row],[Total number of tries]])=TRUE, "redpoint", SportClimbing[[#This Row],[Total number of tries]])</f>
        <v>redpoint</v>
      </c>
      <c r="Q44">
        <f>_xlfn.XLOOKUP(SportClimbing[[#This Row],[Grade]],SCORE[GRADE],SCORE[SCORE],,)</f>
        <v>15</v>
      </c>
    </row>
    <row r="45" spans="1:17" x14ac:dyDescent="0.25">
      <c r="A45" s="21">
        <f>DATE(SportClimbing[[#This Row],[Year]],_xlfn.XLOOKUP(SportClimbing[[#This Row],[Month]],MONTHS[MONTHS 2],MONTHS[MONTHS 3]),SportClimbing[[#This Row],[Day]])</f>
        <v>43029</v>
      </c>
      <c r="B45" s="21" t="b">
        <f ca="1">AND(SportClimbing[[#This Row],[Date]] &gt;= TODAY()-365, SportClimbing[[#This Row],[Date]] &lt;= TODAY())</f>
        <v>0</v>
      </c>
      <c r="C45">
        <v>21</v>
      </c>
      <c r="D45" t="s">
        <v>162</v>
      </c>
      <c r="E45">
        <v>2017</v>
      </c>
      <c r="F45" t="s">
        <v>95</v>
      </c>
      <c r="G45" t="s">
        <v>21</v>
      </c>
      <c r="H45" t="s">
        <v>262</v>
      </c>
      <c r="I45" t="s">
        <v>43</v>
      </c>
      <c r="J45" t="s">
        <v>94</v>
      </c>
      <c r="K45">
        <v>25</v>
      </c>
      <c r="L45" t="str">
        <f>IF(SportClimbing[[#This Row],[Height (m)]]&lt;11, "0-10", IF(SportClimbing[[#This Row],[Height (m)]]&lt;16, "11-15", IF(SportClimbing[[#This Row],[Height (m)]]&lt;21, "16-20", IF(SportClimbing[[#This Row],[Height (m)]]&lt;26, "21-25", IF(SportClimbing[[#This Row],[Height (m)]]&lt;31, "26-30", IF(SportClimbing[[#This Row],[Height (m)]]&lt;36, "31-35", "35+"))))))</f>
        <v>21-25</v>
      </c>
      <c r="M45" t="s">
        <v>53</v>
      </c>
      <c r="N45" t="s">
        <v>130</v>
      </c>
      <c r="O45">
        <f>IF(ISNUMBER(SportClimbing[[#This Row],[Total number of tries]])=TRUE, SportClimbing[[#This Row],[Total number of tries]], 1)</f>
        <v>1</v>
      </c>
      <c r="P45" t="str">
        <f>IF(ISNUMBER(SportClimbing[[#This Row],[Total number of tries]])=TRUE, "redpoint", SportClimbing[[#This Row],[Total number of tries]])</f>
        <v>onsight</v>
      </c>
      <c r="Q45">
        <f>_xlfn.XLOOKUP(SportClimbing[[#This Row],[Grade]],SCORE[GRADE],SCORE[SCORE],,)</f>
        <v>15</v>
      </c>
    </row>
    <row r="46" spans="1:17" x14ac:dyDescent="0.25">
      <c r="A46" s="21">
        <f>DATE(SportClimbing[[#This Row],[Year]],_xlfn.XLOOKUP(SportClimbing[[#This Row],[Month]],MONTHS[MONTHS 2],MONTHS[MONTHS 3]),SportClimbing[[#This Row],[Day]])</f>
        <v>43029</v>
      </c>
      <c r="B46" s="21" t="b">
        <f ca="1">AND(SportClimbing[[#This Row],[Date]] &gt;= TODAY()-365, SportClimbing[[#This Row],[Date]] &lt;= TODAY())</f>
        <v>0</v>
      </c>
      <c r="C46">
        <v>21</v>
      </c>
      <c r="D46" t="s">
        <v>162</v>
      </c>
      <c r="E46">
        <v>2017</v>
      </c>
      <c r="F46" t="s">
        <v>97</v>
      </c>
      <c r="G46" t="s">
        <v>21</v>
      </c>
      <c r="H46" t="s">
        <v>262</v>
      </c>
      <c r="I46" t="s">
        <v>43</v>
      </c>
      <c r="J46" t="s">
        <v>91</v>
      </c>
      <c r="K46">
        <v>28</v>
      </c>
      <c r="L46" t="str">
        <f>IF(SportClimbing[[#This Row],[Height (m)]]&lt;11, "0-10", IF(SportClimbing[[#This Row],[Height (m)]]&lt;16, "11-15", IF(SportClimbing[[#This Row],[Height (m)]]&lt;21, "16-20", IF(SportClimbing[[#This Row],[Height (m)]]&lt;26, "21-25", IF(SportClimbing[[#This Row],[Height (m)]]&lt;31, "26-30", IF(SportClimbing[[#This Row],[Height (m)]]&lt;36, "31-35", "35+"))))))</f>
        <v>26-30</v>
      </c>
      <c r="M46" t="s">
        <v>53</v>
      </c>
      <c r="N46">
        <v>3</v>
      </c>
      <c r="O46">
        <f>IF(ISNUMBER(SportClimbing[[#This Row],[Total number of tries]])=TRUE, SportClimbing[[#This Row],[Total number of tries]], 1)</f>
        <v>3</v>
      </c>
      <c r="P46" t="str">
        <f>IF(ISNUMBER(SportClimbing[[#This Row],[Total number of tries]])=TRUE, "redpoint", SportClimbing[[#This Row],[Total number of tries]])</f>
        <v>redpoint</v>
      </c>
      <c r="Q46">
        <f>_xlfn.XLOOKUP(SportClimbing[[#This Row],[Grade]],SCORE[GRADE],SCORE[SCORE],,)</f>
        <v>15</v>
      </c>
    </row>
    <row r="47" spans="1:17" x14ac:dyDescent="0.25">
      <c r="A47" s="21">
        <f>DATE(SportClimbing[[#This Row],[Year]],_xlfn.XLOOKUP(SportClimbing[[#This Row],[Month]],MONTHS[MONTHS 2],MONTHS[MONTHS 3]),SportClimbing[[#This Row],[Day]])</f>
        <v>43030</v>
      </c>
      <c r="B47" s="21" t="b">
        <f ca="1">AND(SportClimbing[[#This Row],[Date]] &gt;= TODAY()-365, SportClimbing[[#This Row],[Date]] &lt;= TODAY())</f>
        <v>0</v>
      </c>
      <c r="C47">
        <v>22</v>
      </c>
      <c r="D47" t="s">
        <v>162</v>
      </c>
      <c r="E47">
        <v>2017</v>
      </c>
      <c r="F47" t="s">
        <v>96</v>
      </c>
      <c r="G47" t="s">
        <v>3</v>
      </c>
      <c r="H47" t="s">
        <v>262</v>
      </c>
      <c r="I47" t="s">
        <v>43</v>
      </c>
      <c r="J47" t="s">
        <v>93</v>
      </c>
      <c r="K47">
        <v>30</v>
      </c>
      <c r="L47" t="str">
        <f>IF(SportClimbing[[#This Row],[Height (m)]]&lt;11, "0-10", IF(SportClimbing[[#This Row],[Height (m)]]&lt;16, "11-15", IF(SportClimbing[[#This Row],[Height (m)]]&lt;21, "16-20", IF(SportClimbing[[#This Row],[Height (m)]]&lt;26, "21-25", IF(SportClimbing[[#This Row],[Height (m)]]&lt;31, "26-30", IF(SportClimbing[[#This Row],[Height (m)]]&lt;36, "31-35", "35+"))))))</f>
        <v>26-30</v>
      </c>
      <c r="M47" t="s">
        <v>53</v>
      </c>
      <c r="N47" t="s">
        <v>130</v>
      </c>
      <c r="O47">
        <f>IF(ISNUMBER(SportClimbing[[#This Row],[Total number of tries]])=TRUE, SportClimbing[[#This Row],[Total number of tries]], 1)</f>
        <v>1</v>
      </c>
      <c r="P47" t="str">
        <f>IF(ISNUMBER(SportClimbing[[#This Row],[Total number of tries]])=TRUE, "redpoint", SportClimbing[[#This Row],[Total number of tries]])</f>
        <v>onsight</v>
      </c>
      <c r="Q47">
        <f>_xlfn.XLOOKUP(SportClimbing[[#This Row],[Grade]],SCORE[GRADE],SCORE[SCORE],,)</f>
        <v>10</v>
      </c>
    </row>
    <row r="48" spans="1:17" x14ac:dyDescent="0.25">
      <c r="A48" s="21">
        <f>DATE(SportClimbing[[#This Row],[Year]],_xlfn.XLOOKUP(SportClimbing[[#This Row],[Month]],MONTHS[MONTHS 2],MONTHS[MONTHS 3]),SportClimbing[[#This Row],[Day]])</f>
        <v>43036</v>
      </c>
      <c r="B48" s="21" t="b">
        <f ca="1">AND(SportClimbing[[#This Row],[Date]] &gt;= TODAY()-365, SportClimbing[[#This Row],[Date]] &lt;= TODAY())</f>
        <v>0</v>
      </c>
      <c r="C48">
        <v>28</v>
      </c>
      <c r="D48" t="s">
        <v>162</v>
      </c>
      <c r="E48">
        <v>2017</v>
      </c>
      <c r="F48" t="s">
        <v>101</v>
      </c>
      <c r="G48" t="s">
        <v>3</v>
      </c>
      <c r="H48" t="s">
        <v>262</v>
      </c>
      <c r="I48" t="s">
        <v>100</v>
      </c>
      <c r="J48" t="s">
        <v>213</v>
      </c>
      <c r="K48">
        <v>25</v>
      </c>
      <c r="L48" t="str">
        <f>IF(SportClimbing[[#This Row],[Height (m)]]&lt;11, "0-10", IF(SportClimbing[[#This Row],[Height (m)]]&lt;16, "11-15", IF(SportClimbing[[#This Row],[Height (m)]]&lt;21, "16-20", IF(SportClimbing[[#This Row],[Height (m)]]&lt;26, "21-25", IF(SportClimbing[[#This Row],[Height (m)]]&lt;31, "26-30", IF(SportClimbing[[#This Row],[Height (m)]]&lt;36, "31-35", "35+"))))))</f>
        <v>21-25</v>
      </c>
      <c r="M48" t="s">
        <v>132</v>
      </c>
      <c r="N48">
        <v>2</v>
      </c>
      <c r="O48">
        <f>IF(ISNUMBER(SportClimbing[[#This Row],[Total number of tries]])=TRUE, SportClimbing[[#This Row],[Total number of tries]], 1)</f>
        <v>2</v>
      </c>
      <c r="P48" t="str">
        <f>IF(ISNUMBER(SportClimbing[[#This Row],[Total number of tries]])=TRUE, "redpoint", SportClimbing[[#This Row],[Total number of tries]])</f>
        <v>redpoint</v>
      </c>
      <c r="Q48">
        <f>_xlfn.XLOOKUP(SportClimbing[[#This Row],[Grade]],SCORE[GRADE],SCORE[SCORE],,)</f>
        <v>10</v>
      </c>
    </row>
    <row r="49" spans="1:17" x14ac:dyDescent="0.25">
      <c r="A49" s="21">
        <f>DATE(SportClimbing[[#This Row],[Year]],_xlfn.XLOOKUP(SportClimbing[[#This Row],[Month]],MONTHS[MONTHS 2],MONTHS[MONTHS 3]),SportClimbing[[#This Row],[Day]])</f>
        <v>43036</v>
      </c>
      <c r="B49" s="21" t="b">
        <f ca="1">AND(SportClimbing[[#This Row],[Date]] &gt;= TODAY()-365, SportClimbing[[#This Row],[Date]] &lt;= TODAY())</f>
        <v>0</v>
      </c>
      <c r="C49">
        <v>28</v>
      </c>
      <c r="D49" t="s">
        <v>162</v>
      </c>
      <c r="E49">
        <v>2017</v>
      </c>
      <c r="F49" t="s">
        <v>102</v>
      </c>
      <c r="G49" t="s">
        <v>3</v>
      </c>
      <c r="H49" t="s">
        <v>262</v>
      </c>
      <c r="I49" t="s">
        <v>100</v>
      </c>
      <c r="J49" t="s">
        <v>214</v>
      </c>
      <c r="K49">
        <v>25</v>
      </c>
      <c r="L49" t="str">
        <f>IF(SportClimbing[[#This Row],[Height (m)]]&lt;11, "0-10", IF(SportClimbing[[#This Row],[Height (m)]]&lt;16, "11-15", IF(SportClimbing[[#This Row],[Height (m)]]&lt;21, "16-20", IF(SportClimbing[[#This Row],[Height (m)]]&lt;26, "21-25", IF(SportClimbing[[#This Row],[Height (m)]]&lt;31, "26-30", IF(SportClimbing[[#This Row],[Height (m)]]&lt;36, "31-35", "35+"))))))</f>
        <v>21-25</v>
      </c>
      <c r="M49" t="s">
        <v>132</v>
      </c>
      <c r="N49">
        <v>4</v>
      </c>
      <c r="O49">
        <f>IF(ISNUMBER(SportClimbing[[#This Row],[Total number of tries]])=TRUE, SportClimbing[[#This Row],[Total number of tries]], 1)</f>
        <v>4</v>
      </c>
      <c r="P49" t="str">
        <f>IF(ISNUMBER(SportClimbing[[#This Row],[Total number of tries]])=TRUE, "redpoint", SportClimbing[[#This Row],[Total number of tries]])</f>
        <v>redpoint</v>
      </c>
      <c r="Q49">
        <f>_xlfn.XLOOKUP(SportClimbing[[#This Row],[Grade]],SCORE[GRADE],SCORE[SCORE],,)</f>
        <v>10</v>
      </c>
    </row>
    <row r="50" spans="1:17" x14ac:dyDescent="0.25">
      <c r="A50" s="21">
        <f>DATE(SportClimbing[[#This Row],[Year]],_xlfn.XLOOKUP(SportClimbing[[#This Row],[Month]],MONTHS[MONTHS 2],MONTHS[MONTHS 3]),SportClimbing[[#This Row],[Day]])</f>
        <v>43043</v>
      </c>
      <c r="B50" s="21" t="b">
        <f ca="1">AND(SportClimbing[[#This Row],[Date]] &gt;= TODAY()-365, SportClimbing[[#This Row],[Date]] &lt;= TODAY())</f>
        <v>0</v>
      </c>
      <c r="C50">
        <v>4</v>
      </c>
      <c r="D50" t="s">
        <v>160</v>
      </c>
      <c r="E50">
        <v>2017</v>
      </c>
      <c r="F50" t="s">
        <v>103</v>
      </c>
      <c r="G50" t="s">
        <v>29</v>
      </c>
      <c r="H50" t="s">
        <v>262</v>
      </c>
      <c r="I50" t="s">
        <v>22</v>
      </c>
      <c r="J50" t="s">
        <v>23</v>
      </c>
      <c r="K50">
        <v>25</v>
      </c>
      <c r="L50" t="str">
        <f>IF(SportClimbing[[#This Row],[Height (m)]]&lt;11, "0-10", IF(SportClimbing[[#This Row],[Height (m)]]&lt;16, "11-15", IF(SportClimbing[[#This Row],[Height (m)]]&lt;21, "16-20", IF(SportClimbing[[#This Row],[Height (m)]]&lt;26, "21-25", IF(SportClimbing[[#This Row],[Height (m)]]&lt;31, "26-30", IF(SportClimbing[[#This Row],[Height (m)]]&lt;36, "31-35", "35+"))))))</f>
        <v>21-25</v>
      </c>
      <c r="M50" t="s">
        <v>104</v>
      </c>
      <c r="N50">
        <v>6</v>
      </c>
      <c r="O50">
        <f>IF(ISNUMBER(SportClimbing[[#This Row],[Total number of tries]])=TRUE, SportClimbing[[#This Row],[Total number of tries]], 1)</f>
        <v>6</v>
      </c>
      <c r="P50" t="str">
        <f>IF(ISNUMBER(SportClimbing[[#This Row],[Total number of tries]])=TRUE, "redpoint", SportClimbing[[#This Row],[Total number of tries]])</f>
        <v>redpoint</v>
      </c>
      <c r="Q50">
        <f>_xlfn.XLOOKUP(SportClimbing[[#This Row],[Grade]],SCORE[GRADE],SCORE[SCORE],,)</f>
        <v>25</v>
      </c>
    </row>
    <row r="51" spans="1:17" x14ac:dyDescent="0.25">
      <c r="A51" s="21">
        <f>DATE(SportClimbing[[#This Row],[Year]],_xlfn.XLOOKUP(SportClimbing[[#This Row],[Month]],MONTHS[MONTHS 2],MONTHS[MONTHS 3]),SportClimbing[[#This Row],[Day]])</f>
        <v>43077</v>
      </c>
      <c r="B51" s="21" t="b">
        <f ca="1">AND(SportClimbing[[#This Row],[Date]] &gt;= TODAY()-365, SportClimbing[[#This Row],[Date]] &lt;= TODAY())</f>
        <v>0</v>
      </c>
      <c r="C51">
        <v>8</v>
      </c>
      <c r="D51" t="s">
        <v>161</v>
      </c>
      <c r="E51">
        <v>2017</v>
      </c>
      <c r="F51" t="s">
        <v>109</v>
      </c>
      <c r="G51" t="s">
        <v>21</v>
      </c>
      <c r="H51" t="s">
        <v>262</v>
      </c>
      <c r="I51" t="s">
        <v>43</v>
      </c>
      <c r="J51" t="s">
        <v>226</v>
      </c>
      <c r="K51">
        <v>25</v>
      </c>
      <c r="L51" t="str">
        <f>IF(SportClimbing[[#This Row],[Height (m)]]&lt;11, "0-10", IF(SportClimbing[[#This Row],[Height (m)]]&lt;16, "11-15", IF(SportClimbing[[#This Row],[Height (m)]]&lt;21, "16-20", IF(SportClimbing[[#This Row],[Height (m)]]&lt;26, "21-25", IF(SportClimbing[[#This Row],[Height (m)]]&lt;31, "26-30", IF(SportClimbing[[#This Row],[Height (m)]]&lt;36, "31-35", "35+"))))))</f>
        <v>21-25</v>
      </c>
      <c r="M51" t="s">
        <v>131</v>
      </c>
      <c r="N51">
        <v>2</v>
      </c>
      <c r="O51">
        <f>IF(ISNUMBER(SportClimbing[[#This Row],[Total number of tries]])=TRUE, SportClimbing[[#This Row],[Total number of tries]], 1)</f>
        <v>2</v>
      </c>
      <c r="P51" t="str">
        <f>IF(ISNUMBER(SportClimbing[[#This Row],[Total number of tries]])=TRUE, "redpoint", SportClimbing[[#This Row],[Total number of tries]])</f>
        <v>redpoint</v>
      </c>
      <c r="Q51">
        <f>_xlfn.XLOOKUP(SportClimbing[[#This Row],[Grade]],SCORE[GRADE],SCORE[SCORE],,)</f>
        <v>15</v>
      </c>
    </row>
    <row r="52" spans="1:17" x14ac:dyDescent="0.25">
      <c r="A52" s="21">
        <f>DATE(SportClimbing[[#This Row],[Year]],_xlfn.XLOOKUP(SportClimbing[[#This Row],[Month]],MONTHS[MONTHS 2],MONTHS[MONTHS 3]),SportClimbing[[#This Row],[Day]])</f>
        <v>43078</v>
      </c>
      <c r="B52" s="21" t="b">
        <f ca="1">AND(SportClimbing[[#This Row],[Date]] &gt;= TODAY()-365, SportClimbing[[#This Row],[Date]] &lt;= TODAY())</f>
        <v>0</v>
      </c>
      <c r="C52">
        <v>9</v>
      </c>
      <c r="D52" t="s">
        <v>161</v>
      </c>
      <c r="E52">
        <v>2017</v>
      </c>
      <c r="F52" t="s">
        <v>108</v>
      </c>
      <c r="G52" t="s">
        <v>3</v>
      </c>
      <c r="H52" t="s">
        <v>262</v>
      </c>
      <c r="I52" t="s">
        <v>105</v>
      </c>
      <c r="J52" t="s">
        <v>117</v>
      </c>
      <c r="K52">
        <v>20</v>
      </c>
      <c r="L52" t="str">
        <f>IF(SportClimbing[[#This Row],[Height (m)]]&lt;11, "0-10", IF(SportClimbing[[#This Row],[Height (m)]]&lt;16, "11-15", IF(SportClimbing[[#This Row],[Height (m)]]&lt;21, "16-20", IF(SportClimbing[[#This Row],[Height (m)]]&lt;26, "21-25", IF(SportClimbing[[#This Row],[Height (m)]]&lt;31, "26-30", IF(SportClimbing[[#This Row],[Height (m)]]&lt;36, "31-35", "35+"))))))</f>
        <v>16-20</v>
      </c>
      <c r="M52" t="s">
        <v>38</v>
      </c>
      <c r="N52" t="s">
        <v>11</v>
      </c>
      <c r="O52">
        <f>IF(ISNUMBER(SportClimbing[[#This Row],[Total number of tries]])=TRUE, SportClimbing[[#This Row],[Total number of tries]], 1)</f>
        <v>1</v>
      </c>
      <c r="P52" t="str">
        <f>IF(ISNUMBER(SportClimbing[[#This Row],[Total number of tries]])=TRUE, "redpoint", SportClimbing[[#This Row],[Total number of tries]])</f>
        <v>flash</v>
      </c>
      <c r="Q52">
        <f>_xlfn.XLOOKUP(SportClimbing[[#This Row],[Grade]],SCORE[GRADE],SCORE[SCORE],,)</f>
        <v>10</v>
      </c>
    </row>
    <row r="53" spans="1:17" x14ac:dyDescent="0.25">
      <c r="A53" s="21">
        <f>DATE(SportClimbing[[#This Row],[Year]],_xlfn.XLOOKUP(SportClimbing[[#This Row],[Month]],MONTHS[MONTHS 2],MONTHS[MONTHS 3]),SportClimbing[[#This Row],[Day]])</f>
        <v>43079</v>
      </c>
      <c r="B53" s="21" t="b">
        <f ca="1">AND(SportClimbing[[#This Row],[Date]] &gt;= TODAY()-365, SportClimbing[[#This Row],[Date]] &lt;= TODAY())</f>
        <v>0</v>
      </c>
      <c r="C53">
        <v>10</v>
      </c>
      <c r="D53" t="s">
        <v>161</v>
      </c>
      <c r="E53">
        <v>2017</v>
      </c>
      <c r="F53" t="s">
        <v>107</v>
      </c>
      <c r="G53" t="s">
        <v>21</v>
      </c>
      <c r="H53" t="s">
        <v>262</v>
      </c>
      <c r="I53" t="s">
        <v>43</v>
      </c>
      <c r="J53" t="s">
        <v>106</v>
      </c>
      <c r="K53">
        <v>20</v>
      </c>
      <c r="L53" t="str">
        <f>IF(SportClimbing[[#This Row],[Height (m)]]&lt;11, "0-10", IF(SportClimbing[[#This Row],[Height (m)]]&lt;16, "11-15", IF(SportClimbing[[#This Row],[Height (m)]]&lt;21, "16-20", IF(SportClimbing[[#This Row],[Height (m)]]&lt;26, "21-25", IF(SportClimbing[[#This Row],[Height (m)]]&lt;31, "26-30", IF(SportClimbing[[#This Row],[Height (m)]]&lt;36, "31-35", "35+"))))))</f>
        <v>16-20</v>
      </c>
      <c r="M53" t="s">
        <v>122</v>
      </c>
      <c r="N53">
        <v>3</v>
      </c>
      <c r="O53">
        <f>IF(ISNUMBER(SportClimbing[[#This Row],[Total number of tries]])=TRUE, SportClimbing[[#This Row],[Total number of tries]], 1)</f>
        <v>3</v>
      </c>
      <c r="P53" t="str">
        <f>IF(ISNUMBER(SportClimbing[[#This Row],[Total number of tries]])=TRUE, "redpoint", SportClimbing[[#This Row],[Total number of tries]])</f>
        <v>redpoint</v>
      </c>
      <c r="Q53">
        <f>_xlfn.XLOOKUP(SportClimbing[[#This Row],[Grade]],SCORE[GRADE],SCORE[SCORE],,)</f>
        <v>15</v>
      </c>
    </row>
    <row r="54" spans="1:17" x14ac:dyDescent="0.25">
      <c r="A54" s="21">
        <f>DATE(SportClimbing[[#This Row],[Year]],_xlfn.XLOOKUP(SportClimbing[[#This Row],[Month]],MONTHS[MONTHS 2],MONTHS[MONTHS 3]),SportClimbing[[#This Row],[Day]])</f>
        <v>43085</v>
      </c>
      <c r="B54" s="21" t="b">
        <f ca="1">AND(SportClimbing[[#This Row],[Date]] &gt;= TODAY()-365, SportClimbing[[#This Row],[Date]] &lt;= TODAY())</f>
        <v>0</v>
      </c>
      <c r="C54">
        <v>16</v>
      </c>
      <c r="D54" t="s">
        <v>161</v>
      </c>
      <c r="E54">
        <v>2017</v>
      </c>
      <c r="F54" t="s">
        <v>112</v>
      </c>
      <c r="G54" t="s">
        <v>3</v>
      </c>
      <c r="H54" t="s">
        <v>262</v>
      </c>
      <c r="I54" t="s">
        <v>105</v>
      </c>
      <c r="J54" t="s">
        <v>110</v>
      </c>
      <c r="K54">
        <v>30</v>
      </c>
      <c r="L54" t="str">
        <f>IF(SportClimbing[[#This Row],[Height (m)]]&lt;11, "0-10", IF(SportClimbing[[#This Row],[Height (m)]]&lt;16, "11-15", IF(SportClimbing[[#This Row],[Height (m)]]&lt;21, "16-20", IF(SportClimbing[[#This Row],[Height (m)]]&lt;26, "21-25", IF(SportClimbing[[#This Row],[Height (m)]]&lt;31, "26-30", IF(SportClimbing[[#This Row],[Height (m)]]&lt;36, "31-35", "35+"))))))</f>
        <v>26-30</v>
      </c>
      <c r="M54" t="s">
        <v>111</v>
      </c>
      <c r="N54" t="s">
        <v>130</v>
      </c>
      <c r="O54">
        <f>IF(ISNUMBER(SportClimbing[[#This Row],[Total number of tries]])=TRUE, SportClimbing[[#This Row],[Total number of tries]], 1)</f>
        <v>1</v>
      </c>
      <c r="P54" t="str">
        <f>IF(ISNUMBER(SportClimbing[[#This Row],[Total number of tries]])=TRUE, "redpoint", SportClimbing[[#This Row],[Total number of tries]])</f>
        <v>onsight</v>
      </c>
      <c r="Q54">
        <f>_xlfn.XLOOKUP(SportClimbing[[#This Row],[Grade]],SCORE[GRADE],SCORE[SCORE],,)</f>
        <v>10</v>
      </c>
    </row>
    <row r="55" spans="1:17" x14ac:dyDescent="0.25">
      <c r="A55" s="21">
        <f>DATE(SportClimbing[[#This Row],[Year]],_xlfn.XLOOKUP(SportClimbing[[#This Row],[Month]],MONTHS[MONTHS 2],MONTHS[MONTHS 3]),SportClimbing[[#This Row],[Day]])</f>
        <v>43086</v>
      </c>
      <c r="B55" s="21" t="b">
        <f ca="1">AND(SportClimbing[[#This Row],[Date]] &gt;= TODAY()-365, SportClimbing[[#This Row],[Date]] &lt;= TODAY())</f>
        <v>0</v>
      </c>
      <c r="C55">
        <v>17</v>
      </c>
      <c r="D55" t="s">
        <v>161</v>
      </c>
      <c r="E55">
        <v>2017</v>
      </c>
      <c r="F55" t="s">
        <v>113</v>
      </c>
      <c r="G55" t="s">
        <v>29</v>
      </c>
      <c r="H55" t="s">
        <v>262</v>
      </c>
      <c r="I55" t="s">
        <v>105</v>
      </c>
      <c r="J55" t="s">
        <v>110</v>
      </c>
      <c r="K55">
        <v>30</v>
      </c>
      <c r="L55" t="str">
        <f>IF(SportClimbing[[#This Row],[Height (m)]]&lt;11, "0-10", IF(SportClimbing[[#This Row],[Height (m)]]&lt;16, "11-15", IF(SportClimbing[[#This Row],[Height (m)]]&lt;21, "16-20", IF(SportClimbing[[#This Row],[Height (m)]]&lt;26, "21-25", IF(SportClimbing[[#This Row],[Height (m)]]&lt;31, "26-30", IF(SportClimbing[[#This Row],[Height (m)]]&lt;36, "31-35", "35+"))))))</f>
        <v>26-30</v>
      </c>
      <c r="M55" t="s">
        <v>111</v>
      </c>
      <c r="N55">
        <v>2</v>
      </c>
      <c r="O55">
        <f>IF(ISNUMBER(SportClimbing[[#This Row],[Total number of tries]])=TRUE, SportClimbing[[#This Row],[Total number of tries]], 1)</f>
        <v>2</v>
      </c>
      <c r="P55" t="str">
        <f>IF(ISNUMBER(SportClimbing[[#This Row],[Total number of tries]])=TRUE, "redpoint", SportClimbing[[#This Row],[Total number of tries]])</f>
        <v>redpoint</v>
      </c>
      <c r="Q55">
        <f>_xlfn.XLOOKUP(SportClimbing[[#This Row],[Grade]],SCORE[GRADE],SCORE[SCORE],,)</f>
        <v>25</v>
      </c>
    </row>
    <row r="56" spans="1:17" x14ac:dyDescent="0.25">
      <c r="A56" s="21">
        <f>DATE(SportClimbing[[#This Row],[Year]],_xlfn.XLOOKUP(SportClimbing[[#This Row],[Month]],MONTHS[MONTHS 2],MONTHS[MONTHS 3]),SportClimbing[[#This Row],[Day]])</f>
        <v>43099</v>
      </c>
      <c r="B56" s="21" t="b">
        <f ca="1">AND(SportClimbing[[#This Row],[Date]] &gt;= TODAY()-365, SportClimbing[[#This Row],[Date]] &lt;= TODAY())</f>
        <v>0</v>
      </c>
      <c r="C56">
        <v>30</v>
      </c>
      <c r="D56" t="s">
        <v>161</v>
      </c>
      <c r="E56">
        <v>2017</v>
      </c>
      <c r="F56" t="s">
        <v>116</v>
      </c>
      <c r="G56" t="s">
        <v>32</v>
      </c>
      <c r="H56" t="s">
        <v>262</v>
      </c>
      <c r="I56" t="s">
        <v>43</v>
      </c>
      <c r="J56" t="s">
        <v>115</v>
      </c>
      <c r="K56">
        <v>38</v>
      </c>
      <c r="L56" t="str">
        <f>IF(SportClimbing[[#This Row],[Height (m)]]&lt;11, "0-10", IF(SportClimbing[[#This Row],[Height (m)]]&lt;16, "11-15", IF(SportClimbing[[#This Row],[Height (m)]]&lt;21, "16-20", IF(SportClimbing[[#This Row],[Height (m)]]&lt;26, "21-25", IF(SportClimbing[[#This Row],[Height (m)]]&lt;31, "26-30", IF(SportClimbing[[#This Row],[Height (m)]]&lt;36, "31-35", "35+"))))))</f>
        <v>35+</v>
      </c>
      <c r="M56" t="s">
        <v>131</v>
      </c>
      <c r="N56" t="s">
        <v>130</v>
      </c>
      <c r="O56">
        <f>IF(ISNUMBER(SportClimbing[[#This Row],[Total number of tries]])=TRUE, SportClimbing[[#This Row],[Total number of tries]], 1)</f>
        <v>1</v>
      </c>
      <c r="P56" t="str">
        <f>IF(ISNUMBER(SportClimbing[[#This Row],[Total number of tries]])=TRUE, "redpoint", SportClimbing[[#This Row],[Total number of tries]])</f>
        <v>onsight</v>
      </c>
      <c r="Q56">
        <f>_xlfn.XLOOKUP(SportClimbing[[#This Row],[Grade]],SCORE[GRADE],SCORE[SCORE],,)</f>
        <v>40</v>
      </c>
    </row>
    <row r="57" spans="1:17" x14ac:dyDescent="0.25">
      <c r="A57" s="21">
        <f>DATE(SportClimbing[[#This Row],[Year]],_xlfn.XLOOKUP(SportClimbing[[#This Row],[Month]],MONTHS[MONTHS 2],MONTHS[MONTHS 3]),SportClimbing[[#This Row],[Day]])</f>
        <v>43100</v>
      </c>
      <c r="B57" s="21" t="b">
        <f ca="1">AND(SportClimbing[[#This Row],[Date]] &gt;= TODAY()-365, SportClimbing[[#This Row],[Date]] &lt;= TODAY())</f>
        <v>0</v>
      </c>
      <c r="C57">
        <v>31</v>
      </c>
      <c r="D57" t="s">
        <v>161</v>
      </c>
      <c r="E57">
        <v>2017</v>
      </c>
      <c r="F57" t="s">
        <v>198</v>
      </c>
      <c r="G57" t="s">
        <v>3</v>
      </c>
      <c r="H57" t="s">
        <v>262</v>
      </c>
      <c r="I57" t="s">
        <v>105</v>
      </c>
      <c r="J57" t="s">
        <v>114</v>
      </c>
      <c r="K57">
        <v>20</v>
      </c>
      <c r="L57" t="str">
        <f>IF(SportClimbing[[#This Row],[Height (m)]]&lt;11, "0-10", IF(SportClimbing[[#This Row],[Height (m)]]&lt;16, "11-15", IF(SportClimbing[[#This Row],[Height (m)]]&lt;21, "16-20", IF(SportClimbing[[#This Row],[Height (m)]]&lt;26, "21-25", IF(SportClimbing[[#This Row],[Height (m)]]&lt;31, "26-30", IF(SportClimbing[[#This Row],[Height (m)]]&lt;36, "31-35", "35+"))))))</f>
        <v>16-20</v>
      </c>
      <c r="M57" t="s">
        <v>131</v>
      </c>
      <c r="N57" t="s">
        <v>130</v>
      </c>
      <c r="O57">
        <f>IF(ISNUMBER(SportClimbing[[#This Row],[Total number of tries]])=TRUE, SportClimbing[[#This Row],[Total number of tries]], 1)</f>
        <v>1</v>
      </c>
      <c r="P57" t="str">
        <f>IF(ISNUMBER(SportClimbing[[#This Row],[Total number of tries]])=TRUE, "redpoint", SportClimbing[[#This Row],[Total number of tries]])</f>
        <v>onsight</v>
      </c>
      <c r="Q57">
        <f>_xlfn.XLOOKUP(SportClimbing[[#This Row],[Grade]],SCORE[GRADE],SCORE[SCORE],,)</f>
        <v>10</v>
      </c>
    </row>
    <row r="58" spans="1:17" x14ac:dyDescent="0.25">
      <c r="A58" s="21">
        <f>DATE(SportClimbing[[#This Row],[Year]],_xlfn.XLOOKUP(SportClimbing[[#This Row],[Month]],MONTHS[MONTHS 2],MONTHS[MONTHS 3]),SportClimbing[[#This Row],[Day]])</f>
        <v>43100</v>
      </c>
      <c r="B58" s="21" t="b">
        <f ca="1">AND(SportClimbing[[#This Row],[Date]] &gt;= TODAY()-365, SportClimbing[[#This Row],[Date]] &lt;= TODAY())</f>
        <v>0</v>
      </c>
      <c r="C58">
        <v>31</v>
      </c>
      <c r="D58" t="s">
        <v>161</v>
      </c>
      <c r="E58">
        <v>2017</v>
      </c>
      <c r="F58" t="s">
        <v>244</v>
      </c>
      <c r="G58" t="s">
        <v>21</v>
      </c>
      <c r="H58" t="s">
        <v>262</v>
      </c>
      <c r="I58" t="s">
        <v>105</v>
      </c>
      <c r="J58" t="s">
        <v>114</v>
      </c>
      <c r="K58">
        <v>25</v>
      </c>
      <c r="L58" t="str">
        <f>IF(SportClimbing[[#This Row],[Height (m)]]&lt;11, "0-10", IF(SportClimbing[[#This Row],[Height (m)]]&lt;16, "11-15", IF(SportClimbing[[#This Row],[Height (m)]]&lt;21, "16-20", IF(SportClimbing[[#This Row],[Height (m)]]&lt;26, "21-25", IF(SportClimbing[[#This Row],[Height (m)]]&lt;31, "26-30", IF(SportClimbing[[#This Row],[Height (m)]]&lt;36, "31-35", "35+"))))))</f>
        <v>21-25</v>
      </c>
      <c r="M58" t="s">
        <v>131</v>
      </c>
      <c r="N58">
        <v>2</v>
      </c>
      <c r="O58">
        <f>IF(ISNUMBER(SportClimbing[[#This Row],[Total number of tries]])=TRUE, SportClimbing[[#This Row],[Total number of tries]], 1)</f>
        <v>2</v>
      </c>
      <c r="P58" t="str">
        <f>IF(ISNUMBER(SportClimbing[[#This Row],[Total number of tries]])=TRUE, "redpoint", SportClimbing[[#This Row],[Total number of tries]])</f>
        <v>redpoint</v>
      </c>
      <c r="Q58">
        <f>_xlfn.XLOOKUP(SportClimbing[[#This Row],[Grade]],SCORE[GRADE],SCORE[SCORE],,)</f>
        <v>15</v>
      </c>
    </row>
    <row r="59" spans="1:17" x14ac:dyDescent="0.25">
      <c r="A59" s="21">
        <f>DATE(SportClimbing[[#This Row],[Year]],_xlfn.XLOOKUP(SportClimbing[[#This Row],[Month]],MONTHS[MONTHS 2],MONTHS[MONTHS 3]),SportClimbing[[#This Row],[Day]])</f>
        <v>43105</v>
      </c>
      <c r="B59" s="21" t="b">
        <f ca="1">AND(SportClimbing[[#This Row],[Date]] &gt;= TODAY()-365, SportClimbing[[#This Row],[Date]] &lt;= TODAY())</f>
        <v>0</v>
      </c>
      <c r="C59">
        <v>5</v>
      </c>
      <c r="D59" t="s">
        <v>151</v>
      </c>
      <c r="E59">
        <v>2018</v>
      </c>
      <c r="F59" t="s">
        <v>119</v>
      </c>
      <c r="G59" t="s">
        <v>29</v>
      </c>
      <c r="H59" t="s">
        <v>262</v>
      </c>
      <c r="I59" t="s">
        <v>25</v>
      </c>
      <c r="J59" t="s">
        <v>26</v>
      </c>
      <c r="K59">
        <v>20</v>
      </c>
      <c r="L59" t="str">
        <f>IF(SportClimbing[[#This Row],[Height (m)]]&lt;11, "0-10", IF(SportClimbing[[#This Row],[Height (m)]]&lt;16, "11-15", IF(SportClimbing[[#This Row],[Height (m)]]&lt;21, "16-20", IF(SportClimbing[[#This Row],[Height (m)]]&lt;26, "21-25", IF(SportClimbing[[#This Row],[Height (m)]]&lt;31, "26-30", IF(SportClimbing[[#This Row],[Height (m)]]&lt;36, "31-35", "35+"))))))</f>
        <v>16-20</v>
      </c>
      <c r="M59" t="s">
        <v>120</v>
      </c>
      <c r="N59">
        <v>2</v>
      </c>
      <c r="O59">
        <f>IF(ISNUMBER(SportClimbing[[#This Row],[Total number of tries]])=TRUE, SportClimbing[[#This Row],[Total number of tries]], 1)</f>
        <v>2</v>
      </c>
      <c r="P59" t="str">
        <f>IF(ISNUMBER(SportClimbing[[#This Row],[Total number of tries]])=TRUE, "redpoint", SportClimbing[[#This Row],[Total number of tries]])</f>
        <v>redpoint</v>
      </c>
      <c r="Q59">
        <f>_xlfn.XLOOKUP(SportClimbing[[#This Row],[Grade]],SCORE[GRADE],SCORE[SCORE],,)</f>
        <v>25</v>
      </c>
    </row>
    <row r="60" spans="1:17" x14ac:dyDescent="0.25">
      <c r="A60" s="21">
        <f>DATE(SportClimbing[[#This Row],[Year]],_xlfn.XLOOKUP(SportClimbing[[#This Row],[Month]],MONTHS[MONTHS 2],MONTHS[MONTHS 3]),SportClimbing[[#This Row],[Day]])</f>
        <v>43127</v>
      </c>
      <c r="B60" s="21" t="b">
        <f ca="1">AND(SportClimbing[[#This Row],[Date]] &gt;= TODAY()-365, SportClimbing[[#This Row],[Date]] &lt;= TODAY())</f>
        <v>0</v>
      </c>
      <c r="C60">
        <v>27</v>
      </c>
      <c r="D60" t="s">
        <v>151</v>
      </c>
      <c r="E60">
        <v>2018</v>
      </c>
      <c r="F60" t="s">
        <v>121</v>
      </c>
      <c r="G60" t="s">
        <v>32</v>
      </c>
      <c r="H60" t="s">
        <v>262</v>
      </c>
      <c r="I60" t="s">
        <v>22</v>
      </c>
      <c r="J60" t="s">
        <v>23</v>
      </c>
      <c r="K60">
        <v>25</v>
      </c>
      <c r="L60" t="str">
        <f>IF(SportClimbing[[#This Row],[Height (m)]]&lt;11, "0-10", IF(SportClimbing[[#This Row],[Height (m)]]&lt;16, "11-15", IF(SportClimbing[[#This Row],[Height (m)]]&lt;21, "16-20", IF(SportClimbing[[#This Row],[Height (m)]]&lt;26, "21-25", IF(SportClimbing[[#This Row],[Height (m)]]&lt;31, "26-30", IF(SportClimbing[[#This Row],[Height (m)]]&lt;36, "31-35", "35+"))))))</f>
        <v>21-25</v>
      </c>
      <c r="M60" t="s">
        <v>131</v>
      </c>
      <c r="N60">
        <v>10</v>
      </c>
      <c r="O60">
        <f>IF(ISNUMBER(SportClimbing[[#This Row],[Total number of tries]])=TRUE, SportClimbing[[#This Row],[Total number of tries]], 1)</f>
        <v>10</v>
      </c>
      <c r="P60" t="str">
        <f>IF(ISNUMBER(SportClimbing[[#This Row],[Total number of tries]])=TRUE, "redpoint", SportClimbing[[#This Row],[Total number of tries]])</f>
        <v>redpoint</v>
      </c>
      <c r="Q60">
        <f>_xlfn.XLOOKUP(SportClimbing[[#This Row],[Grade]],SCORE[GRADE],SCORE[SCORE],,)</f>
        <v>40</v>
      </c>
    </row>
    <row r="61" spans="1:17" x14ac:dyDescent="0.25">
      <c r="A61" s="21">
        <f>DATE(SportClimbing[[#This Row],[Year]],_xlfn.XLOOKUP(SportClimbing[[#This Row],[Month]],MONTHS[MONTHS 2],MONTHS[MONTHS 3]),SportClimbing[[#This Row],[Day]])</f>
        <v>43134</v>
      </c>
      <c r="B61" s="21" t="b">
        <f ca="1">AND(SportClimbing[[#This Row],[Date]] &gt;= TODAY()-365, SportClimbing[[#This Row],[Date]] &lt;= TODAY())</f>
        <v>0</v>
      </c>
      <c r="C61">
        <v>3</v>
      </c>
      <c r="D61" t="s">
        <v>152</v>
      </c>
      <c r="E61">
        <v>2018</v>
      </c>
      <c r="F61" t="s">
        <v>125</v>
      </c>
      <c r="G61" t="s">
        <v>29</v>
      </c>
      <c r="H61" t="s">
        <v>262</v>
      </c>
      <c r="I61" t="s">
        <v>123</v>
      </c>
      <c r="J61" t="s">
        <v>124</v>
      </c>
      <c r="K61">
        <v>12</v>
      </c>
      <c r="L61" t="str">
        <f>IF(SportClimbing[[#This Row],[Height (m)]]&lt;11, "0-10", IF(SportClimbing[[#This Row],[Height (m)]]&lt;16, "11-15", IF(SportClimbing[[#This Row],[Height (m)]]&lt;21, "16-20", IF(SportClimbing[[#This Row],[Height (m)]]&lt;26, "21-25", IF(SportClimbing[[#This Row],[Height (m)]]&lt;31, "26-30", IF(SportClimbing[[#This Row],[Height (m)]]&lt;36, "31-35", "35+"))))))</f>
        <v>11-15</v>
      </c>
      <c r="M61" t="s">
        <v>131</v>
      </c>
      <c r="N61">
        <v>3</v>
      </c>
      <c r="O61">
        <f>IF(ISNUMBER(SportClimbing[[#This Row],[Total number of tries]])=TRUE, SportClimbing[[#This Row],[Total number of tries]], 1)</f>
        <v>3</v>
      </c>
      <c r="P61" t="str">
        <f>IF(ISNUMBER(SportClimbing[[#This Row],[Total number of tries]])=TRUE, "redpoint", SportClimbing[[#This Row],[Total number of tries]])</f>
        <v>redpoint</v>
      </c>
      <c r="Q61">
        <f>_xlfn.XLOOKUP(SportClimbing[[#This Row],[Grade]],SCORE[GRADE],SCORE[SCORE],,)</f>
        <v>25</v>
      </c>
    </row>
    <row r="62" spans="1:17" x14ac:dyDescent="0.25">
      <c r="A62" s="21">
        <f>DATE(SportClimbing[[#This Row],[Year]],_xlfn.XLOOKUP(SportClimbing[[#This Row],[Month]],MONTHS[MONTHS 2],MONTHS[MONTHS 3]),SportClimbing[[#This Row],[Day]])</f>
        <v>43153</v>
      </c>
      <c r="B62" s="21" t="b">
        <f ca="1">AND(SportClimbing[[#This Row],[Date]] &gt;= TODAY()-365, SportClimbing[[#This Row],[Date]] &lt;= TODAY())</f>
        <v>0</v>
      </c>
      <c r="C62">
        <v>22</v>
      </c>
      <c r="D62" t="s">
        <v>152</v>
      </c>
      <c r="E62">
        <v>2018</v>
      </c>
      <c r="F62" t="s">
        <v>134</v>
      </c>
      <c r="G62" t="s">
        <v>29</v>
      </c>
      <c r="H62" t="s">
        <v>262</v>
      </c>
      <c r="I62" t="s">
        <v>126</v>
      </c>
      <c r="J62" t="s">
        <v>127</v>
      </c>
      <c r="K62">
        <v>32</v>
      </c>
      <c r="L62" t="str">
        <f>IF(SportClimbing[[#This Row],[Height (m)]]&lt;11, "0-10", IF(SportClimbing[[#This Row],[Height (m)]]&lt;16, "11-15", IF(SportClimbing[[#This Row],[Height (m)]]&lt;21, "16-20", IF(SportClimbing[[#This Row],[Height (m)]]&lt;26, "21-25", IF(SportClimbing[[#This Row],[Height (m)]]&lt;31, "26-30", IF(SportClimbing[[#This Row],[Height (m)]]&lt;36, "31-35", "35+"))))))</f>
        <v>31-35</v>
      </c>
      <c r="M62" t="s">
        <v>120</v>
      </c>
      <c r="N62" t="s">
        <v>11</v>
      </c>
      <c r="O62">
        <f>IF(ISNUMBER(SportClimbing[[#This Row],[Total number of tries]])=TRUE, SportClimbing[[#This Row],[Total number of tries]], 1)</f>
        <v>1</v>
      </c>
      <c r="P62" t="str">
        <f>IF(ISNUMBER(SportClimbing[[#This Row],[Total number of tries]])=TRUE, "redpoint", SportClimbing[[#This Row],[Total number of tries]])</f>
        <v>flash</v>
      </c>
      <c r="Q62">
        <f>_xlfn.XLOOKUP(SportClimbing[[#This Row],[Grade]],SCORE[GRADE],SCORE[SCORE],,)</f>
        <v>25</v>
      </c>
    </row>
    <row r="63" spans="1:17" x14ac:dyDescent="0.25">
      <c r="A63" s="21">
        <f>DATE(SportClimbing[[#This Row],[Year]],_xlfn.XLOOKUP(SportClimbing[[#This Row],[Month]],MONTHS[MONTHS 2],MONTHS[MONTHS 3]),SportClimbing[[#This Row],[Day]])</f>
        <v>43154</v>
      </c>
      <c r="B63" s="21" t="b">
        <f ca="1">AND(SportClimbing[[#This Row],[Date]] &gt;= TODAY()-365, SportClimbing[[#This Row],[Date]] &lt;= TODAY())</f>
        <v>0</v>
      </c>
      <c r="C63">
        <v>23</v>
      </c>
      <c r="D63" t="s">
        <v>152</v>
      </c>
      <c r="E63">
        <v>2018</v>
      </c>
      <c r="F63" t="s">
        <v>135</v>
      </c>
      <c r="G63" t="s">
        <v>29</v>
      </c>
      <c r="H63" t="s">
        <v>262</v>
      </c>
      <c r="I63" t="s">
        <v>126</v>
      </c>
      <c r="J63" t="s">
        <v>128</v>
      </c>
      <c r="K63">
        <v>32</v>
      </c>
      <c r="L63" t="str">
        <f>IF(SportClimbing[[#This Row],[Height (m)]]&lt;11, "0-10", IF(SportClimbing[[#This Row],[Height (m)]]&lt;16, "11-15", IF(SportClimbing[[#This Row],[Height (m)]]&lt;21, "16-20", IF(SportClimbing[[#This Row],[Height (m)]]&lt;26, "21-25", IF(SportClimbing[[#This Row],[Height (m)]]&lt;31, "26-30", IF(SportClimbing[[#This Row],[Height (m)]]&lt;36, "31-35", "35+"))))))</f>
        <v>31-35</v>
      </c>
      <c r="M63" t="s">
        <v>120</v>
      </c>
      <c r="N63">
        <v>2</v>
      </c>
      <c r="O63">
        <f>IF(ISNUMBER(SportClimbing[[#This Row],[Total number of tries]])=TRUE, SportClimbing[[#This Row],[Total number of tries]], 1)</f>
        <v>2</v>
      </c>
      <c r="P63" t="str">
        <f>IF(ISNUMBER(SportClimbing[[#This Row],[Total number of tries]])=TRUE, "redpoint", SportClimbing[[#This Row],[Total number of tries]])</f>
        <v>redpoint</v>
      </c>
      <c r="Q63">
        <f>_xlfn.XLOOKUP(SportClimbing[[#This Row],[Grade]],SCORE[GRADE],SCORE[SCORE],,)</f>
        <v>25</v>
      </c>
    </row>
    <row r="64" spans="1:17" x14ac:dyDescent="0.25">
      <c r="A64" s="21">
        <f>DATE(SportClimbing[[#This Row],[Year]],_xlfn.XLOOKUP(SportClimbing[[#This Row],[Month]],MONTHS[MONTHS 2],MONTHS[MONTHS 3]),SportClimbing[[#This Row],[Day]])</f>
        <v>43155</v>
      </c>
      <c r="B64" s="21" t="b">
        <f ca="1">AND(SportClimbing[[#This Row],[Date]] &gt;= TODAY()-365, SportClimbing[[#This Row],[Date]] &lt;= TODAY())</f>
        <v>0</v>
      </c>
      <c r="C64">
        <v>24</v>
      </c>
      <c r="D64" t="s">
        <v>152</v>
      </c>
      <c r="E64">
        <v>2018</v>
      </c>
      <c r="F64" t="s">
        <v>244</v>
      </c>
      <c r="G64" t="s">
        <v>3</v>
      </c>
      <c r="H64" t="s">
        <v>262</v>
      </c>
      <c r="I64" t="s">
        <v>126</v>
      </c>
      <c r="J64" t="s">
        <v>129</v>
      </c>
      <c r="K64">
        <v>32</v>
      </c>
      <c r="L64" t="str">
        <f>IF(SportClimbing[[#This Row],[Height (m)]]&lt;11, "0-10", IF(SportClimbing[[#This Row],[Height (m)]]&lt;16, "11-15", IF(SportClimbing[[#This Row],[Height (m)]]&lt;21, "16-20", IF(SportClimbing[[#This Row],[Height (m)]]&lt;26, "21-25", IF(SportClimbing[[#This Row],[Height (m)]]&lt;31, "26-30", IF(SportClimbing[[#This Row],[Height (m)]]&lt;36, "31-35", "35+"))))))</f>
        <v>31-35</v>
      </c>
      <c r="M64" t="s">
        <v>120</v>
      </c>
      <c r="N64" t="s">
        <v>130</v>
      </c>
      <c r="O64">
        <f>IF(ISNUMBER(SportClimbing[[#This Row],[Total number of tries]])=TRUE, SportClimbing[[#This Row],[Total number of tries]], 1)</f>
        <v>1</v>
      </c>
      <c r="P64" t="str">
        <f>IF(ISNUMBER(SportClimbing[[#This Row],[Total number of tries]])=TRUE, "redpoint", SportClimbing[[#This Row],[Total number of tries]])</f>
        <v>onsight</v>
      </c>
      <c r="Q64">
        <f>_xlfn.XLOOKUP(SportClimbing[[#This Row],[Grade]],SCORE[GRADE],SCORE[SCORE],,)</f>
        <v>10</v>
      </c>
    </row>
    <row r="65" spans="1:17" x14ac:dyDescent="0.25">
      <c r="A65" s="21">
        <f>DATE(SportClimbing[[#This Row],[Year]],_xlfn.XLOOKUP(SportClimbing[[#This Row],[Month]],MONTHS[MONTHS 2],MONTHS[MONTHS 3]),SportClimbing[[#This Row],[Day]])</f>
        <v>43177</v>
      </c>
      <c r="B65" s="21" t="b">
        <f ca="1">AND(SportClimbing[[#This Row],[Date]] &gt;= TODAY()-365, SportClimbing[[#This Row],[Date]] &lt;= TODAY())</f>
        <v>0</v>
      </c>
      <c r="C65">
        <v>18</v>
      </c>
      <c r="D65" t="s">
        <v>367</v>
      </c>
      <c r="E65">
        <v>2018</v>
      </c>
      <c r="F65" t="s">
        <v>174</v>
      </c>
      <c r="G65" t="s">
        <v>3</v>
      </c>
      <c r="H65" t="s">
        <v>262</v>
      </c>
      <c r="I65" t="s">
        <v>68</v>
      </c>
      <c r="J65" t="s">
        <v>173</v>
      </c>
      <c r="K65">
        <v>18</v>
      </c>
      <c r="L65" t="str">
        <f>IF(SportClimbing[[#This Row],[Height (m)]]&lt;11, "0-10", IF(SportClimbing[[#This Row],[Height (m)]]&lt;16, "11-15", IF(SportClimbing[[#This Row],[Height (m)]]&lt;21, "16-20", IF(SportClimbing[[#This Row],[Height (m)]]&lt;26, "21-25", IF(SportClimbing[[#This Row],[Height (m)]]&lt;31, "26-30", IF(SportClimbing[[#This Row],[Height (m)]]&lt;36, "31-35", "35+"))))))</f>
        <v>16-20</v>
      </c>
      <c r="M65" t="s">
        <v>164</v>
      </c>
      <c r="N65">
        <v>2</v>
      </c>
      <c r="O65">
        <f>IF(ISNUMBER(SportClimbing[[#This Row],[Total number of tries]])=TRUE, SportClimbing[[#This Row],[Total number of tries]], 1)</f>
        <v>2</v>
      </c>
      <c r="P65" t="str">
        <f>IF(ISNUMBER(SportClimbing[[#This Row],[Total number of tries]])=TRUE, "redpoint", SportClimbing[[#This Row],[Total number of tries]])</f>
        <v>redpoint</v>
      </c>
      <c r="Q65">
        <f>_xlfn.XLOOKUP(SportClimbing[[#This Row],[Grade]],SCORE[GRADE],SCORE[SCORE],,)</f>
        <v>10</v>
      </c>
    </row>
    <row r="66" spans="1:17" x14ac:dyDescent="0.25">
      <c r="A66" s="21">
        <f>DATE(SportClimbing[[#This Row],[Year]],_xlfn.XLOOKUP(SportClimbing[[#This Row],[Month]],MONTHS[MONTHS 2],MONTHS[MONTHS 3]),SportClimbing[[#This Row],[Day]])</f>
        <v>43189</v>
      </c>
      <c r="B66" s="21" t="b">
        <f ca="1">AND(SportClimbing[[#This Row],[Date]] &gt;= TODAY()-365, SportClimbing[[#This Row],[Date]] &lt;= TODAY())</f>
        <v>0</v>
      </c>
      <c r="C66">
        <v>30</v>
      </c>
      <c r="D66" t="s">
        <v>367</v>
      </c>
      <c r="E66">
        <v>2018</v>
      </c>
      <c r="F66" t="s">
        <v>165</v>
      </c>
      <c r="G66" t="s">
        <v>69</v>
      </c>
      <c r="H66" t="s">
        <v>262</v>
      </c>
      <c r="I66" t="s">
        <v>126</v>
      </c>
      <c r="J66" t="s">
        <v>127</v>
      </c>
      <c r="K66">
        <v>20</v>
      </c>
      <c r="L66" t="str">
        <f>IF(SportClimbing[[#This Row],[Height (m)]]&lt;11, "0-10", IF(SportClimbing[[#This Row],[Height (m)]]&lt;16, "11-15", IF(SportClimbing[[#This Row],[Height (m)]]&lt;21, "16-20", IF(SportClimbing[[#This Row],[Height (m)]]&lt;26, "21-25", IF(SportClimbing[[#This Row],[Height (m)]]&lt;31, "26-30", IF(SportClimbing[[#This Row],[Height (m)]]&lt;36, "31-35", "35+"))))))</f>
        <v>16-20</v>
      </c>
      <c r="M66" t="s">
        <v>132</v>
      </c>
      <c r="N66">
        <v>5</v>
      </c>
      <c r="O66">
        <f>IF(ISNUMBER(SportClimbing[[#This Row],[Total number of tries]])=TRUE, SportClimbing[[#This Row],[Total number of tries]], 1)</f>
        <v>5</v>
      </c>
      <c r="P66" t="str">
        <f>IF(ISNUMBER(SportClimbing[[#This Row],[Total number of tries]])=TRUE, "redpoint", SportClimbing[[#This Row],[Total number of tries]])</f>
        <v>redpoint</v>
      </c>
      <c r="Q66">
        <f>_xlfn.XLOOKUP(SportClimbing[[#This Row],[Grade]],SCORE[GRADE],SCORE[SCORE],,)</f>
        <v>60</v>
      </c>
    </row>
    <row r="67" spans="1:17" x14ac:dyDescent="0.25">
      <c r="A67" s="21">
        <f>DATE(SportClimbing[[#This Row],[Year]],_xlfn.XLOOKUP(SportClimbing[[#This Row],[Month]],MONTHS[MONTHS 2],MONTHS[MONTHS 3]),SportClimbing[[#This Row],[Day]])</f>
        <v>43190</v>
      </c>
      <c r="B67" s="21" t="b">
        <f ca="1">AND(SportClimbing[[#This Row],[Date]] &gt;= TODAY()-365, SportClimbing[[#This Row],[Date]] &lt;= TODAY())</f>
        <v>0</v>
      </c>
      <c r="C67">
        <v>31</v>
      </c>
      <c r="D67" t="s">
        <v>367</v>
      </c>
      <c r="E67">
        <v>2018</v>
      </c>
      <c r="F67" t="s">
        <v>167</v>
      </c>
      <c r="G67" t="s">
        <v>21</v>
      </c>
      <c r="H67" t="s">
        <v>262</v>
      </c>
      <c r="I67" t="s">
        <v>126</v>
      </c>
      <c r="J67" t="s">
        <v>264</v>
      </c>
      <c r="K67">
        <v>18</v>
      </c>
      <c r="L67" t="str">
        <f>IF(SportClimbing[[#This Row],[Height (m)]]&lt;11, "0-10", IF(SportClimbing[[#This Row],[Height (m)]]&lt;16, "11-15", IF(SportClimbing[[#This Row],[Height (m)]]&lt;21, "16-20", IF(SportClimbing[[#This Row],[Height (m)]]&lt;26, "21-25", IF(SportClimbing[[#This Row],[Height (m)]]&lt;31, "26-30", IF(SportClimbing[[#This Row],[Height (m)]]&lt;36, "31-35", "35+"))))))</f>
        <v>16-20</v>
      </c>
      <c r="M67" t="s">
        <v>132</v>
      </c>
      <c r="N67">
        <v>2</v>
      </c>
      <c r="O67">
        <f>IF(ISNUMBER(SportClimbing[[#This Row],[Total number of tries]])=TRUE, SportClimbing[[#This Row],[Total number of tries]], 1)</f>
        <v>2</v>
      </c>
      <c r="P67" t="str">
        <f>IF(ISNUMBER(SportClimbing[[#This Row],[Total number of tries]])=TRUE, "redpoint", SportClimbing[[#This Row],[Total number of tries]])</f>
        <v>redpoint</v>
      </c>
      <c r="Q67">
        <f>_xlfn.XLOOKUP(SportClimbing[[#This Row],[Grade]],SCORE[GRADE],SCORE[SCORE],,)</f>
        <v>15</v>
      </c>
    </row>
    <row r="68" spans="1:17" x14ac:dyDescent="0.25">
      <c r="A68" s="21">
        <f>DATE(SportClimbing[[#This Row],[Year]],_xlfn.XLOOKUP(SportClimbing[[#This Row],[Month]],MONTHS[MONTHS 2],MONTHS[MONTHS 3]),SportClimbing[[#This Row],[Day]])</f>
        <v>43191</v>
      </c>
      <c r="B68" s="21" t="b">
        <f ca="1">AND(SportClimbing[[#This Row],[Date]] &gt;= TODAY()-365, SportClimbing[[#This Row],[Date]] &lt;= TODAY())</f>
        <v>0</v>
      </c>
      <c r="C68">
        <v>1</v>
      </c>
      <c r="D68" t="s">
        <v>368</v>
      </c>
      <c r="E68">
        <v>2018</v>
      </c>
      <c r="F68" t="s">
        <v>244</v>
      </c>
      <c r="G68" t="s">
        <v>32</v>
      </c>
      <c r="H68" t="s">
        <v>262</v>
      </c>
      <c r="I68" t="s">
        <v>126</v>
      </c>
      <c r="J68" t="s">
        <v>166</v>
      </c>
      <c r="K68">
        <v>30</v>
      </c>
      <c r="L68" t="str">
        <f>IF(SportClimbing[[#This Row],[Height (m)]]&lt;11, "0-10", IF(SportClimbing[[#This Row],[Height (m)]]&lt;16, "11-15", IF(SportClimbing[[#This Row],[Height (m)]]&lt;21, "16-20", IF(SportClimbing[[#This Row],[Height (m)]]&lt;26, "21-25", IF(SportClimbing[[#This Row],[Height (m)]]&lt;31, "26-30", IF(SportClimbing[[#This Row],[Height (m)]]&lt;36, "31-35", "35+"))))))</f>
        <v>26-30</v>
      </c>
      <c r="M68" t="s">
        <v>164</v>
      </c>
      <c r="N68">
        <v>2</v>
      </c>
      <c r="O68">
        <f>IF(ISNUMBER(SportClimbing[[#This Row],[Total number of tries]])=TRUE, SportClimbing[[#This Row],[Total number of tries]], 1)</f>
        <v>2</v>
      </c>
      <c r="P68" t="str">
        <f>IF(ISNUMBER(SportClimbing[[#This Row],[Total number of tries]])=TRUE, "redpoint", SportClimbing[[#This Row],[Total number of tries]])</f>
        <v>redpoint</v>
      </c>
      <c r="Q68">
        <f>_xlfn.XLOOKUP(SportClimbing[[#This Row],[Grade]],SCORE[GRADE],SCORE[SCORE],,)</f>
        <v>40</v>
      </c>
    </row>
    <row r="69" spans="1:17" x14ac:dyDescent="0.25">
      <c r="A69" s="21">
        <f>DATE(SportClimbing[[#This Row],[Year]],_xlfn.XLOOKUP(SportClimbing[[#This Row],[Month]],MONTHS[MONTHS 2],MONTHS[MONTHS 3]),SportClimbing[[#This Row],[Day]])</f>
        <v>43192</v>
      </c>
      <c r="B69" s="21" t="b">
        <f ca="1">AND(SportClimbing[[#This Row],[Date]] &gt;= TODAY()-365, SportClimbing[[#This Row],[Date]] &lt;= TODAY())</f>
        <v>0</v>
      </c>
      <c r="C69">
        <v>2</v>
      </c>
      <c r="D69" t="s">
        <v>368</v>
      </c>
      <c r="E69">
        <v>2018</v>
      </c>
      <c r="F69" t="s">
        <v>244</v>
      </c>
      <c r="G69" t="s">
        <v>29</v>
      </c>
      <c r="H69" t="s">
        <v>262</v>
      </c>
      <c r="I69" t="s">
        <v>126</v>
      </c>
      <c r="J69" t="s">
        <v>168</v>
      </c>
      <c r="K69">
        <v>30</v>
      </c>
      <c r="L69" t="str">
        <f>IF(SportClimbing[[#This Row],[Height (m)]]&lt;11, "0-10", IF(SportClimbing[[#This Row],[Height (m)]]&lt;16, "11-15", IF(SportClimbing[[#This Row],[Height (m)]]&lt;21, "16-20", IF(SportClimbing[[#This Row],[Height (m)]]&lt;26, "21-25", IF(SportClimbing[[#This Row],[Height (m)]]&lt;31, "26-30", IF(SportClimbing[[#This Row],[Height (m)]]&lt;36, "31-35", "35+"))))))</f>
        <v>26-30</v>
      </c>
      <c r="M69" t="s">
        <v>132</v>
      </c>
      <c r="N69">
        <v>4</v>
      </c>
      <c r="O69">
        <f>IF(ISNUMBER(SportClimbing[[#This Row],[Total number of tries]])=TRUE, SportClimbing[[#This Row],[Total number of tries]], 1)</f>
        <v>4</v>
      </c>
      <c r="P69" t="str">
        <f>IF(ISNUMBER(SportClimbing[[#This Row],[Total number of tries]])=TRUE, "redpoint", SportClimbing[[#This Row],[Total number of tries]])</f>
        <v>redpoint</v>
      </c>
      <c r="Q69">
        <f>_xlfn.XLOOKUP(SportClimbing[[#This Row],[Grade]],SCORE[GRADE],SCORE[SCORE],,)</f>
        <v>25</v>
      </c>
    </row>
    <row r="70" spans="1:17" x14ac:dyDescent="0.25">
      <c r="A70" s="21">
        <f>DATE(SportClimbing[[#This Row],[Year]],_xlfn.XLOOKUP(SportClimbing[[#This Row],[Month]],MONTHS[MONTHS 2],MONTHS[MONTHS 3]),SportClimbing[[#This Row],[Day]])</f>
        <v>43208</v>
      </c>
      <c r="B70" s="21" t="b">
        <f ca="1">AND(SportClimbing[[#This Row],[Date]] &gt;= TODAY()-365, SportClimbing[[#This Row],[Date]] &lt;= TODAY())</f>
        <v>0</v>
      </c>
      <c r="C70">
        <v>18</v>
      </c>
      <c r="D70" t="s">
        <v>368</v>
      </c>
      <c r="E70">
        <v>2018</v>
      </c>
      <c r="F70" t="s">
        <v>258</v>
      </c>
      <c r="G70" t="s">
        <v>29</v>
      </c>
      <c r="H70" t="s">
        <v>262</v>
      </c>
      <c r="I70" t="s">
        <v>105</v>
      </c>
      <c r="J70" t="s">
        <v>283</v>
      </c>
      <c r="K70">
        <v>25</v>
      </c>
      <c r="L70" t="str">
        <f>IF(SportClimbing[[#This Row],[Height (m)]]&lt;11, "0-10", IF(SportClimbing[[#This Row],[Height (m)]]&lt;16, "11-15", IF(SportClimbing[[#This Row],[Height (m)]]&lt;21, "16-20", IF(SportClimbing[[#This Row],[Height (m)]]&lt;26, "21-25", IF(SportClimbing[[#This Row],[Height (m)]]&lt;31, "26-30", IF(SportClimbing[[#This Row],[Height (m)]]&lt;36, "31-35", "35+"))))))</f>
        <v>21-25</v>
      </c>
      <c r="M70" t="s">
        <v>169</v>
      </c>
      <c r="N70">
        <v>2</v>
      </c>
      <c r="O70">
        <f>IF(ISNUMBER(SportClimbing[[#This Row],[Total number of tries]])=TRUE, SportClimbing[[#This Row],[Total number of tries]], 1)</f>
        <v>2</v>
      </c>
      <c r="P70" t="str">
        <f>IF(ISNUMBER(SportClimbing[[#This Row],[Total number of tries]])=TRUE, "redpoint", SportClimbing[[#This Row],[Total number of tries]])</f>
        <v>redpoint</v>
      </c>
      <c r="Q70">
        <f>_xlfn.XLOOKUP(SportClimbing[[#This Row],[Grade]],SCORE[GRADE],SCORE[SCORE],,)</f>
        <v>25</v>
      </c>
    </row>
    <row r="71" spans="1:17" x14ac:dyDescent="0.25">
      <c r="A71" s="21">
        <f>DATE(SportClimbing[[#This Row],[Year]],_xlfn.XLOOKUP(SportClimbing[[#This Row],[Month]],MONTHS[MONTHS 2],MONTHS[MONTHS 3]),SportClimbing[[#This Row],[Day]])</f>
        <v>43210</v>
      </c>
      <c r="B71" s="21" t="b">
        <f ca="1">AND(SportClimbing[[#This Row],[Date]] &gt;= TODAY()-365, SportClimbing[[#This Row],[Date]] &lt;= TODAY())</f>
        <v>0</v>
      </c>
      <c r="C71">
        <v>20</v>
      </c>
      <c r="D71" t="s">
        <v>368</v>
      </c>
      <c r="E71">
        <v>2018</v>
      </c>
      <c r="F71" t="s">
        <v>170</v>
      </c>
      <c r="G71" t="s">
        <v>3</v>
      </c>
      <c r="H71" t="s">
        <v>262</v>
      </c>
      <c r="I71" t="s">
        <v>43</v>
      </c>
      <c r="J71" t="s">
        <v>61</v>
      </c>
      <c r="K71">
        <v>35</v>
      </c>
      <c r="L71" t="str">
        <f>IF(SportClimbing[[#This Row],[Height (m)]]&lt;11, "0-10", IF(SportClimbing[[#This Row],[Height (m)]]&lt;16, "11-15", IF(SportClimbing[[#This Row],[Height (m)]]&lt;21, "16-20", IF(SportClimbing[[#This Row],[Height (m)]]&lt;26, "21-25", IF(SportClimbing[[#This Row],[Height (m)]]&lt;31, "26-30", IF(SportClimbing[[#This Row],[Height (m)]]&lt;36, "31-35", "35+"))))))</f>
        <v>31-35</v>
      </c>
      <c r="M71" t="s">
        <v>171</v>
      </c>
      <c r="N71" t="s">
        <v>130</v>
      </c>
      <c r="O71">
        <f>IF(ISNUMBER(SportClimbing[[#This Row],[Total number of tries]])=TRUE, SportClimbing[[#This Row],[Total number of tries]], 1)</f>
        <v>1</v>
      </c>
      <c r="P71" t="str">
        <f>IF(ISNUMBER(SportClimbing[[#This Row],[Total number of tries]])=TRUE, "redpoint", SportClimbing[[#This Row],[Total number of tries]])</f>
        <v>onsight</v>
      </c>
      <c r="Q71">
        <f>_xlfn.XLOOKUP(SportClimbing[[#This Row],[Grade]],SCORE[GRADE],SCORE[SCORE],,)</f>
        <v>10</v>
      </c>
    </row>
    <row r="72" spans="1:17" x14ac:dyDescent="0.25">
      <c r="A72" s="21">
        <f>DATE(SportClimbing[[#This Row],[Year]],_xlfn.XLOOKUP(SportClimbing[[#This Row],[Month]],MONTHS[MONTHS 2],MONTHS[MONTHS 3]),SportClimbing[[#This Row],[Day]])</f>
        <v>43212</v>
      </c>
      <c r="B72" s="21" t="b">
        <f ca="1">AND(SportClimbing[[#This Row],[Date]] &gt;= TODAY()-365, SportClimbing[[#This Row],[Date]] &lt;= TODAY())</f>
        <v>0</v>
      </c>
      <c r="C72">
        <v>22</v>
      </c>
      <c r="D72" t="s">
        <v>368</v>
      </c>
      <c r="E72">
        <v>2018</v>
      </c>
      <c r="F72" t="s">
        <v>172</v>
      </c>
      <c r="G72" t="s">
        <v>21</v>
      </c>
      <c r="H72" t="s">
        <v>262</v>
      </c>
      <c r="I72" t="s">
        <v>43</v>
      </c>
      <c r="J72" t="s">
        <v>201</v>
      </c>
      <c r="K72">
        <v>35</v>
      </c>
      <c r="L72" t="str">
        <f>IF(SportClimbing[[#This Row],[Height (m)]]&lt;11, "0-10", IF(SportClimbing[[#This Row],[Height (m)]]&lt;16, "11-15", IF(SportClimbing[[#This Row],[Height (m)]]&lt;21, "16-20", IF(SportClimbing[[#This Row],[Height (m)]]&lt;26, "21-25", IF(SportClimbing[[#This Row],[Height (m)]]&lt;31, "26-30", IF(SportClimbing[[#This Row],[Height (m)]]&lt;36, "31-35", "35+"))))))</f>
        <v>31-35</v>
      </c>
      <c r="M72" t="s">
        <v>53</v>
      </c>
      <c r="N72" t="s">
        <v>130</v>
      </c>
      <c r="O72">
        <f>IF(ISNUMBER(SportClimbing[[#This Row],[Total number of tries]])=TRUE, SportClimbing[[#This Row],[Total number of tries]], 1)</f>
        <v>1</v>
      </c>
      <c r="P72" t="str">
        <f>IF(ISNUMBER(SportClimbing[[#This Row],[Total number of tries]])=TRUE, "redpoint", SportClimbing[[#This Row],[Total number of tries]])</f>
        <v>onsight</v>
      </c>
      <c r="Q72">
        <f>_xlfn.XLOOKUP(SportClimbing[[#This Row],[Grade]],SCORE[GRADE],SCORE[SCORE],,)</f>
        <v>15</v>
      </c>
    </row>
    <row r="73" spans="1:17" x14ac:dyDescent="0.25">
      <c r="A73" s="21">
        <f>DATE(SportClimbing[[#This Row],[Year]],_xlfn.XLOOKUP(SportClimbing[[#This Row],[Month]],MONTHS[MONTHS 2],MONTHS[MONTHS 3]),SportClimbing[[#This Row],[Day]])</f>
        <v>43218</v>
      </c>
      <c r="B73" s="21" t="b">
        <f ca="1">AND(SportClimbing[[#This Row],[Date]] &gt;= TODAY()-365, SportClimbing[[#This Row],[Date]] &lt;= TODAY())</f>
        <v>0</v>
      </c>
      <c r="C73">
        <v>28</v>
      </c>
      <c r="D73" t="s">
        <v>368</v>
      </c>
      <c r="E73">
        <v>2018</v>
      </c>
      <c r="F73" t="s">
        <v>178</v>
      </c>
      <c r="G73" t="s">
        <v>3</v>
      </c>
      <c r="H73" t="s">
        <v>262</v>
      </c>
      <c r="I73" t="s">
        <v>68</v>
      </c>
      <c r="J73" t="s">
        <v>180</v>
      </c>
      <c r="K73">
        <v>25</v>
      </c>
      <c r="L73" t="str">
        <f>IF(SportClimbing[[#This Row],[Height (m)]]&lt;11, "0-10", IF(SportClimbing[[#This Row],[Height (m)]]&lt;16, "11-15", IF(SportClimbing[[#This Row],[Height (m)]]&lt;21, "16-20", IF(SportClimbing[[#This Row],[Height (m)]]&lt;26, "21-25", IF(SportClimbing[[#This Row],[Height (m)]]&lt;31, "26-30", IF(SportClimbing[[#This Row],[Height (m)]]&lt;36, "31-35", "35+"))))))</f>
        <v>21-25</v>
      </c>
      <c r="M73" t="s">
        <v>164</v>
      </c>
      <c r="N73" t="s">
        <v>130</v>
      </c>
      <c r="O73">
        <f>IF(ISNUMBER(SportClimbing[[#This Row],[Total number of tries]])=TRUE, SportClimbing[[#This Row],[Total number of tries]], 1)</f>
        <v>1</v>
      </c>
      <c r="P73" t="str">
        <f>IF(ISNUMBER(SportClimbing[[#This Row],[Total number of tries]])=TRUE, "redpoint", SportClimbing[[#This Row],[Total number of tries]])</f>
        <v>onsight</v>
      </c>
      <c r="Q73">
        <f>_xlfn.XLOOKUP(SportClimbing[[#This Row],[Grade]],SCORE[GRADE],SCORE[SCORE],,)</f>
        <v>10</v>
      </c>
    </row>
    <row r="74" spans="1:17" x14ac:dyDescent="0.25">
      <c r="A74" s="21">
        <f>DATE(SportClimbing[[#This Row],[Year]],_xlfn.XLOOKUP(SportClimbing[[#This Row],[Month]],MONTHS[MONTHS 2],MONTHS[MONTHS 3]),SportClimbing[[#This Row],[Day]])</f>
        <v>43218</v>
      </c>
      <c r="B74" s="21" t="b">
        <f ca="1">AND(SportClimbing[[#This Row],[Date]] &gt;= TODAY()-365, SportClimbing[[#This Row],[Date]] &lt;= TODAY())</f>
        <v>0</v>
      </c>
      <c r="C74">
        <v>28</v>
      </c>
      <c r="D74" t="s">
        <v>368</v>
      </c>
      <c r="E74">
        <v>2018</v>
      </c>
      <c r="F74" t="s">
        <v>179</v>
      </c>
      <c r="G74" t="s">
        <v>21</v>
      </c>
      <c r="H74" t="s">
        <v>262</v>
      </c>
      <c r="I74" t="s">
        <v>68</v>
      </c>
      <c r="J74" t="s">
        <v>180</v>
      </c>
      <c r="K74">
        <v>25</v>
      </c>
      <c r="L74" t="str">
        <f>IF(SportClimbing[[#This Row],[Height (m)]]&lt;11, "0-10", IF(SportClimbing[[#This Row],[Height (m)]]&lt;16, "11-15", IF(SportClimbing[[#This Row],[Height (m)]]&lt;21, "16-20", IF(SportClimbing[[#This Row],[Height (m)]]&lt;26, "21-25", IF(SportClimbing[[#This Row],[Height (m)]]&lt;31, "26-30", IF(SportClimbing[[#This Row],[Height (m)]]&lt;36, "31-35", "35+"))))))</f>
        <v>21-25</v>
      </c>
      <c r="M74" t="s">
        <v>164</v>
      </c>
      <c r="N74">
        <v>2</v>
      </c>
      <c r="O74">
        <f>IF(ISNUMBER(SportClimbing[[#This Row],[Total number of tries]])=TRUE, SportClimbing[[#This Row],[Total number of tries]], 1)</f>
        <v>2</v>
      </c>
      <c r="P74" t="str">
        <f>IF(ISNUMBER(SportClimbing[[#This Row],[Total number of tries]])=TRUE, "redpoint", SportClimbing[[#This Row],[Total number of tries]])</f>
        <v>redpoint</v>
      </c>
      <c r="Q74">
        <f>_xlfn.XLOOKUP(SportClimbing[[#This Row],[Grade]],SCORE[GRADE],SCORE[SCORE],,)</f>
        <v>15</v>
      </c>
    </row>
    <row r="75" spans="1:17" x14ac:dyDescent="0.25">
      <c r="A75" s="21">
        <f>DATE(SportClimbing[[#This Row],[Year]],_xlfn.XLOOKUP(SportClimbing[[#This Row],[Month]],MONTHS[MONTHS 2],MONTHS[MONTHS 3]),SportClimbing[[#This Row],[Day]])</f>
        <v>43219</v>
      </c>
      <c r="B75" s="21" t="b">
        <f ca="1">AND(SportClimbing[[#This Row],[Date]] &gt;= TODAY()-365, SportClimbing[[#This Row],[Date]] &lt;= TODAY())</f>
        <v>0</v>
      </c>
      <c r="C75">
        <v>29</v>
      </c>
      <c r="D75" t="s">
        <v>368</v>
      </c>
      <c r="E75">
        <v>2018</v>
      </c>
      <c r="F75" t="s">
        <v>176</v>
      </c>
      <c r="G75" t="s">
        <v>3</v>
      </c>
      <c r="H75" t="s">
        <v>262</v>
      </c>
      <c r="I75" t="s">
        <v>68</v>
      </c>
      <c r="J75" t="s">
        <v>175</v>
      </c>
      <c r="K75">
        <v>30</v>
      </c>
      <c r="L75" t="str">
        <f>IF(SportClimbing[[#This Row],[Height (m)]]&lt;11, "0-10", IF(SportClimbing[[#This Row],[Height (m)]]&lt;16, "11-15", IF(SportClimbing[[#This Row],[Height (m)]]&lt;21, "16-20", IF(SportClimbing[[#This Row],[Height (m)]]&lt;26, "21-25", IF(SportClimbing[[#This Row],[Height (m)]]&lt;31, "26-30", IF(SportClimbing[[#This Row],[Height (m)]]&lt;36, "31-35", "35+"))))))</f>
        <v>26-30</v>
      </c>
      <c r="M75" t="s">
        <v>169</v>
      </c>
      <c r="N75" t="s">
        <v>130</v>
      </c>
      <c r="O75">
        <f>IF(ISNUMBER(SportClimbing[[#This Row],[Total number of tries]])=TRUE, SportClimbing[[#This Row],[Total number of tries]], 1)</f>
        <v>1</v>
      </c>
      <c r="P75" t="str">
        <f>IF(ISNUMBER(SportClimbing[[#This Row],[Total number of tries]])=TRUE, "redpoint", SportClimbing[[#This Row],[Total number of tries]])</f>
        <v>onsight</v>
      </c>
      <c r="Q75">
        <f>_xlfn.XLOOKUP(SportClimbing[[#This Row],[Grade]],SCORE[GRADE],SCORE[SCORE],,)</f>
        <v>10</v>
      </c>
    </row>
    <row r="76" spans="1:17" x14ac:dyDescent="0.25">
      <c r="A76" s="21">
        <f>DATE(SportClimbing[[#This Row],[Year]],_xlfn.XLOOKUP(SportClimbing[[#This Row],[Month]],MONTHS[MONTHS 2],MONTHS[MONTHS 3]),SportClimbing[[#This Row],[Day]])</f>
        <v>43219</v>
      </c>
      <c r="B76" s="21" t="b">
        <f ca="1">AND(SportClimbing[[#This Row],[Date]] &gt;= TODAY()-365, SportClimbing[[#This Row],[Date]] &lt;= TODAY())</f>
        <v>0</v>
      </c>
      <c r="C76">
        <v>29</v>
      </c>
      <c r="D76" t="s">
        <v>368</v>
      </c>
      <c r="E76">
        <v>2018</v>
      </c>
      <c r="F76" t="s">
        <v>177</v>
      </c>
      <c r="G76" t="s">
        <v>29</v>
      </c>
      <c r="H76" t="s">
        <v>262</v>
      </c>
      <c r="I76" t="s">
        <v>68</v>
      </c>
      <c r="J76" t="s">
        <v>175</v>
      </c>
      <c r="K76">
        <v>10</v>
      </c>
      <c r="L76" t="str">
        <f>IF(SportClimbing[[#This Row],[Height (m)]]&lt;11, "0-10", IF(SportClimbing[[#This Row],[Height (m)]]&lt;16, "11-15", IF(SportClimbing[[#This Row],[Height (m)]]&lt;21, "16-20", IF(SportClimbing[[#This Row],[Height (m)]]&lt;26, "21-25", IF(SportClimbing[[#This Row],[Height (m)]]&lt;31, "26-30", IF(SportClimbing[[#This Row],[Height (m)]]&lt;36, "31-35", "35+"))))))</f>
        <v>0-10</v>
      </c>
      <c r="M76" t="s">
        <v>164</v>
      </c>
      <c r="N76">
        <v>3</v>
      </c>
      <c r="O76">
        <f>IF(ISNUMBER(SportClimbing[[#This Row],[Total number of tries]])=TRUE, SportClimbing[[#This Row],[Total number of tries]], 1)</f>
        <v>3</v>
      </c>
      <c r="P76" t="str">
        <f>IF(ISNUMBER(SportClimbing[[#This Row],[Total number of tries]])=TRUE, "redpoint", SportClimbing[[#This Row],[Total number of tries]])</f>
        <v>redpoint</v>
      </c>
      <c r="Q76">
        <f>_xlfn.XLOOKUP(SportClimbing[[#This Row],[Grade]],SCORE[GRADE],SCORE[SCORE],,)</f>
        <v>25</v>
      </c>
    </row>
    <row r="77" spans="1:17" x14ac:dyDescent="0.25">
      <c r="A77" s="21">
        <f>DATE(SportClimbing[[#This Row],[Year]],_xlfn.XLOOKUP(SportClimbing[[#This Row],[Month]],MONTHS[MONTHS 2],MONTHS[MONTHS 3]),SportClimbing[[#This Row],[Day]])</f>
        <v>43246</v>
      </c>
      <c r="B77" s="21" t="b">
        <f ca="1">AND(SportClimbing[[#This Row],[Date]] &gt;= TODAY()-365, SportClimbing[[#This Row],[Date]] &lt;= TODAY())</f>
        <v>0</v>
      </c>
      <c r="C77">
        <v>26</v>
      </c>
      <c r="D77" t="s">
        <v>155</v>
      </c>
      <c r="E77">
        <v>2018</v>
      </c>
      <c r="F77" t="s">
        <v>182</v>
      </c>
      <c r="G77" t="s">
        <v>3</v>
      </c>
      <c r="H77" t="s">
        <v>262</v>
      </c>
      <c r="I77" t="s">
        <v>76</v>
      </c>
      <c r="J77" t="s">
        <v>183</v>
      </c>
      <c r="K77">
        <v>25</v>
      </c>
      <c r="L77" t="str">
        <f>IF(SportClimbing[[#This Row],[Height (m)]]&lt;11, "0-10", IF(SportClimbing[[#This Row],[Height (m)]]&lt;16, "11-15", IF(SportClimbing[[#This Row],[Height (m)]]&lt;21, "16-20", IF(SportClimbing[[#This Row],[Height (m)]]&lt;26, "21-25", IF(SportClimbing[[#This Row],[Height (m)]]&lt;31, "26-30", IF(SportClimbing[[#This Row],[Height (m)]]&lt;36, "31-35", "35+"))))))</f>
        <v>21-25</v>
      </c>
      <c r="M77" t="s">
        <v>133</v>
      </c>
      <c r="N77" t="s">
        <v>130</v>
      </c>
      <c r="O77">
        <f>IF(ISNUMBER(SportClimbing[[#This Row],[Total number of tries]])=TRUE, SportClimbing[[#This Row],[Total number of tries]], 1)</f>
        <v>1</v>
      </c>
      <c r="P77" t="str">
        <f>IF(ISNUMBER(SportClimbing[[#This Row],[Total number of tries]])=TRUE, "redpoint", SportClimbing[[#This Row],[Total number of tries]])</f>
        <v>onsight</v>
      </c>
      <c r="Q77">
        <f>_xlfn.XLOOKUP(SportClimbing[[#This Row],[Grade]],SCORE[GRADE],SCORE[SCORE],,)</f>
        <v>10</v>
      </c>
    </row>
    <row r="78" spans="1:17" x14ac:dyDescent="0.25">
      <c r="A78" s="21">
        <f>DATE(SportClimbing[[#This Row],[Year]],_xlfn.XLOOKUP(SportClimbing[[#This Row],[Month]],MONTHS[MONTHS 2],MONTHS[MONTHS 3]),SportClimbing[[#This Row],[Day]])</f>
        <v>43246</v>
      </c>
      <c r="B78" s="21" t="b">
        <f ca="1">AND(SportClimbing[[#This Row],[Date]] &gt;= TODAY()-365, SportClimbing[[#This Row],[Date]] &lt;= TODAY())</f>
        <v>0</v>
      </c>
      <c r="C78">
        <v>26</v>
      </c>
      <c r="D78" t="s">
        <v>155</v>
      </c>
      <c r="E78">
        <v>2018</v>
      </c>
      <c r="F78" t="s">
        <v>181</v>
      </c>
      <c r="G78" t="s">
        <v>21</v>
      </c>
      <c r="H78" t="s">
        <v>262</v>
      </c>
      <c r="I78" t="s">
        <v>76</v>
      </c>
      <c r="J78" t="s">
        <v>183</v>
      </c>
      <c r="K78">
        <v>25</v>
      </c>
      <c r="L78" t="str">
        <f>IF(SportClimbing[[#This Row],[Height (m)]]&lt;11, "0-10", IF(SportClimbing[[#This Row],[Height (m)]]&lt;16, "11-15", IF(SportClimbing[[#This Row],[Height (m)]]&lt;21, "16-20", IF(SportClimbing[[#This Row],[Height (m)]]&lt;26, "21-25", IF(SportClimbing[[#This Row],[Height (m)]]&lt;31, "26-30", IF(SportClimbing[[#This Row],[Height (m)]]&lt;36, "31-35", "35+"))))))</f>
        <v>21-25</v>
      </c>
      <c r="M78" t="s">
        <v>133</v>
      </c>
      <c r="N78" t="s">
        <v>130</v>
      </c>
      <c r="O78">
        <f>IF(ISNUMBER(SportClimbing[[#This Row],[Total number of tries]])=TRUE, SportClimbing[[#This Row],[Total number of tries]], 1)</f>
        <v>1</v>
      </c>
      <c r="P78" t="str">
        <f>IF(ISNUMBER(SportClimbing[[#This Row],[Total number of tries]])=TRUE, "redpoint", SportClimbing[[#This Row],[Total number of tries]])</f>
        <v>onsight</v>
      </c>
      <c r="Q78">
        <f>_xlfn.XLOOKUP(SportClimbing[[#This Row],[Grade]],SCORE[GRADE],SCORE[SCORE],,)</f>
        <v>15</v>
      </c>
    </row>
    <row r="79" spans="1:17" x14ac:dyDescent="0.25">
      <c r="A79" s="21">
        <f>DATE(SportClimbing[[#This Row],[Year]],_xlfn.XLOOKUP(SportClimbing[[#This Row],[Month]],MONTHS[MONTHS 2],MONTHS[MONTHS 3]),SportClimbing[[#This Row],[Day]])</f>
        <v>43261</v>
      </c>
      <c r="B79" s="21" t="b">
        <f ca="1">AND(SportClimbing[[#This Row],[Date]] &gt;= TODAY()-365, SportClimbing[[#This Row],[Date]] &lt;= TODAY())</f>
        <v>0</v>
      </c>
      <c r="C79">
        <v>10</v>
      </c>
      <c r="D79" t="s">
        <v>366</v>
      </c>
      <c r="E79">
        <v>2018</v>
      </c>
      <c r="F79" t="s">
        <v>185</v>
      </c>
      <c r="G79" t="s">
        <v>21</v>
      </c>
      <c r="H79" t="s">
        <v>262</v>
      </c>
      <c r="I79" t="s">
        <v>70</v>
      </c>
      <c r="J79" t="s">
        <v>184</v>
      </c>
      <c r="K79">
        <v>12</v>
      </c>
      <c r="L79" t="str">
        <f>IF(SportClimbing[[#This Row],[Height (m)]]&lt;11, "0-10", IF(SportClimbing[[#This Row],[Height (m)]]&lt;16, "11-15", IF(SportClimbing[[#This Row],[Height (m)]]&lt;21, "16-20", IF(SportClimbing[[#This Row],[Height (m)]]&lt;26, "21-25", IF(SportClimbing[[#This Row],[Height (m)]]&lt;31, "26-30", IF(SportClimbing[[#This Row],[Height (m)]]&lt;36, "31-35", "35+"))))))</f>
        <v>11-15</v>
      </c>
      <c r="M79" t="s">
        <v>164</v>
      </c>
      <c r="N79" t="s">
        <v>11</v>
      </c>
      <c r="O79">
        <f>IF(ISNUMBER(SportClimbing[[#This Row],[Total number of tries]])=TRUE, SportClimbing[[#This Row],[Total number of tries]], 1)</f>
        <v>1</v>
      </c>
      <c r="P79" t="str">
        <f>IF(ISNUMBER(SportClimbing[[#This Row],[Total number of tries]])=TRUE, "redpoint", SportClimbing[[#This Row],[Total number of tries]])</f>
        <v>flash</v>
      </c>
      <c r="Q79">
        <f>_xlfn.XLOOKUP(SportClimbing[[#This Row],[Grade]],SCORE[GRADE],SCORE[SCORE],,)</f>
        <v>15</v>
      </c>
    </row>
    <row r="80" spans="1:17" x14ac:dyDescent="0.25">
      <c r="A80" s="21">
        <f>DATE(SportClimbing[[#This Row],[Year]],_xlfn.XLOOKUP(SportClimbing[[#This Row],[Month]],MONTHS[MONTHS 2],MONTHS[MONTHS 3]),SportClimbing[[#This Row],[Day]])</f>
        <v>43275</v>
      </c>
      <c r="B80" s="21" t="b">
        <f ca="1">AND(SportClimbing[[#This Row],[Date]] &gt;= TODAY()-365, SportClimbing[[#This Row],[Date]] &lt;= TODAY())</f>
        <v>0</v>
      </c>
      <c r="C80">
        <v>24</v>
      </c>
      <c r="D80" t="s">
        <v>366</v>
      </c>
      <c r="E80">
        <v>2018</v>
      </c>
      <c r="F80" t="s">
        <v>188</v>
      </c>
      <c r="G80" t="s">
        <v>21</v>
      </c>
      <c r="H80" t="s">
        <v>262</v>
      </c>
      <c r="I80" t="s">
        <v>186</v>
      </c>
      <c r="J80" t="s">
        <v>187</v>
      </c>
      <c r="K80">
        <v>25</v>
      </c>
      <c r="L80" t="str">
        <f>IF(SportClimbing[[#This Row],[Height (m)]]&lt;11, "0-10", IF(SportClimbing[[#This Row],[Height (m)]]&lt;16, "11-15", IF(SportClimbing[[#This Row],[Height (m)]]&lt;21, "16-20", IF(SportClimbing[[#This Row],[Height (m)]]&lt;26, "21-25", IF(SportClimbing[[#This Row],[Height (m)]]&lt;31, "26-30", IF(SportClimbing[[#This Row],[Height (m)]]&lt;36, "31-35", "35+"))))))</f>
        <v>21-25</v>
      </c>
      <c r="M80" t="s">
        <v>164</v>
      </c>
      <c r="N80">
        <v>2</v>
      </c>
      <c r="O80">
        <f>IF(ISNUMBER(SportClimbing[[#This Row],[Total number of tries]])=TRUE, SportClimbing[[#This Row],[Total number of tries]], 1)</f>
        <v>2</v>
      </c>
      <c r="P80" t="str">
        <f>IF(ISNUMBER(SportClimbing[[#This Row],[Total number of tries]])=TRUE, "redpoint", SportClimbing[[#This Row],[Total number of tries]])</f>
        <v>redpoint</v>
      </c>
      <c r="Q80">
        <f>_xlfn.XLOOKUP(SportClimbing[[#This Row],[Grade]],SCORE[GRADE],SCORE[SCORE],,)</f>
        <v>15</v>
      </c>
    </row>
    <row r="81" spans="1:17" x14ac:dyDescent="0.25">
      <c r="A81" s="21">
        <f>DATE(SportClimbing[[#This Row],[Year]],_xlfn.XLOOKUP(SportClimbing[[#This Row],[Month]],MONTHS[MONTHS 2],MONTHS[MONTHS 3]),SportClimbing[[#This Row],[Day]])</f>
        <v>43353</v>
      </c>
      <c r="B81" s="21" t="b">
        <f ca="1">AND(SportClimbing[[#This Row],[Date]] &gt;= TODAY()-365, SportClimbing[[#This Row],[Date]] &lt;= TODAY())</f>
        <v>0</v>
      </c>
      <c r="C81">
        <v>10</v>
      </c>
      <c r="D81" t="s">
        <v>159</v>
      </c>
      <c r="E81">
        <v>2018</v>
      </c>
      <c r="F81" t="s">
        <v>189</v>
      </c>
      <c r="G81" t="s">
        <v>3</v>
      </c>
      <c r="H81" t="s">
        <v>262</v>
      </c>
      <c r="I81" t="s">
        <v>77</v>
      </c>
      <c r="J81" t="s">
        <v>256</v>
      </c>
      <c r="K81">
        <v>12</v>
      </c>
      <c r="L81" t="str">
        <f>IF(SportClimbing[[#This Row],[Height (m)]]&lt;11, "0-10", IF(SportClimbing[[#This Row],[Height (m)]]&lt;16, "11-15", IF(SportClimbing[[#This Row],[Height (m)]]&lt;21, "16-20", IF(SportClimbing[[#This Row],[Height (m)]]&lt;26, "21-25", IF(SportClimbing[[#This Row],[Height (m)]]&lt;31, "26-30", IF(SportClimbing[[#This Row],[Height (m)]]&lt;36, "31-35", "35+"))))))</f>
        <v>11-15</v>
      </c>
      <c r="M81" t="s">
        <v>83</v>
      </c>
      <c r="N81">
        <v>2</v>
      </c>
      <c r="O81">
        <f>IF(ISNUMBER(SportClimbing[[#This Row],[Total number of tries]])=TRUE, SportClimbing[[#This Row],[Total number of tries]], 1)</f>
        <v>2</v>
      </c>
      <c r="P81" t="str">
        <f>IF(ISNUMBER(SportClimbing[[#This Row],[Total number of tries]])=TRUE, "redpoint", SportClimbing[[#This Row],[Total number of tries]])</f>
        <v>redpoint</v>
      </c>
      <c r="Q81">
        <f>_xlfn.XLOOKUP(SportClimbing[[#This Row],[Grade]],SCORE[GRADE],SCORE[SCORE],,)</f>
        <v>10</v>
      </c>
    </row>
    <row r="82" spans="1:17" x14ac:dyDescent="0.25">
      <c r="A82" s="21">
        <f>DATE(SportClimbing[[#This Row],[Year]],_xlfn.XLOOKUP(SportClimbing[[#This Row],[Month]],MONTHS[MONTHS 2],MONTHS[MONTHS 3]),SportClimbing[[#This Row],[Day]])</f>
        <v>43407</v>
      </c>
      <c r="B82" s="21" t="b">
        <f ca="1">AND(SportClimbing[[#This Row],[Date]] &gt;= TODAY()-365, SportClimbing[[#This Row],[Date]] &lt;= TODAY())</f>
        <v>0</v>
      </c>
      <c r="C82">
        <v>3</v>
      </c>
      <c r="D82" t="s">
        <v>160</v>
      </c>
      <c r="E82">
        <v>2018</v>
      </c>
      <c r="F82" t="s">
        <v>192</v>
      </c>
      <c r="G82" t="s">
        <v>3</v>
      </c>
      <c r="H82" t="s">
        <v>262</v>
      </c>
      <c r="I82" t="s">
        <v>43</v>
      </c>
      <c r="J82" t="s">
        <v>190</v>
      </c>
      <c r="K82">
        <v>22</v>
      </c>
      <c r="L82" t="str">
        <f>IF(SportClimbing[[#This Row],[Height (m)]]&lt;11, "0-10", IF(SportClimbing[[#This Row],[Height (m)]]&lt;16, "11-15", IF(SportClimbing[[#This Row],[Height (m)]]&lt;21, "16-20", IF(SportClimbing[[#This Row],[Height (m)]]&lt;26, "21-25", IF(SportClimbing[[#This Row],[Height (m)]]&lt;31, "26-30", IF(SportClimbing[[#This Row],[Height (m)]]&lt;36, "31-35", "35+"))))))</f>
        <v>21-25</v>
      </c>
      <c r="M82" t="s">
        <v>104</v>
      </c>
      <c r="N82" t="s">
        <v>130</v>
      </c>
      <c r="O82">
        <f>IF(ISNUMBER(SportClimbing[[#This Row],[Total number of tries]])=TRUE, SportClimbing[[#This Row],[Total number of tries]], 1)</f>
        <v>1</v>
      </c>
      <c r="P82" t="str">
        <f>IF(ISNUMBER(SportClimbing[[#This Row],[Total number of tries]])=TRUE, "redpoint", SportClimbing[[#This Row],[Total number of tries]])</f>
        <v>onsight</v>
      </c>
      <c r="Q82">
        <f>_xlfn.XLOOKUP(SportClimbing[[#This Row],[Grade]],SCORE[GRADE],SCORE[SCORE],,)</f>
        <v>10</v>
      </c>
    </row>
    <row r="83" spans="1:17" x14ac:dyDescent="0.25">
      <c r="A83" s="21">
        <f>DATE(SportClimbing[[#This Row],[Year]],_xlfn.XLOOKUP(SportClimbing[[#This Row],[Month]],MONTHS[MONTHS 2],MONTHS[MONTHS 3]),SportClimbing[[#This Row],[Day]])</f>
        <v>43407</v>
      </c>
      <c r="B83" s="21" t="b">
        <f ca="1">AND(SportClimbing[[#This Row],[Date]] &gt;= TODAY()-365, SportClimbing[[#This Row],[Date]] &lt;= TODAY())</f>
        <v>0</v>
      </c>
      <c r="C83">
        <v>3</v>
      </c>
      <c r="D83" t="s">
        <v>160</v>
      </c>
      <c r="E83">
        <v>2018</v>
      </c>
      <c r="F83" t="s">
        <v>191</v>
      </c>
      <c r="G83" t="s">
        <v>21</v>
      </c>
      <c r="H83" t="s">
        <v>262</v>
      </c>
      <c r="I83" t="s">
        <v>43</v>
      </c>
      <c r="J83" t="s">
        <v>190</v>
      </c>
      <c r="K83">
        <v>25</v>
      </c>
      <c r="L83" t="str">
        <f>IF(SportClimbing[[#This Row],[Height (m)]]&lt;11, "0-10", IF(SportClimbing[[#This Row],[Height (m)]]&lt;16, "11-15", IF(SportClimbing[[#This Row],[Height (m)]]&lt;21, "16-20", IF(SportClimbing[[#This Row],[Height (m)]]&lt;26, "21-25", IF(SportClimbing[[#This Row],[Height (m)]]&lt;31, "26-30", IF(SportClimbing[[#This Row],[Height (m)]]&lt;36, "31-35", "35+"))))))</f>
        <v>21-25</v>
      </c>
      <c r="M83" t="s">
        <v>104</v>
      </c>
      <c r="N83">
        <v>2</v>
      </c>
      <c r="O83">
        <f>IF(ISNUMBER(SportClimbing[[#This Row],[Total number of tries]])=TRUE, SportClimbing[[#This Row],[Total number of tries]], 1)</f>
        <v>2</v>
      </c>
      <c r="P83" t="str">
        <f>IF(ISNUMBER(SportClimbing[[#This Row],[Total number of tries]])=TRUE, "redpoint", SportClimbing[[#This Row],[Total number of tries]])</f>
        <v>redpoint</v>
      </c>
      <c r="Q83">
        <f>_xlfn.XLOOKUP(SportClimbing[[#This Row],[Grade]],SCORE[GRADE],SCORE[SCORE],,)</f>
        <v>15</v>
      </c>
    </row>
    <row r="84" spans="1:17" x14ac:dyDescent="0.25">
      <c r="A84" s="21">
        <f>DATE(SportClimbing[[#This Row],[Year]],_xlfn.XLOOKUP(SportClimbing[[#This Row],[Month]],MONTHS[MONTHS 2],MONTHS[MONTHS 3]),SportClimbing[[#This Row],[Day]])</f>
        <v>43560</v>
      </c>
      <c r="B84" s="21" t="b">
        <f ca="1">AND(SportClimbing[[#This Row],[Date]] &gt;= TODAY()-365, SportClimbing[[#This Row],[Date]] &lt;= TODAY())</f>
        <v>0</v>
      </c>
      <c r="C84">
        <v>5</v>
      </c>
      <c r="D84" t="s">
        <v>368</v>
      </c>
      <c r="E84">
        <v>2019</v>
      </c>
      <c r="F84" t="s">
        <v>196</v>
      </c>
      <c r="G84" t="s">
        <v>3</v>
      </c>
      <c r="H84" t="s">
        <v>262</v>
      </c>
      <c r="I84" t="s">
        <v>43</v>
      </c>
      <c r="J84" t="s">
        <v>193</v>
      </c>
      <c r="K84">
        <v>30</v>
      </c>
      <c r="L84" t="str">
        <f>IF(SportClimbing[[#This Row],[Height (m)]]&lt;11, "0-10", IF(SportClimbing[[#This Row],[Height (m)]]&lt;16, "11-15", IF(SportClimbing[[#This Row],[Height (m)]]&lt;21, "16-20", IF(SportClimbing[[#This Row],[Height (m)]]&lt;26, "21-25", IF(SportClimbing[[#This Row],[Height (m)]]&lt;31, "26-30", IF(SportClimbing[[#This Row],[Height (m)]]&lt;36, "31-35", "35+"))))))</f>
        <v>26-30</v>
      </c>
      <c r="M84" t="s">
        <v>132</v>
      </c>
      <c r="N84">
        <v>2</v>
      </c>
      <c r="O84">
        <f>IF(ISNUMBER(SportClimbing[[#This Row],[Total number of tries]])=TRUE, SportClimbing[[#This Row],[Total number of tries]], 1)</f>
        <v>2</v>
      </c>
      <c r="P84" t="str">
        <f>IF(ISNUMBER(SportClimbing[[#This Row],[Total number of tries]])=TRUE, "redpoint", SportClimbing[[#This Row],[Total number of tries]])</f>
        <v>redpoint</v>
      </c>
      <c r="Q84">
        <f>_xlfn.XLOOKUP(SportClimbing[[#This Row],[Grade]],SCORE[GRADE],SCORE[SCORE],,)</f>
        <v>10</v>
      </c>
    </row>
    <row r="85" spans="1:17" x14ac:dyDescent="0.25">
      <c r="A85" s="21">
        <f>DATE(SportClimbing[[#This Row],[Year]],_xlfn.XLOOKUP(SportClimbing[[#This Row],[Month]],MONTHS[MONTHS 2],MONTHS[MONTHS 3]),SportClimbing[[#This Row],[Day]])</f>
        <v>43561</v>
      </c>
      <c r="B85" s="21" t="b">
        <f ca="1">AND(SportClimbing[[#This Row],[Date]] &gt;= TODAY()-365, SportClimbing[[#This Row],[Date]] &lt;= TODAY())</f>
        <v>0</v>
      </c>
      <c r="C85">
        <v>6</v>
      </c>
      <c r="D85" t="s">
        <v>368</v>
      </c>
      <c r="E85">
        <v>2019</v>
      </c>
      <c r="F85" t="s">
        <v>195</v>
      </c>
      <c r="G85" t="s">
        <v>3</v>
      </c>
      <c r="H85" t="s">
        <v>262</v>
      </c>
      <c r="I85" t="s">
        <v>43</v>
      </c>
      <c r="J85" t="s">
        <v>194</v>
      </c>
      <c r="K85">
        <v>13</v>
      </c>
      <c r="L85" t="str">
        <f>IF(SportClimbing[[#This Row],[Height (m)]]&lt;11, "0-10", IF(SportClimbing[[#This Row],[Height (m)]]&lt;16, "11-15", IF(SportClimbing[[#This Row],[Height (m)]]&lt;21, "16-20", IF(SportClimbing[[#This Row],[Height (m)]]&lt;26, "21-25", IF(SportClimbing[[#This Row],[Height (m)]]&lt;31, "26-30", IF(SportClimbing[[#This Row],[Height (m)]]&lt;36, "31-35", "35+"))))))</f>
        <v>11-15</v>
      </c>
      <c r="M85" t="s">
        <v>132</v>
      </c>
      <c r="N85">
        <v>2</v>
      </c>
      <c r="O85">
        <f>IF(ISNUMBER(SportClimbing[[#This Row],[Total number of tries]])=TRUE, SportClimbing[[#This Row],[Total number of tries]], 1)</f>
        <v>2</v>
      </c>
      <c r="P85" t="str">
        <f>IF(ISNUMBER(SportClimbing[[#This Row],[Total number of tries]])=TRUE, "redpoint", SportClimbing[[#This Row],[Total number of tries]])</f>
        <v>redpoint</v>
      </c>
      <c r="Q85">
        <f>_xlfn.XLOOKUP(SportClimbing[[#This Row],[Grade]],SCORE[GRADE],SCORE[SCORE],,)</f>
        <v>10</v>
      </c>
    </row>
    <row r="86" spans="1:17" x14ac:dyDescent="0.25">
      <c r="A86" s="21">
        <f>DATE(SportClimbing[[#This Row],[Year]],_xlfn.XLOOKUP(SportClimbing[[#This Row],[Month]],MONTHS[MONTHS 2],MONTHS[MONTHS 3]),SportClimbing[[#This Row],[Day]])</f>
        <v>43569</v>
      </c>
      <c r="B86" s="21" t="b">
        <f ca="1">AND(SportClimbing[[#This Row],[Date]] &gt;= TODAY()-365, SportClimbing[[#This Row],[Date]] &lt;= TODAY())</f>
        <v>0</v>
      </c>
      <c r="C86">
        <v>14</v>
      </c>
      <c r="D86" t="s">
        <v>368</v>
      </c>
      <c r="E86">
        <v>2019</v>
      </c>
      <c r="F86" t="s">
        <v>199</v>
      </c>
      <c r="G86" t="s">
        <v>21</v>
      </c>
      <c r="H86" t="s">
        <v>262</v>
      </c>
      <c r="I86" t="s">
        <v>70</v>
      </c>
      <c r="J86" t="s">
        <v>200</v>
      </c>
      <c r="K86">
        <v>25</v>
      </c>
      <c r="L86" t="str">
        <f>IF(SportClimbing[[#This Row],[Height (m)]]&lt;11, "0-10", IF(SportClimbing[[#This Row],[Height (m)]]&lt;16, "11-15", IF(SportClimbing[[#This Row],[Height (m)]]&lt;21, "16-20", IF(SportClimbing[[#This Row],[Height (m)]]&lt;26, "21-25", IF(SportClimbing[[#This Row],[Height (m)]]&lt;31, "26-30", IF(SportClimbing[[#This Row],[Height (m)]]&lt;36, "31-35", "35+"))))))</f>
        <v>21-25</v>
      </c>
      <c r="M86" t="s">
        <v>133</v>
      </c>
      <c r="N86" t="s">
        <v>11</v>
      </c>
      <c r="O86">
        <f>IF(ISNUMBER(SportClimbing[[#This Row],[Total number of tries]])=TRUE, SportClimbing[[#This Row],[Total number of tries]], 1)</f>
        <v>1</v>
      </c>
      <c r="P86" t="str">
        <f>IF(ISNUMBER(SportClimbing[[#This Row],[Total number of tries]])=TRUE, "redpoint", SportClimbing[[#This Row],[Total number of tries]])</f>
        <v>flash</v>
      </c>
      <c r="Q86">
        <f>_xlfn.XLOOKUP(SportClimbing[[#This Row],[Grade]],SCORE[GRADE],SCORE[SCORE],,)</f>
        <v>15</v>
      </c>
    </row>
    <row r="87" spans="1:17" x14ac:dyDescent="0.25">
      <c r="A87" s="21">
        <f>DATE(SportClimbing[[#This Row],[Year]],_xlfn.XLOOKUP(SportClimbing[[#This Row],[Month]],MONTHS[MONTHS 2],MONTHS[MONTHS 3]),SportClimbing[[#This Row],[Day]])</f>
        <v>43730</v>
      </c>
      <c r="B87" s="21" t="b">
        <f ca="1">AND(SportClimbing[[#This Row],[Date]] &gt;= TODAY()-365, SportClimbing[[#This Row],[Date]] &lt;= TODAY())</f>
        <v>0</v>
      </c>
      <c r="C87">
        <v>22</v>
      </c>
      <c r="D87" t="s">
        <v>159</v>
      </c>
      <c r="E87">
        <v>2019</v>
      </c>
      <c r="F87" t="s">
        <v>204</v>
      </c>
      <c r="G87" t="s">
        <v>21</v>
      </c>
      <c r="H87" t="s">
        <v>262</v>
      </c>
      <c r="I87" t="s">
        <v>70</v>
      </c>
      <c r="J87" t="s">
        <v>202</v>
      </c>
      <c r="K87">
        <v>20</v>
      </c>
      <c r="L87" t="str">
        <f>IF(SportClimbing[[#This Row],[Height (m)]]&lt;11, "0-10", IF(SportClimbing[[#This Row],[Height (m)]]&lt;16, "11-15", IF(SportClimbing[[#This Row],[Height (m)]]&lt;21, "16-20", IF(SportClimbing[[#This Row],[Height (m)]]&lt;26, "21-25", IF(SportClimbing[[#This Row],[Height (m)]]&lt;31, "26-30", IF(SportClimbing[[#This Row],[Height (m)]]&lt;36, "31-35", "35+"))))))</f>
        <v>16-20</v>
      </c>
      <c r="M87" t="s">
        <v>203</v>
      </c>
      <c r="N87">
        <v>2</v>
      </c>
      <c r="O87">
        <f>IF(ISNUMBER(SportClimbing[[#This Row],[Total number of tries]])=TRUE, SportClimbing[[#This Row],[Total number of tries]], 1)</f>
        <v>2</v>
      </c>
      <c r="P87" t="str">
        <f>IF(ISNUMBER(SportClimbing[[#This Row],[Total number of tries]])=TRUE, "redpoint", SportClimbing[[#This Row],[Total number of tries]])</f>
        <v>redpoint</v>
      </c>
      <c r="Q87">
        <f>_xlfn.XLOOKUP(SportClimbing[[#This Row],[Grade]],SCORE[GRADE],SCORE[SCORE],,)</f>
        <v>15</v>
      </c>
    </row>
    <row r="88" spans="1:17" x14ac:dyDescent="0.25">
      <c r="A88" s="21">
        <f>DATE(SportClimbing[[#This Row],[Year]],_xlfn.XLOOKUP(SportClimbing[[#This Row],[Month]],MONTHS[MONTHS 2],MONTHS[MONTHS 3]),SportClimbing[[#This Row],[Day]])</f>
        <v>43770</v>
      </c>
      <c r="B88" s="21" t="b">
        <f ca="1">AND(SportClimbing[[#This Row],[Date]] &gt;= TODAY()-365, SportClimbing[[#This Row],[Date]] &lt;= TODAY())</f>
        <v>0</v>
      </c>
      <c r="C88">
        <v>1</v>
      </c>
      <c r="D88" t="s">
        <v>160</v>
      </c>
      <c r="E88">
        <v>2019</v>
      </c>
      <c r="F88" t="s">
        <v>205</v>
      </c>
      <c r="G88" t="s">
        <v>29</v>
      </c>
      <c r="H88" t="s">
        <v>262</v>
      </c>
      <c r="I88" t="s">
        <v>43</v>
      </c>
      <c r="J88" t="s">
        <v>201</v>
      </c>
      <c r="K88">
        <v>30</v>
      </c>
      <c r="L88" t="str">
        <f>IF(SportClimbing[[#This Row],[Height (m)]]&lt;11, "0-10", IF(SportClimbing[[#This Row],[Height (m)]]&lt;16, "11-15", IF(SportClimbing[[#This Row],[Height (m)]]&lt;21, "16-20", IF(SportClimbing[[#This Row],[Height (m)]]&lt;26, "21-25", IF(SportClimbing[[#This Row],[Height (m)]]&lt;31, "26-30", IF(SportClimbing[[#This Row],[Height (m)]]&lt;36, "31-35", "35+"))))))</f>
        <v>26-30</v>
      </c>
      <c r="M88" t="s">
        <v>132</v>
      </c>
      <c r="N88">
        <v>3</v>
      </c>
      <c r="O88">
        <f>IF(ISNUMBER(SportClimbing[[#This Row],[Total number of tries]])=TRUE, SportClimbing[[#This Row],[Total number of tries]], 1)</f>
        <v>3</v>
      </c>
      <c r="P88" t="str">
        <f>IF(ISNUMBER(SportClimbing[[#This Row],[Total number of tries]])=TRUE, "redpoint", SportClimbing[[#This Row],[Total number of tries]])</f>
        <v>redpoint</v>
      </c>
      <c r="Q88">
        <f>_xlfn.XLOOKUP(SportClimbing[[#This Row],[Grade]],SCORE[GRADE],SCORE[SCORE],,)</f>
        <v>25</v>
      </c>
    </row>
    <row r="89" spans="1:17" x14ac:dyDescent="0.25">
      <c r="A89" s="21">
        <f>DATE(SportClimbing[[#This Row],[Year]],_xlfn.XLOOKUP(SportClimbing[[#This Row],[Month]],MONTHS[MONTHS 2],MONTHS[MONTHS 3]),SportClimbing[[#This Row],[Day]])</f>
        <v>43771</v>
      </c>
      <c r="B89" s="21" t="b">
        <f ca="1">AND(SportClimbing[[#This Row],[Date]] &gt;= TODAY()-365, SportClimbing[[#This Row],[Date]] &lt;= TODAY())</f>
        <v>0</v>
      </c>
      <c r="C89">
        <v>2</v>
      </c>
      <c r="D89" t="s">
        <v>160</v>
      </c>
      <c r="E89">
        <v>2019</v>
      </c>
      <c r="F89" t="s">
        <v>207</v>
      </c>
      <c r="G89" t="s">
        <v>3</v>
      </c>
      <c r="H89" t="s">
        <v>262</v>
      </c>
      <c r="I89" t="s">
        <v>43</v>
      </c>
      <c r="J89" t="s">
        <v>206</v>
      </c>
      <c r="K89">
        <v>30</v>
      </c>
      <c r="L89" t="str">
        <f>IF(SportClimbing[[#This Row],[Height (m)]]&lt;11, "0-10", IF(SportClimbing[[#This Row],[Height (m)]]&lt;16, "11-15", IF(SportClimbing[[#This Row],[Height (m)]]&lt;21, "16-20", IF(SportClimbing[[#This Row],[Height (m)]]&lt;26, "21-25", IF(SportClimbing[[#This Row],[Height (m)]]&lt;31, "26-30", IF(SportClimbing[[#This Row],[Height (m)]]&lt;36, "31-35", "35+"))))))</f>
        <v>26-30</v>
      </c>
      <c r="M89" t="s">
        <v>133</v>
      </c>
      <c r="N89">
        <v>2</v>
      </c>
      <c r="O89">
        <f>IF(ISNUMBER(SportClimbing[[#This Row],[Total number of tries]])=TRUE, SportClimbing[[#This Row],[Total number of tries]], 1)</f>
        <v>2</v>
      </c>
      <c r="P89" t="str">
        <f>IF(ISNUMBER(SportClimbing[[#This Row],[Total number of tries]])=TRUE, "redpoint", SportClimbing[[#This Row],[Total number of tries]])</f>
        <v>redpoint</v>
      </c>
      <c r="Q89">
        <f>_xlfn.XLOOKUP(SportClimbing[[#This Row],[Grade]],SCORE[GRADE],SCORE[SCORE],,)</f>
        <v>10</v>
      </c>
    </row>
    <row r="90" spans="1:17" x14ac:dyDescent="0.25">
      <c r="A90" s="21">
        <f>DATE(SportClimbing[[#This Row],[Year]],_xlfn.XLOOKUP(SportClimbing[[#This Row],[Month]],MONTHS[MONTHS 2],MONTHS[MONTHS 3]),SportClimbing[[#This Row],[Day]])</f>
        <v>43785</v>
      </c>
      <c r="B90" s="21" t="b">
        <f ca="1">AND(SportClimbing[[#This Row],[Date]] &gt;= TODAY()-365, SportClimbing[[#This Row],[Date]] &lt;= TODAY())</f>
        <v>0</v>
      </c>
      <c r="C90">
        <v>16</v>
      </c>
      <c r="D90" t="s">
        <v>160</v>
      </c>
      <c r="E90">
        <v>2019</v>
      </c>
      <c r="F90" t="s">
        <v>209</v>
      </c>
      <c r="G90" t="s">
        <v>29</v>
      </c>
      <c r="H90" t="s">
        <v>262</v>
      </c>
      <c r="I90" t="s">
        <v>68</v>
      </c>
      <c r="J90" t="s">
        <v>173</v>
      </c>
      <c r="K90">
        <v>20</v>
      </c>
      <c r="L90" t="str">
        <f>IF(SportClimbing[[#This Row],[Height (m)]]&lt;11, "0-10", IF(SportClimbing[[#This Row],[Height (m)]]&lt;16, "11-15", IF(SportClimbing[[#This Row],[Height (m)]]&lt;21, "16-20", IF(SportClimbing[[#This Row],[Height (m)]]&lt;26, "21-25", IF(SportClimbing[[#This Row],[Height (m)]]&lt;31, "26-30", IF(SportClimbing[[#This Row],[Height (m)]]&lt;36, "31-35", "35+"))))))</f>
        <v>16-20</v>
      </c>
      <c r="M90" t="s">
        <v>208</v>
      </c>
      <c r="N90">
        <v>2</v>
      </c>
      <c r="O90">
        <f>IF(ISNUMBER(SportClimbing[[#This Row],[Total number of tries]])=TRUE, SportClimbing[[#This Row],[Total number of tries]], 1)</f>
        <v>2</v>
      </c>
      <c r="P90" t="str">
        <f>IF(ISNUMBER(SportClimbing[[#This Row],[Total number of tries]])=TRUE, "redpoint", SportClimbing[[#This Row],[Total number of tries]])</f>
        <v>redpoint</v>
      </c>
      <c r="Q90">
        <f>_xlfn.XLOOKUP(SportClimbing[[#This Row],[Grade]],SCORE[GRADE],SCORE[SCORE],,)</f>
        <v>25</v>
      </c>
    </row>
    <row r="91" spans="1:17" x14ac:dyDescent="0.25">
      <c r="A91" s="21">
        <f>DATE(SportClimbing[[#This Row],[Year]],_xlfn.XLOOKUP(SportClimbing[[#This Row],[Month]],MONTHS[MONTHS 2],MONTHS[MONTHS 3]),SportClimbing[[#This Row],[Day]])</f>
        <v>44067</v>
      </c>
      <c r="B91" s="21" t="b">
        <f ca="1">AND(SportClimbing[[#This Row],[Date]] &gt;= TODAY()-365, SportClimbing[[#This Row],[Date]] &lt;= TODAY())</f>
        <v>0</v>
      </c>
      <c r="C91">
        <v>24</v>
      </c>
      <c r="D91" t="s">
        <v>158</v>
      </c>
      <c r="E91">
        <v>2020</v>
      </c>
      <c r="F91" t="s">
        <v>210</v>
      </c>
      <c r="G91" t="s">
        <v>21</v>
      </c>
      <c r="H91" t="s">
        <v>262</v>
      </c>
      <c r="I91" t="s">
        <v>43</v>
      </c>
      <c r="J91" t="s">
        <v>201</v>
      </c>
      <c r="K91">
        <v>35</v>
      </c>
      <c r="L91" t="str">
        <f>IF(SportClimbing[[#This Row],[Height (m)]]&lt;11, "0-10", IF(SportClimbing[[#This Row],[Height (m)]]&lt;16, "11-15", IF(SportClimbing[[#This Row],[Height (m)]]&lt;21, "16-20", IF(SportClimbing[[#This Row],[Height (m)]]&lt;26, "21-25", IF(SportClimbing[[#This Row],[Height (m)]]&lt;31, "26-30", IF(SportClimbing[[#This Row],[Height (m)]]&lt;36, "31-35", "35+"))))))</f>
        <v>31-35</v>
      </c>
      <c r="M91" t="s">
        <v>211</v>
      </c>
      <c r="N91">
        <v>2</v>
      </c>
      <c r="O91">
        <f>IF(ISNUMBER(SportClimbing[[#This Row],[Total number of tries]])=TRUE, SportClimbing[[#This Row],[Total number of tries]], 1)</f>
        <v>2</v>
      </c>
      <c r="P91" t="str">
        <f>IF(ISNUMBER(SportClimbing[[#This Row],[Total number of tries]])=TRUE, "redpoint", SportClimbing[[#This Row],[Total number of tries]])</f>
        <v>redpoint</v>
      </c>
      <c r="Q91">
        <f>_xlfn.XLOOKUP(SportClimbing[[#This Row],[Grade]],SCORE[GRADE],SCORE[SCORE],,)</f>
        <v>15</v>
      </c>
    </row>
    <row r="92" spans="1:17" x14ac:dyDescent="0.25">
      <c r="A92" s="21">
        <f>DATE(SportClimbing[[#This Row],[Year]],_xlfn.XLOOKUP(SportClimbing[[#This Row],[Month]],MONTHS[MONTHS 2],MONTHS[MONTHS 3]),SportClimbing[[#This Row],[Day]])</f>
        <v>44070</v>
      </c>
      <c r="B92" s="21" t="b">
        <f ca="1">AND(SportClimbing[[#This Row],[Date]] &gt;= TODAY()-365, SportClimbing[[#This Row],[Date]] &lt;= TODAY())</f>
        <v>0</v>
      </c>
      <c r="C92">
        <v>27</v>
      </c>
      <c r="D92" t="s">
        <v>158</v>
      </c>
      <c r="E92">
        <v>2020</v>
      </c>
      <c r="F92" t="s">
        <v>212</v>
      </c>
      <c r="G92" t="s">
        <v>29</v>
      </c>
      <c r="H92" t="s">
        <v>262</v>
      </c>
      <c r="I92" t="s">
        <v>43</v>
      </c>
      <c r="J92" t="s">
        <v>91</v>
      </c>
      <c r="K92">
        <v>22</v>
      </c>
      <c r="L92" t="str">
        <f>IF(SportClimbing[[#This Row],[Height (m)]]&lt;11, "0-10", IF(SportClimbing[[#This Row],[Height (m)]]&lt;16, "11-15", IF(SportClimbing[[#This Row],[Height (m)]]&lt;21, "16-20", IF(SportClimbing[[#This Row],[Height (m)]]&lt;26, "21-25", IF(SportClimbing[[#This Row],[Height (m)]]&lt;31, "26-30", IF(SportClimbing[[#This Row],[Height (m)]]&lt;36, "31-35", "35+"))))))</f>
        <v>21-25</v>
      </c>
      <c r="M92" t="s">
        <v>208</v>
      </c>
      <c r="N92">
        <v>6</v>
      </c>
      <c r="O92">
        <f>IF(ISNUMBER(SportClimbing[[#This Row],[Total number of tries]])=TRUE, SportClimbing[[#This Row],[Total number of tries]], 1)</f>
        <v>6</v>
      </c>
      <c r="P92" t="str">
        <f>IF(ISNUMBER(SportClimbing[[#This Row],[Total number of tries]])=TRUE, "redpoint", SportClimbing[[#This Row],[Total number of tries]])</f>
        <v>redpoint</v>
      </c>
      <c r="Q92">
        <f>_xlfn.XLOOKUP(SportClimbing[[#This Row],[Grade]],SCORE[GRADE],SCORE[SCORE],,)</f>
        <v>25</v>
      </c>
    </row>
    <row r="93" spans="1:17" x14ac:dyDescent="0.25">
      <c r="A93" s="21">
        <f>DATE(SportClimbing[[#This Row],[Year]],_xlfn.XLOOKUP(SportClimbing[[#This Row],[Month]],MONTHS[MONTHS 2],MONTHS[MONTHS 3]),SportClimbing[[#This Row],[Day]])</f>
        <v>44094</v>
      </c>
      <c r="B93" s="21" t="b">
        <f ca="1">AND(SportClimbing[[#This Row],[Date]] &gt;= TODAY()-365, SportClimbing[[#This Row],[Date]] &lt;= TODAY())</f>
        <v>0</v>
      </c>
      <c r="C93">
        <v>20</v>
      </c>
      <c r="D93" t="s">
        <v>159</v>
      </c>
      <c r="E93">
        <v>2020</v>
      </c>
      <c r="F93" t="s">
        <v>215</v>
      </c>
      <c r="G93" t="s">
        <v>21</v>
      </c>
      <c r="H93" t="s">
        <v>262</v>
      </c>
      <c r="I93" t="s">
        <v>100</v>
      </c>
      <c r="J93" t="s">
        <v>213</v>
      </c>
      <c r="K93">
        <v>25</v>
      </c>
      <c r="L93" t="str">
        <f>IF(SportClimbing[[#This Row],[Height (m)]]&lt;11, "0-10", IF(SportClimbing[[#This Row],[Height (m)]]&lt;16, "11-15", IF(SportClimbing[[#This Row],[Height (m)]]&lt;21, "16-20", IF(SportClimbing[[#This Row],[Height (m)]]&lt;26, "21-25", IF(SportClimbing[[#This Row],[Height (m)]]&lt;31, "26-30", IF(SportClimbing[[#This Row],[Height (m)]]&lt;36, "31-35", "35+"))))))</f>
        <v>21-25</v>
      </c>
      <c r="M93" t="s">
        <v>132</v>
      </c>
      <c r="N93" t="s">
        <v>11</v>
      </c>
      <c r="O93">
        <f>IF(ISNUMBER(SportClimbing[[#This Row],[Total number of tries]])=TRUE, SportClimbing[[#This Row],[Total number of tries]], 1)</f>
        <v>1</v>
      </c>
      <c r="P93" t="str">
        <f>IF(ISNUMBER(SportClimbing[[#This Row],[Total number of tries]])=TRUE, "redpoint", SportClimbing[[#This Row],[Total number of tries]])</f>
        <v>flash</v>
      </c>
      <c r="Q93">
        <f>_xlfn.XLOOKUP(SportClimbing[[#This Row],[Grade]],SCORE[GRADE],SCORE[SCORE],,)</f>
        <v>15</v>
      </c>
    </row>
    <row r="94" spans="1:17" x14ac:dyDescent="0.25">
      <c r="A94" s="21">
        <f>DATE(SportClimbing[[#This Row],[Year]],_xlfn.XLOOKUP(SportClimbing[[#This Row],[Month]],MONTHS[MONTHS 2],MONTHS[MONTHS 3]),SportClimbing[[#This Row],[Day]])</f>
        <v>44098</v>
      </c>
      <c r="B94" s="21" t="b">
        <f ca="1">AND(SportClimbing[[#This Row],[Date]] &gt;= TODAY()-365, SportClimbing[[#This Row],[Date]] &lt;= TODAY())</f>
        <v>0</v>
      </c>
      <c r="C94">
        <v>24</v>
      </c>
      <c r="D94" t="s">
        <v>159</v>
      </c>
      <c r="E94">
        <v>2020</v>
      </c>
      <c r="F94" t="s">
        <v>216</v>
      </c>
      <c r="G94" t="s">
        <v>32</v>
      </c>
      <c r="H94" t="s">
        <v>262</v>
      </c>
      <c r="I94" t="s">
        <v>100</v>
      </c>
      <c r="J94" t="s">
        <v>213</v>
      </c>
      <c r="K94">
        <v>25</v>
      </c>
      <c r="L94" t="str">
        <f>IF(SportClimbing[[#This Row],[Height (m)]]&lt;11, "0-10", IF(SportClimbing[[#This Row],[Height (m)]]&lt;16, "11-15", IF(SportClimbing[[#This Row],[Height (m)]]&lt;21, "16-20", IF(SportClimbing[[#This Row],[Height (m)]]&lt;26, "21-25", IF(SportClimbing[[#This Row],[Height (m)]]&lt;31, "26-30", IF(SportClimbing[[#This Row],[Height (m)]]&lt;36, "31-35", "35+"))))))</f>
        <v>21-25</v>
      </c>
      <c r="M94" t="s">
        <v>132</v>
      </c>
      <c r="N94">
        <v>4</v>
      </c>
      <c r="O94">
        <f>IF(ISNUMBER(SportClimbing[[#This Row],[Total number of tries]])=TRUE, SportClimbing[[#This Row],[Total number of tries]], 1)</f>
        <v>4</v>
      </c>
      <c r="P94" t="str">
        <f>IF(ISNUMBER(SportClimbing[[#This Row],[Total number of tries]])=TRUE, "redpoint", SportClimbing[[#This Row],[Total number of tries]])</f>
        <v>redpoint</v>
      </c>
      <c r="Q94">
        <f>_xlfn.XLOOKUP(SportClimbing[[#This Row],[Grade]],SCORE[GRADE],SCORE[SCORE],,)</f>
        <v>40</v>
      </c>
    </row>
    <row r="95" spans="1:17" x14ac:dyDescent="0.25">
      <c r="A95" s="21">
        <f>DATE(SportClimbing[[#This Row],[Year]],_xlfn.XLOOKUP(SportClimbing[[#This Row],[Month]],MONTHS[MONTHS 2],MONTHS[MONTHS 3]),SportClimbing[[#This Row],[Day]])</f>
        <v>44098</v>
      </c>
      <c r="B95" s="21" t="b">
        <f ca="1">AND(SportClimbing[[#This Row],[Date]] &gt;= TODAY()-365, SportClimbing[[#This Row],[Date]] &lt;= TODAY())</f>
        <v>0</v>
      </c>
      <c r="C95">
        <v>24</v>
      </c>
      <c r="D95" t="s">
        <v>159</v>
      </c>
      <c r="E95">
        <v>2020</v>
      </c>
      <c r="F95" t="s">
        <v>217</v>
      </c>
      <c r="G95" t="s">
        <v>3</v>
      </c>
      <c r="H95" t="s">
        <v>262</v>
      </c>
      <c r="I95" t="s">
        <v>100</v>
      </c>
      <c r="J95" t="s">
        <v>213</v>
      </c>
      <c r="K95">
        <v>25</v>
      </c>
      <c r="L95" t="str">
        <f>IF(SportClimbing[[#This Row],[Height (m)]]&lt;11, "0-10", IF(SportClimbing[[#This Row],[Height (m)]]&lt;16, "11-15", IF(SportClimbing[[#This Row],[Height (m)]]&lt;21, "16-20", IF(SportClimbing[[#This Row],[Height (m)]]&lt;26, "21-25", IF(SportClimbing[[#This Row],[Height (m)]]&lt;31, "26-30", IF(SportClimbing[[#This Row],[Height (m)]]&lt;36, "31-35", "35+"))))))</f>
        <v>21-25</v>
      </c>
      <c r="M95" t="s">
        <v>218</v>
      </c>
      <c r="N95" t="s">
        <v>11</v>
      </c>
      <c r="O95">
        <f>IF(ISNUMBER(SportClimbing[[#This Row],[Total number of tries]])=TRUE, SportClimbing[[#This Row],[Total number of tries]], 1)</f>
        <v>1</v>
      </c>
      <c r="P95" t="str">
        <f>IF(ISNUMBER(SportClimbing[[#This Row],[Total number of tries]])=TRUE, "redpoint", SportClimbing[[#This Row],[Total number of tries]])</f>
        <v>flash</v>
      </c>
      <c r="Q95">
        <f>_xlfn.XLOOKUP(SportClimbing[[#This Row],[Grade]],SCORE[GRADE],SCORE[SCORE],,)</f>
        <v>10</v>
      </c>
    </row>
    <row r="96" spans="1:17" x14ac:dyDescent="0.25">
      <c r="A96" s="21">
        <f>DATE(SportClimbing[[#This Row],[Year]],_xlfn.XLOOKUP(SportClimbing[[#This Row],[Month]],MONTHS[MONTHS 2],MONTHS[MONTHS 3]),SportClimbing[[#This Row],[Day]])</f>
        <v>44100</v>
      </c>
      <c r="B96" s="21" t="b">
        <f ca="1">AND(SportClimbing[[#This Row],[Date]] &gt;= TODAY()-365, SportClimbing[[#This Row],[Date]] &lt;= TODAY())</f>
        <v>0</v>
      </c>
      <c r="C96">
        <v>26</v>
      </c>
      <c r="D96" t="s">
        <v>159</v>
      </c>
      <c r="E96">
        <v>2020</v>
      </c>
      <c r="F96" t="s">
        <v>219</v>
      </c>
      <c r="G96" t="s">
        <v>21</v>
      </c>
      <c r="H96" t="s">
        <v>262</v>
      </c>
      <c r="I96" t="s">
        <v>100</v>
      </c>
      <c r="J96" t="s">
        <v>220</v>
      </c>
      <c r="K96">
        <v>25</v>
      </c>
      <c r="L96" t="str">
        <f>IF(SportClimbing[[#This Row],[Height (m)]]&lt;11, "0-10", IF(SportClimbing[[#This Row],[Height (m)]]&lt;16, "11-15", IF(SportClimbing[[#This Row],[Height (m)]]&lt;21, "16-20", IF(SportClimbing[[#This Row],[Height (m)]]&lt;26, "21-25", IF(SportClimbing[[#This Row],[Height (m)]]&lt;31, "26-30", IF(SportClimbing[[#This Row],[Height (m)]]&lt;36, "31-35", "35+"))))))</f>
        <v>21-25</v>
      </c>
      <c r="M96" t="s">
        <v>171</v>
      </c>
      <c r="N96" t="s">
        <v>130</v>
      </c>
      <c r="O96">
        <f>IF(ISNUMBER(SportClimbing[[#This Row],[Total number of tries]])=TRUE, SportClimbing[[#This Row],[Total number of tries]], 1)</f>
        <v>1</v>
      </c>
      <c r="P96" t="str">
        <f>IF(ISNUMBER(SportClimbing[[#This Row],[Total number of tries]])=TRUE, "redpoint", SportClimbing[[#This Row],[Total number of tries]])</f>
        <v>onsight</v>
      </c>
      <c r="Q96">
        <f>_xlfn.XLOOKUP(SportClimbing[[#This Row],[Grade]],SCORE[GRADE],SCORE[SCORE],,)</f>
        <v>15</v>
      </c>
    </row>
    <row r="97" spans="1:17" x14ac:dyDescent="0.25">
      <c r="A97" s="21">
        <f>DATE(SportClimbing[[#This Row],[Year]],_xlfn.XLOOKUP(SportClimbing[[#This Row],[Month]],MONTHS[MONTHS 2],MONTHS[MONTHS 3]),SportClimbing[[#This Row],[Day]])</f>
        <v>44121</v>
      </c>
      <c r="B97" s="21" t="b">
        <f ca="1">AND(SportClimbing[[#This Row],[Date]] &gt;= TODAY()-365, SportClimbing[[#This Row],[Date]] &lt;= TODAY())</f>
        <v>0</v>
      </c>
      <c r="C97">
        <v>17</v>
      </c>
      <c r="D97" t="s">
        <v>162</v>
      </c>
      <c r="E97">
        <v>2020</v>
      </c>
      <c r="F97" t="s">
        <v>223</v>
      </c>
      <c r="G97" t="s">
        <v>3</v>
      </c>
      <c r="H97" t="s">
        <v>262</v>
      </c>
      <c r="I97" t="s">
        <v>43</v>
      </c>
      <c r="J97" t="s">
        <v>224</v>
      </c>
      <c r="K97">
        <v>20</v>
      </c>
      <c r="L97" t="str">
        <f>IF(SportClimbing[[#This Row],[Height (m)]]&lt;11, "0-10", IF(SportClimbing[[#This Row],[Height (m)]]&lt;16, "11-15", IF(SportClimbing[[#This Row],[Height (m)]]&lt;21, "16-20", IF(SportClimbing[[#This Row],[Height (m)]]&lt;26, "21-25", IF(SportClimbing[[#This Row],[Height (m)]]&lt;31, "26-30", IF(SportClimbing[[#This Row],[Height (m)]]&lt;36, "31-35", "35+"))))))</f>
        <v>16-20</v>
      </c>
      <c r="M97" t="s">
        <v>132</v>
      </c>
      <c r="N97" t="s">
        <v>130</v>
      </c>
      <c r="O97">
        <f>IF(ISNUMBER(SportClimbing[[#This Row],[Total number of tries]])=TRUE, SportClimbing[[#This Row],[Total number of tries]], 1)</f>
        <v>1</v>
      </c>
      <c r="P97" t="str">
        <f>IF(ISNUMBER(SportClimbing[[#This Row],[Total number of tries]])=TRUE, "redpoint", SportClimbing[[#This Row],[Total number of tries]])</f>
        <v>onsight</v>
      </c>
      <c r="Q97">
        <f>_xlfn.XLOOKUP(SportClimbing[[#This Row],[Grade]],SCORE[GRADE],SCORE[SCORE],,)</f>
        <v>10</v>
      </c>
    </row>
    <row r="98" spans="1:17" x14ac:dyDescent="0.25">
      <c r="A98" s="21">
        <f>DATE(SportClimbing[[#This Row],[Year]],_xlfn.XLOOKUP(SportClimbing[[#This Row],[Month]],MONTHS[MONTHS 2],MONTHS[MONTHS 3]),SportClimbing[[#This Row],[Day]])</f>
        <v>44122</v>
      </c>
      <c r="B98" s="21" t="b">
        <f ca="1">AND(SportClimbing[[#This Row],[Date]] &gt;= TODAY()-365, SportClimbing[[#This Row],[Date]] &lt;= TODAY())</f>
        <v>0</v>
      </c>
      <c r="C98">
        <v>18</v>
      </c>
      <c r="D98" t="s">
        <v>162</v>
      </c>
      <c r="E98">
        <v>2020</v>
      </c>
      <c r="F98" t="s">
        <v>221</v>
      </c>
      <c r="G98" t="s">
        <v>32</v>
      </c>
      <c r="H98" t="s">
        <v>262</v>
      </c>
      <c r="I98" t="s">
        <v>43</v>
      </c>
      <c r="J98" t="s">
        <v>222</v>
      </c>
      <c r="K98">
        <v>28</v>
      </c>
      <c r="L98" t="str">
        <f>IF(SportClimbing[[#This Row],[Height (m)]]&lt;11, "0-10", IF(SportClimbing[[#This Row],[Height (m)]]&lt;16, "11-15", IF(SportClimbing[[#This Row],[Height (m)]]&lt;21, "16-20", IF(SportClimbing[[#This Row],[Height (m)]]&lt;26, "21-25", IF(SportClimbing[[#This Row],[Height (m)]]&lt;31, "26-30", IF(SportClimbing[[#This Row],[Height (m)]]&lt;36, "31-35", "35+"))))))</f>
        <v>26-30</v>
      </c>
      <c r="M98" t="s">
        <v>133</v>
      </c>
      <c r="N98">
        <v>4</v>
      </c>
      <c r="O98">
        <f>IF(ISNUMBER(SportClimbing[[#This Row],[Total number of tries]])=TRUE, SportClimbing[[#This Row],[Total number of tries]], 1)</f>
        <v>4</v>
      </c>
      <c r="P98" t="str">
        <f>IF(ISNUMBER(SportClimbing[[#This Row],[Total number of tries]])=TRUE, "redpoint", SportClimbing[[#This Row],[Total number of tries]])</f>
        <v>redpoint</v>
      </c>
      <c r="Q98">
        <f>_xlfn.XLOOKUP(SportClimbing[[#This Row],[Grade]],SCORE[GRADE],SCORE[SCORE],,)</f>
        <v>40</v>
      </c>
    </row>
    <row r="99" spans="1:17" x14ac:dyDescent="0.25">
      <c r="A99" s="21">
        <f>DATE(SportClimbing[[#This Row],[Year]],_xlfn.XLOOKUP(SportClimbing[[#This Row],[Month]],MONTHS[MONTHS 2],MONTHS[MONTHS 3]),SportClimbing[[#This Row],[Day]])</f>
        <v>44128</v>
      </c>
      <c r="B99" s="21" t="b">
        <f ca="1">AND(SportClimbing[[#This Row],[Date]] &gt;= TODAY()-365, SportClimbing[[#This Row],[Date]] &lt;= TODAY())</f>
        <v>0</v>
      </c>
      <c r="C99">
        <v>24</v>
      </c>
      <c r="D99" t="s">
        <v>162</v>
      </c>
      <c r="E99">
        <v>2020</v>
      </c>
      <c r="F99" t="s">
        <v>244</v>
      </c>
      <c r="G99" t="s">
        <v>3</v>
      </c>
      <c r="H99" t="s">
        <v>262</v>
      </c>
      <c r="I99" t="s">
        <v>43</v>
      </c>
      <c r="J99" t="s">
        <v>91</v>
      </c>
      <c r="K99">
        <v>30</v>
      </c>
      <c r="L99" t="str">
        <f>IF(SportClimbing[[#This Row],[Height (m)]]&lt;11, "0-10", IF(SportClimbing[[#This Row],[Height (m)]]&lt;16, "11-15", IF(SportClimbing[[#This Row],[Height (m)]]&lt;21, "16-20", IF(SportClimbing[[#This Row],[Height (m)]]&lt;26, "21-25", IF(SportClimbing[[#This Row],[Height (m)]]&lt;31, "26-30", IF(SportClimbing[[#This Row],[Height (m)]]&lt;36, "31-35", "35+"))))))</f>
        <v>26-30</v>
      </c>
      <c r="M99" t="s">
        <v>208</v>
      </c>
      <c r="N99">
        <v>2</v>
      </c>
      <c r="O99">
        <f>IF(ISNUMBER(SportClimbing[[#This Row],[Total number of tries]])=TRUE, SportClimbing[[#This Row],[Total number of tries]], 1)</f>
        <v>2</v>
      </c>
      <c r="P99" t="str">
        <f>IF(ISNUMBER(SportClimbing[[#This Row],[Total number of tries]])=TRUE, "redpoint", SportClimbing[[#This Row],[Total number of tries]])</f>
        <v>redpoint</v>
      </c>
      <c r="Q99">
        <f>_xlfn.XLOOKUP(SportClimbing[[#This Row],[Grade]],SCORE[GRADE],SCORE[SCORE],,)</f>
        <v>10</v>
      </c>
    </row>
    <row r="100" spans="1:17" x14ac:dyDescent="0.25">
      <c r="A100" s="21">
        <f>DATE(SportClimbing[[#This Row],[Year]],_xlfn.XLOOKUP(SportClimbing[[#This Row],[Month]],MONTHS[MONTHS 2],MONTHS[MONTHS 3]),SportClimbing[[#This Row],[Day]])</f>
        <v>44129</v>
      </c>
      <c r="B100" s="21" t="b">
        <f ca="1">AND(SportClimbing[[#This Row],[Date]] &gt;= TODAY()-365, SportClimbing[[#This Row],[Date]] &lt;= TODAY())</f>
        <v>0</v>
      </c>
      <c r="C100">
        <v>25</v>
      </c>
      <c r="D100" t="s">
        <v>162</v>
      </c>
      <c r="E100">
        <v>2020</v>
      </c>
      <c r="F100" t="s">
        <v>227</v>
      </c>
      <c r="G100" t="s">
        <v>3</v>
      </c>
      <c r="H100" t="s">
        <v>262</v>
      </c>
      <c r="I100" t="s">
        <v>43</v>
      </c>
      <c r="J100" t="s">
        <v>226</v>
      </c>
      <c r="K100">
        <v>30</v>
      </c>
      <c r="L100" t="str">
        <f>IF(SportClimbing[[#This Row],[Height (m)]]&lt;11, "0-10", IF(SportClimbing[[#This Row],[Height (m)]]&lt;16, "11-15", IF(SportClimbing[[#This Row],[Height (m)]]&lt;21, "16-20", IF(SportClimbing[[#This Row],[Height (m)]]&lt;26, "21-25", IF(SportClimbing[[#This Row],[Height (m)]]&lt;31, "26-30", IF(SportClimbing[[#This Row],[Height (m)]]&lt;36, "31-35", "35+"))))))</f>
        <v>26-30</v>
      </c>
      <c r="M100" t="s">
        <v>171</v>
      </c>
      <c r="N100" t="s">
        <v>130</v>
      </c>
      <c r="O100">
        <f>IF(ISNUMBER(SportClimbing[[#This Row],[Total number of tries]])=TRUE, SportClimbing[[#This Row],[Total number of tries]], 1)</f>
        <v>1</v>
      </c>
      <c r="P100" t="str">
        <f>IF(ISNUMBER(SportClimbing[[#This Row],[Total number of tries]])=TRUE, "redpoint", SportClimbing[[#This Row],[Total number of tries]])</f>
        <v>onsight</v>
      </c>
      <c r="Q100">
        <f>_xlfn.XLOOKUP(SportClimbing[[#This Row],[Grade]],SCORE[GRADE],SCORE[SCORE],,)</f>
        <v>10</v>
      </c>
    </row>
    <row r="101" spans="1:17" x14ac:dyDescent="0.25">
      <c r="A101" s="21">
        <f>DATE(SportClimbing[[#This Row],[Year]],_xlfn.XLOOKUP(SportClimbing[[#This Row],[Month]],MONTHS[MONTHS 2],MONTHS[MONTHS 3]),SportClimbing[[#This Row],[Day]])</f>
        <v>44308</v>
      </c>
      <c r="B101" s="21" t="b">
        <f ca="1">AND(SportClimbing[[#This Row],[Date]] &gt;= TODAY()-365, SportClimbing[[#This Row],[Date]] &lt;= TODAY())</f>
        <v>0</v>
      </c>
      <c r="C101">
        <v>22</v>
      </c>
      <c r="D101" t="s">
        <v>368</v>
      </c>
      <c r="E101">
        <v>2021</v>
      </c>
      <c r="F101" t="s">
        <v>234</v>
      </c>
      <c r="G101" t="s">
        <v>3</v>
      </c>
      <c r="H101" t="s">
        <v>262</v>
      </c>
      <c r="I101" t="s">
        <v>43</v>
      </c>
      <c r="J101" t="s">
        <v>228</v>
      </c>
      <c r="K101">
        <v>18</v>
      </c>
      <c r="L101" t="str">
        <f>IF(SportClimbing[[#This Row],[Height (m)]]&lt;11, "0-10", IF(SportClimbing[[#This Row],[Height (m)]]&lt;16, "11-15", IF(SportClimbing[[#This Row],[Height (m)]]&lt;21, "16-20", IF(SportClimbing[[#This Row],[Height (m)]]&lt;26, "21-25", IF(SportClimbing[[#This Row],[Height (m)]]&lt;31, "26-30", IF(SportClimbing[[#This Row],[Height (m)]]&lt;36, "31-35", "35+"))))))</f>
        <v>16-20</v>
      </c>
      <c r="M101" t="s">
        <v>230</v>
      </c>
      <c r="N101" t="s">
        <v>130</v>
      </c>
      <c r="O101">
        <f>IF(ISNUMBER(SportClimbing[[#This Row],[Total number of tries]])=TRUE, SportClimbing[[#This Row],[Total number of tries]], 1)</f>
        <v>1</v>
      </c>
      <c r="P101" t="str">
        <f>IF(ISNUMBER(SportClimbing[[#This Row],[Total number of tries]])=TRUE, "redpoint", SportClimbing[[#This Row],[Total number of tries]])</f>
        <v>onsight</v>
      </c>
      <c r="Q101">
        <f>_xlfn.XLOOKUP(SportClimbing[[#This Row],[Grade]],SCORE[GRADE],SCORE[SCORE],,)</f>
        <v>10</v>
      </c>
    </row>
    <row r="102" spans="1:17" x14ac:dyDescent="0.25">
      <c r="A102" s="21">
        <f>DATE(SportClimbing[[#This Row],[Year]],_xlfn.XLOOKUP(SportClimbing[[#This Row],[Month]],MONTHS[MONTHS 2],MONTHS[MONTHS 3]),SportClimbing[[#This Row],[Day]])</f>
        <v>44309</v>
      </c>
      <c r="B102" s="21" t="b">
        <f ca="1">AND(SportClimbing[[#This Row],[Date]] &gt;= TODAY()-365, SportClimbing[[#This Row],[Date]] &lt;= TODAY())</f>
        <v>0</v>
      </c>
      <c r="C102">
        <v>23</v>
      </c>
      <c r="D102" t="s">
        <v>368</v>
      </c>
      <c r="E102">
        <v>2021</v>
      </c>
      <c r="F102" t="s">
        <v>235</v>
      </c>
      <c r="G102" t="s">
        <v>21</v>
      </c>
      <c r="H102" t="s">
        <v>262</v>
      </c>
      <c r="I102" t="s">
        <v>43</v>
      </c>
      <c r="J102" t="s">
        <v>94</v>
      </c>
      <c r="K102">
        <v>40</v>
      </c>
      <c r="L102" t="str">
        <f>IF(SportClimbing[[#This Row],[Height (m)]]&lt;11, "0-10", IF(SportClimbing[[#This Row],[Height (m)]]&lt;16, "11-15", IF(SportClimbing[[#This Row],[Height (m)]]&lt;21, "16-20", IF(SportClimbing[[#This Row],[Height (m)]]&lt;26, "21-25", IF(SportClimbing[[#This Row],[Height (m)]]&lt;31, "26-30", IF(SportClimbing[[#This Row],[Height (m)]]&lt;36, "31-35", "35+"))))))</f>
        <v>35+</v>
      </c>
      <c r="M102" t="s">
        <v>231</v>
      </c>
      <c r="N102" t="s">
        <v>130</v>
      </c>
      <c r="O102">
        <f>IF(ISNUMBER(SportClimbing[[#This Row],[Total number of tries]])=TRUE, SportClimbing[[#This Row],[Total number of tries]], 1)</f>
        <v>1</v>
      </c>
      <c r="P102" t="str">
        <f>IF(ISNUMBER(SportClimbing[[#This Row],[Total number of tries]])=TRUE, "redpoint", SportClimbing[[#This Row],[Total number of tries]])</f>
        <v>onsight</v>
      </c>
      <c r="Q102">
        <f>_xlfn.XLOOKUP(SportClimbing[[#This Row],[Grade]],SCORE[GRADE],SCORE[SCORE],,)</f>
        <v>15</v>
      </c>
    </row>
    <row r="103" spans="1:17" x14ac:dyDescent="0.25">
      <c r="A103" s="21">
        <f>DATE(SportClimbing[[#This Row],[Year]],_xlfn.XLOOKUP(SportClimbing[[#This Row],[Month]],MONTHS[MONTHS 2],MONTHS[MONTHS 3]),SportClimbing[[#This Row],[Day]])</f>
        <v>44310</v>
      </c>
      <c r="B103" s="21" t="b">
        <f ca="1">AND(SportClimbing[[#This Row],[Date]] &gt;= TODAY()-365, SportClimbing[[#This Row],[Date]] &lt;= TODAY())</f>
        <v>0</v>
      </c>
      <c r="C103">
        <v>24</v>
      </c>
      <c r="D103" t="s">
        <v>368</v>
      </c>
      <c r="E103">
        <v>2021</v>
      </c>
      <c r="F103" t="s">
        <v>236</v>
      </c>
      <c r="G103" t="s">
        <v>3</v>
      </c>
      <c r="H103" t="s">
        <v>262</v>
      </c>
      <c r="I103" t="s">
        <v>43</v>
      </c>
      <c r="J103" t="s">
        <v>229</v>
      </c>
      <c r="K103">
        <v>15</v>
      </c>
      <c r="L103" t="str">
        <f>IF(SportClimbing[[#This Row],[Height (m)]]&lt;11, "0-10", IF(SportClimbing[[#This Row],[Height (m)]]&lt;16, "11-15", IF(SportClimbing[[#This Row],[Height (m)]]&lt;21, "16-20", IF(SportClimbing[[#This Row],[Height (m)]]&lt;26, "21-25", IF(SportClimbing[[#This Row],[Height (m)]]&lt;31, "26-30", IF(SportClimbing[[#This Row],[Height (m)]]&lt;36, "31-35", "35+"))))))</f>
        <v>11-15</v>
      </c>
      <c r="M103" t="s">
        <v>231</v>
      </c>
      <c r="N103">
        <v>2</v>
      </c>
      <c r="O103">
        <f>IF(ISNUMBER(SportClimbing[[#This Row],[Total number of tries]])=TRUE, SportClimbing[[#This Row],[Total number of tries]], 1)</f>
        <v>2</v>
      </c>
      <c r="P103" t="str">
        <f>IF(ISNUMBER(SportClimbing[[#This Row],[Total number of tries]])=TRUE, "redpoint", SportClimbing[[#This Row],[Total number of tries]])</f>
        <v>redpoint</v>
      </c>
      <c r="Q103">
        <f>_xlfn.XLOOKUP(SportClimbing[[#This Row],[Grade]],SCORE[GRADE],SCORE[SCORE],,)</f>
        <v>10</v>
      </c>
    </row>
    <row r="104" spans="1:17" x14ac:dyDescent="0.25">
      <c r="A104" s="21">
        <f>DATE(SportClimbing[[#This Row],[Year]],_xlfn.XLOOKUP(SportClimbing[[#This Row],[Month]],MONTHS[MONTHS 2],MONTHS[MONTHS 3]),SportClimbing[[#This Row],[Day]])</f>
        <v>44322</v>
      </c>
      <c r="B104" s="21" t="b">
        <f ca="1">AND(SportClimbing[[#This Row],[Date]] &gt;= TODAY()-365, SportClimbing[[#This Row],[Date]] &lt;= TODAY())</f>
        <v>0</v>
      </c>
      <c r="C104">
        <v>6</v>
      </c>
      <c r="D104" t="s">
        <v>155</v>
      </c>
      <c r="E104">
        <v>2021</v>
      </c>
      <c r="F104" t="s">
        <v>237</v>
      </c>
      <c r="G104" t="s">
        <v>3</v>
      </c>
      <c r="H104" t="s">
        <v>262</v>
      </c>
      <c r="I104" t="s">
        <v>100</v>
      </c>
      <c r="J104" t="s">
        <v>220</v>
      </c>
      <c r="K104">
        <v>20</v>
      </c>
      <c r="L104" t="str">
        <f>IF(SportClimbing[[#This Row],[Height (m)]]&lt;11, "0-10", IF(SportClimbing[[#This Row],[Height (m)]]&lt;16, "11-15", IF(SportClimbing[[#This Row],[Height (m)]]&lt;21, "16-20", IF(SportClimbing[[#This Row],[Height (m)]]&lt;26, "21-25", IF(SportClimbing[[#This Row],[Height (m)]]&lt;31, "26-30", IF(SportClimbing[[#This Row],[Height (m)]]&lt;36, "31-35", "35+"))))))</f>
        <v>16-20</v>
      </c>
      <c r="M104" t="s">
        <v>132</v>
      </c>
      <c r="N104" t="s">
        <v>130</v>
      </c>
      <c r="O104">
        <f>IF(ISNUMBER(SportClimbing[[#This Row],[Total number of tries]])=TRUE, SportClimbing[[#This Row],[Total number of tries]], 1)</f>
        <v>1</v>
      </c>
      <c r="P104" t="str">
        <f>IF(ISNUMBER(SportClimbing[[#This Row],[Total number of tries]])=TRUE, "redpoint", SportClimbing[[#This Row],[Total number of tries]])</f>
        <v>onsight</v>
      </c>
      <c r="Q104">
        <f>_xlfn.XLOOKUP(SportClimbing[[#This Row],[Grade]],SCORE[GRADE],SCORE[SCORE],,)</f>
        <v>10</v>
      </c>
    </row>
    <row r="105" spans="1:17" x14ac:dyDescent="0.25">
      <c r="A105" s="21">
        <f>DATE(SportClimbing[[#This Row],[Year]],_xlfn.XLOOKUP(SportClimbing[[#This Row],[Month]],MONTHS[MONTHS 2],MONTHS[MONTHS 3]),SportClimbing[[#This Row],[Day]])</f>
        <v>44330</v>
      </c>
      <c r="B105" s="21" t="b">
        <f ca="1">AND(SportClimbing[[#This Row],[Date]] &gt;= TODAY()-365, SportClimbing[[#This Row],[Date]] &lt;= TODAY())</f>
        <v>0</v>
      </c>
      <c r="C105">
        <v>14</v>
      </c>
      <c r="D105" t="s">
        <v>155</v>
      </c>
      <c r="E105">
        <v>2021</v>
      </c>
      <c r="F105" t="s">
        <v>239</v>
      </c>
      <c r="G105" t="s">
        <v>3</v>
      </c>
      <c r="H105" t="s">
        <v>262</v>
      </c>
      <c r="I105" t="s">
        <v>43</v>
      </c>
      <c r="J105" t="s">
        <v>238</v>
      </c>
      <c r="K105">
        <v>25</v>
      </c>
      <c r="L105" t="str">
        <f>IF(SportClimbing[[#This Row],[Height (m)]]&lt;11, "0-10", IF(SportClimbing[[#This Row],[Height (m)]]&lt;16, "11-15", IF(SportClimbing[[#This Row],[Height (m)]]&lt;21, "16-20", IF(SportClimbing[[#This Row],[Height (m)]]&lt;26, "21-25", IF(SportClimbing[[#This Row],[Height (m)]]&lt;31, "26-30", IF(SportClimbing[[#This Row],[Height (m)]]&lt;36, "31-35", "35+"))))))</f>
        <v>21-25</v>
      </c>
      <c r="M105" t="s">
        <v>231</v>
      </c>
      <c r="N105">
        <v>4</v>
      </c>
      <c r="O105">
        <f>IF(ISNUMBER(SportClimbing[[#This Row],[Total number of tries]])=TRUE, SportClimbing[[#This Row],[Total number of tries]], 1)</f>
        <v>4</v>
      </c>
      <c r="P105" t="str">
        <f>IF(ISNUMBER(SportClimbing[[#This Row],[Total number of tries]])=TRUE, "redpoint", SportClimbing[[#This Row],[Total number of tries]])</f>
        <v>redpoint</v>
      </c>
      <c r="Q105">
        <f>_xlfn.XLOOKUP(SportClimbing[[#This Row],[Grade]],SCORE[GRADE],SCORE[SCORE],,)</f>
        <v>10</v>
      </c>
    </row>
    <row r="106" spans="1:17" x14ac:dyDescent="0.25">
      <c r="A106" s="21">
        <f>DATE(SportClimbing[[#This Row],[Year]],_xlfn.XLOOKUP(SportClimbing[[#This Row],[Month]],MONTHS[MONTHS 2],MONTHS[MONTHS 3]),SportClimbing[[#This Row],[Day]])</f>
        <v>44335</v>
      </c>
      <c r="B106" s="21" t="b">
        <f ca="1">AND(SportClimbing[[#This Row],[Date]] &gt;= TODAY()-365, SportClimbing[[#This Row],[Date]] &lt;= TODAY())</f>
        <v>0</v>
      </c>
      <c r="C106">
        <v>19</v>
      </c>
      <c r="D106" t="s">
        <v>155</v>
      </c>
      <c r="E106">
        <v>2021</v>
      </c>
      <c r="F106" t="s">
        <v>240</v>
      </c>
      <c r="G106" t="s">
        <v>3</v>
      </c>
      <c r="H106" t="s">
        <v>262</v>
      </c>
      <c r="I106" t="s">
        <v>100</v>
      </c>
      <c r="J106" t="s">
        <v>243</v>
      </c>
      <c r="K106">
        <v>20</v>
      </c>
      <c r="L106" t="str">
        <f>IF(SportClimbing[[#This Row],[Height (m)]]&lt;11, "0-10", IF(SportClimbing[[#This Row],[Height (m)]]&lt;16, "11-15", IF(SportClimbing[[#This Row],[Height (m)]]&lt;21, "16-20", IF(SportClimbing[[#This Row],[Height (m)]]&lt;26, "21-25", IF(SportClimbing[[#This Row],[Height (m)]]&lt;31, "26-30", IF(SportClimbing[[#This Row],[Height (m)]]&lt;36, "31-35", "35+"))))))</f>
        <v>16-20</v>
      </c>
      <c r="M106" t="s">
        <v>231</v>
      </c>
      <c r="N106" t="s">
        <v>11</v>
      </c>
      <c r="O106">
        <f>IF(ISNUMBER(SportClimbing[[#This Row],[Total number of tries]])=TRUE, SportClimbing[[#This Row],[Total number of tries]], 1)</f>
        <v>1</v>
      </c>
      <c r="P106" t="str">
        <f>IF(ISNUMBER(SportClimbing[[#This Row],[Total number of tries]])=TRUE, "redpoint", SportClimbing[[#This Row],[Total number of tries]])</f>
        <v>flash</v>
      </c>
      <c r="Q106">
        <f>_xlfn.XLOOKUP(SportClimbing[[#This Row],[Grade]],SCORE[GRADE],SCORE[SCORE],,)</f>
        <v>10</v>
      </c>
    </row>
    <row r="107" spans="1:17" x14ac:dyDescent="0.25">
      <c r="A107" s="21">
        <f>DATE(SportClimbing[[#This Row],[Year]],_xlfn.XLOOKUP(SportClimbing[[#This Row],[Month]],MONTHS[MONTHS 2],MONTHS[MONTHS 3]),SportClimbing[[#This Row],[Day]])</f>
        <v>44336</v>
      </c>
      <c r="B107" s="21" t="b">
        <f ca="1">AND(SportClimbing[[#This Row],[Date]] &gt;= TODAY()-365, SportClimbing[[#This Row],[Date]] &lt;= TODAY())</f>
        <v>0</v>
      </c>
      <c r="C107">
        <v>20</v>
      </c>
      <c r="D107" t="s">
        <v>155</v>
      </c>
      <c r="E107">
        <v>2021</v>
      </c>
      <c r="F107" t="s">
        <v>241</v>
      </c>
      <c r="G107" t="s">
        <v>29</v>
      </c>
      <c r="H107" t="s">
        <v>262</v>
      </c>
      <c r="I107" t="s">
        <v>100</v>
      </c>
      <c r="J107" t="s">
        <v>242</v>
      </c>
      <c r="K107">
        <v>20</v>
      </c>
      <c r="L107" t="str">
        <f>IF(SportClimbing[[#This Row],[Height (m)]]&lt;11, "0-10", IF(SportClimbing[[#This Row],[Height (m)]]&lt;16, "11-15", IF(SportClimbing[[#This Row],[Height (m)]]&lt;21, "16-20", IF(SportClimbing[[#This Row],[Height (m)]]&lt;26, "21-25", IF(SportClimbing[[#This Row],[Height (m)]]&lt;31, "26-30", IF(SportClimbing[[#This Row],[Height (m)]]&lt;36, "31-35", "35+"))))))</f>
        <v>16-20</v>
      </c>
      <c r="M107" t="s">
        <v>132</v>
      </c>
      <c r="N107">
        <v>5</v>
      </c>
      <c r="O107">
        <f>IF(ISNUMBER(SportClimbing[[#This Row],[Total number of tries]])=TRUE, SportClimbing[[#This Row],[Total number of tries]], 1)</f>
        <v>5</v>
      </c>
      <c r="P107" t="str">
        <f>IF(ISNUMBER(SportClimbing[[#This Row],[Total number of tries]])=TRUE, "redpoint", SportClimbing[[#This Row],[Total number of tries]])</f>
        <v>redpoint</v>
      </c>
      <c r="Q107">
        <f>_xlfn.XLOOKUP(SportClimbing[[#This Row],[Grade]],SCORE[GRADE],SCORE[SCORE],,)</f>
        <v>25</v>
      </c>
    </row>
    <row r="108" spans="1:17" x14ac:dyDescent="0.25">
      <c r="A108" s="21">
        <f>DATE(SportClimbing[[#This Row],[Year]],_xlfn.XLOOKUP(SportClimbing[[#This Row],[Month]],MONTHS[MONTHS 2],MONTHS[MONTHS 3]),SportClimbing[[#This Row],[Day]])</f>
        <v>44343</v>
      </c>
      <c r="B108" s="21" t="b">
        <f ca="1">AND(SportClimbing[[#This Row],[Date]] &gt;= TODAY()-365, SportClimbing[[#This Row],[Date]] &lt;= TODAY())</f>
        <v>0</v>
      </c>
      <c r="C108">
        <v>27</v>
      </c>
      <c r="D108" t="s">
        <v>155</v>
      </c>
      <c r="E108">
        <v>2021</v>
      </c>
      <c r="F108" t="s">
        <v>245</v>
      </c>
      <c r="G108" t="s">
        <v>29</v>
      </c>
      <c r="H108" t="s">
        <v>262</v>
      </c>
      <c r="I108" t="s">
        <v>100</v>
      </c>
      <c r="J108" t="s">
        <v>242</v>
      </c>
      <c r="K108">
        <v>16</v>
      </c>
      <c r="L108" t="str">
        <f>IF(SportClimbing[[#This Row],[Height (m)]]&lt;11, "0-10", IF(SportClimbing[[#This Row],[Height (m)]]&lt;16, "11-15", IF(SportClimbing[[#This Row],[Height (m)]]&lt;21, "16-20", IF(SportClimbing[[#This Row],[Height (m)]]&lt;26, "21-25", IF(SportClimbing[[#This Row],[Height (m)]]&lt;31, "26-30", IF(SportClimbing[[#This Row],[Height (m)]]&lt;36, "31-35", "35+"))))))</f>
        <v>16-20</v>
      </c>
      <c r="M108" t="s">
        <v>132</v>
      </c>
      <c r="N108">
        <v>6</v>
      </c>
      <c r="O108">
        <f>IF(ISNUMBER(SportClimbing[[#This Row],[Total number of tries]])=TRUE, SportClimbing[[#This Row],[Total number of tries]], 1)</f>
        <v>6</v>
      </c>
      <c r="P108" t="str">
        <f>IF(ISNUMBER(SportClimbing[[#This Row],[Total number of tries]])=TRUE, "redpoint", SportClimbing[[#This Row],[Total number of tries]])</f>
        <v>redpoint</v>
      </c>
      <c r="Q108">
        <f>_xlfn.XLOOKUP(SportClimbing[[#This Row],[Grade]],SCORE[GRADE],SCORE[SCORE],,)</f>
        <v>25</v>
      </c>
    </row>
    <row r="109" spans="1:17" x14ac:dyDescent="0.25">
      <c r="A109" s="21">
        <f>DATE(SportClimbing[[#This Row],[Year]],_xlfn.XLOOKUP(SportClimbing[[#This Row],[Month]],MONTHS[MONTHS 2],MONTHS[MONTHS 3]),SportClimbing[[#This Row],[Day]])</f>
        <v>44345</v>
      </c>
      <c r="B109" s="21" t="b">
        <f ca="1">AND(SportClimbing[[#This Row],[Date]] &gt;= TODAY()-365, SportClimbing[[#This Row],[Date]] &lt;= TODAY())</f>
        <v>0</v>
      </c>
      <c r="C109">
        <v>29</v>
      </c>
      <c r="D109" t="s">
        <v>155</v>
      </c>
      <c r="E109">
        <v>2021</v>
      </c>
      <c r="F109" t="s">
        <v>246</v>
      </c>
      <c r="G109" t="s">
        <v>3</v>
      </c>
      <c r="H109" t="s">
        <v>262</v>
      </c>
      <c r="I109" t="s">
        <v>43</v>
      </c>
      <c r="J109" t="s">
        <v>91</v>
      </c>
      <c r="K109">
        <v>20</v>
      </c>
      <c r="L109" t="str">
        <f>IF(SportClimbing[[#This Row],[Height (m)]]&lt;11, "0-10", IF(SportClimbing[[#This Row],[Height (m)]]&lt;16, "11-15", IF(SportClimbing[[#This Row],[Height (m)]]&lt;21, "16-20", IF(SportClimbing[[#This Row],[Height (m)]]&lt;26, "21-25", IF(SportClimbing[[#This Row],[Height (m)]]&lt;31, "26-30", IF(SportClimbing[[#This Row],[Height (m)]]&lt;36, "31-35", "35+"))))))</f>
        <v>16-20</v>
      </c>
      <c r="M109" t="s">
        <v>104</v>
      </c>
      <c r="N109" t="s">
        <v>130</v>
      </c>
      <c r="O109">
        <f>IF(ISNUMBER(SportClimbing[[#This Row],[Total number of tries]])=TRUE, SportClimbing[[#This Row],[Total number of tries]], 1)</f>
        <v>1</v>
      </c>
      <c r="P109" t="str">
        <f>IF(ISNUMBER(SportClimbing[[#This Row],[Total number of tries]])=TRUE, "redpoint", SportClimbing[[#This Row],[Total number of tries]])</f>
        <v>onsight</v>
      </c>
      <c r="Q109">
        <f>_xlfn.XLOOKUP(SportClimbing[[#This Row],[Grade]],SCORE[GRADE],SCORE[SCORE],,)</f>
        <v>10</v>
      </c>
    </row>
    <row r="110" spans="1:17" x14ac:dyDescent="0.25">
      <c r="A110" s="21">
        <f>DATE(SportClimbing[[#This Row],[Year]],_xlfn.XLOOKUP(SportClimbing[[#This Row],[Month]],MONTHS[MONTHS 2],MONTHS[MONTHS 3]),SportClimbing[[#This Row],[Day]])</f>
        <v>44346</v>
      </c>
      <c r="B110" s="21" t="b">
        <f ca="1">AND(SportClimbing[[#This Row],[Date]] &gt;= TODAY()-365, SportClimbing[[#This Row],[Date]] &lt;= TODAY())</f>
        <v>0</v>
      </c>
      <c r="C110">
        <v>30</v>
      </c>
      <c r="D110" t="s">
        <v>155</v>
      </c>
      <c r="E110">
        <v>2021</v>
      </c>
      <c r="F110" t="s">
        <v>247</v>
      </c>
      <c r="G110" t="s">
        <v>21</v>
      </c>
      <c r="H110" t="s">
        <v>262</v>
      </c>
      <c r="I110" t="s">
        <v>43</v>
      </c>
      <c r="J110" t="s">
        <v>44</v>
      </c>
      <c r="K110">
        <v>25</v>
      </c>
      <c r="L110" t="str">
        <f>IF(SportClimbing[[#This Row],[Height (m)]]&lt;11, "0-10", IF(SportClimbing[[#This Row],[Height (m)]]&lt;16, "11-15", IF(SportClimbing[[#This Row],[Height (m)]]&lt;21, "16-20", IF(SportClimbing[[#This Row],[Height (m)]]&lt;26, "21-25", IF(SportClimbing[[#This Row],[Height (m)]]&lt;31, "26-30", IF(SportClimbing[[#This Row],[Height (m)]]&lt;36, "31-35", "35+"))))))</f>
        <v>21-25</v>
      </c>
      <c r="M110" t="s">
        <v>104</v>
      </c>
      <c r="N110">
        <v>2</v>
      </c>
      <c r="O110">
        <f>IF(ISNUMBER(SportClimbing[[#This Row],[Total number of tries]])=TRUE, SportClimbing[[#This Row],[Total number of tries]], 1)</f>
        <v>2</v>
      </c>
      <c r="P110" t="str">
        <f>IF(ISNUMBER(SportClimbing[[#This Row],[Total number of tries]])=TRUE, "redpoint", SportClimbing[[#This Row],[Total number of tries]])</f>
        <v>redpoint</v>
      </c>
      <c r="Q110">
        <f>_xlfn.XLOOKUP(SportClimbing[[#This Row],[Grade]],SCORE[GRADE],SCORE[SCORE],,)</f>
        <v>15</v>
      </c>
    </row>
    <row r="111" spans="1:17" x14ac:dyDescent="0.25">
      <c r="A111" s="21">
        <f>DATE(SportClimbing[[#This Row],[Year]],_xlfn.XLOOKUP(SportClimbing[[#This Row],[Month]],MONTHS[MONTHS 2],MONTHS[MONTHS 3]),SportClimbing[[#This Row],[Day]])</f>
        <v>44349</v>
      </c>
      <c r="B111" s="21" t="b">
        <f ca="1">AND(SportClimbing[[#This Row],[Date]] &gt;= TODAY()-365, SportClimbing[[#This Row],[Date]] &lt;= TODAY())</f>
        <v>0</v>
      </c>
      <c r="C111">
        <v>2</v>
      </c>
      <c r="D111" t="s">
        <v>366</v>
      </c>
      <c r="E111">
        <v>2021</v>
      </c>
      <c r="F111" t="s">
        <v>248</v>
      </c>
      <c r="G111" t="s">
        <v>21</v>
      </c>
      <c r="H111" t="s">
        <v>262</v>
      </c>
      <c r="I111" t="s">
        <v>100</v>
      </c>
      <c r="J111" t="s">
        <v>250</v>
      </c>
      <c r="K111">
        <v>18</v>
      </c>
      <c r="L111" t="str">
        <f>IF(SportClimbing[[#This Row],[Height (m)]]&lt;11, "0-10", IF(SportClimbing[[#This Row],[Height (m)]]&lt;16, "11-15", IF(SportClimbing[[#This Row],[Height (m)]]&lt;21, "16-20", IF(SportClimbing[[#This Row],[Height (m)]]&lt;26, "21-25", IF(SportClimbing[[#This Row],[Height (m)]]&lt;31, "26-30", IF(SportClimbing[[#This Row],[Height (m)]]&lt;36, "31-35", "35+"))))))</f>
        <v>16-20</v>
      </c>
      <c r="M111" t="s">
        <v>132</v>
      </c>
      <c r="N111" t="s">
        <v>130</v>
      </c>
      <c r="O111">
        <f>IF(ISNUMBER(SportClimbing[[#This Row],[Total number of tries]])=TRUE, SportClimbing[[#This Row],[Total number of tries]], 1)</f>
        <v>1</v>
      </c>
      <c r="P111" t="str">
        <f>IF(ISNUMBER(SportClimbing[[#This Row],[Total number of tries]])=TRUE, "redpoint", SportClimbing[[#This Row],[Total number of tries]])</f>
        <v>onsight</v>
      </c>
      <c r="Q111">
        <f>_xlfn.XLOOKUP(SportClimbing[[#This Row],[Grade]],SCORE[GRADE],SCORE[SCORE],,)</f>
        <v>15</v>
      </c>
    </row>
    <row r="112" spans="1:17" x14ac:dyDescent="0.25">
      <c r="A112" s="21">
        <f>DATE(SportClimbing[[#This Row],[Year]],_xlfn.XLOOKUP(SportClimbing[[#This Row],[Month]],MONTHS[MONTHS 2],MONTHS[MONTHS 3]),SportClimbing[[#This Row],[Day]])</f>
        <v>44349</v>
      </c>
      <c r="B112" s="21" t="b">
        <f ca="1">AND(SportClimbing[[#This Row],[Date]] &gt;= TODAY()-365, SportClimbing[[#This Row],[Date]] &lt;= TODAY())</f>
        <v>0</v>
      </c>
      <c r="C112">
        <v>2</v>
      </c>
      <c r="D112" t="s">
        <v>366</v>
      </c>
      <c r="E112">
        <v>2021</v>
      </c>
      <c r="F112" t="s">
        <v>249</v>
      </c>
      <c r="G112" t="s">
        <v>3</v>
      </c>
      <c r="H112" t="s">
        <v>262</v>
      </c>
      <c r="I112" t="s">
        <v>100</v>
      </c>
      <c r="J112" t="s">
        <v>250</v>
      </c>
      <c r="K112">
        <v>18</v>
      </c>
      <c r="L112" t="str">
        <f>IF(SportClimbing[[#This Row],[Height (m)]]&lt;11, "0-10", IF(SportClimbing[[#This Row],[Height (m)]]&lt;16, "11-15", IF(SportClimbing[[#This Row],[Height (m)]]&lt;21, "16-20", IF(SportClimbing[[#This Row],[Height (m)]]&lt;26, "21-25", IF(SportClimbing[[#This Row],[Height (m)]]&lt;31, "26-30", IF(SportClimbing[[#This Row],[Height (m)]]&lt;36, "31-35", "35+"))))))</f>
        <v>16-20</v>
      </c>
      <c r="M112" t="s">
        <v>132</v>
      </c>
      <c r="N112">
        <v>2</v>
      </c>
      <c r="O112">
        <f>IF(ISNUMBER(SportClimbing[[#This Row],[Total number of tries]])=TRUE, SportClimbing[[#This Row],[Total number of tries]], 1)</f>
        <v>2</v>
      </c>
      <c r="P112" t="str">
        <f>IF(ISNUMBER(SportClimbing[[#This Row],[Total number of tries]])=TRUE, "redpoint", SportClimbing[[#This Row],[Total number of tries]])</f>
        <v>redpoint</v>
      </c>
      <c r="Q112">
        <f>_xlfn.XLOOKUP(SportClimbing[[#This Row],[Grade]],SCORE[GRADE],SCORE[SCORE],,)</f>
        <v>10</v>
      </c>
    </row>
    <row r="113" spans="1:17" x14ac:dyDescent="0.25">
      <c r="A113" s="21">
        <f>DATE(SportClimbing[[#This Row],[Year]],_xlfn.XLOOKUP(SportClimbing[[#This Row],[Month]],MONTHS[MONTHS 2],MONTHS[MONTHS 3]),SportClimbing[[#This Row],[Day]])</f>
        <v>44360</v>
      </c>
      <c r="B113" s="21" t="b">
        <f ca="1">AND(SportClimbing[[#This Row],[Date]] &gt;= TODAY()-365, SportClimbing[[#This Row],[Date]] &lt;= TODAY())</f>
        <v>0</v>
      </c>
      <c r="C113">
        <v>13</v>
      </c>
      <c r="D113" t="s">
        <v>366</v>
      </c>
      <c r="E113">
        <v>2021</v>
      </c>
      <c r="F113" t="s">
        <v>251</v>
      </c>
      <c r="G113" t="s">
        <v>69</v>
      </c>
      <c r="H113" t="s">
        <v>262</v>
      </c>
      <c r="I113" t="s">
        <v>100</v>
      </c>
      <c r="J113" t="s">
        <v>250</v>
      </c>
      <c r="K113">
        <v>22</v>
      </c>
      <c r="L113" t="str">
        <f>IF(SportClimbing[[#This Row],[Height (m)]]&lt;11, "0-10", IF(SportClimbing[[#This Row],[Height (m)]]&lt;16, "11-15", IF(SportClimbing[[#This Row],[Height (m)]]&lt;21, "16-20", IF(SportClimbing[[#This Row],[Height (m)]]&lt;26, "21-25", IF(SportClimbing[[#This Row],[Height (m)]]&lt;31, "26-30", IF(SportClimbing[[#This Row],[Height (m)]]&lt;36, "31-35", "35+"))))))</f>
        <v>21-25</v>
      </c>
      <c r="M113" t="s">
        <v>252</v>
      </c>
      <c r="N113">
        <v>7</v>
      </c>
      <c r="O113">
        <f>IF(ISNUMBER(SportClimbing[[#This Row],[Total number of tries]])=TRUE, SportClimbing[[#This Row],[Total number of tries]], 1)</f>
        <v>7</v>
      </c>
      <c r="P113" t="str">
        <f>IF(ISNUMBER(SportClimbing[[#This Row],[Total number of tries]])=TRUE, "redpoint", SportClimbing[[#This Row],[Total number of tries]])</f>
        <v>redpoint</v>
      </c>
      <c r="Q113">
        <f>_xlfn.XLOOKUP(SportClimbing[[#This Row],[Grade]],SCORE[GRADE],SCORE[SCORE],,)</f>
        <v>60</v>
      </c>
    </row>
    <row r="114" spans="1:17" x14ac:dyDescent="0.25">
      <c r="A114" s="21">
        <f>DATE(SportClimbing[[#This Row],[Year]],_xlfn.XLOOKUP(SportClimbing[[#This Row],[Month]],MONTHS[MONTHS 2],MONTHS[MONTHS 3]),SportClimbing[[#This Row],[Day]])</f>
        <v>44367</v>
      </c>
      <c r="B114" s="21" t="b">
        <f ca="1">AND(SportClimbing[[#This Row],[Date]] &gt;= TODAY()-365, SportClimbing[[#This Row],[Date]] &lt;= TODAY())</f>
        <v>0</v>
      </c>
      <c r="C114">
        <v>20</v>
      </c>
      <c r="D114" t="s">
        <v>366</v>
      </c>
      <c r="E114">
        <v>2021</v>
      </c>
      <c r="F114" t="s">
        <v>253</v>
      </c>
      <c r="G114" t="s">
        <v>21</v>
      </c>
      <c r="H114" t="s">
        <v>262</v>
      </c>
      <c r="I114" t="s">
        <v>100</v>
      </c>
      <c r="J114" t="s">
        <v>250</v>
      </c>
      <c r="K114">
        <v>18</v>
      </c>
      <c r="L114" t="str">
        <f>IF(SportClimbing[[#This Row],[Height (m)]]&lt;11, "0-10", IF(SportClimbing[[#This Row],[Height (m)]]&lt;16, "11-15", IF(SportClimbing[[#This Row],[Height (m)]]&lt;21, "16-20", IF(SportClimbing[[#This Row],[Height (m)]]&lt;26, "21-25", IF(SportClimbing[[#This Row],[Height (m)]]&lt;31, "26-30", IF(SportClimbing[[#This Row],[Height (m)]]&lt;36, "31-35", "35+"))))))</f>
        <v>16-20</v>
      </c>
      <c r="M114" t="s">
        <v>230</v>
      </c>
      <c r="N114" t="s">
        <v>130</v>
      </c>
      <c r="O114">
        <f>IF(ISNUMBER(SportClimbing[[#This Row],[Total number of tries]])=TRUE, SportClimbing[[#This Row],[Total number of tries]], 1)</f>
        <v>1</v>
      </c>
      <c r="P114" t="str">
        <f>IF(ISNUMBER(SportClimbing[[#This Row],[Total number of tries]])=TRUE, "redpoint", SportClimbing[[#This Row],[Total number of tries]])</f>
        <v>onsight</v>
      </c>
      <c r="Q114">
        <f>_xlfn.XLOOKUP(SportClimbing[[#This Row],[Grade]],SCORE[GRADE],SCORE[SCORE],,)</f>
        <v>15</v>
      </c>
    </row>
    <row r="115" spans="1:17" x14ac:dyDescent="0.25">
      <c r="A115" s="21">
        <f>DATE(SportClimbing[[#This Row],[Year]],_xlfn.XLOOKUP(SportClimbing[[#This Row],[Month]],MONTHS[MONTHS 2],MONTHS[MONTHS 3]),SportClimbing[[#This Row],[Day]])</f>
        <v>44367</v>
      </c>
      <c r="B115" s="21" t="b">
        <f ca="1">AND(SportClimbing[[#This Row],[Date]] &gt;= TODAY()-365, SportClimbing[[#This Row],[Date]] &lt;= TODAY())</f>
        <v>0</v>
      </c>
      <c r="C115">
        <v>20</v>
      </c>
      <c r="D115" t="s">
        <v>366</v>
      </c>
      <c r="E115">
        <v>2021</v>
      </c>
      <c r="F115" t="s">
        <v>254</v>
      </c>
      <c r="G115" t="s">
        <v>29</v>
      </c>
      <c r="H115" t="s">
        <v>262</v>
      </c>
      <c r="I115" t="s">
        <v>100</v>
      </c>
      <c r="J115" t="s">
        <v>250</v>
      </c>
      <c r="K115">
        <v>18</v>
      </c>
      <c r="L115" t="str">
        <f>IF(SportClimbing[[#This Row],[Height (m)]]&lt;11, "0-10", IF(SportClimbing[[#This Row],[Height (m)]]&lt;16, "11-15", IF(SportClimbing[[#This Row],[Height (m)]]&lt;21, "16-20", IF(SportClimbing[[#This Row],[Height (m)]]&lt;26, "21-25", IF(SportClimbing[[#This Row],[Height (m)]]&lt;31, "26-30", IF(SportClimbing[[#This Row],[Height (m)]]&lt;36, "31-35", "35+"))))))</f>
        <v>16-20</v>
      </c>
      <c r="M115" t="s">
        <v>230</v>
      </c>
      <c r="N115" t="s">
        <v>130</v>
      </c>
      <c r="O115">
        <f>IF(ISNUMBER(SportClimbing[[#This Row],[Total number of tries]])=TRUE, SportClimbing[[#This Row],[Total number of tries]], 1)</f>
        <v>1</v>
      </c>
      <c r="P115" t="str">
        <f>IF(ISNUMBER(SportClimbing[[#This Row],[Total number of tries]])=TRUE, "redpoint", SportClimbing[[#This Row],[Total number of tries]])</f>
        <v>onsight</v>
      </c>
      <c r="Q115">
        <f>_xlfn.XLOOKUP(SportClimbing[[#This Row],[Grade]],SCORE[GRADE],SCORE[SCORE],,)</f>
        <v>25</v>
      </c>
    </row>
    <row r="116" spans="1:17" x14ac:dyDescent="0.25">
      <c r="A116" s="21">
        <f>DATE(SportClimbing[[#This Row],[Year]],_xlfn.XLOOKUP(SportClimbing[[#This Row],[Month]],MONTHS[MONTHS 2],MONTHS[MONTHS 3]),SportClimbing[[#This Row],[Day]])</f>
        <v>44371</v>
      </c>
      <c r="B116" s="21" t="b">
        <f ca="1">AND(SportClimbing[[#This Row],[Date]] &gt;= TODAY()-365, SportClimbing[[#This Row],[Date]] &lt;= TODAY())</f>
        <v>0</v>
      </c>
      <c r="C116">
        <v>24</v>
      </c>
      <c r="D116" t="s">
        <v>366</v>
      </c>
      <c r="E116">
        <v>2021</v>
      </c>
      <c r="F116" t="s">
        <v>255</v>
      </c>
      <c r="G116" t="s">
        <v>21</v>
      </c>
      <c r="H116" t="s">
        <v>262</v>
      </c>
      <c r="I116" t="s">
        <v>100</v>
      </c>
      <c r="J116" t="s">
        <v>250</v>
      </c>
      <c r="K116">
        <v>18</v>
      </c>
      <c r="L116" t="str">
        <f>IF(SportClimbing[[#This Row],[Height (m)]]&lt;11, "0-10", IF(SportClimbing[[#This Row],[Height (m)]]&lt;16, "11-15", IF(SportClimbing[[#This Row],[Height (m)]]&lt;21, "16-20", IF(SportClimbing[[#This Row],[Height (m)]]&lt;26, "21-25", IF(SportClimbing[[#This Row],[Height (m)]]&lt;31, "26-30", IF(SportClimbing[[#This Row],[Height (m)]]&lt;36, "31-35", "35+"))))))</f>
        <v>16-20</v>
      </c>
      <c r="M116" t="s">
        <v>132</v>
      </c>
      <c r="N116">
        <v>2</v>
      </c>
      <c r="O116">
        <f>IF(ISNUMBER(SportClimbing[[#This Row],[Total number of tries]])=TRUE, SportClimbing[[#This Row],[Total number of tries]], 1)</f>
        <v>2</v>
      </c>
      <c r="P116" t="str">
        <f>IF(ISNUMBER(SportClimbing[[#This Row],[Total number of tries]])=TRUE, "redpoint", SportClimbing[[#This Row],[Total number of tries]])</f>
        <v>redpoint</v>
      </c>
      <c r="Q116">
        <f>_xlfn.XLOOKUP(SportClimbing[[#This Row],[Grade]],SCORE[GRADE],SCORE[SCORE],,)</f>
        <v>15</v>
      </c>
    </row>
    <row r="117" spans="1:17" x14ac:dyDescent="0.25">
      <c r="A117" s="21">
        <f>DATE(SportClimbing[[#This Row],[Year]],_xlfn.XLOOKUP(SportClimbing[[#This Row],[Month]],MONTHS[MONTHS 2],MONTHS[MONTHS 3]),SportClimbing[[#This Row],[Day]])</f>
        <v>44514</v>
      </c>
      <c r="B117" s="21" t="b">
        <f ca="1">AND(SportClimbing[[#This Row],[Date]] &gt;= TODAY()-365, SportClimbing[[#This Row],[Date]] &lt;= TODAY())</f>
        <v>0</v>
      </c>
      <c r="C117">
        <v>14</v>
      </c>
      <c r="D117" t="s">
        <v>160</v>
      </c>
      <c r="E117">
        <v>2021</v>
      </c>
      <c r="F117" t="s">
        <v>257</v>
      </c>
      <c r="G117" t="s">
        <v>3</v>
      </c>
      <c r="H117" t="s">
        <v>262</v>
      </c>
      <c r="I117" t="s">
        <v>43</v>
      </c>
      <c r="J117" t="s">
        <v>226</v>
      </c>
      <c r="K117">
        <v>25</v>
      </c>
      <c r="L117" t="str">
        <f>IF(SportClimbing[[#This Row],[Height (m)]]&lt;11, "0-10", IF(SportClimbing[[#This Row],[Height (m)]]&lt;16, "11-15", IF(SportClimbing[[#This Row],[Height (m)]]&lt;21, "16-20", IF(SportClimbing[[#This Row],[Height (m)]]&lt;26, "21-25", IF(SportClimbing[[#This Row],[Height (m)]]&lt;31, "26-30", IF(SportClimbing[[#This Row],[Height (m)]]&lt;36, "31-35", "35+"))))))</f>
        <v>21-25</v>
      </c>
      <c r="M117" t="s">
        <v>230</v>
      </c>
      <c r="N117" t="s">
        <v>130</v>
      </c>
      <c r="O117">
        <f>IF(ISNUMBER(SportClimbing[[#This Row],[Total number of tries]])=TRUE, SportClimbing[[#This Row],[Total number of tries]], 1)</f>
        <v>1</v>
      </c>
      <c r="P117" t="str">
        <f>IF(ISNUMBER(SportClimbing[[#This Row],[Total number of tries]])=TRUE, "redpoint", SportClimbing[[#This Row],[Total number of tries]])</f>
        <v>onsight</v>
      </c>
      <c r="Q117">
        <f>_xlfn.XLOOKUP(SportClimbing[[#This Row],[Grade]],SCORE[GRADE],SCORE[SCORE],,)</f>
        <v>10</v>
      </c>
    </row>
    <row r="118" spans="1:17" x14ac:dyDescent="0.25">
      <c r="A118" s="21">
        <f>DATE(SportClimbing[[#This Row],[Year]],_xlfn.XLOOKUP(SportClimbing[[#This Row],[Month]],MONTHS[MONTHS 2],MONTHS[MONTHS 3]),SportClimbing[[#This Row],[Day]])</f>
        <v>44591</v>
      </c>
      <c r="B118" s="21" t="b">
        <f ca="1">AND(SportClimbing[[#This Row],[Date]] &gt;= TODAY()-365, SportClimbing[[#This Row],[Date]] &lt;= TODAY())</f>
        <v>0</v>
      </c>
      <c r="C118">
        <v>30</v>
      </c>
      <c r="D118" t="s">
        <v>151</v>
      </c>
      <c r="E118">
        <v>2022</v>
      </c>
      <c r="F118" t="s">
        <v>259</v>
      </c>
      <c r="G118" t="s">
        <v>163</v>
      </c>
      <c r="H118" t="s">
        <v>262</v>
      </c>
      <c r="I118" t="s">
        <v>22</v>
      </c>
      <c r="J118" t="s">
        <v>23</v>
      </c>
      <c r="K118">
        <v>20</v>
      </c>
      <c r="L118" t="str">
        <f>IF(SportClimbing[[#This Row],[Height (m)]]&lt;11, "0-10", IF(SportClimbing[[#This Row],[Height (m)]]&lt;16, "11-15", IF(SportClimbing[[#This Row],[Height (m)]]&lt;21, "16-20", IF(SportClimbing[[#This Row],[Height (m)]]&lt;26, "21-25", IF(SportClimbing[[#This Row],[Height (m)]]&lt;31, "26-30", IF(SportClimbing[[#This Row],[Height (m)]]&lt;36, "31-35", "35+"))))))</f>
        <v>16-20</v>
      </c>
      <c r="M118" t="s">
        <v>132</v>
      </c>
      <c r="N118">
        <v>40</v>
      </c>
      <c r="O118">
        <f>IF(ISNUMBER(SportClimbing[[#This Row],[Total number of tries]])=TRUE, SportClimbing[[#This Row],[Total number of tries]], 1)</f>
        <v>40</v>
      </c>
      <c r="P118" t="str">
        <f>IF(ISNUMBER(SportClimbing[[#This Row],[Total number of tries]])=TRUE, "redpoint", SportClimbing[[#This Row],[Total number of tries]])</f>
        <v>redpoint</v>
      </c>
      <c r="Q118">
        <f>_xlfn.XLOOKUP(SportClimbing[[#This Row],[Grade]],SCORE[GRADE],SCORE[SCORE],,)</f>
        <v>80</v>
      </c>
    </row>
    <row r="119" spans="1:17" x14ac:dyDescent="0.25">
      <c r="A119" s="21">
        <f>DATE(SportClimbing[[#This Row],[Year]],_xlfn.XLOOKUP(SportClimbing[[#This Row],[Month]],MONTHS[MONTHS 2],MONTHS[MONTHS 3]),SportClimbing[[#This Row],[Day]])</f>
        <v>44602</v>
      </c>
      <c r="B119" s="21" t="b">
        <f ca="1">AND(SportClimbing[[#This Row],[Date]] &gt;= TODAY()-365, SportClimbing[[#This Row],[Date]] &lt;= TODAY())</f>
        <v>0</v>
      </c>
      <c r="C119">
        <v>10</v>
      </c>
      <c r="D119" t="s">
        <v>152</v>
      </c>
      <c r="E119">
        <v>2022</v>
      </c>
      <c r="F119" t="s">
        <v>266</v>
      </c>
      <c r="G119" t="s">
        <v>3</v>
      </c>
      <c r="H119" t="s">
        <v>262</v>
      </c>
      <c r="I119" t="s">
        <v>265</v>
      </c>
      <c r="J119" t="s">
        <v>271</v>
      </c>
      <c r="K119">
        <v>15</v>
      </c>
      <c r="L119" t="str">
        <f>IF(SportClimbing[[#This Row],[Height (m)]]&lt;11, "0-10", IF(SportClimbing[[#This Row],[Height (m)]]&lt;16, "11-15", IF(SportClimbing[[#This Row],[Height (m)]]&lt;21, "16-20", IF(SportClimbing[[#This Row],[Height (m)]]&lt;26, "21-25", IF(SportClimbing[[#This Row],[Height (m)]]&lt;31, "26-30", IF(SportClimbing[[#This Row],[Height (m)]]&lt;36, "31-35", "35+"))))))</f>
        <v>11-15</v>
      </c>
      <c r="M119" t="s">
        <v>120</v>
      </c>
      <c r="N119" t="s">
        <v>130</v>
      </c>
      <c r="O119">
        <f>IF(ISNUMBER(SportClimbing[[#This Row],[Total number of tries]])=TRUE, SportClimbing[[#This Row],[Total number of tries]], 1)</f>
        <v>1</v>
      </c>
      <c r="P119" t="str">
        <f>IF(ISNUMBER(SportClimbing[[#This Row],[Total number of tries]])=TRUE, "redpoint", SportClimbing[[#This Row],[Total number of tries]])</f>
        <v>onsight</v>
      </c>
      <c r="Q119">
        <f>_xlfn.XLOOKUP(SportClimbing[[#This Row],[Grade]],SCORE[GRADE],SCORE[SCORE],,)</f>
        <v>10</v>
      </c>
    </row>
    <row r="120" spans="1:17" x14ac:dyDescent="0.25">
      <c r="A120" s="21">
        <f>DATE(SportClimbing[[#This Row],[Year]],_xlfn.XLOOKUP(SportClimbing[[#This Row],[Month]],MONTHS[MONTHS 2],MONTHS[MONTHS 3]),SportClimbing[[#This Row],[Day]])</f>
        <v>44603</v>
      </c>
      <c r="B120" s="21" t="b">
        <f ca="1">AND(SportClimbing[[#This Row],[Date]] &gt;= TODAY()-365, SportClimbing[[#This Row],[Date]] &lt;= TODAY())</f>
        <v>0</v>
      </c>
      <c r="C120">
        <v>11</v>
      </c>
      <c r="D120" t="s">
        <v>152</v>
      </c>
      <c r="E120">
        <v>2022</v>
      </c>
      <c r="F120" t="s">
        <v>268</v>
      </c>
      <c r="G120" t="s">
        <v>3</v>
      </c>
      <c r="H120" t="s">
        <v>262</v>
      </c>
      <c r="I120" t="s">
        <v>126</v>
      </c>
      <c r="J120" t="s">
        <v>264</v>
      </c>
      <c r="K120">
        <v>35</v>
      </c>
      <c r="L120" t="str">
        <f>IF(SportClimbing[[#This Row],[Height (m)]]&lt;11, "0-10", IF(SportClimbing[[#This Row],[Height (m)]]&lt;16, "11-15", IF(SportClimbing[[#This Row],[Height (m)]]&lt;21, "16-20", IF(SportClimbing[[#This Row],[Height (m)]]&lt;26, "21-25", IF(SportClimbing[[#This Row],[Height (m)]]&lt;31, "26-30", IF(SportClimbing[[#This Row],[Height (m)]]&lt;36, "31-35", "35+"))))))</f>
        <v>31-35</v>
      </c>
      <c r="M120" t="s">
        <v>120</v>
      </c>
      <c r="N120" t="s">
        <v>11</v>
      </c>
      <c r="O120">
        <f>IF(ISNUMBER(SportClimbing[[#This Row],[Total number of tries]])=TRUE, SportClimbing[[#This Row],[Total number of tries]], 1)</f>
        <v>1</v>
      </c>
      <c r="P120" t="str">
        <f>IF(ISNUMBER(SportClimbing[[#This Row],[Total number of tries]])=TRUE, "redpoint", SportClimbing[[#This Row],[Total number of tries]])</f>
        <v>flash</v>
      </c>
      <c r="Q120">
        <f>_xlfn.XLOOKUP(SportClimbing[[#This Row],[Grade]],SCORE[GRADE],SCORE[SCORE],,)</f>
        <v>10</v>
      </c>
    </row>
    <row r="121" spans="1:17" x14ac:dyDescent="0.25">
      <c r="A121" s="21">
        <f>DATE(SportClimbing[[#This Row],[Year]],_xlfn.XLOOKUP(SportClimbing[[#This Row],[Month]],MONTHS[MONTHS 2],MONTHS[MONTHS 3]),SportClimbing[[#This Row],[Day]])</f>
        <v>44604</v>
      </c>
      <c r="B121" s="21" t="b">
        <f ca="1">AND(SportClimbing[[#This Row],[Date]] &gt;= TODAY()-365, SportClimbing[[#This Row],[Date]] &lt;= TODAY())</f>
        <v>0</v>
      </c>
      <c r="C121">
        <v>12</v>
      </c>
      <c r="D121" t="s">
        <v>152</v>
      </c>
      <c r="E121">
        <v>2022</v>
      </c>
      <c r="F121" t="s">
        <v>267</v>
      </c>
      <c r="G121" t="s">
        <v>3</v>
      </c>
      <c r="H121" t="s">
        <v>262</v>
      </c>
      <c r="I121" t="s">
        <v>126</v>
      </c>
      <c r="J121" t="s">
        <v>270</v>
      </c>
      <c r="K121">
        <v>20</v>
      </c>
      <c r="L121" t="str">
        <f>IF(SportClimbing[[#This Row],[Height (m)]]&lt;11, "0-10", IF(SportClimbing[[#This Row],[Height (m)]]&lt;16, "11-15", IF(SportClimbing[[#This Row],[Height (m)]]&lt;21, "16-20", IF(SportClimbing[[#This Row],[Height (m)]]&lt;26, "21-25", IF(SportClimbing[[#This Row],[Height (m)]]&lt;31, "26-30", IF(SportClimbing[[#This Row],[Height (m)]]&lt;36, "31-35", "35+"))))))</f>
        <v>16-20</v>
      </c>
      <c r="M121" t="s">
        <v>120</v>
      </c>
      <c r="N121" t="s">
        <v>130</v>
      </c>
      <c r="O121">
        <f>IF(ISNUMBER(SportClimbing[[#This Row],[Total number of tries]])=TRUE, SportClimbing[[#This Row],[Total number of tries]], 1)</f>
        <v>1</v>
      </c>
      <c r="P121" t="str">
        <f>IF(ISNUMBER(SportClimbing[[#This Row],[Total number of tries]])=TRUE, "redpoint", SportClimbing[[#This Row],[Total number of tries]])</f>
        <v>onsight</v>
      </c>
      <c r="Q121">
        <f>_xlfn.XLOOKUP(SportClimbing[[#This Row],[Grade]],SCORE[GRADE],SCORE[SCORE],,)</f>
        <v>10</v>
      </c>
    </row>
    <row r="122" spans="1:17" x14ac:dyDescent="0.25">
      <c r="A122" s="21">
        <f>DATE(SportClimbing[[#This Row],[Year]],_xlfn.XLOOKUP(SportClimbing[[#This Row],[Month]],MONTHS[MONTHS 2],MONTHS[MONTHS 3]),SportClimbing[[#This Row],[Day]])</f>
        <v>44605</v>
      </c>
      <c r="B122" s="21" t="b">
        <f ca="1">AND(SportClimbing[[#This Row],[Date]] &gt;= TODAY()-365, SportClimbing[[#This Row],[Date]] &lt;= TODAY())</f>
        <v>0</v>
      </c>
      <c r="C122">
        <v>13</v>
      </c>
      <c r="D122" t="s">
        <v>152</v>
      </c>
      <c r="E122">
        <v>2022</v>
      </c>
      <c r="F122" t="s">
        <v>269</v>
      </c>
      <c r="G122" t="s">
        <v>21</v>
      </c>
      <c r="H122" t="s">
        <v>262</v>
      </c>
      <c r="I122" t="s">
        <v>126</v>
      </c>
      <c r="J122" t="s">
        <v>128</v>
      </c>
      <c r="K122">
        <v>35</v>
      </c>
      <c r="L122" t="str">
        <f>IF(SportClimbing[[#This Row],[Height (m)]]&lt;11, "0-10", IF(SportClimbing[[#This Row],[Height (m)]]&lt;16, "11-15", IF(SportClimbing[[#This Row],[Height (m)]]&lt;21, "16-20", IF(SportClimbing[[#This Row],[Height (m)]]&lt;26, "21-25", IF(SportClimbing[[#This Row],[Height (m)]]&lt;31, "26-30", IF(SportClimbing[[#This Row],[Height (m)]]&lt;36, "31-35", "35+"))))))</f>
        <v>31-35</v>
      </c>
      <c r="M122" t="s">
        <v>263</v>
      </c>
      <c r="N122" t="s">
        <v>130</v>
      </c>
      <c r="O122">
        <f>IF(ISNUMBER(SportClimbing[[#This Row],[Total number of tries]])=TRUE, SportClimbing[[#This Row],[Total number of tries]], 1)</f>
        <v>1</v>
      </c>
      <c r="P122" t="str">
        <f>IF(ISNUMBER(SportClimbing[[#This Row],[Total number of tries]])=TRUE, "redpoint", SportClimbing[[#This Row],[Total number of tries]])</f>
        <v>onsight</v>
      </c>
      <c r="Q122">
        <f>_xlfn.XLOOKUP(SportClimbing[[#This Row],[Grade]],SCORE[GRADE],SCORE[SCORE],,)</f>
        <v>15</v>
      </c>
    </row>
    <row r="123" spans="1:17" x14ac:dyDescent="0.25">
      <c r="A123" s="21">
        <f>DATE(SportClimbing[[#This Row],[Year]],_xlfn.XLOOKUP(SportClimbing[[#This Row],[Month]],MONTHS[MONTHS 2],MONTHS[MONTHS 3]),SportClimbing[[#This Row],[Day]])</f>
        <v>44637</v>
      </c>
      <c r="B123" s="21" t="b">
        <f ca="1">AND(SportClimbing[[#This Row],[Date]] &gt;= TODAY()-365, SportClimbing[[#This Row],[Date]] &lt;= TODAY())</f>
        <v>0</v>
      </c>
      <c r="C123">
        <v>17</v>
      </c>
      <c r="D123" t="s">
        <v>367</v>
      </c>
      <c r="E123">
        <v>2022</v>
      </c>
      <c r="F123" t="s">
        <v>272</v>
      </c>
      <c r="G123" t="s">
        <v>3</v>
      </c>
      <c r="H123" t="s">
        <v>273</v>
      </c>
      <c r="I123" t="s">
        <v>274</v>
      </c>
      <c r="J123" t="s">
        <v>275</v>
      </c>
      <c r="K123">
        <v>20</v>
      </c>
      <c r="L123" t="str">
        <f>IF(SportClimbing[[#This Row],[Height (m)]]&lt;11, "0-10", IF(SportClimbing[[#This Row],[Height (m)]]&lt;16, "11-15", IF(SportClimbing[[#This Row],[Height (m)]]&lt;21, "16-20", IF(SportClimbing[[#This Row],[Height (m)]]&lt;26, "21-25", IF(SportClimbing[[#This Row],[Height (m)]]&lt;31, "26-30", IF(SportClimbing[[#This Row],[Height (m)]]&lt;36, "31-35", "35+"))))))</f>
        <v>16-20</v>
      </c>
      <c r="M123" t="s">
        <v>276</v>
      </c>
      <c r="N123" t="s">
        <v>130</v>
      </c>
      <c r="O123">
        <f>IF(ISNUMBER(SportClimbing[[#This Row],[Total number of tries]])=TRUE, SportClimbing[[#This Row],[Total number of tries]], 1)</f>
        <v>1</v>
      </c>
      <c r="P123" t="str">
        <f>IF(ISNUMBER(SportClimbing[[#This Row],[Total number of tries]])=TRUE, "redpoint", SportClimbing[[#This Row],[Total number of tries]])</f>
        <v>onsight</v>
      </c>
      <c r="Q123">
        <f>_xlfn.XLOOKUP(SportClimbing[[#This Row],[Grade]],SCORE[GRADE],SCORE[SCORE],,)</f>
        <v>10</v>
      </c>
    </row>
    <row r="124" spans="1:17" x14ac:dyDescent="0.25">
      <c r="A124" s="21">
        <f>DATE(SportClimbing[[#This Row],[Year]],_xlfn.XLOOKUP(SportClimbing[[#This Row],[Month]],MONTHS[MONTHS 2],MONTHS[MONTHS 3]),SportClimbing[[#This Row],[Day]])</f>
        <v>44706</v>
      </c>
      <c r="B124" s="21" t="b">
        <f ca="1">AND(SportClimbing[[#This Row],[Date]] &gt;= TODAY()-365, SportClimbing[[#This Row],[Date]] &lt;= TODAY())</f>
        <v>0</v>
      </c>
      <c r="C124">
        <v>25</v>
      </c>
      <c r="D124" t="s">
        <v>155</v>
      </c>
      <c r="E124">
        <v>2022</v>
      </c>
      <c r="F124" t="s">
        <v>277</v>
      </c>
      <c r="G124" t="s">
        <v>3</v>
      </c>
      <c r="H124" t="s">
        <v>273</v>
      </c>
      <c r="I124" t="s">
        <v>278</v>
      </c>
      <c r="J124" t="s">
        <v>279</v>
      </c>
      <c r="K124">
        <v>23</v>
      </c>
      <c r="L124" t="str">
        <f>IF(SportClimbing[[#This Row],[Height (m)]]&lt;11, "0-10", IF(SportClimbing[[#This Row],[Height (m)]]&lt;16, "11-15", IF(SportClimbing[[#This Row],[Height (m)]]&lt;21, "16-20", IF(SportClimbing[[#This Row],[Height (m)]]&lt;26, "21-25", IF(SportClimbing[[#This Row],[Height (m)]]&lt;31, "26-30", IF(SportClimbing[[#This Row],[Height (m)]]&lt;36, "31-35", "35+"))))))</f>
        <v>21-25</v>
      </c>
      <c r="M124" t="s">
        <v>280</v>
      </c>
      <c r="N124">
        <v>3</v>
      </c>
      <c r="O124">
        <f>IF(ISNUMBER(SportClimbing[[#This Row],[Total number of tries]])=TRUE, SportClimbing[[#This Row],[Total number of tries]], 1)</f>
        <v>3</v>
      </c>
      <c r="P124" t="str">
        <f>IF(ISNUMBER(SportClimbing[[#This Row],[Total number of tries]])=TRUE, "redpoint", SportClimbing[[#This Row],[Total number of tries]])</f>
        <v>redpoint</v>
      </c>
      <c r="Q124">
        <f>_xlfn.XLOOKUP(SportClimbing[[#This Row],[Grade]],SCORE[GRADE],SCORE[SCORE],,)</f>
        <v>10</v>
      </c>
    </row>
    <row r="125" spans="1:17" x14ac:dyDescent="0.25">
      <c r="A125" s="21">
        <f>DATE(SportClimbing[[#This Row],[Year]],_xlfn.XLOOKUP(SportClimbing[[#This Row],[Month]],MONTHS[MONTHS 2],MONTHS[MONTHS 3]),SportClimbing[[#This Row],[Day]])</f>
        <v>44722</v>
      </c>
      <c r="B125" s="21" t="b">
        <f ca="1">AND(SportClimbing[[#This Row],[Date]] &gt;= TODAY()-365, SportClimbing[[#This Row],[Date]] &lt;= TODAY())</f>
        <v>0</v>
      </c>
      <c r="C125">
        <v>10</v>
      </c>
      <c r="D125" t="s">
        <v>366</v>
      </c>
      <c r="E125">
        <v>2022</v>
      </c>
      <c r="F125" t="s">
        <v>285</v>
      </c>
      <c r="G125" t="s">
        <v>3</v>
      </c>
      <c r="H125" t="s">
        <v>262</v>
      </c>
      <c r="I125" t="s">
        <v>105</v>
      </c>
      <c r="J125" t="s">
        <v>284</v>
      </c>
      <c r="K125">
        <v>23</v>
      </c>
      <c r="L125" t="str">
        <f>IF(SportClimbing[[#This Row],[Height (m)]]&lt;11, "0-10", IF(SportClimbing[[#This Row],[Height (m)]]&lt;16, "11-15", IF(SportClimbing[[#This Row],[Height (m)]]&lt;21, "16-20", IF(SportClimbing[[#This Row],[Height (m)]]&lt;26, "21-25", IF(SportClimbing[[#This Row],[Height (m)]]&lt;31, "26-30", IF(SportClimbing[[#This Row],[Height (m)]]&lt;36, "31-35", "35+"))))))</f>
        <v>21-25</v>
      </c>
      <c r="M125" t="s">
        <v>164</v>
      </c>
      <c r="N125" t="s">
        <v>130</v>
      </c>
      <c r="O125">
        <f>IF(ISNUMBER(SportClimbing[[#This Row],[Total number of tries]])=TRUE, SportClimbing[[#This Row],[Total number of tries]], 1)</f>
        <v>1</v>
      </c>
      <c r="P125" t="str">
        <f>IF(ISNUMBER(SportClimbing[[#This Row],[Total number of tries]])=TRUE, "redpoint", SportClimbing[[#This Row],[Total number of tries]])</f>
        <v>onsight</v>
      </c>
      <c r="Q125">
        <f>_xlfn.XLOOKUP(SportClimbing[[#This Row],[Grade]],SCORE[GRADE],SCORE[SCORE],,)</f>
        <v>10</v>
      </c>
    </row>
    <row r="126" spans="1:17" x14ac:dyDescent="0.25">
      <c r="A126" s="21">
        <f>DATE(SportClimbing[[#This Row],[Year]],_xlfn.XLOOKUP(SportClimbing[[#This Row],[Month]],MONTHS[MONTHS 2],MONTHS[MONTHS 3]),SportClimbing[[#This Row],[Day]])</f>
        <v>44729</v>
      </c>
      <c r="B126" s="21" t="b">
        <f ca="1">AND(SportClimbing[[#This Row],[Date]] &gt;= TODAY()-365, SportClimbing[[#This Row],[Date]] &lt;= TODAY())</f>
        <v>0</v>
      </c>
      <c r="C126">
        <v>17</v>
      </c>
      <c r="D126" t="s">
        <v>366</v>
      </c>
      <c r="E126">
        <v>2022</v>
      </c>
      <c r="F126" t="s">
        <v>244</v>
      </c>
      <c r="G126" t="s">
        <v>21</v>
      </c>
      <c r="H126" t="s">
        <v>262</v>
      </c>
      <c r="I126" t="s">
        <v>281</v>
      </c>
      <c r="J126" t="s">
        <v>282</v>
      </c>
      <c r="K126">
        <v>15</v>
      </c>
      <c r="L126" t="str">
        <f>IF(SportClimbing[[#This Row],[Height (m)]]&lt;11, "0-10", IF(SportClimbing[[#This Row],[Height (m)]]&lt;16, "11-15", IF(SportClimbing[[#This Row],[Height (m)]]&lt;21, "16-20", IF(SportClimbing[[#This Row],[Height (m)]]&lt;26, "21-25", IF(SportClimbing[[#This Row],[Height (m)]]&lt;31, "26-30", IF(SportClimbing[[#This Row],[Height (m)]]&lt;36, "31-35", "35+"))))))</f>
        <v>11-15</v>
      </c>
      <c r="M126" t="s">
        <v>164</v>
      </c>
      <c r="N126">
        <v>3</v>
      </c>
      <c r="O126">
        <f>IF(ISNUMBER(SportClimbing[[#This Row],[Total number of tries]])=TRUE, SportClimbing[[#This Row],[Total number of tries]], 1)</f>
        <v>3</v>
      </c>
      <c r="P126" t="str">
        <f>IF(ISNUMBER(SportClimbing[[#This Row],[Total number of tries]])=TRUE, "redpoint", SportClimbing[[#This Row],[Total number of tries]])</f>
        <v>redpoint</v>
      </c>
      <c r="Q126">
        <f>_xlfn.XLOOKUP(SportClimbing[[#This Row],[Grade]],SCORE[GRADE],SCORE[SCORE],,)</f>
        <v>15</v>
      </c>
    </row>
    <row r="127" spans="1:17" x14ac:dyDescent="0.25">
      <c r="A127" s="21">
        <f>DATE(SportClimbing[[#This Row],[Year]],_xlfn.XLOOKUP(SportClimbing[[#This Row],[Month]],MONTHS[MONTHS 2],MONTHS[MONTHS 3]),SportClimbing[[#This Row],[Day]])</f>
        <v>44758</v>
      </c>
      <c r="B127" s="21" t="b">
        <f ca="1">AND(SportClimbing[[#This Row],[Date]] &gt;= TODAY()-365, SportClimbing[[#This Row],[Date]] &lt;= TODAY())</f>
        <v>0</v>
      </c>
      <c r="C127">
        <v>16</v>
      </c>
      <c r="D127" t="s">
        <v>365</v>
      </c>
      <c r="E127">
        <v>2022</v>
      </c>
      <c r="F127" t="s">
        <v>295</v>
      </c>
      <c r="G127" t="s">
        <v>3</v>
      </c>
      <c r="H127" t="s">
        <v>261</v>
      </c>
      <c r="I127" t="s">
        <v>286</v>
      </c>
      <c r="J127" t="s">
        <v>287</v>
      </c>
      <c r="K127">
        <v>16</v>
      </c>
      <c r="L127" t="str">
        <f>IF(SportClimbing[[#This Row],[Height (m)]]&lt;11, "0-10", IF(SportClimbing[[#This Row],[Height (m)]]&lt;16, "11-15", IF(SportClimbing[[#This Row],[Height (m)]]&lt;21, "16-20", IF(SportClimbing[[#This Row],[Height (m)]]&lt;26, "21-25", IF(SportClimbing[[#This Row],[Height (m)]]&lt;31, "26-30", IF(SportClimbing[[#This Row],[Height (m)]]&lt;36, "31-35", "35+"))))))</f>
        <v>16-20</v>
      </c>
      <c r="M127" t="s">
        <v>288</v>
      </c>
      <c r="N127">
        <v>2</v>
      </c>
      <c r="O127">
        <f>IF(ISNUMBER(SportClimbing[[#This Row],[Total number of tries]])=TRUE, SportClimbing[[#This Row],[Total number of tries]], 1)</f>
        <v>2</v>
      </c>
      <c r="P127" t="str">
        <f>IF(ISNUMBER(SportClimbing[[#This Row],[Total number of tries]])=TRUE, "redpoint", SportClimbing[[#This Row],[Total number of tries]])</f>
        <v>redpoint</v>
      </c>
      <c r="Q127">
        <f>_xlfn.XLOOKUP(SportClimbing[[#This Row],[Grade]],SCORE[GRADE],SCORE[SCORE],,)</f>
        <v>10</v>
      </c>
    </row>
    <row r="128" spans="1:17" x14ac:dyDescent="0.25">
      <c r="A128" s="21">
        <f>DATE(SportClimbing[[#This Row],[Year]],_xlfn.XLOOKUP(SportClimbing[[#This Row],[Month]],MONTHS[MONTHS 2],MONTHS[MONTHS 3]),SportClimbing[[#This Row],[Day]])</f>
        <v>44765</v>
      </c>
      <c r="B128" s="21" t="b">
        <f ca="1">AND(SportClimbing[[#This Row],[Date]] &gt;= TODAY()-365, SportClimbing[[#This Row],[Date]] &lt;= TODAY())</f>
        <v>0</v>
      </c>
      <c r="C128">
        <v>23</v>
      </c>
      <c r="D128" t="s">
        <v>365</v>
      </c>
      <c r="E128">
        <v>2022</v>
      </c>
      <c r="F128" t="s">
        <v>291</v>
      </c>
      <c r="G128" t="s">
        <v>21</v>
      </c>
      <c r="H128" t="s">
        <v>261</v>
      </c>
      <c r="I128" t="s">
        <v>289</v>
      </c>
      <c r="J128" t="s">
        <v>293</v>
      </c>
      <c r="K128">
        <v>16</v>
      </c>
      <c r="L128" t="str">
        <f>IF(SportClimbing[[#This Row],[Height (m)]]&lt;11, "0-10", IF(SportClimbing[[#This Row],[Height (m)]]&lt;16, "11-15", IF(SportClimbing[[#This Row],[Height (m)]]&lt;21, "16-20", IF(SportClimbing[[#This Row],[Height (m)]]&lt;26, "21-25", IF(SportClimbing[[#This Row],[Height (m)]]&lt;31, "26-30", IF(SportClimbing[[#This Row],[Height (m)]]&lt;36, "31-35", "35+"))))))</f>
        <v>16-20</v>
      </c>
      <c r="M128" t="s">
        <v>290</v>
      </c>
      <c r="N128">
        <v>2</v>
      </c>
      <c r="O128">
        <f>IF(ISNUMBER(SportClimbing[[#This Row],[Total number of tries]])=TRUE, SportClimbing[[#This Row],[Total number of tries]], 1)</f>
        <v>2</v>
      </c>
      <c r="P128" t="str">
        <f>IF(ISNUMBER(SportClimbing[[#This Row],[Total number of tries]])=TRUE, "redpoint", SportClimbing[[#This Row],[Total number of tries]])</f>
        <v>redpoint</v>
      </c>
      <c r="Q128">
        <f>_xlfn.XLOOKUP(SportClimbing[[#This Row],[Grade]],SCORE[GRADE],SCORE[SCORE],,)</f>
        <v>15</v>
      </c>
    </row>
    <row r="129" spans="1:17" x14ac:dyDescent="0.25">
      <c r="A129" s="21">
        <f>DATE(SportClimbing[[#This Row],[Year]],_xlfn.XLOOKUP(SportClimbing[[#This Row],[Month]],MONTHS[MONTHS 2],MONTHS[MONTHS 3]),SportClimbing[[#This Row],[Day]])</f>
        <v>44766</v>
      </c>
      <c r="B129" s="21" t="b">
        <f ca="1">AND(SportClimbing[[#This Row],[Date]] &gt;= TODAY()-365, SportClimbing[[#This Row],[Date]] &lt;= TODAY())</f>
        <v>0</v>
      </c>
      <c r="C129">
        <v>24</v>
      </c>
      <c r="D129" t="s">
        <v>365</v>
      </c>
      <c r="E129">
        <v>2022</v>
      </c>
      <c r="F129" t="s">
        <v>294</v>
      </c>
      <c r="G129" t="s">
        <v>21</v>
      </c>
      <c r="H129" t="s">
        <v>261</v>
      </c>
      <c r="I129" t="s">
        <v>289</v>
      </c>
      <c r="J129" t="s">
        <v>292</v>
      </c>
      <c r="K129">
        <v>16</v>
      </c>
      <c r="L129" t="str">
        <f>IF(SportClimbing[[#This Row],[Height (m)]]&lt;11, "0-10", IF(SportClimbing[[#This Row],[Height (m)]]&lt;16, "11-15", IF(SportClimbing[[#This Row],[Height (m)]]&lt;21, "16-20", IF(SportClimbing[[#This Row],[Height (m)]]&lt;26, "21-25", IF(SportClimbing[[#This Row],[Height (m)]]&lt;31, "26-30", IF(SportClimbing[[#This Row],[Height (m)]]&lt;36, "31-35", "35+"))))))</f>
        <v>16-20</v>
      </c>
      <c r="M129" t="s">
        <v>290</v>
      </c>
      <c r="N129">
        <v>2</v>
      </c>
      <c r="O129">
        <f>IF(ISNUMBER(SportClimbing[[#This Row],[Total number of tries]])=TRUE, SportClimbing[[#This Row],[Total number of tries]], 1)</f>
        <v>2</v>
      </c>
      <c r="P129" t="str">
        <f>IF(ISNUMBER(SportClimbing[[#This Row],[Total number of tries]])=TRUE, "redpoint", SportClimbing[[#This Row],[Total number of tries]])</f>
        <v>redpoint</v>
      </c>
      <c r="Q129">
        <f>_xlfn.XLOOKUP(SportClimbing[[#This Row],[Grade]],SCORE[GRADE],SCORE[SCORE],,)</f>
        <v>15</v>
      </c>
    </row>
    <row r="130" spans="1:17" x14ac:dyDescent="0.25">
      <c r="A130" s="21">
        <f>DATE(SportClimbing[[#This Row],[Year]],_xlfn.XLOOKUP(SportClimbing[[#This Row],[Month]],MONTHS[MONTHS 2],MONTHS[MONTHS 3]),SportClimbing[[#This Row],[Day]])</f>
        <v>44808</v>
      </c>
      <c r="B130" s="21" t="b">
        <f ca="1">AND(SportClimbing[[#This Row],[Date]] &gt;= TODAY()-365, SportClimbing[[#This Row],[Date]] &lt;= TODAY())</f>
        <v>0</v>
      </c>
      <c r="C130">
        <v>4</v>
      </c>
      <c r="D130" t="s">
        <v>159</v>
      </c>
      <c r="E130">
        <v>2022</v>
      </c>
      <c r="F130" t="s">
        <v>296</v>
      </c>
      <c r="G130" t="s">
        <v>21</v>
      </c>
      <c r="H130" t="s">
        <v>261</v>
      </c>
      <c r="I130" t="s">
        <v>1</v>
      </c>
      <c r="J130" t="s">
        <v>297</v>
      </c>
      <c r="K130">
        <v>27</v>
      </c>
      <c r="L130" t="str">
        <f>IF(SportClimbing[[#This Row],[Height (m)]]&lt;11, "0-10", IF(SportClimbing[[#This Row],[Height (m)]]&lt;16, "11-15", IF(SportClimbing[[#This Row],[Height (m)]]&lt;21, "16-20", IF(SportClimbing[[#This Row],[Height (m)]]&lt;26, "21-25", IF(SportClimbing[[#This Row],[Height (m)]]&lt;31, "26-30", IF(SportClimbing[[#This Row],[Height (m)]]&lt;36, "31-35", "35+"))))))</f>
        <v>26-30</v>
      </c>
      <c r="M130" t="s">
        <v>13</v>
      </c>
      <c r="N130">
        <v>5</v>
      </c>
      <c r="O130">
        <f>IF(ISNUMBER(SportClimbing[[#This Row],[Total number of tries]])=TRUE, SportClimbing[[#This Row],[Total number of tries]], 1)</f>
        <v>5</v>
      </c>
      <c r="P130" t="str">
        <f>IF(ISNUMBER(SportClimbing[[#This Row],[Total number of tries]])=TRUE, "redpoint", SportClimbing[[#This Row],[Total number of tries]])</f>
        <v>redpoint</v>
      </c>
      <c r="Q130">
        <f>_xlfn.XLOOKUP(SportClimbing[[#This Row],[Grade]],SCORE[GRADE],SCORE[SCORE],,)</f>
        <v>15</v>
      </c>
    </row>
    <row r="131" spans="1:17" x14ac:dyDescent="0.25">
      <c r="A131" s="21">
        <f>DATE(SportClimbing[[#This Row],[Year]],_xlfn.XLOOKUP(SportClimbing[[#This Row],[Month]],MONTHS[MONTHS 2],MONTHS[MONTHS 3]),SportClimbing[[#This Row],[Day]])</f>
        <v>44842</v>
      </c>
      <c r="B131" s="21" t="b">
        <f ca="1">AND(SportClimbing[[#This Row],[Date]] &gt;= TODAY()-365, SportClimbing[[#This Row],[Date]] &lt;= TODAY())</f>
        <v>0</v>
      </c>
      <c r="C131">
        <v>8</v>
      </c>
      <c r="D131" t="s">
        <v>162</v>
      </c>
      <c r="E131">
        <v>2022</v>
      </c>
      <c r="F131" t="s">
        <v>303</v>
      </c>
      <c r="G131" t="s">
        <v>3</v>
      </c>
      <c r="H131" t="s">
        <v>298</v>
      </c>
      <c r="I131" t="s">
        <v>300</v>
      </c>
      <c r="J131" t="s">
        <v>301</v>
      </c>
      <c r="K131">
        <v>20</v>
      </c>
      <c r="L131" t="str">
        <f>IF(SportClimbing[[#This Row],[Height (m)]]&lt;11, "0-10", IF(SportClimbing[[#This Row],[Height (m)]]&lt;16, "11-15", IF(SportClimbing[[#This Row],[Height (m)]]&lt;21, "16-20", IF(SportClimbing[[#This Row],[Height (m)]]&lt;26, "21-25", IF(SportClimbing[[#This Row],[Height (m)]]&lt;31, "26-30", IF(SportClimbing[[#This Row],[Height (m)]]&lt;36, "31-35", "35+"))))))</f>
        <v>16-20</v>
      </c>
      <c r="M131" t="s">
        <v>304</v>
      </c>
      <c r="N131" t="s">
        <v>130</v>
      </c>
      <c r="O131">
        <f>IF(ISNUMBER(SportClimbing[[#This Row],[Total number of tries]])=TRUE, SportClimbing[[#This Row],[Total number of tries]], 1)</f>
        <v>1</v>
      </c>
      <c r="P131" t="str">
        <f>IF(ISNUMBER(SportClimbing[[#This Row],[Total number of tries]])=TRUE, "redpoint", SportClimbing[[#This Row],[Total number of tries]])</f>
        <v>onsight</v>
      </c>
      <c r="Q131">
        <f>_xlfn.XLOOKUP(SportClimbing[[#This Row],[Grade]],SCORE[GRADE],SCORE[SCORE],,)</f>
        <v>10</v>
      </c>
    </row>
    <row r="132" spans="1:17" x14ac:dyDescent="0.25">
      <c r="A132" s="21">
        <f>DATE(SportClimbing[[#This Row],[Year]],_xlfn.XLOOKUP(SportClimbing[[#This Row],[Month]],MONTHS[MONTHS 2],MONTHS[MONTHS 3]),SportClimbing[[#This Row],[Day]])</f>
        <v>44842</v>
      </c>
      <c r="B132" s="21" t="b">
        <f ca="1">AND(SportClimbing[[#This Row],[Date]] &gt;= TODAY()-365, SportClimbing[[#This Row],[Date]] &lt;= TODAY())</f>
        <v>0</v>
      </c>
      <c r="C132">
        <v>8</v>
      </c>
      <c r="D132" t="s">
        <v>162</v>
      </c>
      <c r="E132">
        <v>2022</v>
      </c>
      <c r="F132" t="s">
        <v>299</v>
      </c>
      <c r="G132" t="s">
        <v>3</v>
      </c>
      <c r="H132" t="s">
        <v>298</v>
      </c>
      <c r="I132" t="s">
        <v>300</v>
      </c>
      <c r="J132" t="s">
        <v>302</v>
      </c>
      <c r="K132">
        <v>18</v>
      </c>
      <c r="L132" t="str">
        <f>IF(SportClimbing[[#This Row],[Height (m)]]&lt;11, "0-10", IF(SportClimbing[[#This Row],[Height (m)]]&lt;16, "11-15", IF(SportClimbing[[#This Row],[Height (m)]]&lt;21, "16-20", IF(SportClimbing[[#This Row],[Height (m)]]&lt;26, "21-25", IF(SportClimbing[[#This Row],[Height (m)]]&lt;31, "26-30", IF(SportClimbing[[#This Row],[Height (m)]]&lt;36, "31-35", "35+"))))))</f>
        <v>16-20</v>
      </c>
      <c r="M132" t="s">
        <v>304</v>
      </c>
      <c r="N132" t="s">
        <v>130</v>
      </c>
      <c r="O132">
        <f>IF(ISNUMBER(SportClimbing[[#This Row],[Total number of tries]])=TRUE, SportClimbing[[#This Row],[Total number of tries]], 1)</f>
        <v>1</v>
      </c>
      <c r="P132" t="str">
        <f>IF(ISNUMBER(SportClimbing[[#This Row],[Total number of tries]])=TRUE, "redpoint", SportClimbing[[#This Row],[Total number of tries]])</f>
        <v>onsight</v>
      </c>
      <c r="Q132">
        <f>_xlfn.XLOOKUP(SportClimbing[[#This Row],[Grade]],SCORE[GRADE],SCORE[SCORE],,)</f>
        <v>10</v>
      </c>
    </row>
    <row r="133" spans="1:17" x14ac:dyDescent="0.25">
      <c r="A133" s="21">
        <f>DATE(SportClimbing[[#This Row],[Year]],_xlfn.XLOOKUP(SportClimbing[[#This Row],[Month]],MONTHS[MONTHS 2],MONTHS[MONTHS 3]),SportClimbing[[#This Row],[Day]])</f>
        <v>44866</v>
      </c>
      <c r="B133" s="21" t="b">
        <f ca="1">AND(SportClimbing[[#This Row],[Date]] &gt;= TODAY()-365, SportClimbing[[#This Row],[Date]] &lt;= TODAY())</f>
        <v>0</v>
      </c>
      <c r="C133">
        <v>1</v>
      </c>
      <c r="D133" t="s">
        <v>160</v>
      </c>
      <c r="E133">
        <v>2022</v>
      </c>
      <c r="F133" t="s">
        <v>305</v>
      </c>
      <c r="G133" t="s">
        <v>21</v>
      </c>
      <c r="H133" t="s">
        <v>298</v>
      </c>
      <c r="I133" t="s">
        <v>306</v>
      </c>
      <c r="J133" t="s">
        <v>307</v>
      </c>
      <c r="K133">
        <v>15</v>
      </c>
      <c r="L133" t="str">
        <f>IF(SportClimbing[[#This Row],[Height (m)]]&lt;11, "0-10", IF(SportClimbing[[#This Row],[Height (m)]]&lt;16, "11-15", IF(SportClimbing[[#This Row],[Height (m)]]&lt;21, "16-20", IF(SportClimbing[[#This Row],[Height (m)]]&lt;26, "21-25", IF(SportClimbing[[#This Row],[Height (m)]]&lt;31, "26-30", IF(SportClimbing[[#This Row],[Height (m)]]&lt;36, "31-35", "35+"))))))</f>
        <v>11-15</v>
      </c>
      <c r="M133" t="s">
        <v>370</v>
      </c>
      <c r="N133">
        <v>3</v>
      </c>
      <c r="O133">
        <f>IF(ISNUMBER(SportClimbing[[#This Row],[Total number of tries]])=TRUE, SportClimbing[[#This Row],[Total number of tries]], 1)</f>
        <v>3</v>
      </c>
      <c r="P133" t="str">
        <f>IF(ISNUMBER(SportClimbing[[#This Row],[Total number of tries]])=TRUE, "redpoint", SportClimbing[[#This Row],[Total number of tries]])</f>
        <v>redpoint</v>
      </c>
      <c r="Q133">
        <f>_xlfn.XLOOKUP(SportClimbing[[#This Row],[Grade]],SCORE[GRADE],SCORE[SCORE],,)</f>
        <v>15</v>
      </c>
    </row>
    <row r="134" spans="1:17" x14ac:dyDescent="0.25">
      <c r="A134" s="21">
        <f>DATE(SportClimbing[[#This Row],[Year]],_xlfn.XLOOKUP(SportClimbing[[#This Row],[Month]],MONTHS[MONTHS 2],MONTHS[MONTHS 3]),SportClimbing[[#This Row],[Day]])</f>
        <v>44870</v>
      </c>
      <c r="B134" s="21" t="b">
        <f ca="1">AND(SportClimbing[[#This Row],[Date]] &gt;= TODAY()-365, SportClimbing[[#This Row],[Date]] &lt;= TODAY())</f>
        <v>0</v>
      </c>
      <c r="C134">
        <v>5</v>
      </c>
      <c r="D134" t="s">
        <v>160</v>
      </c>
      <c r="E134">
        <v>2022</v>
      </c>
      <c r="F134" t="s">
        <v>308</v>
      </c>
      <c r="G134" t="s">
        <v>3</v>
      </c>
      <c r="H134" t="s">
        <v>298</v>
      </c>
      <c r="I134" t="s">
        <v>306</v>
      </c>
      <c r="J134" t="s">
        <v>307</v>
      </c>
      <c r="K134">
        <v>20</v>
      </c>
      <c r="L134" t="str">
        <f>IF(SportClimbing[[#This Row],[Height (m)]]&lt;11, "0-10", IF(SportClimbing[[#This Row],[Height (m)]]&lt;16, "11-15", IF(SportClimbing[[#This Row],[Height (m)]]&lt;21, "16-20", IF(SportClimbing[[#This Row],[Height (m)]]&lt;26, "21-25", IF(SportClimbing[[#This Row],[Height (m)]]&lt;31, "26-30", IF(SportClimbing[[#This Row],[Height (m)]]&lt;36, "31-35", "35+"))))))</f>
        <v>16-20</v>
      </c>
      <c r="M134" t="s">
        <v>370</v>
      </c>
      <c r="N134" t="s">
        <v>130</v>
      </c>
      <c r="O134">
        <f>IF(ISNUMBER(SportClimbing[[#This Row],[Total number of tries]])=TRUE, SportClimbing[[#This Row],[Total number of tries]], 1)</f>
        <v>1</v>
      </c>
      <c r="P134" t="str">
        <f>IF(ISNUMBER(SportClimbing[[#This Row],[Total number of tries]])=TRUE, "redpoint", SportClimbing[[#This Row],[Total number of tries]])</f>
        <v>onsight</v>
      </c>
      <c r="Q134">
        <f>_xlfn.XLOOKUP(SportClimbing[[#This Row],[Grade]],SCORE[GRADE],SCORE[SCORE],,)</f>
        <v>10</v>
      </c>
    </row>
    <row r="135" spans="1:17" x14ac:dyDescent="0.25">
      <c r="A135" s="21">
        <f>DATE(SportClimbing[[#This Row],[Year]],_xlfn.XLOOKUP(SportClimbing[[#This Row],[Month]],MONTHS[MONTHS 2],MONTHS[MONTHS 3]),SportClimbing[[#This Row],[Day]])</f>
        <v>44877</v>
      </c>
      <c r="B135" s="21" t="b">
        <f ca="1">AND(SportClimbing[[#This Row],[Date]] &gt;= TODAY()-365, SportClimbing[[#This Row],[Date]] &lt;= TODAY())</f>
        <v>0</v>
      </c>
      <c r="C135">
        <v>12</v>
      </c>
      <c r="D135" t="s">
        <v>160</v>
      </c>
      <c r="E135">
        <v>2022</v>
      </c>
      <c r="F135" t="s">
        <v>309</v>
      </c>
      <c r="G135" t="s">
        <v>3</v>
      </c>
      <c r="H135" t="s">
        <v>298</v>
      </c>
      <c r="I135" t="s">
        <v>311</v>
      </c>
      <c r="J135" t="s">
        <v>310</v>
      </c>
      <c r="K135">
        <v>12</v>
      </c>
      <c r="L135" t="str">
        <f>IF(SportClimbing[[#This Row],[Height (m)]]&lt;11, "0-10", IF(SportClimbing[[#This Row],[Height (m)]]&lt;16, "11-15", IF(SportClimbing[[#This Row],[Height (m)]]&lt;21, "16-20", IF(SportClimbing[[#This Row],[Height (m)]]&lt;26, "21-25", IF(SportClimbing[[#This Row],[Height (m)]]&lt;31, "26-30", IF(SportClimbing[[#This Row],[Height (m)]]&lt;36, "31-35", "35+"))))))</f>
        <v>11-15</v>
      </c>
      <c r="M135" t="s">
        <v>370</v>
      </c>
      <c r="N135">
        <v>2</v>
      </c>
      <c r="O135">
        <f>IF(ISNUMBER(SportClimbing[[#This Row],[Total number of tries]])=TRUE, SportClimbing[[#This Row],[Total number of tries]], 1)</f>
        <v>2</v>
      </c>
      <c r="P135" t="str">
        <f>IF(ISNUMBER(SportClimbing[[#This Row],[Total number of tries]])=TRUE, "redpoint", SportClimbing[[#This Row],[Total number of tries]])</f>
        <v>redpoint</v>
      </c>
      <c r="Q135">
        <f>_xlfn.XLOOKUP(SportClimbing[[#This Row],[Grade]],SCORE[GRADE],SCORE[SCORE],,)</f>
        <v>10</v>
      </c>
    </row>
    <row r="136" spans="1:17" x14ac:dyDescent="0.25">
      <c r="A136" s="21">
        <f>DATE(SportClimbing[[#This Row],[Year]],_xlfn.XLOOKUP(SportClimbing[[#This Row],[Month]],MONTHS[MONTHS 2],MONTHS[MONTHS 3]),SportClimbing[[#This Row],[Day]])</f>
        <v>44884</v>
      </c>
      <c r="B136" s="21" t="b">
        <f ca="1">AND(SportClimbing[[#This Row],[Date]] &gt;= TODAY()-365, SportClimbing[[#This Row],[Date]] &lt;= TODAY())</f>
        <v>0</v>
      </c>
      <c r="C136">
        <v>19</v>
      </c>
      <c r="D136" t="s">
        <v>160</v>
      </c>
      <c r="E136">
        <v>2022</v>
      </c>
      <c r="F136" t="s">
        <v>312</v>
      </c>
      <c r="G136" t="s">
        <v>3</v>
      </c>
      <c r="H136" t="s">
        <v>313</v>
      </c>
      <c r="I136" t="s">
        <v>345</v>
      </c>
      <c r="J136" t="s">
        <v>345</v>
      </c>
      <c r="K136">
        <v>10</v>
      </c>
      <c r="L136" t="str">
        <f>IF(SportClimbing[[#This Row],[Height (m)]]&lt;11, "0-10", IF(SportClimbing[[#This Row],[Height (m)]]&lt;16, "11-15", IF(SportClimbing[[#This Row],[Height (m)]]&lt;21, "16-20", IF(SportClimbing[[#This Row],[Height (m)]]&lt;26, "21-25", IF(SportClimbing[[#This Row],[Height (m)]]&lt;31, "26-30", IF(SportClimbing[[#This Row],[Height (m)]]&lt;36, "31-35", "35+"))))))</f>
        <v>0-10</v>
      </c>
      <c r="M136" t="s">
        <v>370</v>
      </c>
      <c r="N136">
        <v>4</v>
      </c>
      <c r="O136">
        <f>IF(ISNUMBER(SportClimbing[[#This Row],[Total number of tries]])=TRUE, SportClimbing[[#This Row],[Total number of tries]], 1)</f>
        <v>4</v>
      </c>
      <c r="P136" t="str">
        <f>IF(ISNUMBER(SportClimbing[[#This Row],[Total number of tries]])=TRUE, "redpoint", SportClimbing[[#This Row],[Total number of tries]])</f>
        <v>redpoint</v>
      </c>
      <c r="Q136">
        <f>_xlfn.XLOOKUP(SportClimbing[[#This Row],[Grade]],SCORE[GRADE],SCORE[SCORE],,)</f>
        <v>10</v>
      </c>
    </row>
    <row r="137" spans="1:17" x14ac:dyDescent="0.25">
      <c r="A137" s="21">
        <f>DATE(SportClimbing[[#This Row],[Year]],_xlfn.XLOOKUP(SportClimbing[[#This Row],[Month]],MONTHS[MONTHS 2],MONTHS[MONTHS 3]),SportClimbing[[#This Row],[Day]])</f>
        <v>44963</v>
      </c>
      <c r="B137" s="21" t="b">
        <f ca="1">AND(SportClimbing[[#This Row],[Date]] &gt;= TODAY()-365, SportClimbing[[#This Row],[Date]] &lt;= TODAY())</f>
        <v>0</v>
      </c>
      <c r="C137">
        <v>6</v>
      </c>
      <c r="D137" t="s">
        <v>152</v>
      </c>
      <c r="E137">
        <v>2023</v>
      </c>
      <c r="F137" t="s">
        <v>244</v>
      </c>
      <c r="G137" t="s">
        <v>3</v>
      </c>
      <c r="H137" t="s">
        <v>262</v>
      </c>
      <c r="I137" t="s">
        <v>43</v>
      </c>
      <c r="J137" t="s">
        <v>93</v>
      </c>
      <c r="K137">
        <v>15</v>
      </c>
      <c r="L137" t="str">
        <f>IF(SportClimbing[[#This Row],[Height (m)]]&lt;11, "0-10", IF(SportClimbing[[#This Row],[Height (m)]]&lt;16, "11-15", IF(SportClimbing[[#This Row],[Height (m)]]&lt;21, "16-20", IF(SportClimbing[[#This Row],[Height (m)]]&lt;26, "21-25", IF(SportClimbing[[#This Row],[Height (m)]]&lt;31, "26-30", IF(SportClimbing[[#This Row],[Height (m)]]&lt;36, "31-35", "35+"))))))</f>
        <v>11-15</v>
      </c>
      <c r="M137" t="s">
        <v>120</v>
      </c>
      <c r="N137">
        <v>2</v>
      </c>
      <c r="O137">
        <f>IF(ISNUMBER(SportClimbing[[#This Row],[Total number of tries]])=TRUE, SportClimbing[[#This Row],[Total number of tries]], 1)</f>
        <v>2</v>
      </c>
      <c r="P137" t="str">
        <f>IF(ISNUMBER(SportClimbing[[#This Row],[Total number of tries]])=TRUE, "redpoint", SportClimbing[[#This Row],[Total number of tries]])</f>
        <v>redpoint</v>
      </c>
      <c r="Q137">
        <f>_xlfn.XLOOKUP(SportClimbing[[#This Row],[Grade]],SCORE[GRADE],SCORE[SCORE],,)</f>
        <v>10</v>
      </c>
    </row>
    <row r="138" spans="1:17" x14ac:dyDescent="0.25">
      <c r="A138" s="21">
        <f>DATE(SportClimbing[[#This Row],[Year]],_xlfn.XLOOKUP(SportClimbing[[#This Row],[Month]],MONTHS[MONTHS 2],MONTHS[MONTHS 3]),SportClimbing[[#This Row],[Day]])</f>
        <v>44966</v>
      </c>
      <c r="B138" s="21" t="b">
        <f ca="1">AND(SportClimbing[[#This Row],[Date]] &gt;= TODAY()-365, SportClimbing[[#This Row],[Date]] &lt;= TODAY())</f>
        <v>0</v>
      </c>
      <c r="C138">
        <v>9</v>
      </c>
      <c r="D138" t="s">
        <v>152</v>
      </c>
      <c r="E138">
        <v>2023</v>
      </c>
      <c r="F138" t="s">
        <v>316</v>
      </c>
      <c r="G138" t="s">
        <v>3</v>
      </c>
      <c r="H138" t="s">
        <v>262</v>
      </c>
      <c r="I138" t="s">
        <v>43</v>
      </c>
      <c r="J138" t="s">
        <v>315</v>
      </c>
      <c r="K138">
        <v>18</v>
      </c>
      <c r="L138" t="str">
        <f>IF(SportClimbing[[#This Row],[Height (m)]]&lt;11, "0-10", IF(SportClimbing[[#This Row],[Height (m)]]&lt;16, "11-15", IF(SportClimbing[[#This Row],[Height (m)]]&lt;21, "16-20", IF(SportClimbing[[#This Row],[Height (m)]]&lt;26, "21-25", IF(SportClimbing[[#This Row],[Height (m)]]&lt;31, "26-30", IF(SportClimbing[[#This Row],[Height (m)]]&lt;36, "31-35", "35+"))))))</f>
        <v>16-20</v>
      </c>
      <c r="M138" t="s">
        <v>370</v>
      </c>
      <c r="N138" t="s">
        <v>11</v>
      </c>
      <c r="O138">
        <f>IF(ISNUMBER(SportClimbing[[#This Row],[Total number of tries]])=TRUE, SportClimbing[[#This Row],[Total number of tries]], 1)</f>
        <v>1</v>
      </c>
      <c r="P138" t="str">
        <f>IF(ISNUMBER(SportClimbing[[#This Row],[Total number of tries]])=TRUE, "redpoint", SportClimbing[[#This Row],[Total number of tries]])</f>
        <v>flash</v>
      </c>
      <c r="Q138">
        <f>_xlfn.XLOOKUP(SportClimbing[[#This Row],[Grade]],SCORE[GRADE],SCORE[SCORE],,)</f>
        <v>10</v>
      </c>
    </row>
    <row r="139" spans="1:17" x14ac:dyDescent="0.25">
      <c r="A139" s="21">
        <f>DATE(SportClimbing[[#This Row],[Year]],_xlfn.XLOOKUP(SportClimbing[[#This Row],[Month]],MONTHS[MONTHS 2],MONTHS[MONTHS 3]),SportClimbing[[#This Row],[Day]])</f>
        <v>44966</v>
      </c>
      <c r="B139" s="21" t="b">
        <f ca="1">AND(SportClimbing[[#This Row],[Date]] &gt;= TODAY()-365, SportClimbing[[#This Row],[Date]] &lt;= TODAY())</f>
        <v>0</v>
      </c>
      <c r="C139">
        <v>9</v>
      </c>
      <c r="D139" t="s">
        <v>152</v>
      </c>
      <c r="E139">
        <v>2023</v>
      </c>
      <c r="F139" t="s">
        <v>314</v>
      </c>
      <c r="G139" t="s">
        <v>3</v>
      </c>
      <c r="H139" t="s">
        <v>262</v>
      </c>
      <c r="I139" t="s">
        <v>43</v>
      </c>
      <c r="J139" t="s">
        <v>315</v>
      </c>
      <c r="K139">
        <v>25</v>
      </c>
      <c r="L139" t="str">
        <f>IF(SportClimbing[[#This Row],[Height (m)]]&lt;11, "0-10", IF(SportClimbing[[#This Row],[Height (m)]]&lt;16, "11-15", IF(SportClimbing[[#This Row],[Height (m)]]&lt;21, "16-20", IF(SportClimbing[[#This Row],[Height (m)]]&lt;26, "21-25", IF(SportClimbing[[#This Row],[Height (m)]]&lt;31, "26-30", IF(SportClimbing[[#This Row],[Height (m)]]&lt;36, "31-35", "35+"))))))</f>
        <v>21-25</v>
      </c>
      <c r="M139" t="s">
        <v>304</v>
      </c>
      <c r="N139">
        <v>2</v>
      </c>
      <c r="O139">
        <f>IF(ISNUMBER(SportClimbing[[#This Row],[Total number of tries]])=TRUE, SportClimbing[[#This Row],[Total number of tries]], 1)</f>
        <v>2</v>
      </c>
      <c r="P139" t="str">
        <f>IF(ISNUMBER(SportClimbing[[#This Row],[Total number of tries]])=TRUE, "redpoint", SportClimbing[[#This Row],[Total number of tries]])</f>
        <v>redpoint</v>
      </c>
      <c r="Q139">
        <f>_xlfn.XLOOKUP(SportClimbing[[#This Row],[Grade]],SCORE[GRADE],SCORE[SCORE],,)</f>
        <v>10</v>
      </c>
    </row>
    <row r="140" spans="1:17" x14ac:dyDescent="0.25">
      <c r="A140" s="21">
        <f>DATE(SportClimbing[[#This Row],[Year]],_xlfn.XLOOKUP(SportClimbing[[#This Row],[Month]],MONTHS[MONTHS 2],MONTHS[MONTHS 3]),SportClimbing[[#This Row],[Day]])</f>
        <v>44967</v>
      </c>
      <c r="B140" s="21" t="b">
        <f ca="1">AND(SportClimbing[[#This Row],[Date]] &gt;= TODAY()-365, SportClimbing[[#This Row],[Date]] &lt;= TODAY())</f>
        <v>0</v>
      </c>
      <c r="C140">
        <v>10</v>
      </c>
      <c r="D140" t="s">
        <v>152</v>
      </c>
      <c r="E140">
        <v>2023</v>
      </c>
      <c r="F140" t="s">
        <v>317</v>
      </c>
      <c r="G140" t="s">
        <v>3</v>
      </c>
      <c r="H140" t="s">
        <v>262</v>
      </c>
      <c r="I140" t="s">
        <v>43</v>
      </c>
      <c r="J140" t="s">
        <v>206</v>
      </c>
      <c r="K140">
        <v>28</v>
      </c>
      <c r="L140" t="str">
        <f>IF(SportClimbing[[#This Row],[Height (m)]]&lt;11, "0-10", IF(SportClimbing[[#This Row],[Height (m)]]&lt;16, "11-15", IF(SportClimbing[[#This Row],[Height (m)]]&lt;21, "16-20", IF(SportClimbing[[#This Row],[Height (m)]]&lt;26, "21-25", IF(SportClimbing[[#This Row],[Height (m)]]&lt;31, "26-30", IF(SportClimbing[[#This Row],[Height (m)]]&lt;36, "31-35", "35+"))))))</f>
        <v>26-30</v>
      </c>
      <c r="M140" t="s">
        <v>304</v>
      </c>
      <c r="N140" t="s">
        <v>11</v>
      </c>
      <c r="O140">
        <f>IF(ISNUMBER(SportClimbing[[#This Row],[Total number of tries]])=TRUE, SportClimbing[[#This Row],[Total number of tries]], 1)</f>
        <v>1</v>
      </c>
      <c r="P140" t="str">
        <f>IF(ISNUMBER(SportClimbing[[#This Row],[Total number of tries]])=TRUE, "redpoint", SportClimbing[[#This Row],[Total number of tries]])</f>
        <v>flash</v>
      </c>
      <c r="Q140">
        <f>_xlfn.XLOOKUP(SportClimbing[[#This Row],[Grade]],SCORE[GRADE],SCORE[SCORE],,)</f>
        <v>10</v>
      </c>
    </row>
    <row r="141" spans="1:17" x14ac:dyDescent="0.25">
      <c r="A141" s="21">
        <f>DATE(SportClimbing[[#This Row],[Year]],_xlfn.XLOOKUP(SportClimbing[[#This Row],[Month]],MONTHS[MONTHS 2],MONTHS[MONTHS 3]),SportClimbing[[#This Row],[Day]])</f>
        <v>44967</v>
      </c>
      <c r="B141" s="21" t="b">
        <f ca="1">AND(SportClimbing[[#This Row],[Date]] &gt;= TODAY()-365, SportClimbing[[#This Row],[Date]] &lt;= TODAY())</f>
        <v>0</v>
      </c>
      <c r="C141">
        <v>10</v>
      </c>
      <c r="D141" t="s">
        <v>152</v>
      </c>
      <c r="E141">
        <v>2023</v>
      </c>
      <c r="F141" t="s">
        <v>318</v>
      </c>
      <c r="G141" t="s">
        <v>3</v>
      </c>
      <c r="H141" t="s">
        <v>262</v>
      </c>
      <c r="I141" t="s">
        <v>43</v>
      </c>
      <c r="J141" t="s">
        <v>206</v>
      </c>
      <c r="K141">
        <v>20</v>
      </c>
      <c r="L141" t="str">
        <f>IF(SportClimbing[[#This Row],[Height (m)]]&lt;11, "0-10", IF(SportClimbing[[#This Row],[Height (m)]]&lt;16, "11-15", IF(SportClimbing[[#This Row],[Height (m)]]&lt;21, "16-20", IF(SportClimbing[[#This Row],[Height (m)]]&lt;26, "21-25", IF(SportClimbing[[#This Row],[Height (m)]]&lt;31, "26-30", IF(SportClimbing[[#This Row],[Height (m)]]&lt;36, "31-35", "35+"))))))</f>
        <v>16-20</v>
      </c>
      <c r="M141" t="s">
        <v>120</v>
      </c>
      <c r="N141">
        <v>2</v>
      </c>
      <c r="O141">
        <f>IF(ISNUMBER(SportClimbing[[#This Row],[Total number of tries]])=TRUE, SportClimbing[[#This Row],[Total number of tries]], 1)</f>
        <v>2</v>
      </c>
      <c r="P141" t="str">
        <f>IF(ISNUMBER(SportClimbing[[#This Row],[Total number of tries]])=TRUE, "redpoint", SportClimbing[[#This Row],[Total number of tries]])</f>
        <v>redpoint</v>
      </c>
      <c r="Q141">
        <f>_xlfn.XLOOKUP(SportClimbing[[#This Row],[Grade]],SCORE[GRADE],SCORE[SCORE],,)</f>
        <v>10</v>
      </c>
    </row>
    <row r="142" spans="1:17" x14ac:dyDescent="0.25">
      <c r="A142" s="21">
        <f>DATE(SportClimbing[[#This Row],[Year]],_xlfn.XLOOKUP(SportClimbing[[#This Row],[Month]],MONTHS[MONTHS 2],MONTHS[MONTHS 3]),SportClimbing[[#This Row],[Day]])</f>
        <v>44968</v>
      </c>
      <c r="B142" s="21" t="b">
        <f ca="1">AND(SportClimbing[[#This Row],[Date]] &gt;= TODAY()-365, SportClimbing[[#This Row],[Date]] &lt;= TODAY())</f>
        <v>0</v>
      </c>
      <c r="C142">
        <v>11</v>
      </c>
      <c r="D142" t="s">
        <v>152</v>
      </c>
      <c r="E142">
        <v>2023</v>
      </c>
      <c r="F142" t="s">
        <v>319</v>
      </c>
      <c r="G142" t="s">
        <v>3</v>
      </c>
      <c r="H142" t="s">
        <v>262</v>
      </c>
      <c r="I142" t="s">
        <v>43</v>
      </c>
      <c r="J142" t="s">
        <v>206</v>
      </c>
      <c r="K142">
        <v>28</v>
      </c>
      <c r="L142" t="str">
        <f>IF(SportClimbing[[#This Row],[Height (m)]]&lt;11, "0-10", IF(SportClimbing[[#This Row],[Height (m)]]&lt;16, "11-15", IF(SportClimbing[[#This Row],[Height (m)]]&lt;21, "16-20", IF(SportClimbing[[#This Row],[Height (m)]]&lt;26, "21-25", IF(SportClimbing[[#This Row],[Height (m)]]&lt;31, "26-30", IF(SportClimbing[[#This Row],[Height (m)]]&lt;36, "31-35", "35+"))))))</f>
        <v>26-30</v>
      </c>
      <c r="M142" t="s">
        <v>304</v>
      </c>
      <c r="N142" t="s">
        <v>130</v>
      </c>
      <c r="O142">
        <f>IF(ISNUMBER(SportClimbing[[#This Row],[Total number of tries]])=TRUE, SportClimbing[[#This Row],[Total number of tries]], 1)</f>
        <v>1</v>
      </c>
      <c r="P142" t="str">
        <f>IF(ISNUMBER(SportClimbing[[#This Row],[Total number of tries]])=TRUE, "redpoint", SportClimbing[[#This Row],[Total number of tries]])</f>
        <v>onsight</v>
      </c>
      <c r="Q142">
        <f>_xlfn.XLOOKUP(SportClimbing[[#This Row],[Grade]],SCORE[GRADE],SCORE[SCORE],,)</f>
        <v>10</v>
      </c>
    </row>
    <row r="143" spans="1:17" x14ac:dyDescent="0.25">
      <c r="A143" s="21">
        <f>DATE(SportClimbing[[#This Row],[Year]],_xlfn.XLOOKUP(SportClimbing[[#This Row],[Month]],MONTHS[MONTHS 2],MONTHS[MONTHS 3]),SportClimbing[[#This Row],[Day]])</f>
        <v>44976</v>
      </c>
      <c r="B143" s="21" t="b">
        <f ca="1">AND(SportClimbing[[#This Row],[Date]] &gt;= TODAY()-365, SportClimbing[[#This Row],[Date]] &lt;= TODAY())</f>
        <v>0</v>
      </c>
      <c r="C143">
        <v>19</v>
      </c>
      <c r="D143" t="s">
        <v>152</v>
      </c>
      <c r="E143">
        <v>2023</v>
      </c>
      <c r="F143" t="s">
        <v>321</v>
      </c>
      <c r="G143" t="s">
        <v>21</v>
      </c>
      <c r="H143" t="s">
        <v>262</v>
      </c>
      <c r="I143" t="s">
        <v>43</v>
      </c>
      <c r="J143" t="s">
        <v>320</v>
      </c>
      <c r="K143">
        <v>18</v>
      </c>
      <c r="L143" t="str">
        <f>IF(SportClimbing[[#This Row],[Height (m)]]&lt;11, "0-10", IF(SportClimbing[[#This Row],[Height (m)]]&lt;16, "11-15", IF(SportClimbing[[#This Row],[Height (m)]]&lt;21, "16-20", IF(SportClimbing[[#This Row],[Height (m)]]&lt;26, "21-25", IF(SportClimbing[[#This Row],[Height (m)]]&lt;31, "26-30", IF(SportClimbing[[#This Row],[Height (m)]]&lt;36, "31-35", "35+"))))))</f>
        <v>16-20</v>
      </c>
      <c r="M143" t="s">
        <v>120</v>
      </c>
      <c r="N143">
        <v>2</v>
      </c>
      <c r="O143">
        <f>IF(ISNUMBER(SportClimbing[[#This Row],[Total number of tries]])=TRUE, SportClimbing[[#This Row],[Total number of tries]], 1)</f>
        <v>2</v>
      </c>
      <c r="P143" t="str">
        <f>IF(ISNUMBER(SportClimbing[[#This Row],[Total number of tries]])=TRUE, "redpoint", SportClimbing[[#This Row],[Total number of tries]])</f>
        <v>redpoint</v>
      </c>
      <c r="Q143">
        <f>_xlfn.XLOOKUP(SportClimbing[[#This Row],[Grade]],SCORE[GRADE],SCORE[SCORE],,)</f>
        <v>15</v>
      </c>
    </row>
    <row r="144" spans="1:17" x14ac:dyDescent="0.25">
      <c r="A144" s="21">
        <f>DATE(SportClimbing[[#This Row],[Year]],_xlfn.XLOOKUP(SportClimbing[[#This Row],[Month]],MONTHS[MONTHS 2],MONTHS[MONTHS 3]),SportClimbing[[#This Row],[Day]])</f>
        <v>44976</v>
      </c>
      <c r="B144" s="21" t="b">
        <f ca="1">AND(SportClimbing[[#This Row],[Date]] &gt;= TODAY()-365, SportClimbing[[#This Row],[Date]] &lt;= TODAY())</f>
        <v>0</v>
      </c>
      <c r="C144">
        <v>19</v>
      </c>
      <c r="D144" t="s">
        <v>152</v>
      </c>
      <c r="E144">
        <v>2023</v>
      </c>
      <c r="F144" t="s">
        <v>322</v>
      </c>
      <c r="G144" t="s">
        <v>3</v>
      </c>
      <c r="H144" t="s">
        <v>262</v>
      </c>
      <c r="I144" t="s">
        <v>43</v>
      </c>
      <c r="J144" t="s">
        <v>91</v>
      </c>
      <c r="K144">
        <v>25</v>
      </c>
      <c r="L144" t="str">
        <f>IF(SportClimbing[[#This Row],[Height (m)]]&lt;11, "0-10", IF(SportClimbing[[#This Row],[Height (m)]]&lt;16, "11-15", IF(SportClimbing[[#This Row],[Height (m)]]&lt;21, "16-20", IF(SportClimbing[[#This Row],[Height (m)]]&lt;26, "21-25", IF(SportClimbing[[#This Row],[Height (m)]]&lt;31, "26-30", IF(SportClimbing[[#This Row],[Height (m)]]&lt;36, "31-35", "35+"))))))</f>
        <v>21-25</v>
      </c>
      <c r="M144" t="s">
        <v>370</v>
      </c>
      <c r="N144">
        <v>2</v>
      </c>
      <c r="O144">
        <f>IF(ISNUMBER(SportClimbing[[#This Row],[Total number of tries]])=TRUE, SportClimbing[[#This Row],[Total number of tries]], 1)</f>
        <v>2</v>
      </c>
      <c r="P144" t="str">
        <f>IF(ISNUMBER(SportClimbing[[#This Row],[Total number of tries]])=TRUE, "redpoint", SportClimbing[[#This Row],[Total number of tries]])</f>
        <v>redpoint</v>
      </c>
      <c r="Q144">
        <f>_xlfn.XLOOKUP(SportClimbing[[#This Row],[Grade]],SCORE[GRADE],SCORE[SCORE],,)</f>
        <v>10</v>
      </c>
    </row>
    <row r="145" spans="1:17" x14ac:dyDescent="0.25">
      <c r="A145" s="21">
        <f>DATE(SportClimbing[[#This Row],[Year]],_xlfn.XLOOKUP(SportClimbing[[#This Row],[Month]],MONTHS[MONTHS 2],MONTHS[MONTHS 3]),SportClimbing[[#This Row],[Day]])</f>
        <v>44979</v>
      </c>
      <c r="B145" s="21" t="b">
        <f ca="1">AND(SportClimbing[[#This Row],[Date]] &gt;= TODAY()-365, SportClimbing[[#This Row],[Date]] &lt;= TODAY())</f>
        <v>0</v>
      </c>
      <c r="C145">
        <v>22</v>
      </c>
      <c r="D145" t="s">
        <v>152</v>
      </c>
      <c r="E145">
        <v>2023</v>
      </c>
      <c r="F145" t="s">
        <v>388</v>
      </c>
      <c r="G145" t="s">
        <v>3</v>
      </c>
      <c r="H145" t="s">
        <v>262</v>
      </c>
      <c r="I145" t="s">
        <v>323</v>
      </c>
      <c r="J145" t="s">
        <v>330</v>
      </c>
      <c r="K145">
        <v>18</v>
      </c>
      <c r="L145" t="str">
        <f>IF(SportClimbing[[#This Row],[Height (m)]]&lt;11, "0-10", IF(SportClimbing[[#This Row],[Height (m)]]&lt;16, "11-15", IF(SportClimbing[[#This Row],[Height (m)]]&lt;21, "16-20", IF(SportClimbing[[#This Row],[Height (m)]]&lt;26, "21-25", IF(SportClimbing[[#This Row],[Height (m)]]&lt;31, "26-30", IF(SportClimbing[[#This Row],[Height (m)]]&lt;36, "31-35", "35+"))))))</f>
        <v>16-20</v>
      </c>
      <c r="M145" t="s">
        <v>324</v>
      </c>
      <c r="N145" t="s">
        <v>130</v>
      </c>
      <c r="O145">
        <f>IF(ISNUMBER(SportClimbing[[#This Row],[Total number of tries]])=TRUE, SportClimbing[[#This Row],[Total number of tries]], 1)</f>
        <v>1</v>
      </c>
      <c r="P145" t="str">
        <f>IF(ISNUMBER(SportClimbing[[#This Row],[Total number of tries]])=TRUE, "redpoint", SportClimbing[[#This Row],[Total number of tries]])</f>
        <v>onsight</v>
      </c>
      <c r="Q145">
        <f>_xlfn.XLOOKUP(SportClimbing[[#This Row],[Grade]],SCORE[GRADE],SCORE[SCORE],,)</f>
        <v>10</v>
      </c>
    </row>
    <row r="146" spans="1:17" x14ac:dyDescent="0.25">
      <c r="A146" s="21">
        <f>DATE(SportClimbing[[#This Row],[Year]],_xlfn.XLOOKUP(SportClimbing[[#This Row],[Month]],MONTHS[MONTHS 2],MONTHS[MONTHS 3]),SportClimbing[[#This Row],[Day]])</f>
        <v>44983</v>
      </c>
      <c r="B146" s="21" t="b">
        <f ca="1">AND(SportClimbing[[#This Row],[Date]] &gt;= TODAY()-365, SportClimbing[[#This Row],[Date]] &lt;= TODAY())</f>
        <v>0</v>
      </c>
      <c r="C146">
        <v>26</v>
      </c>
      <c r="D146" t="s">
        <v>152</v>
      </c>
      <c r="E146">
        <v>2023</v>
      </c>
      <c r="F146" t="s">
        <v>326</v>
      </c>
      <c r="G146" t="s">
        <v>3</v>
      </c>
      <c r="H146" t="s">
        <v>262</v>
      </c>
      <c r="I146" t="s">
        <v>126</v>
      </c>
      <c r="J146" t="s">
        <v>328</v>
      </c>
      <c r="K146">
        <v>30</v>
      </c>
      <c r="L146" t="str">
        <f>IF(SportClimbing[[#This Row],[Height (m)]]&lt;11, "0-10", IF(SportClimbing[[#This Row],[Height (m)]]&lt;16, "11-15", IF(SportClimbing[[#This Row],[Height (m)]]&lt;21, "16-20", IF(SportClimbing[[#This Row],[Height (m)]]&lt;26, "21-25", IF(SportClimbing[[#This Row],[Height (m)]]&lt;31, "26-30", IF(SportClimbing[[#This Row],[Height (m)]]&lt;36, "31-35", "35+"))))))</f>
        <v>26-30</v>
      </c>
      <c r="M146" t="s">
        <v>231</v>
      </c>
      <c r="N146" t="s">
        <v>130</v>
      </c>
      <c r="O146">
        <f>IF(ISNUMBER(SportClimbing[[#This Row],[Total number of tries]])=TRUE, SportClimbing[[#This Row],[Total number of tries]], 1)</f>
        <v>1</v>
      </c>
      <c r="P146" t="str">
        <f>IF(ISNUMBER(SportClimbing[[#This Row],[Total number of tries]])=TRUE, "redpoint", SportClimbing[[#This Row],[Total number of tries]])</f>
        <v>onsight</v>
      </c>
      <c r="Q146">
        <f>_xlfn.XLOOKUP(SportClimbing[[#This Row],[Grade]],SCORE[GRADE],SCORE[SCORE],,)</f>
        <v>10</v>
      </c>
    </row>
    <row r="147" spans="1:17" x14ac:dyDescent="0.25">
      <c r="A147" s="21">
        <f>DATE(SportClimbing[[#This Row],[Year]],_xlfn.XLOOKUP(SportClimbing[[#This Row],[Month]],MONTHS[MONTHS 2],MONTHS[MONTHS 3]),SportClimbing[[#This Row],[Day]])</f>
        <v>44983</v>
      </c>
      <c r="B147" s="21" t="b">
        <f ca="1">AND(SportClimbing[[#This Row],[Date]] &gt;= TODAY()-365, SportClimbing[[#This Row],[Date]] &lt;= TODAY())</f>
        <v>0</v>
      </c>
      <c r="C147">
        <v>26</v>
      </c>
      <c r="D147" t="s">
        <v>152</v>
      </c>
      <c r="E147">
        <v>2023</v>
      </c>
      <c r="F147" t="s">
        <v>327</v>
      </c>
      <c r="G147" t="s">
        <v>3</v>
      </c>
      <c r="H147" t="s">
        <v>262</v>
      </c>
      <c r="I147" t="s">
        <v>126</v>
      </c>
      <c r="J147" t="s">
        <v>328</v>
      </c>
      <c r="K147">
        <v>25</v>
      </c>
      <c r="L147" t="str">
        <f>IF(SportClimbing[[#This Row],[Height (m)]]&lt;11, "0-10", IF(SportClimbing[[#This Row],[Height (m)]]&lt;16, "11-15", IF(SportClimbing[[#This Row],[Height (m)]]&lt;21, "16-20", IF(SportClimbing[[#This Row],[Height (m)]]&lt;26, "21-25", IF(SportClimbing[[#This Row],[Height (m)]]&lt;31, "26-30", IF(SportClimbing[[#This Row],[Height (m)]]&lt;36, "31-35", "35+"))))))</f>
        <v>21-25</v>
      </c>
      <c r="M147" t="s">
        <v>120</v>
      </c>
      <c r="N147" t="s">
        <v>11</v>
      </c>
      <c r="O147">
        <f>IF(ISNUMBER(SportClimbing[[#This Row],[Total number of tries]])=TRUE, SportClimbing[[#This Row],[Total number of tries]], 1)</f>
        <v>1</v>
      </c>
      <c r="P147" t="str">
        <f>IF(ISNUMBER(SportClimbing[[#This Row],[Total number of tries]])=TRUE, "redpoint", SportClimbing[[#This Row],[Total number of tries]])</f>
        <v>flash</v>
      </c>
      <c r="Q147">
        <f>_xlfn.XLOOKUP(SportClimbing[[#This Row],[Grade]],SCORE[GRADE],SCORE[SCORE],,)</f>
        <v>10</v>
      </c>
    </row>
    <row r="148" spans="1:17" x14ac:dyDescent="0.25">
      <c r="A148" s="21">
        <f>DATE(SportClimbing[[#This Row],[Year]],_xlfn.XLOOKUP(SportClimbing[[#This Row],[Month]],MONTHS[MONTHS 2],MONTHS[MONTHS 3]),SportClimbing[[#This Row],[Day]])</f>
        <v>44984</v>
      </c>
      <c r="B148" s="21" t="b">
        <f ca="1">AND(SportClimbing[[#This Row],[Date]] &gt;= TODAY()-365, SportClimbing[[#This Row],[Date]] &lt;= TODAY())</f>
        <v>0</v>
      </c>
      <c r="C148">
        <v>27</v>
      </c>
      <c r="D148" t="s">
        <v>152</v>
      </c>
      <c r="E148">
        <v>2023</v>
      </c>
      <c r="F148" t="s">
        <v>329</v>
      </c>
      <c r="G148" t="s">
        <v>3</v>
      </c>
      <c r="H148" t="s">
        <v>262</v>
      </c>
      <c r="I148" t="s">
        <v>126</v>
      </c>
      <c r="J148" t="s">
        <v>379</v>
      </c>
      <c r="K148">
        <v>16</v>
      </c>
      <c r="L148" t="str">
        <f>IF(SportClimbing[[#This Row],[Height (m)]]&lt;11, "0-10", IF(SportClimbing[[#This Row],[Height (m)]]&lt;16, "11-15", IF(SportClimbing[[#This Row],[Height (m)]]&lt;21, "16-20", IF(SportClimbing[[#This Row],[Height (m)]]&lt;26, "21-25", IF(SportClimbing[[#This Row],[Height (m)]]&lt;31, "26-30", IF(SportClimbing[[#This Row],[Height (m)]]&lt;36, "31-35", "35+"))))))</f>
        <v>16-20</v>
      </c>
      <c r="M148" t="s">
        <v>325</v>
      </c>
      <c r="N148" t="s">
        <v>130</v>
      </c>
      <c r="O148">
        <f>IF(ISNUMBER(SportClimbing[[#This Row],[Total number of tries]])=TRUE, SportClimbing[[#This Row],[Total number of tries]], 1)</f>
        <v>1</v>
      </c>
      <c r="P148" t="str">
        <f>IF(ISNUMBER(SportClimbing[[#This Row],[Total number of tries]])=TRUE, "redpoint", SportClimbing[[#This Row],[Total number of tries]])</f>
        <v>onsight</v>
      </c>
      <c r="Q148">
        <f>_xlfn.XLOOKUP(SportClimbing[[#This Row],[Grade]],SCORE[GRADE],SCORE[SCORE],,)</f>
        <v>10</v>
      </c>
    </row>
    <row r="149" spans="1:17" x14ac:dyDescent="0.25">
      <c r="A149" s="21">
        <f>DATE(SportClimbing[[#This Row],[Year]],_xlfn.XLOOKUP(SportClimbing[[#This Row],[Month]],MONTHS[MONTHS 2],MONTHS[MONTHS 3]),SportClimbing[[#This Row],[Day]])</f>
        <v>45009</v>
      </c>
      <c r="B149" s="21" t="b">
        <f ca="1">AND(SportClimbing[[#This Row],[Date]] &gt;= TODAY()-365, SportClimbing[[#This Row],[Date]] &lt;= TODAY())</f>
        <v>0</v>
      </c>
      <c r="C149">
        <v>24</v>
      </c>
      <c r="D149" t="s">
        <v>367</v>
      </c>
      <c r="E149">
        <v>2023</v>
      </c>
      <c r="F149" t="s">
        <v>331</v>
      </c>
      <c r="G149" t="s">
        <v>3</v>
      </c>
      <c r="H149" s="23" t="s">
        <v>298</v>
      </c>
      <c r="I149" s="23" t="s">
        <v>306</v>
      </c>
      <c r="J149" t="s">
        <v>333</v>
      </c>
      <c r="K149">
        <v>22</v>
      </c>
      <c r="L149" t="str">
        <f>IF(SportClimbing[[#This Row],[Height (m)]]&lt;11, "0-10", IF(SportClimbing[[#This Row],[Height (m)]]&lt;16, "11-15", IF(SportClimbing[[#This Row],[Height (m)]]&lt;21, "16-20", IF(SportClimbing[[#This Row],[Height (m)]]&lt;26, "21-25", IF(SportClimbing[[#This Row],[Height (m)]]&lt;31, "26-30", IF(SportClimbing[[#This Row],[Height (m)]]&lt;36, "31-35", "35+"))))))</f>
        <v>21-25</v>
      </c>
      <c r="M149" t="s">
        <v>332</v>
      </c>
      <c r="N149" t="s">
        <v>11</v>
      </c>
      <c r="O149">
        <f>IF(ISNUMBER(SportClimbing[[#This Row],[Total number of tries]])=TRUE, SportClimbing[[#This Row],[Total number of tries]], 1)</f>
        <v>1</v>
      </c>
      <c r="P149" t="str">
        <f>IF(ISNUMBER(SportClimbing[[#This Row],[Total number of tries]])=TRUE, "redpoint", SportClimbing[[#This Row],[Total number of tries]])</f>
        <v>flash</v>
      </c>
      <c r="Q149">
        <f>_xlfn.XLOOKUP(SportClimbing[[#This Row],[Grade]],SCORE[GRADE],SCORE[SCORE],,)</f>
        <v>10</v>
      </c>
    </row>
    <row r="150" spans="1:17" x14ac:dyDescent="0.25">
      <c r="A150" s="21">
        <f>DATE(SportClimbing[[#This Row],[Year]],_xlfn.XLOOKUP(SportClimbing[[#This Row],[Month]],MONTHS[MONTHS 2],MONTHS[MONTHS 3]),SportClimbing[[#This Row],[Day]])</f>
        <v>45073</v>
      </c>
      <c r="B150" s="21" t="b">
        <f ca="1">AND(SportClimbing[[#This Row],[Date]] &gt;= TODAY()-365, SportClimbing[[#This Row],[Date]] &lt;= TODAY())</f>
        <v>0</v>
      </c>
      <c r="C150">
        <v>27</v>
      </c>
      <c r="D150" t="s">
        <v>155</v>
      </c>
      <c r="E150">
        <v>2023</v>
      </c>
      <c r="F150" t="s">
        <v>335</v>
      </c>
      <c r="G150" t="s">
        <v>3</v>
      </c>
      <c r="H150" s="23" t="s">
        <v>298</v>
      </c>
      <c r="I150" t="s">
        <v>334</v>
      </c>
      <c r="J150" t="s">
        <v>335</v>
      </c>
      <c r="K150">
        <v>15</v>
      </c>
      <c r="L150" t="str">
        <f>IF(SportClimbing[[#This Row],[Height (m)]]&lt;11, "0-10", IF(SportClimbing[[#This Row],[Height (m)]]&lt;16, "11-15", IF(SportClimbing[[#This Row],[Height (m)]]&lt;21, "16-20", IF(SportClimbing[[#This Row],[Height (m)]]&lt;26, "21-25", IF(SportClimbing[[#This Row],[Height (m)]]&lt;31, "26-30", IF(SportClimbing[[#This Row],[Height (m)]]&lt;36, "31-35", "35+"))))))</f>
        <v>11-15</v>
      </c>
      <c r="M150" t="s">
        <v>370</v>
      </c>
      <c r="N150">
        <v>2</v>
      </c>
      <c r="O150">
        <f>IF(ISNUMBER(SportClimbing[[#This Row],[Total number of tries]])=TRUE, SportClimbing[[#This Row],[Total number of tries]], 1)</f>
        <v>2</v>
      </c>
      <c r="P150" t="str">
        <f>IF(ISNUMBER(SportClimbing[[#This Row],[Total number of tries]])=TRUE, "redpoint", SportClimbing[[#This Row],[Total number of tries]])</f>
        <v>redpoint</v>
      </c>
      <c r="Q150">
        <f>_xlfn.XLOOKUP(SportClimbing[[#This Row],[Grade]],SCORE[GRADE],SCORE[SCORE],,)</f>
        <v>10</v>
      </c>
    </row>
    <row r="151" spans="1:17" x14ac:dyDescent="0.25">
      <c r="A151" s="21">
        <f>DATE(SportClimbing[[#This Row],[Year]],_xlfn.XLOOKUP(SportClimbing[[#This Row],[Month]],MONTHS[MONTHS 2],MONTHS[MONTHS 3]),SportClimbing[[#This Row],[Day]])</f>
        <v>45094</v>
      </c>
      <c r="B151" s="21" t="b">
        <f ca="1">AND(SportClimbing[[#This Row],[Date]] &gt;= TODAY()-365, SportClimbing[[#This Row],[Date]] &lt;= TODAY())</f>
        <v>0</v>
      </c>
      <c r="C151">
        <v>17</v>
      </c>
      <c r="D151" t="s">
        <v>366</v>
      </c>
      <c r="E151">
        <v>2023</v>
      </c>
      <c r="F151" t="s">
        <v>336</v>
      </c>
      <c r="G151" t="s">
        <v>3</v>
      </c>
      <c r="H151" s="23" t="s">
        <v>298</v>
      </c>
      <c r="I151" t="s">
        <v>343</v>
      </c>
      <c r="J151" t="s">
        <v>337</v>
      </c>
      <c r="K151">
        <v>18</v>
      </c>
      <c r="L151" t="str">
        <f>IF(SportClimbing[[#This Row],[Height (m)]]&lt;11, "0-10", IF(SportClimbing[[#This Row],[Height (m)]]&lt;16, "11-15", IF(SportClimbing[[#This Row],[Height (m)]]&lt;21, "16-20", IF(SportClimbing[[#This Row],[Height (m)]]&lt;26, "21-25", IF(SportClimbing[[#This Row],[Height (m)]]&lt;31, "26-30", IF(SportClimbing[[#This Row],[Height (m)]]&lt;36, "31-35", "35+"))))))</f>
        <v>16-20</v>
      </c>
      <c r="M151" t="s">
        <v>370</v>
      </c>
      <c r="N151">
        <v>2</v>
      </c>
      <c r="O151">
        <f>IF(ISNUMBER(SportClimbing[[#This Row],[Total number of tries]])=TRUE, SportClimbing[[#This Row],[Total number of tries]], 1)</f>
        <v>2</v>
      </c>
      <c r="P151" t="str">
        <f>IF(ISNUMBER(SportClimbing[[#This Row],[Total number of tries]])=TRUE, "redpoint", SportClimbing[[#This Row],[Total number of tries]])</f>
        <v>redpoint</v>
      </c>
      <c r="Q151">
        <f>_xlfn.XLOOKUP(SportClimbing[[#This Row],[Grade]],SCORE[GRADE],SCORE[SCORE],,)</f>
        <v>10</v>
      </c>
    </row>
    <row r="152" spans="1:17" x14ac:dyDescent="0.25">
      <c r="A152" s="21">
        <f>DATE(SportClimbing[[#This Row],[Year]],_xlfn.XLOOKUP(SportClimbing[[#This Row],[Month]],MONTHS[MONTHS 2],MONTHS[MONTHS 3]),SportClimbing[[#This Row],[Day]])</f>
        <v>45110</v>
      </c>
      <c r="B152" s="21" t="b">
        <f ca="1">AND(SportClimbing[[#This Row],[Date]] &gt;= TODAY()-365, SportClimbing[[#This Row],[Date]] &lt;= TODAY())</f>
        <v>0</v>
      </c>
      <c r="C152">
        <v>3</v>
      </c>
      <c r="D152" t="s">
        <v>365</v>
      </c>
      <c r="E152">
        <v>2023</v>
      </c>
      <c r="F152" t="s">
        <v>340</v>
      </c>
      <c r="G152" t="s">
        <v>3</v>
      </c>
      <c r="H152" s="23" t="s">
        <v>298</v>
      </c>
      <c r="I152" t="s">
        <v>380</v>
      </c>
      <c r="J152" t="s">
        <v>342</v>
      </c>
      <c r="K152">
        <v>20</v>
      </c>
      <c r="L152" t="str">
        <f>IF(SportClimbing[[#This Row],[Height (m)]]&lt;11, "0-10", IF(SportClimbing[[#This Row],[Height (m)]]&lt;16, "11-15", IF(SportClimbing[[#This Row],[Height (m)]]&lt;21, "16-20", IF(SportClimbing[[#This Row],[Height (m)]]&lt;26, "21-25", IF(SportClimbing[[#This Row],[Height (m)]]&lt;31, "26-30", IF(SportClimbing[[#This Row],[Height (m)]]&lt;36, "31-35", "35+"))))))</f>
        <v>16-20</v>
      </c>
      <c r="M152" t="s">
        <v>338</v>
      </c>
      <c r="N152">
        <v>2</v>
      </c>
      <c r="O152">
        <f>IF(ISNUMBER(SportClimbing[[#This Row],[Total number of tries]])=TRUE, SportClimbing[[#This Row],[Total number of tries]], 1)</f>
        <v>2</v>
      </c>
      <c r="P152" t="str">
        <f>IF(ISNUMBER(SportClimbing[[#This Row],[Total number of tries]])=TRUE, "redpoint", SportClimbing[[#This Row],[Total number of tries]])</f>
        <v>redpoint</v>
      </c>
      <c r="Q152">
        <f>_xlfn.XLOOKUP(SportClimbing[[#This Row],[Grade]],SCORE[GRADE],SCORE[SCORE],,)</f>
        <v>10</v>
      </c>
    </row>
    <row r="153" spans="1:17" x14ac:dyDescent="0.25">
      <c r="A153" s="21">
        <f>DATE(SportClimbing[[#This Row],[Year]],_xlfn.XLOOKUP(SportClimbing[[#This Row],[Month]],MONTHS[MONTHS 2],MONTHS[MONTHS 3]),SportClimbing[[#This Row],[Day]])</f>
        <v>45110</v>
      </c>
      <c r="B153" s="21" t="b">
        <f ca="1">AND(SportClimbing[[#This Row],[Date]] &gt;= TODAY()-365, SportClimbing[[#This Row],[Date]] &lt;= TODAY())</f>
        <v>0</v>
      </c>
      <c r="C153">
        <v>3</v>
      </c>
      <c r="D153" t="s">
        <v>365</v>
      </c>
      <c r="E153">
        <v>2023</v>
      </c>
      <c r="F153" t="s">
        <v>341</v>
      </c>
      <c r="G153" t="s">
        <v>3</v>
      </c>
      <c r="H153" s="23" t="s">
        <v>298</v>
      </c>
      <c r="I153" t="s">
        <v>380</v>
      </c>
      <c r="J153" t="s">
        <v>342</v>
      </c>
      <c r="K153">
        <v>10</v>
      </c>
      <c r="L153" t="str">
        <f>IF(SportClimbing[[#This Row],[Height (m)]]&lt;11, "0-10", IF(SportClimbing[[#This Row],[Height (m)]]&lt;16, "11-15", IF(SportClimbing[[#This Row],[Height (m)]]&lt;21, "16-20", IF(SportClimbing[[#This Row],[Height (m)]]&lt;26, "21-25", IF(SportClimbing[[#This Row],[Height (m)]]&lt;31, "26-30", IF(SportClimbing[[#This Row],[Height (m)]]&lt;36, "31-35", "35+"))))))</f>
        <v>0-10</v>
      </c>
      <c r="M153" t="s">
        <v>338</v>
      </c>
      <c r="N153">
        <v>2</v>
      </c>
      <c r="O153">
        <f>IF(ISNUMBER(SportClimbing[[#This Row],[Total number of tries]])=TRUE, SportClimbing[[#This Row],[Total number of tries]], 1)</f>
        <v>2</v>
      </c>
      <c r="P153" t="str">
        <f>IF(ISNUMBER(SportClimbing[[#This Row],[Total number of tries]])=TRUE, "redpoint", SportClimbing[[#This Row],[Total number of tries]])</f>
        <v>redpoint</v>
      </c>
      <c r="Q153">
        <f>_xlfn.XLOOKUP(SportClimbing[[#This Row],[Grade]],SCORE[GRADE],SCORE[SCORE],,)</f>
        <v>10</v>
      </c>
    </row>
    <row r="154" spans="1:17" x14ac:dyDescent="0.25">
      <c r="A154" s="21">
        <f>DATE(SportClimbing[[#This Row],[Year]],_xlfn.XLOOKUP(SportClimbing[[#This Row],[Month]],MONTHS[MONTHS 2],MONTHS[MONTHS 3]),SportClimbing[[#This Row],[Day]])</f>
        <v>45110</v>
      </c>
      <c r="B154" s="21" t="b">
        <f ca="1">AND(SportClimbing[[#This Row],[Date]] &gt;= TODAY()-365, SportClimbing[[#This Row],[Date]] &lt;= TODAY())</f>
        <v>0</v>
      </c>
      <c r="C154">
        <v>3</v>
      </c>
      <c r="D154" t="s">
        <v>365</v>
      </c>
      <c r="E154">
        <v>2023</v>
      </c>
      <c r="F154" s="25" t="s">
        <v>339</v>
      </c>
      <c r="G154" t="s">
        <v>3</v>
      </c>
      <c r="H154" s="23" t="s">
        <v>298</v>
      </c>
      <c r="I154" t="s">
        <v>380</v>
      </c>
      <c r="J154" t="s">
        <v>342</v>
      </c>
      <c r="K154">
        <v>20</v>
      </c>
      <c r="L154" t="str">
        <f>IF(SportClimbing[[#This Row],[Height (m)]]&lt;11, "0-10", IF(SportClimbing[[#This Row],[Height (m)]]&lt;16, "11-15", IF(SportClimbing[[#This Row],[Height (m)]]&lt;21, "16-20", IF(SportClimbing[[#This Row],[Height (m)]]&lt;26, "21-25", IF(SportClimbing[[#This Row],[Height (m)]]&lt;31, "26-30", IF(SportClimbing[[#This Row],[Height (m)]]&lt;36, "31-35", "35+"))))))</f>
        <v>16-20</v>
      </c>
      <c r="M154" t="s">
        <v>338</v>
      </c>
      <c r="N154">
        <v>2</v>
      </c>
      <c r="O154">
        <f>IF(ISNUMBER(SportClimbing[[#This Row],[Total number of tries]])=TRUE, SportClimbing[[#This Row],[Total number of tries]], 1)</f>
        <v>2</v>
      </c>
      <c r="P154" t="str">
        <f>IF(ISNUMBER(SportClimbing[[#This Row],[Total number of tries]])=TRUE, "redpoint", SportClimbing[[#This Row],[Total number of tries]])</f>
        <v>redpoint</v>
      </c>
      <c r="Q154">
        <f>_xlfn.XLOOKUP(SportClimbing[[#This Row],[Grade]],SCORE[GRADE],SCORE[SCORE],,)</f>
        <v>10</v>
      </c>
    </row>
    <row r="155" spans="1:17" x14ac:dyDescent="0.25">
      <c r="A155" s="21">
        <f>DATE(SportClimbing[[#This Row],[Year]],_xlfn.XLOOKUP(SportClimbing[[#This Row],[Month]],MONTHS[MONTHS 2],MONTHS[MONTHS 3]),SportClimbing[[#This Row],[Day]])</f>
        <v>45186</v>
      </c>
      <c r="B155" s="21" t="b">
        <f ca="1">AND(SportClimbing[[#This Row],[Date]] &gt;= TODAY()-365, SportClimbing[[#This Row],[Date]] &lt;= TODAY())</f>
        <v>0</v>
      </c>
      <c r="C155">
        <v>17</v>
      </c>
      <c r="D155" t="s">
        <v>159</v>
      </c>
      <c r="E155">
        <v>2023</v>
      </c>
      <c r="F155" t="s">
        <v>344</v>
      </c>
      <c r="G155" t="s">
        <v>3</v>
      </c>
      <c r="H155" s="23" t="s">
        <v>298</v>
      </c>
      <c r="I155" t="s">
        <v>343</v>
      </c>
      <c r="J155" t="s">
        <v>337</v>
      </c>
      <c r="K155">
        <v>12</v>
      </c>
      <c r="L155" t="str">
        <f>IF(SportClimbing[[#This Row],[Height (m)]]&lt;11, "0-10", IF(SportClimbing[[#This Row],[Height (m)]]&lt;16, "11-15", IF(SportClimbing[[#This Row],[Height (m)]]&lt;21, "16-20", IF(SportClimbing[[#This Row],[Height (m)]]&lt;26, "21-25", IF(SportClimbing[[#This Row],[Height (m)]]&lt;31, "26-30", IF(SportClimbing[[#This Row],[Height (m)]]&lt;36, "31-35", "35+"))))))</f>
        <v>11-15</v>
      </c>
      <c r="M155" t="s">
        <v>332</v>
      </c>
      <c r="N155">
        <v>3</v>
      </c>
      <c r="O155">
        <f>IF(ISNUMBER(SportClimbing[[#This Row],[Total number of tries]])=TRUE, SportClimbing[[#This Row],[Total number of tries]], 1)</f>
        <v>3</v>
      </c>
      <c r="P155" t="str">
        <f>IF(ISNUMBER(SportClimbing[[#This Row],[Total number of tries]])=TRUE, "redpoint", SportClimbing[[#This Row],[Total number of tries]])</f>
        <v>redpoint</v>
      </c>
      <c r="Q155">
        <f>_xlfn.XLOOKUP(SportClimbing[[#This Row],[Grade]],SCORE[GRADE],SCORE[SCORE],,)</f>
        <v>10</v>
      </c>
    </row>
    <row r="156" spans="1:17" x14ac:dyDescent="0.25">
      <c r="A156" s="21">
        <f>DATE(SportClimbing[[#This Row],[Year]],_xlfn.XLOOKUP(SportClimbing[[#This Row],[Month]],MONTHS[MONTHS 2],MONTHS[MONTHS 3]),SportClimbing[[#This Row],[Day]])</f>
        <v>45227</v>
      </c>
      <c r="B156" s="21" t="b">
        <f ca="1">AND(SportClimbing[[#This Row],[Date]] &gt;= TODAY()-365, SportClimbing[[#This Row],[Date]] &lt;= TODAY())</f>
        <v>0</v>
      </c>
      <c r="C156">
        <v>28</v>
      </c>
      <c r="D156" t="s">
        <v>162</v>
      </c>
      <c r="E156">
        <v>2023</v>
      </c>
      <c r="F156" t="s">
        <v>375</v>
      </c>
      <c r="G156" t="s">
        <v>3</v>
      </c>
      <c r="H156" s="23" t="s">
        <v>298</v>
      </c>
      <c r="I156" t="s">
        <v>311</v>
      </c>
      <c r="J156" t="s">
        <v>371</v>
      </c>
      <c r="K156">
        <v>18</v>
      </c>
      <c r="L156" t="str">
        <f>IF(SportClimbing[[#This Row],[Height (m)]]&lt;11, "0-10", IF(SportClimbing[[#This Row],[Height (m)]]&lt;16, "11-15", IF(SportClimbing[[#This Row],[Height (m)]]&lt;21, "16-20", IF(SportClimbing[[#This Row],[Height (m)]]&lt;26, "21-25", IF(SportClimbing[[#This Row],[Height (m)]]&lt;31, "26-30", IF(SportClimbing[[#This Row],[Height (m)]]&lt;36, "31-35", "35+"))))))</f>
        <v>16-20</v>
      </c>
      <c r="M156" t="s">
        <v>374</v>
      </c>
      <c r="N156">
        <v>2</v>
      </c>
      <c r="O156">
        <f>IF(ISNUMBER(SportClimbing[[#This Row],[Total number of tries]])=TRUE, SportClimbing[[#This Row],[Total number of tries]], 1)</f>
        <v>2</v>
      </c>
      <c r="P156" t="str">
        <f>IF(ISNUMBER(SportClimbing[[#This Row],[Total number of tries]])=TRUE, "redpoint", SportClimbing[[#This Row],[Total number of tries]])</f>
        <v>redpoint</v>
      </c>
      <c r="Q156">
        <f>_xlfn.XLOOKUP(SportClimbing[[#This Row],[Grade]],SCORE[GRADE],SCORE[SCORE],,)</f>
        <v>10</v>
      </c>
    </row>
    <row r="157" spans="1:17" x14ac:dyDescent="0.25">
      <c r="A157" s="21">
        <f>DATE(SportClimbing[[#This Row],[Year]],_xlfn.XLOOKUP(SportClimbing[[#This Row],[Month]],MONTHS[MONTHS 2],MONTHS[MONTHS 3]),SportClimbing[[#This Row],[Day]])</f>
        <v>45234</v>
      </c>
      <c r="B157" s="21" t="b">
        <f ca="1">AND(SportClimbing[[#This Row],[Date]] &gt;= TODAY()-365, SportClimbing[[#This Row],[Date]] &lt;= TODAY())</f>
        <v>0</v>
      </c>
      <c r="C157">
        <v>4</v>
      </c>
      <c r="D157" t="s">
        <v>160</v>
      </c>
      <c r="E157">
        <v>2023</v>
      </c>
      <c r="F157" t="s">
        <v>376</v>
      </c>
      <c r="G157" t="s">
        <v>3</v>
      </c>
      <c r="H157" s="23" t="s">
        <v>298</v>
      </c>
      <c r="I157" t="s">
        <v>372</v>
      </c>
      <c r="J157" t="s">
        <v>373</v>
      </c>
      <c r="K157">
        <v>15</v>
      </c>
      <c r="L157" t="str">
        <f>IF(SportClimbing[[#This Row],[Height (m)]]&lt;11, "0-10", IF(SportClimbing[[#This Row],[Height (m)]]&lt;16, "11-15", IF(SportClimbing[[#This Row],[Height (m)]]&lt;21, "16-20", IF(SportClimbing[[#This Row],[Height (m)]]&lt;26, "21-25", IF(SportClimbing[[#This Row],[Height (m)]]&lt;31, "26-30", IF(SportClimbing[[#This Row],[Height (m)]]&lt;36, "31-35", "35+"))))))</f>
        <v>11-15</v>
      </c>
      <c r="M157" t="s">
        <v>374</v>
      </c>
      <c r="N157">
        <v>2</v>
      </c>
      <c r="O157">
        <f>IF(ISNUMBER(SportClimbing[[#This Row],[Total number of tries]])=TRUE, SportClimbing[[#This Row],[Total number of tries]], 1)</f>
        <v>2</v>
      </c>
      <c r="P157" t="str">
        <f>IF(ISNUMBER(SportClimbing[[#This Row],[Total number of tries]])=TRUE, "redpoint", SportClimbing[[#This Row],[Total number of tries]])</f>
        <v>redpoint</v>
      </c>
      <c r="Q157">
        <f>_xlfn.XLOOKUP(SportClimbing[[#This Row],[Grade]],SCORE[GRADE],SCORE[SCORE],,)</f>
        <v>10</v>
      </c>
    </row>
    <row r="158" spans="1:17" x14ac:dyDescent="0.25">
      <c r="A158" s="21">
        <f>DATE(SportClimbing[[#This Row],[Year]],_xlfn.XLOOKUP(SportClimbing[[#This Row],[Month]],MONTHS[MONTHS 2],MONTHS[MONTHS 3]),SportClimbing[[#This Row],[Day]])</f>
        <v>45234</v>
      </c>
      <c r="B158" s="21" t="b">
        <f ca="1">AND(SportClimbing[[#This Row],[Date]] &gt;= TODAY()-365, SportClimbing[[#This Row],[Date]] &lt;= TODAY())</f>
        <v>0</v>
      </c>
      <c r="C158">
        <v>4</v>
      </c>
      <c r="D158" t="s">
        <v>160</v>
      </c>
      <c r="E158">
        <v>2023</v>
      </c>
      <c r="F158" t="s">
        <v>377</v>
      </c>
      <c r="G158" t="s">
        <v>3</v>
      </c>
      <c r="H158" s="23" t="s">
        <v>298</v>
      </c>
      <c r="I158" t="s">
        <v>372</v>
      </c>
      <c r="J158" t="s">
        <v>373</v>
      </c>
      <c r="K158">
        <v>10</v>
      </c>
      <c r="L158" t="str">
        <f>IF(SportClimbing[[#This Row],[Height (m)]]&lt;11, "0-10", IF(SportClimbing[[#This Row],[Height (m)]]&lt;16, "11-15", IF(SportClimbing[[#This Row],[Height (m)]]&lt;21, "16-20", IF(SportClimbing[[#This Row],[Height (m)]]&lt;26, "21-25", IF(SportClimbing[[#This Row],[Height (m)]]&lt;31, "26-30", IF(SportClimbing[[#This Row],[Height (m)]]&lt;36, "31-35", "35+"))))))</f>
        <v>0-10</v>
      </c>
      <c r="M158" t="s">
        <v>374</v>
      </c>
      <c r="N158">
        <v>3</v>
      </c>
      <c r="O158">
        <f>IF(ISNUMBER(SportClimbing[[#This Row],[Total number of tries]])=TRUE, SportClimbing[[#This Row],[Total number of tries]], 1)</f>
        <v>3</v>
      </c>
      <c r="P158" t="str">
        <f>IF(ISNUMBER(SportClimbing[[#This Row],[Total number of tries]])=TRUE, "redpoint", SportClimbing[[#This Row],[Total number of tries]])</f>
        <v>redpoint</v>
      </c>
      <c r="Q158">
        <f>_xlfn.XLOOKUP(SportClimbing[[#This Row],[Grade]],SCORE[GRADE],SCORE[SCORE],,)</f>
        <v>10</v>
      </c>
    </row>
    <row r="159" spans="1:17" x14ac:dyDescent="0.25">
      <c r="A159" s="21">
        <f>DATE(SportClimbing[[#This Row],[Year]],_xlfn.XLOOKUP(SportClimbing[[#This Row],[Month]],MONTHS[MONTHS 2],MONTHS[MONTHS 3]),SportClimbing[[#This Row],[Day]])</f>
        <v>45319</v>
      </c>
      <c r="B159" s="21" t="b">
        <f ca="1">AND(SportClimbing[[#This Row],[Date]] &gt;= TODAY()-365, SportClimbing[[#This Row],[Date]] &lt;= TODAY())</f>
        <v>0</v>
      </c>
      <c r="C159">
        <v>28</v>
      </c>
      <c r="D159" t="s">
        <v>151</v>
      </c>
      <c r="E159">
        <v>2024</v>
      </c>
      <c r="F159" t="s">
        <v>383</v>
      </c>
      <c r="G159" t="s">
        <v>3</v>
      </c>
      <c r="H159" t="s">
        <v>298</v>
      </c>
      <c r="I159" s="23" t="s">
        <v>306</v>
      </c>
      <c r="J159" t="s">
        <v>333</v>
      </c>
      <c r="K159">
        <v>22</v>
      </c>
      <c r="L159" t="str">
        <f>IF(SportClimbing[[#This Row],[Height (m)]]&lt;11, "0-10", IF(SportClimbing[[#This Row],[Height (m)]]&lt;16, "11-15", IF(SportClimbing[[#This Row],[Height (m)]]&lt;21, "16-20", IF(SportClimbing[[#This Row],[Height (m)]]&lt;26, "21-25", IF(SportClimbing[[#This Row],[Height (m)]]&lt;31, "26-30", IF(SportClimbing[[#This Row],[Height (m)]]&lt;36, "31-35", "35+"))))))</f>
        <v>21-25</v>
      </c>
      <c r="M159" t="s">
        <v>332</v>
      </c>
      <c r="N159">
        <v>6</v>
      </c>
      <c r="O159">
        <f>IF(ISNUMBER(SportClimbing[[#This Row],[Total number of tries]])=TRUE, SportClimbing[[#This Row],[Total number of tries]], 1)</f>
        <v>6</v>
      </c>
      <c r="P159" t="str">
        <f>IF(ISNUMBER(SportClimbing[[#This Row],[Total number of tries]])=TRUE, "redpoint", SportClimbing[[#This Row],[Total number of tries]])</f>
        <v>redpoint</v>
      </c>
      <c r="Q159">
        <f>_xlfn.XLOOKUP(SportClimbing[[#This Row],[Grade]],SCORE[GRADE],SCORE[SCORE],,)</f>
        <v>10</v>
      </c>
    </row>
    <row r="160" spans="1:17" x14ac:dyDescent="0.25">
      <c r="A160" s="21">
        <f>DATE(SportClimbing[[#This Row],[Year]],_xlfn.XLOOKUP(SportClimbing[[#This Row],[Month]],MONTHS[MONTHS 2],MONTHS[MONTHS 3]),SportClimbing[[#This Row],[Day]])</f>
        <v>45361</v>
      </c>
      <c r="B160" s="21" t="b">
        <f ca="1">AND(SportClimbing[[#This Row],[Date]] &gt;= TODAY()-365, SportClimbing[[#This Row],[Date]] &lt;= TODAY())</f>
        <v>0</v>
      </c>
      <c r="C160">
        <v>10</v>
      </c>
      <c r="D160" t="s">
        <v>367</v>
      </c>
      <c r="E160">
        <v>2024</v>
      </c>
      <c r="F160" t="s">
        <v>384</v>
      </c>
      <c r="G160" t="s">
        <v>21</v>
      </c>
      <c r="H160" t="s">
        <v>298</v>
      </c>
      <c r="I160" s="23" t="s">
        <v>306</v>
      </c>
      <c r="J160" t="s">
        <v>307</v>
      </c>
      <c r="K160">
        <v>22</v>
      </c>
      <c r="L160" t="str">
        <f>IF(SportClimbing[[#This Row],[Height (m)]]&lt;11, "0-10", IF(SportClimbing[[#This Row],[Height (m)]]&lt;16, "11-15", IF(SportClimbing[[#This Row],[Height (m)]]&lt;21, "16-20", IF(SportClimbing[[#This Row],[Height (m)]]&lt;26, "21-25", IF(SportClimbing[[#This Row],[Height (m)]]&lt;31, "26-30", IF(SportClimbing[[#This Row],[Height (m)]]&lt;36, "31-35", "35+"))))))</f>
        <v>21-25</v>
      </c>
      <c r="M160" t="s">
        <v>370</v>
      </c>
      <c r="N160">
        <v>2</v>
      </c>
      <c r="O160">
        <f>IF(ISNUMBER(SportClimbing[[#This Row],[Total number of tries]])=TRUE, SportClimbing[[#This Row],[Total number of tries]], 1)</f>
        <v>2</v>
      </c>
      <c r="P160" t="str">
        <f>IF(ISNUMBER(SportClimbing[[#This Row],[Total number of tries]])=TRUE, "redpoint", SportClimbing[[#This Row],[Total number of tries]])</f>
        <v>redpoint</v>
      </c>
      <c r="Q160">
        <f>_xlfn.XLOOKUP(SportClimbing[[#This Row],[Grade]],SCORE[GRADE],SCORE[SCORE],,)</f>
        <v>15</v>
      </c>
    </row>
    <row r="161" spans="1:17" x14ac:dyDescent="0.25">
      <c r="A161" s="21">
        <f>DATE(SportClimbing[[#This Row],[Year]],_xlfn.XLOOKUP(SportClimbing[[#This Row],[Month]],MONTHS[MONTHS 2],MONTHS[MONTHS 3]),SportClimbing[[#This Row],[Day]])</f>
        <v>45371</v>
      </c>
      <c r="B161" s="21" t="b">
        <f ca="1">AND(SportClimbing[[#This Row],[Date]] &gt;= TODAY()-365, SportClimbing[[#This Row],[Date]] &lt;= TODAY())</f>
        <v>0</v>
      </c>
      <c r="C161">
        <v>20</v>
      </c>
      <c r="D161" t="s">
        <v>367</v>
      </c>
      <c r="E161">
        <v>2024</v>
      </c>
      <c r="F161" t="s">
        <v>385</v>
      </c>
      <c r="G161" t="s">
        <v>3</v>
      </c>
      <c r="H161" t="s">
        <v>298</v>
      </c>
      <c r="I161" s="23" t="s">
        <v>306</v>
      </c>
      <c r="J161" t="s">
        <v>333</v>
      </c>
      <c r="K161">
        <v>24</v>
      </c>
      <c r="L161" t="str">
        <f>IF(SportClimbing[[#This Row],[Height (m)]]&lt;11, "0-10", IF(SportClimbing[[#This Row],[Height (m)]]&lt;16, "11-15", IF(SportClimbing[[#This Row],[Height (m)]]&lt;21, "16-20", IF(SportClimbing[[#This Row],[Height (m)]]&lt;26, "21-25", IF(SportClimbing[[#This Row],[Height (m)]]&lt;31, "26-30", IF(SportClimbing[[#This Row],[Height (m)]]&lt;36, "31-35", "35+"))))))</f>
        <v>21-25</v>
      </c>
      <c r="M161" t="s">
        <v>332</v>
      </c>
      <c r="N161" t="s">
        <v>11</v>
      </c>
      <c r="O161">
        <f>IF(ISNUMBER(SportClimbing[[#This Row],[Total number of tries]])=TRUE, SportClimbing[[#This Row],[Total number of tries]], 1)</f>
        <v>1</v>
      </c>
      <c r="P161" t="str">
        <f>IF(ISNUMBER(SportClimbing[[#This Row],[Total number of tries]])=TRUE, "redpoint", SportClimbing[[#This Row],[Total number of tries]])</f>
        <v>flash</v>
      </c>
      <c r="Q161">
        <f>_xlfn.XLOOKUP(SportClimbing[[#This Row],[Grade]],SCORE[GRADE],SCORE[SCORE],,)</f>
        <v>10</v>
      </c>
    </row>
    <row r="162" spans="1:17" x14ac:dyDescent="0.25">
      <c r="A162" s="21">
        <f>DATE(SportClimbing[[#This Row],[Year]],_xlfn.XLOOKUP(SportClimbing[[#This Row],[Month]],MONTHS[MONTHS 2],MONTHS[MONTHS 3]),SportClimbing[[#This Row],[Day]])</f>
        <v>45391</v>
      </c>
      <c r="B162" s="21" t="b">
        <f ca="1">AND(SportClimbing[[#This Row],[Date]] &gt;= TODAY()-365, SportClimbing[[#This Row],[Date]] &lt;= TODAY())</f>
        <v>0</v>
      </c>
      <c r="C162">
        <v>9</v>
      </c>
      <c r="D162" t="s">
        <v>368</v>
      </c>
      <c r="E162">
        <v>2024</v>
      </c>
      <c r="F162" t="s">
        <v>386</v>
      </c>
      <c r="G162" t="s">
        <v>3</v>
      </c>
      <c r="H162" t="s">
        <v>298</v>
      </c>
      <c r="I162" s="23" t="s">
        <v>306</v>
      </c>
      <c r="J162" t="s">
        <v>333</v>
      </c>
      <c r="K162">
        <v>18</v>
      </c>
      <c r="L162" t="str">
        <f>IF(SportClimbing[[#This Row],[Height (m)]]&lt;11, "0-10", IF(SportClimbing[[#This Row],[Height (m)]]&lt;16, "11-15", IF(SportClimbing[[#This Row],[Height (m)]]&lt;21, "16-20", IF(SportClimbing[[#This Row],[Height (m)]]&lt;26, "21-25", IF(SportClimbing[[#This Row],[Height (m)]]&lt;31, "26-30", IF(SportClimbing[[#This Row],[Height (m)]]&lt;36, "31-35", "35+"))))))</f>
        <v>16-20</v>
      </c>
      <c r="M162" t="s">
        <v>332</v>
      </c>
      <c r="N162">
        <v>3</v>
      </c>
      <c r="O162">
        <f>IF(ISNUMBER(SportClimbing[[#This Row],[Total number of tries]])=TRUE, SportClimbing[[#This Row],[Total number of tries]], 1)</f>
        <v>3</v>
      </c>
      <c r="P162" t="str">
        <f>IF(ISNUMBER(SportClimbing[[#This Row],[Total number of tries]])=TRUE, "redpoint", SportClimbing[[#This Row],[Total number of tries]])</f>
        <v>redpoint</v>
      </c>
      <c r="Q162">
        <f>_xlfn.XLOOKUP(SportClimbing[[#This Row],[Grade]],SCORE[GRADE],SCORE[SCORE],,)</f>
        <v>10</v>
      </c>
    </row>
    <row r="163" spans="1:17" x14ac:dyDescent="0.25">
      <c r="A163" s="21">
        <f>DATE(SportClimbing[[#This Row],[Year]],_xlfn.XLOOKUP(SportClimbing[[#This Row],[Month]],MONTHS[MONTHS 2],MONTHS[MONTHS 3]),SportClimbing[[#This Row],[Day]])</f>
        <v>45391</v>
      </c>
      <c r="B163" s="21" t="b">
        <f ca="1">AND(SportClimbing[[#This Row],[Date]] &gt;= TODAY()-365, SportClimbing[[#This Row],[Date]] &lt;= TODAY())</f>
        <v>0</v>
      </c>
      <c r="C163">
        <v>9</v>
      </c>
      <c r="D163" t="s">
        <v>368</v>
      </c>
      <c r="E163">
        <v>2024</v>
      </c>
      <c r="F163" t="s">
        <v>387</v>
      </c>
      <c r="G163" t="s">
        <v>3</v>
      </c>
      <c r="H163" t="s">
        <v>298</v>
      </c>
      <c r="I163" s="23" t="s">
        <v>306</v>
      </c>
      <c r="J163" t="s">
        <v>333</v>
      </c>
      <c r="K163">
        <v>20</v>
      </c>
      <c r="L163" t="str">
        <f>IF(SportClimbing[[#This Row],[Height (m)]]&lt;11, "0-10", IF(SportClimbing[[#This Row],[Height (m)]]&lt;16, "11-15", IF(SportClimbing[[#This Row],[Height (m)]]&lt;21, "16-20", IF(SportClimbing[[#This Row],[Height (m)]]&lt;26, "21-25", IF(SportClimbing[[#This Row],[Height (m)]]&lt;31, "26-30", IF(SportClimbing[[#This Row],[Height (m)]]&lt;36, "31-35", "35+"))))))</f>
        <v>16-20</v>
      </c>
      <c r="M163" t="s">
        <v>332</v>
      </c>
      <c r="N163">
        <v>2</v>
      </c>
      <c r="O163">
        <f>IF(ISNUMBER(SportClimbing[[#This Row],[Total number of tries]])=TRUE, SportClimbing[[#This Row],[Total number of tries]], 1)</f>
        <v>2</v>
      </c>
      <c r="P163" t="str">
        <f>IF(ISNUMBER(SportClimbing[[#This Row],[Total number of tries]])=TRUE, "redpoint", SportClimbing[[#This Row],[Total number of tries]])</f>
        <v>redpoint</v>
      </c>
      <c r="Q163">
        <f>_xlfn.XLOOKUP(SportClimbing[[#This Row],[Grade]],SCORE[GRADE],SCORE[SCORE],,)</f>
        <v>10</v>
      </c>
    </row>
    <row r="164" spans="1:17" x14ac:dyDescent="0.25">
      <c r="A164" s="21">
        <f>DATE(SportClimbing[[#This Row],[Year]],_xlfn.XLOOKUP(SportClimbing[[#This Row],[Month]],MONTHS[MONTHS 2],MONTHS[MONTHS 3]),SportClimbing[[#This Row],[Day]])</f>
        <v>45413</v>
      </c>
      <c r="B164" s="21" t="b">
        <f ca="1">AND(SportClimbing[[#This Row],[Date]] &gt;= TODAY()-365, SportClimbing[[#This Row],[Date]] &lt;= TODAY())</f>
        <v>0</v>
      </c>
      <c r="C164">
        <v>1</v>
      </c>
      <c r="D164" t="s">
        <v>155</v>
      </c>
      <c r="E164">
        <v>2024</v>
      </c>
      <c r="F164" t="s">
        <v>389</v>
      </c>
      <c r="G164" t="s">
        <v>21</v>
      </c>
      <c r="H164" t="s">
        <v>390</v>
      </c>
      <c r="I164" t="s">
        <v>391</v>
      </c>
      <c r="J164" t="s">
        <v>391</v>
      </c>
      <c r="K164">
        <v>22</v>
      </c>
      <c r="L164" t="str">
        <f>IF(SportClimbing[[#This Row],[Height (m)]]&lt;11, "0-10", IF(SportClimbing[[#This Row],[Height (m)]]&lt;16, "11-15", IF(SportClimbing[[#This Row],[Height (m)]]&lt;21, "16-20", IF(SportClimbing[[#This Row],[Height (m)]]&lt;26, "21-25", IF(SportClimbing[[#This Row],[Height (m)]]&lt;31, "26-30", IF(SportClimbing[[#This Row],[Height (m)]]&lt;36, "31-35", "35+"))))))</f>
        <v>21-25</v>
      </c>
      <c r="M164" t="s">
        <v>392</v>
      </c>
      <c r="N164">
        <v>2</v>
      </c>
      <c r="O164">
        <f>IF(ISNUMBER(SportClimbing[[#This Row],[Total number of tries]])=TRUE, SportClimbing[[#This Row],[Total number of tries]], 1)</f>
        <v>2</v>
      </c>
      <c r="P164" t="str">
        <f>IF(ISNUMBER(SportClimbing[[#This Row],[Total number of tries]])=TRUE, "redpoint", SportClimbing[[#This Row],[Total number of tries]])</f>
        <v>redpoint</v>
      </c>
      <c r="Q164">
        <f>_xlfn.XLOOKUP(SportClimbing[[#This Row],[Grade]],SCORE[GRADE],SCORE[SCORE],,)</f>
        <v>15</v>
      </c>
    </row>
    <row r="165" spans="1:17" x14ac:dyDescent="0.25">
      <c r="A165" s="21">
        <v>45556</v>
      </c>
      <c r="B165" s="21" t="b">
        <f ca="1">AND(SportClimbing[[#This Row],[Date]] &gt;= TODAY()-365, SportClimbing[[#This Row],[Date]] &lt;= TODAY())</f>
        <v>0</v>
      </c>
      <c r="C165">
        <v>21</v>
      </c>
      <c r="D165" t="s">
        <v>159</v>
      </c>
      <c r="E165">
        <v>2024</v>
      </c>
      <c r="F165" t="s">
        <v>432</v>
      </c>
      <c r="G165" t="s">
        <v>29</v>
      </c>
      <c r="H165" t="s">
        <v>298</v>
      </c>
      <c r="I165" t="s">
        <v>433</v>
      </c>
      <c r="J165" t="s">
        <v>434</v>
      </c>
      <c r="K165">
        <v>20</v>
      </c>
      <c r="L165" t="str">
        <f>IF(SportClimbing[[#This Row],[Height (m)]]&lt;11, "0-10", IF(SportClimbing[[#This Row],[Height (m)]]&lt;16, "11-15", IF(SportClimbing[[#This Row],[Height (m)]]&lt;21, "16-20", IF(SportClimbing[[#This Row],[Height (m)]]&lt;26, "21-25", IF(SportClimbing[[#This Row],[Height (m)]]&lt;31, "26-30", IF(SportClimbing[[#This Row],[Height (m)]]&lt;36, "31-35", "35+"))))))</f>
        <v>16-20</v>
      </c>
      <c r="M165" t="s">
        <v>435</v>
      </c>
      <c r="N165">
        <v>5</v>
      </c>
      <c r="O165">
        <f>IF(ISNUMBER(SportClimbing[[#This Row],[Total number of tries]])=TRUE, SportClimbing[[#This Row],[Total number of tries]], 1)</f>
        <v>5</v>
      </c>
      <c r="P165" t="str">
        <f>IF(ISNUMBER(SportClimbing[[#This Row],[Total number of tries]])=TRUE, "redpoint", SportClimbing[[#This Row],[Total number of tries]])</f>
        <v>redpoint</v>
      </c>
      <c r="Q165">
        <f>_xlfn.XLOOKUP(SportClimbing[[#This Row],[Grade]],SCORE[GRADE],SCORE[SCORE],,)</f>
        <v>25</v>
      </c>
    </row>
    <row r="166" spans="1:17" x14ac:dyDescent="0.25">
      <c r="A166" s="21">
        <v>45557</v>
      </c>
      <c r="B166" s="22" t="b">
        <f ca="1">AND(SportClimbing[[#This Row],[Date]] &gt;= TODAY()-365, SportClimbing[[#This Row],[Date]] &lt;= TODAY())</f>
        <v>0</v>
      </c>
      <c r="C166">
        <v>22</v>
      </c>
      <c r="D166" t="s">
        <v>159</v>
      </c>
      <c r="E166">
        <v>2024</v>
      </c>
      <c r="F166" t="s">
        <v>436</v>
      </c>
      <c r="G166" t="s">
        <v>21</v>
      </c>
      <c r="H166" t="s">
        <v>298</v>
      </c>
      <c r="I166" t="s">
        <v>433</v>
      </c>
      <c r="J166" t="s">
        <v>434</v>
      </c>
      <c r="K166">
        <v>12</v>
      </c>
      <c r="L166" t="str">
        <f>IF(SportClimbing[[#This Row],[Height (m)]]&lt;11, "0-10", IF(SportClimbing[[#This Row],[Height (m)]]&lt;16, "11-15", IF(SportClimbing[[#This Row],[Height (m)]]&lt;21, "16-20", IF(SportClimbing[[#This Row],[Height (m)]]&lt;26, "21-25", IF(SportClimbing[[#This Row],[Height (m)]]&lt;31, "26-30", IF(SportClimbing[[#This Row],[Height (m)]]&lt;36, "31-35", "35+"))))))</f>
        <v>11-15</v>
      </c>
      <c r="M166" t="s">
        <v>332</v>
      </c>
      <c r="N166" t="s">
        <v>130</v>
      </c>
      <c r="O166" s="23">
        <f>IF(ISNUMBER(SportClimbing[[#This Row],[Total number of tries]])=TRUE, SportClimbing[[#This Row],[Total number of tries]], 1)</f>
        <v>1</v>
      </c>
      <c r="P166" t="str">
        <f>IF(ISNUMBER(SportClimbing[[#This Row],[Total number of tries]])=TRUE, "redpoint", SportClimbing[[#This Row],[Total number of tries]])</f>
        <v>onsight</v>
      </c>
      <c r="Q166">
        <f>_xlfn.XLOOKUP(SportClimbing[[#This Row],[Grade]],SCORE[GRADE],SCORE[SCORE],,)</f>
        <v>15</v>
      </c>
    </row>
    <row r="167" spans="1:17" x14ac:dyDescent="0.25">
      <c r="A167" s="21">
        <v>45557</v>
      </c>
      <c r="B167" s="22" t="b">
        <f ca="1">AND(SportClimbing[[#This Row],[Date]] &gt;= TODAY()-365, SportClimbing[[#This Row],[Date]] &lt;= TODAY())</f>
        <v>0</v>
      </c>
      <c r="C167">
        <v>22</v>
      </c>
      <c r="D167" t="s">
        <v>159</v>
      </c>
      <c r="E167">
        <v>2024</v>
      </c>
      <c r="F167" t="s">
        <v>437</v>
      </c>
      <c r="G167" t="s">
        <v>3</v>
      </c>
      <c r="H167" t="s">
        <v>298</v>
      </c>
      <c r="I167" t="s">
        <v>433</v>
      </c>
      <c r="J167" t="s">
        <v>434</v>
      </c>
      <c r="K167">
        <v>20</v>
      </c>
      <c r="L167" t="str">
        <f>IF(SportClimbing[[#This Row],[Height (m)]]&lt;11, "0-10", IF(SportClimbing[[#This Row],[Height (m)]]&lt;16, "11-15", IF(SportClimbing[[#This Row],[Height (m)]]&lt;21, "16-20", IF(SportClimbing[[#This Row],[Height (m)]]&lt;26, "21-25", IF(SportClimbing[[#This Row],[Height (m)]]&lt;31, "26-30", IF(SportClimbing[[#This Row],[Height (m)]]&lt;36, "31-35", "35+"))))))</f>
        <v>16-20</v>
      </c>
      <c r="M167" t="s">
        <v>332</v>
      </c>
      <c r="N167">
        <v>3</v>
      </c>
      <c r="O167" s="23">
        <f>IF(ISNUMBER(SportClimbing[[#This Row],[Total number of tries]])=TRUE, SportClimbing[[#This Row],[Total number of tries]], 1)</f>
        <v>3</v>
      </c>
      <c r="P167" t="str">
        <f>IF(ISNUMBER(SportClimbing[[#This Row],[Total number of tries]])=TRUE, "redpoint", SportClimbing[[#This Row],[Total number of tries]])</f>
        <v>redpoint</v>
      </c>
      <c r="Q167">
        <f>_xlfn.XLOOKUP(SportClimbing[[#This Row],[Grade]],SCORE[GRADE],SCORE[SCORE],,)</f>
        <v>10</v>
      </c>
    </row>
    <row r="168" spans="1:17" x14ac:dyDescent="0.25">
      <c r="A168" s="21">
        <f>DATE(SportClimbing[[#This Row],[Year]],_xlfn.XLOOKUP(SportClimbing[[#This Row],[Month]],MONTHS[MONTHS 2],MONTHS[MONTHS 3]),SportClimbing[[#This Row],[Day]])</f>
        <v>45571</v>
      </c>
      <c r="B168" s="21" t="b">
        <f ca="1">AND(SportClimbing[[#This Row],[Date]] &gt;= TODAY()-365, SportClimbing[[#This Row],[Date]] &lt;= TODAY())</f>
        <v>0</v>
      </c>
      <c r="C168">
        <v>6</v>
      </c>
      <c r="D168" t="s">
        <v>162</v>
      </c>
      <c r="E168">
        <v>2024</v>
      </c>
      <c r="F168" t="s">
        <v>443</v>
      </c>
      <c r="G168" t="s">
        <v>21</v>
      </c>
      <c r="H168" t="s">
        <v>298</v>
      </c>
      <c r="I168" t="s">
        <v>433</v>
      </c>
      <c r="J168" t="s">
        <v>434</v>
      </c>
      <c r="K168">
        <v>20</v>
      </c>
      <c r="L168" t="str">
        <f>IF(SportClimbing[[#This Row],[Height (m)]]&lt;11, "0-10", IF(SportClimbing[[#This Row],[Height (m)]]&lt;16, "11-15", IF(SportClimbing[[#This Row],[Height (m)]]&lt;21, "16-20", IF(SportClimbing[[#This Row],[Height (m)]]&lt;26, "21-25", IF(SportClimbing[[#This Row],[Height (m)]]&lt;31, "26-30", IF(SportClimbing[[#This Row],[Height (m)]]&lt;36, "31-35", "35+"))))))</f>
        <v>16-20</v>
      </c>
      <c r="M168" t="s">
        <v>435</v>
      </c>
      <c r="N168">
        <v>4</v>
      </c>
      <c r="O168">
        <f>IF(ISNUMBER(SportClimbing[[#This Row],[Total number of tries]])=TRUE, SportClimbing[[#This Row],[Total number of tries]], 1)</f>
        <v>4</v>
      </c>
      <c r="P168" t="str">
        <f>IF(ISNUMBER(SportClimbing[[#This Row],[Total number of tries]])=TRUE, "redpoint", SportClimbing[[#This Row],[Total number of tries]])</f>
        <v>redpoint</v>
      </c>
      <c r="Q168">
        <f>_xlfn.XLOOKUP(SportClimbing[[#This Row],[Grade]],SCORE[GRADE],SCORE[SCORE],,)</f>
        <v>15</v>
      </c>
    </row>
    <row r="169" spans="1:17" x14ac:dyDescent="0.25">
      <c r="A169" s="21">
        <v>45613</v>
      </c>
      <c r="B169" s="21" t="b">
        <f ca="1">AND(SportClimbing[[#This Row],[Date]] &gt;= TODAY()-365, SportClimbing[[#This Row],[Date]] &lt;= TODAY())</f>
        <v>0</v>
      </c>
      <c r="C169">
        <v>17</v>
      </c>
      <c r="D169" t="s">
        <v>160</v>
      </c>
      <c r="E169">
        <v>2024</v>
      </c>
      <c r="F169" t="s">
        <v>445</v>
      </c>
      <c r="G169" t="s">
        <v>69</v>
      </c>
      <c r="H169" t="s">
        <v>298</v>
      </c>
      <c r="I169" t="s">
        <v>306</v>
      </c>
      <c r="J169" t="s">
        <v>307</v>
      </c>
      <c r="K169">
        <v>18</v>
      </c>
      <c r="L169" t="str">
        <f>IF(SportClimbing[[#This Row],[Height (m)]]&lt;11, "0-10", IF(SportClimbing[[#This Row],[Height (m)]]&lt;16, "11-15", IF(SportClimbing[[#This Row],[Height (m)]]&lt;21, "16-20", IF(SportClimbing[[#This Row],[Height (m)]]&lt;26, "21-25", IF(SportClimbing[[#This Row],[Height (m)]]&lt;31, "26-30", IF(SportClimbing[[#This Row],[Height (m)]]&lt;36, "31-35", "35+"))))))</f>
        <v>16-20</v>
      </c>
      <c r="M169" t="s">
        <v>435</v>
      </c>
      <c r="N169">
        <v>24</v>
      </c>
      <c r="O169">
        <f>IF(ISNUMBER(SportClimbing[[#This Row],[Total number of tries]])=TRUE, SportClimbing[[#This Row],[Total number of tries]], 1)</f>
        <v>24</v>
      </c>
      <c r="P169" t="str">
        <f>IF(ISNUMBER(SportClimbing[[#This Row],[Total number of tries]])=TRUE, "redpoint", SportClimbing[[#This Row],[Total number of tries]])</f>
        <v>redpoint</v>
      </c>
      <c r="Q169">
        <f>_xlfn.XLOOKUP(SportClimbing[[#This Row],[Grade]],SCORE[GRADE],SCORE[SCORE],,)</f>
        <v>60</v>
      </c>
    </row>
    <row r="170" spans="1:17" x14ac:dyDescent="0.25">
      <c r="A170" s="21">
        <v>45720</v>
      </c>
      <c r="B170" s="21" t="b">
        <f ca="1">AND(SportClimbing[[#This Row],[Date]] &gt;= TODAY()-365, SportClimbing[[#This Row],[Date]] &lt;= TODAY())</f>
        <v>0</v>
      </c>
      <c r="C170">
        <v>4</v>
      </c>
      <c r="D170" t="s">
        <v>367</v>
      </c>
      <c r="E170">
        <v>2025</v>
      </c>
      <c r="F170" t="s">
        <v>447</v>
      </c>
      <c r="G170" t="s">
        <v>21</v>
      </c>
      <c r="H170" t="s">
        <v>262</v>
      </c>
      <c r="I170" t="s">
        <v>43</v>
      </c>
      <c r="J170" t="s">
        <v>61</v>
      </c>
      <c r="K170">
        <v>25</v>
      </c>
      <c r="L170" t="str">
        <f>IF(SportClimbing[[#This Row],[Height (m)]]&lt;11, "0-10", IF(SportClimbing[[#This Row],[Height (m)]]&lt;16, "11-15", IF(SportClimbing[[#This Row],[Height (m)]]&lt;21, "16-20", IF(SportClimbing[[#This Row],[Height (m)]]&lt;26, "21-25", IF(SportClimbing[[#This Row],[Height (m)]]&lt;31, "26-30", IF(SportClimbing[[#This Row],[Height (m)]]&lt;36, "31-35", "35+"))))))</f>
        <v>21-25</v>
      </c>
      <c r="M170" t="s">
        <v>332</v>
      </c>
      <c r="N170">
        <v>2</v>
      </c>
      <c r="O170">
        <f>IF(ISNUMBER(SportClimbing[[#This Row],[Total number of tries]])=TRUE, SportClimbing[[#This Row],[Total number of tries]], 1)</f>
        <v>2</v>
      </c>
      <c r="P170" t="str">
        <f>IF(ISNUMBER(SportClimbing[[#This Row],[Total number of tries]])=TRUE, "redpoint", SportClimbing[[#This Row],[Total number of tries]])</f>
        <v>redpoint</v>
      </c>
      <c r="Q170">
        <f>_xlfn.XLOOKUP(SportClimbing[[#This Row],[Grade]],SCORE[GRADE],SCORE[SCORE],,)</f>
        <v>15</v>
      </c>
    </row>
    <row r="171" spans="1:17" x14ac:dyDescent="0.25">
      <c r="A171" s="21">
        <v>45724</v>
      </c>
      <c r="B171" s="21" t="b">
        <f ca="1">AND(SportClimbing[[#This Row],[Date]] &gt;= TODAY()-365, SportClimbing[[#This Row],[Date]] &lt;= TODAY())</f>
        <v>0</v>
      </c>
      <c r="C171">
        <v>8</v>
      </c>
      <c r="D171" t="s">
        <v>367</v>
      </c>
      <c r="E171">
        <v>2025</v>
      </c>
      <c r="F171" t="s">
        <v>448</v>
      </c>
      <c r="G171" t="s">
        <v>21</v>
      </c>
      <c r="H171" t="s">
        <v>262</v>
      </c>
      <c r="I171" t="s">
        <v>450</v>
      </c>
      <c r="J171" t="s">
        <v>454</v>
      </c>
      <c r="K171">
        <v>8</v>
      </c>
      <c r="L171" t="str">
        <f>IF(SportClimbing[[#This Row],[Height (m)]]&lt;11, "0-10", IF(SportClimbing[[#This Row],[Height (m)]]&lt;16, "11-15", IF(SportClimbing[[#This Row],[Height (m)]]&lt;21, "16-20", IF(SportClimbing[[#This Row],[Height (m)]]&lt;26, "21-25", IF(SportClimbing[[#This Row],[Height (m)]]&lt;31, "26-30", IF(SportClimbing[[#This Row],[Height (m)]]&lt;36, "31-35", "35+"))))))</f>
        <v>0-10</v>
      </c>
      <c r="M171" t="s">
        <v>451</v>
      </c>
      <c r="N171">
        <v>2</v>
      </c>
      <c r="O171">
        <f>IF(ISNUMBER(SportClimbing[[#This Row],[Total number of tries]])=TRUE, SportClimbing[[#This Row],[Total number of tries]], 1)</f>
        <v>2</v>
      </c>
      <c r="P171" t="str">
        <f>IF(ISNUMBER(SportClimbing[[#This Row],[Total number of tries]])=TRUE, "redpoint", SportClimbing[[#This Row],[Total number of tries]])</f>
        <v>redpoint</v>
      </c>
      <c r="Q171">
        <f>_xlfn.XLOOKUP(SportClimbing[[#This Row],[Grade]],SCORE[GRADE],SCORE[SCORE],,)</f>
        <v>15</v>
      </c>
    </row>
    <row r="172" spans="1:17" x14ac:dyDescent="0.25">
      <c r="A172" s="21">
        <v>45724</v>
      </c>
      <c r="B172" s="21" t="b">
        <f ca="1">AND(SportClimbing[[#This Row],[Date]] &gt;= TODAY()-365, SportClimbing[[#This Row],[Date]] &lt;= TODAY())</f>
        <v>0</v>
      </c>
      <c r="C172">
        <v>8</v>
      </c>
      <c r="D172" t="s">
        <v>367</v>
      </c>
      <c r="E172">
        <v>2025</v>
      </c>
      <c r="F172" t="s">
        <v>456</v>
      </c>
      <c r="G172" t="s">
        <v>3</v>
      </c>
      <c r="H172" t="s">
        <v>262</v>
      </c>
      <c r="I172" t="s">
        <v>450</v>
      </c>
      <c r="J172" t="s">
        <v>454</v>
      </c>
      <c r="K172">
        <v>27</v>
      </c>
      <c r="L172" t="str">
        <f>IF(SportClimbing[[#This Row],[Height (m)]]&lt;11, "0-10", IF(SportClimbing[[#This Row],[Height (m)]]&lt;16, "11-15", IF(SportClimbing[[#This Row],[Height (m)]]&lt;21, "16-20", IF(SportClimbing[[#This Row],[Height (m)]]&lt;26, "21-25", IF(SportClimbing[[#This Row],[Height (m)]]&lt;31, "26-30", IF(SportClimbing[[#This Row],[Height (m)]]&lt;36, "31-35", "35+"))))))</f>
        <v>26-30</v>
      </c>
      <c r="M172" t="s">
        <v>451</v>
      </c>
      <c r="N172">
        <v>1</v>
      </c>
      <c r="O172">
        <v>1</v>
      </c>
      <c r="P172" t="s">
        <v>11</v>
      </c>
      <c r="Q172">
        <f>_xlfn.XLOOKUP(SportClimbing[[#This Row],[Grade]],SCORE[GRADE],SCORE[SCORE],,)</f>
        <v>10</v>
      </c>
    </row>
    <row r="173" spans="1:17" x14ac:dyDescent="0.25">
      <c r="A173" s="21">
        <v>45725</v>
      </c>
      <c r="B173" s="21" t="b">
        <f ca="1">AND(SportClimbing[[#This Row],[Date]] &gt;= TODAY()-365, SportClimbing[[#This Row],[Date]] &lt;= TODAY())</f>
        <v>0</v>
      </c>
      <c r="C173">
        <v>9</v>
      </c>
      <c r="D173" t="s">
        <v>367</v>
      </c>
      <c r="E173">
        <v>2025</v>
      </c>
      <c r="F173" t="s">
        <v>449</v>
      </c>
      <c r="G173" t="s">
        <v>21</v>
      </c>
      <c r="H173" t="s">
        <v>262</v>
      </c>
      <c r="I173" t="s">
        <v>43</v>
      </c>
      <c r="J173" t="s">
        <v>206</v>
      </c>
      <c r="K173">
        <v>22</v>
      </c>
      <c r="L173" t="str">
        <f>IF(SportClimbing[[#This Row],[Height (m)]]&lt;11, "0-10", IF(SportClimbing[[#This Row],[Height (m)]]&lt;16, "11-15", IF(SportClimbing[[#This Row],[Height (m)]]&lt;21, "16-20", IF(SportClimbing[[#This Row],[Height (m)]]&lt;26, "21-25", IF(SportClimbing[[#This Row],[Height (m)]]&lt;31, "26-30", IF(SportClimbing[[#This Row],[Height (m)]]&lt;36, "31-35", "35+"))))))</f>
        <v>21-25</v>
      </c>
      <c r="M173" t="s">
        <v>451</v>
      </c>
      <c r="N173">
        <v>5</v>
      </c>
      <c r="O173">
        <v>5</v>
      </c>
      <c r="P173" t="str">
        <f>IF(ISNUMBER(SportClimbing[[#This Row],[Total number of tries]])=TRUE, "redpoint", SportClimbing[[#This Row],[Total number of tries]])</f>
        <v>redpoint</v>
      </c>
      <c r="Q173">
        <f>_xlfn.XLOOKUP(SportClimbing[[#This Row],[Grade]],SCORE[GRADE],SCORE[SCORE],,)</f>
        <v>15</v>
      </c>
    </row>
    <row r="174" spans="1:17" x14ac:dyDescent="0.25">
      <c r="A174" s="21">
        <v>45725</v>
      </c>
      <c r="B174" s="21" t="b">
        <f ca="1">AND(SportClimbing[[#This Row],[Date]] &gt;= TODAY()-365, SportClimbing[[#This Row],[Date]] &lt;= TODAY())</f>
        <v>0</v>
      </c>
      <c r="C174">
        <v>9</v>
      </c>
      <c r="D174" t="s">
        <v>367</v>
      </c>
      <c r="E174">
        <v>2025</v>
      </c>
      <c r="F174" t="s">
        <v>455</v>
      </c>
      <c r="G174" t="s">
        <v>3</v>
      </c>
      <c r="H174" t="s">
        <v>262</v>
      </c>
      <c r="I174" t="s">
        <v>43</v>
      </c>
      <c r="J174" t="s">
        <v>206</v>
      </c>
      <c r="K174">
        <v>25</v>
      </c>
      <c r="L174" t="str">
        <f>IF(SportClimbing[[#This Row],[Height (m)]]&lt;11, "0-10", IF(SportClimbing[[#This Row],[Height (m)]]&lt;16, "11-15", IF(SportClimbing[[#This Row],[Height (m)]]&lt;21, "16-20", IF(SportClimbing[[#This Row],[Height (m)]]&lt;26, "21-25", IF(SportClimbing[[#This Row],[Height (m)]]&lt;31, "26-30", IF(SportClimbing[[#This Row],[Height (m)]]&lt;36, "31-35", "35+"))))))</f>
        <v>21-25</v>
      </c>
      <c r="M174" t="s">
        <v>451</v>
      </c>
      <c r="N174">
        <v>2</v>
      </c>
      <c r="O174">
        <f>IF(ISNUMBER(SportClimbing[[#This Row],[Total number of tries]])=TRUE, SportClimbing[[#This Row],[Total number of tries]], 1)</f>
        <v>2</v>
      </c>
      <c r="P174" t="str">
        <f>IF(ISNUMBER(SportClimbing[[#This Row],[Total number of tries]])=TRUE, "redpoint", SportClimbing[[#This Row],[Total number of tries]])</f>
        <v>redpoint</v>
      </c>
      <c r="Q174">
        <f>_xlfn.XLOOKUP(SportClimbing[[#This Row],[Grade]],SCORE[GRADE],SCORE[SCORE],,)</f>
        <v>10</v>
      </c>
    </row>
    <row r="175" spans="1:17" x14ac:dyDescent="0.25">
      <c r="A175" s="21">
        <v>45726</v>
      </c>
      <c r="B175" s="21" t="b">
        <f ca="1">AND(SportClimbing[[#This Row],[Date]] &gt;= TODAY()-365, SportClimbing[[#This Row],[Date]] &lt;= TODAY())</f>
        <v>0</v>
      </c>
      <c r="C175">
        <v>10</v>
      </c>
      <c r="D175" t="s">
        <v>367</v>
      </c>
      <c r="E175">
        <v>2025</v>
      </c>
      <c r="F175" t="s">
        <v>453</v>
      </c>
      <c r="G175" t="s">
        <v>21</v>
      </c>
      <c r="H175" t="s">
        <v>262</v>
      </c>
      <c r="I175" t="s">
        <v>43</v>
      </c>
      <c r="J175" t="s">
        <v>315</v>
      </c>
      <c r="K175">
        <v>30</v>
      </c>
      <c r="L175" t="str">
        <f>IF(SportClimbing[[#This Row],[Height (m)]]&lt;11, "0-10", IF(SportClimbing[[#This Row],[Height (m)]]&lt;16, "11-15", IF(SportClimbing[[#This Row],[Height (m)]]&lt;21, "16-20", IF(SportClimbing[[#This Row],[Height (m)]]&lt;26, "21-25", IF(SportClimbing[[#This Row],[Height (m)]]&lt;31, "26-30", IF(SportClimbing[[#This Row],[Height (m)]]&lt;36, "31-35", "35+"))))))</f>
        <v>26-30</v>
      </c>
      <c r="M175" t="s">
        <v>491</v>
      </c>
      <c r="N175">
        <v>3</v>
      </c>
      <c r="O175">
        <f>IF(ISNUMBER(SportClimbing[[#This Row],[Total number of tries]])=TRUE, SportClimbing[[#This Row],[Total number of tries]], 1)</f>
        <v>3</v>
      </c>
      <c r="P175" t="str">
        <f>IF(ISNUMBER(SportClimbing[[#This Row],[Total number of tries]])=TRUE, "redpoint", SportClimbing[[#This Row],[Total number of tries]])</f>
        <v>redpoint</v>
      </c>
      <c r="Q175">
        <f>_xlfn.XLOOKUP(SportClimbing[[#This Row],[Grade]],SCORE[GRADE],SCORE[SCORE],,)</f>
        <v>15</v>
      </c>
    </row>
    <row r="176" spans="1:17" x14ac:dyDescent="0.25">
      <c r="A176" s="21">
        <v>45732</v>
      </c>
      <c r="B176" s="21" t="b">
        <f ca="1">AND(SportClimbing[[#This Row],[Date]] &gt;= TODAY()-365, SportClimbing[[#This Row],[Date]] &lt;= TODAY())</f>
        <v>0</v>
      </c>
      <c r="C176">
        <v>16</v>
      </c>
      <c r="D176" t="s">
        <v>367</v>
      </c>
      <c r="E176">
        <v>2025</v>
      </c>
      <c r="F176" t="s">
        <v>457</v>
      </c>
      <c r="G176" t="s">
        <v>69</v>
      </c>
      <c r="H176" t="s">
        <v>262</v>
      </c>
      <c r="I176" t="s">
        <v>43</v>
      </c>
      <c r="J176" t="s">
        <v>91</v>
      </c>
      <c r="K176">
        <v>40</v>
      </c>
      <c r="L176" t="str">
        <f>IF(SportClimbing[[#This Row],[Height (m)]]&lt;11, "0-10", IF(SportClimbing[[#This Row],[Height (m)]]&lt;16, "11-15", IF(SportClimbing[[#This Row],[Height (m)]]&lt;21, "16-20", IF(SportClimbing[[#This Row],[Height (m)]]&lt;26, "21-25", IF(SportClimbing[[#This Row],[Height (m)]]&lt;31, "26-30", IF(SportClimbing[[#This Row],[Height (m)]]&lt;36, "31-35", "35+"))))))</f>
        <v>35+</v>
      </c>
      <c r="M176" t="s">
        <v>332</v>
      </c>
      <c r="N176">
        <v>8</v>
      </c>
      <c r="O176">
        <f>IF(ISNUMBER(SportClimbing[[#This Row],[Total number of tries]])=TRUE, SportClimbing[[#This Row],[Total number of tries]], 1)</f>
        <v>8</v>
      </c>
      <c r="P176" t="str">
        <f>IF(ISNUMBER(SportClimbing[[#This Row],[Total number of tries]])=TRUE, "redpoint", SportClimbing[[#This Row],[Total number of tries]])</f>
        <v>redpoint</v>
      </c>
      <c r="Q176">
        <f>_xlfn.XLOOKUP(SportClimbing[[#This Row],[Grade]],SCORE[GRADE],SCORE[SCORE],,)</f>
        <v>60</v>
      </c>
    </row>
    <row r="177" spans="1:17" x14ac:dyDescent="0.25">
      <c r="A177" s="21">
        <v>45733</v>
      </c>
      <c r="B177" s="21" t="b">
        <f ca="1">AND(SportClimbing[[#This Row],[Date]] &gt;= TODAY()-365, SportClimbing[[#This Row],[Date]] &lt;= TODAY())</f>
        <v>0</v>
      </c>
      <c r="C177">
        <v>17</v>
      </c>
      <c r="D177" t="s">
        <v>367</v>
      </c>
      <c r="E177">
        <v>2025</v>
      </c>
      <c r="F177" t="s">
        <v>458</v>
      </c>
      <c r="G177" t="s">
        <v>29</v>
      </c>
      <c r="H177" t="s">
        <v>262</v>
      </c>
      <c r="I177" t="s">
        <v>43</v>
      </c>
      <c r="J177" t="s">
        <v>63</v>
      </c>
      <c r="K177">
        <v>30</v>
      </c>
      <c r="L177" t="str">
        <f>IF(SportClimbing[[#This Row],[Height (m)]]&lt;11, "0-10", IF(SportClimbing[[#This Row],[Height (m)]]&lt;16, "11-15", IF(SportClimbing[[#This Row],[Height (m)]]&lt;21, "16-20", IF(SportClimbing[[#This Row],[Height (m)]]&lt;26, "21-25", IF(SportClimbing[[#This Row],[Height (m)]]&lt;31, "26-30", IF(SportClimbing[[#This Row],[Height (m)]]&lt;36, "31-35", "35+"))))))</f>
        <v>26-30</v>
      </c>
      <c r="M177" t="s">
        <v>332</v>
      </c>
      <c r="N177">
        <v>2</v>
      </c>
      <c r="O177">
        <f>IF(ISNUMBER(SportClimbing[[#This Row],[Total number of tries]])=TRUE, SportClimbing[[#This Row],[Total number of tries]], 1)</f>
        <v>2</v>
      </c>
      <c r="P177" t="str">
        <f>IF(ISNUMBER(SportClimbing[[#This Row],[Total number of tries]])=TRUE, "redpoint", SportClimbing[[#This Row],[Total number of tries]])</f>
        <v>redpoint</v>
      </c>
      <c r="Q177">
        <f>_xlfn.XLOOKUP(SportClimbing[[#This Row],[Grade]],SCORE[GRADE],SCORE[SCORE],,)</f>
        <v>25</v>
      </c>
    </row>
    <row r="178" spans="1:17" x14ac:dyDescent="0.25">
      <c r="A178" s="21">
        <v>45734</v>
      </c>
      <c r="B178" s="21" t="b">
        <f ca="1">AND(SportClimbing[[#This Row],[Date]] &gt;= TODAY()-365, SportClimbing[[#This Row],[Date]] &lt;= TODAY())</f>
        <v>0</v>
      </c>
      <c r="C178">
        <v>18</v>
      </c>
      <c r="D178" t="s">
        <v>367</v>
      </c>
      <c r="E178">
        <v>2025</v>
      </c>
      <c r="F178" t="s">
        <v>461</v>
      </c>
      <c r="G178" t="s">
        <v>3</v>
      </c>
      <c r="H178" t="s">
        <v>262</v>
      </c>
      <c r="I178" t="s">
        <v>459</v>
      </c>
      <c r="J178" t="s">
        <v>460</v>
      </c>
      <c r="K178">
        <v>16</v>
      </c>
      <c r="L178" t="str">
        <f>IF(SportClimbing[[#This Row],[Height (m)]]&lt;11, "0-10", IF(SportClimbing[[#This Row],[Height (m)]]&lt;16, "11-15", IF(SportClimbing[[#This Row],[Height (m)]]&lt;21, "16-20", IF(SportClimbing[[#This Row],[Height (m)]]&lt;26, "21-25", IF(SportClimbing[[#This Row],[Height (m)]]&lt;31, "26-30", IF(SportClimbing[[#This Row],[Height (m)]]&lt;36, "31-35", "35+"))))))</f>
        <v>16-20</v>
      </c>
      <c r="M178" t="s">
        <v>462</v>
      </c>
      <c r="N178">
        <v>3</v>
      </c>
      <c r="O178">
        <f>IF(ISNUMBER(SportClimbing[[#This Row],[Total number of tries]])=TRUE, SportClimbing[[#This Row],[Total number of tries]], 1)</f>
        <v>3</v>
      </c>
      <c r="P178" t="str">
        <f>IF(ISNUMBER(SportClimbing[[#This Row],[Total number of tries]])=TRUE, "redpoint", SportClimbing[[#This Row],[Total number of tries]])</f>
        <v>redpoint</v>
      </c>
      <c r="Q178">
        <f>_xlfn.XLOOKUP(SportClimbing[[#This Row],[Grade]],SCORE[GRADE],SCORE[SCORE],,)</f>
        <v>10</v>
      </c>
    </row>
    <row r="179" spans="1:17" x14ac:dyDescent="0.25">
      <c r="A179" s="21">
        <v>45738</v>
      </c>
      <c r="B179" s="21" t="b">
        <f ca="1">AND(SportClimbing[[#This Row],[Date]] &gt;= TODAY()-365, SportClimbing[[#This Row],[Date]] &lt;= TODAY())</f>
        <v>1</v>
      </c>
      <c r="C179">
        <v>22</v>
      </c>
      <c r="D179" t="s">
        <v>367</v>
      </c>
      <c r="E179">
        <v>2025</v>
      </c>
      <c r="F179" t="s">
        <v>464</v>
      </c>
      <c r="G179" t="s">
        <v>3</v>
      </c>
      <c r="H179" t="s">
        <v>262</v>
      </c>
      <c r="I179" t="s">
        <v>68</v>
      </c>
      <c r="J179" t="s">
        <v>463</v>
      </c>
      <c r="K179">
        <v>20</v>
      </c>
      <c r="L179" t="str">
        <f>IF(SportClimbing[[#This Row],[Height (m)]]&lt;11, "0-10", IF(SportClimbing[[#This Row],[Height (m)]]&lt;16, "11-15", IF(SportClimbing[[#This Row],[Height (m)]]&lt;21, "16-20", IF(SportClimbing[[#This Row],[Height (m)]]&lt;26, "21-25", IF(SportClimbing[[#This Row],[Height (m)]]&lt;31, "26-30", IF(SportClimbing[[#This Row],[Height (m)]]&lt;36, "31-35", "35+"))))))</f>
        <v>16-20</v>
      </c>
      <c r="M179" t="s">
        <v>332</v>
      </c>
      <c r="N179">
        <v>2</v>
      </c>
      <c r="O179">
        <f>IF(ISNUMBER(SportClimbing[[#This Row],[Total number of tries]])=TRUE, SportClimbing[[#This Row],[Total number of tries]], 1)</f>
        <v>2</v>
      </c>
      <c r="P179" t="str">
        <f>IF(ISNUMBER(SportClimbing[[#This Row],[Total number of tries]])=TRUE, "redpoint", SportClimbing[[#This Row],[Total number of tries]])</f>
        <v>redpoint</v>
      </c>
      <c r="Q179">
        <f>_xlfn.XLOOKUP(SportClimbing[[#This Row],[Grade]],SCORE[GRADE],SCORE[SCORE],,)</f>
        <v>10</v>
      </c>
    </row>
    <row r="180" spans="1:17" x14ac:dyDescent="0.25">
      <c r="A180" s="21">
        <v>45740</v>
      </c>
      <c r="B180" s="21" t="b">
        <f ca="1">AND(SportClimbing[[#This Row],[Date]] &gt;= TODAY()-365, SportClimbing[[#This Row],[Date]] &lt;= TODAY())</f>
        <v>1</v>
      </c>
      <c r="C180">
        <v>24</v>
      </c>
      <c r="D180" t="s">
        <v>367</v>
      </c>
      <c r="E180">
        <v>2025</v>
      </c>
      <c r="F180" t="s">
        <v>466</v>
      </c>
      <c r="G180" t="s">
        <v>29</v>
      </c>
      <c r="H180" t="s">
        <v>262</v>
      </c>
      <c r="I180" t="s">
        <v>43</v>
      </c>
      <c r="J180" t="s">
        <v>465</v>
      </c>
      <c r="K180">
        <v>19</v>
      </c>
      <c r="L180" t="str">
        <f>IF(SportClimbing[[#This Row],[Height (m)]]&lt;11, "0-10", IF(SportClimbing[[#This Row],[Height (m)]]&lt;16, "11-15", IF(SportClimbing[[#This Row],[Height (m)]]&lt;21, "16-20", IF(SportClimbing[[#This Row],[Height (m)]]&lt;26, "21-25", IF(SportClimbing[[#This Row],[Height (m)]]&lt;31, "26-30", IF(SportClimbing[[#This Row],[Height (m)]]&lt;36, "31-35", "35+"))))))</f>
        <v>16-20</v>
      </c>
      <c r="M180" t="s">
        <v>332</v>
      </c>
      <c r="N180">
        <v>3</v>
      </c>
      <c r="O180">
        <f>IF(ISNUMBER(SportClimbing[[#This Row],[Total number of tries]])=TRUE, SportClimbing[[#This Row],[Total number of tries]], 1)</f>
        <v>3</v>
      </c>
      <c r="P180" t="str">
        <f>IF(ISNUMBER(SportClimbing[[#This Row],[Total number of tries]])=TRUE, "redpoint", SportClimbing[[#This Row],[Total number of tries]])</f>
        <v>redpoint</v>
      </c>
      <c r="Q180">
        <f>_xlfn.XLOOKUP(SportClimbing[[#This Row],[Grade]],SCORE[GRADE],SCORE[SCORE],,)</f>
        <v>25</v>
      </c>
    </row>
    <row r="181" spans="1:17" x14ac:dyDescent="0.25">
      <c r="A181" s="21">
        <v>45740</v>
      </c>
      <c r="B181" s="21" t="b">
        <f ca="1">AND(SportClimbing[[#This Row],[Date]] &gt;= TODAY()-365, SportClimbing[[#This Row],[Date]] &lt;= TODAY())</f>
        <v>1</v>
      </c>
      <c r="C181">
        <v>24</v>
      </c>
      <c r="D181" t="s">
        <v>367</v>
      </c>
      <c r="E181">
        <v>2025</v>
      </c>
      <c r="F181" t="s">
        <v>467</v>
      </c>
      <c r="G181" t="s">
        <v>3</v>
      </c>
      <c r="H181" t="s">
        <v>262</v>
      </c>
      <c r="I181" t="s">
        <v>43</v>
      </c>
      <c r="J181" t="s">
        <v>465</v>
      </c>
      <c r="K181">
        <v>24</v>
      </c>
      <c r="L181" t="str">
        <f>IF(SportClimbing[[#This Row],[Height (m)]]&lt;11, "0-10", IF(SportClimbing[[#This Row],[Height (m)]]&lt;16, "11-15", IF(SportClimbing[[#This Row],[Height (m)]]&lt;21, "16-20", IF(SportClimbing[[#This Row],[Height (m)]]&lt;26, "21-25", IF(SportClimbing[[#This Row],[Height (m)]]&lt;31, "26-30", IF(SportClimbing[[#This Row],[Height (m)]]&lt;36, "31-35", "35+"))))))</f>
        <v>21-25</v>
      </c>
      <c r="M181" t="s">
        <v>332</v>
      </c>
      <c r="N181">
        <v>2</v>
      </c>
      <c r="O181">
        <f>IF(ISNUMBER(SportClimbing[[#This Row],[Total number of tries]])=TRUE, SportClimbing[[#This Row],[Total number of tries]], 1)</f>
        <v>2</v>
      </c>
      <c r="P181" t="str">
        <f>IF(ISNUMBER(SportClimbing[[#This Row],[Total number of tries]])=TRUE, "redpoint", SportClimbing[[#This Row],[Total number of tries]])</f>
        <v>redpoint</v>
      </c>
      <c r="Q181">
        <f>_xlfn.XLOOKUP(SportClimbing[[#This Row],[Grade]],SCORE[GRADE],SCORE[SCORE],,)</f>
        <v>10</v>
      </c>
    </row>
    <row r="182" spans="1:17" x14ac:dyDescent="0.25">
      <c r="A182" s="21">
        <v>45745</v>
      </c>
      <c r="B182" s="21" t="b">
        <f ca="1">AND(SportClimbing[[#This Row],[Date]] &gt;= TODAY()-365, SportClimbing[[#This Row],[Date]] &lt;= TODAY())</f>
        <v>1</v>
      </c>
      <c r="C182">
        <v>29</v>
      </c>
      <c r="D182" t="s">
        <v>367</v>
      </c>
      <c r="E182">
        <v>2025</v>
      </c>
      <c r="F182" t="s">
        <v>473</v>
      </c>
      <c r="G182" t="s">
        <v>3</v>
      </c>
      <c r="H182" t="s">
        <v>313</v>
      </c>
      <c r="I182" t="s">
        <v>468</v>
      </c>
      <c r="J182" t="s">
        <v>470</v>
      </c>
      <c r="K182">
        <v>15</v>
      </c>
      <c r="L182" t="str">
        <f>IF(SportClimbing[[#This Row],[Height (m)]]&lt;11, "0-10", IF(SportClimbing[[#This Row],[Height (m)]]&lt;16, "11-15", IF(SportClimbing[[#This Row],[Height (m)]]&lt;21, "16-20", IF(SportClimbing[[#This Row],[Height (m)]]&lt;26, "21-25", IF(SportClimbing[[#This Row],[Height (m)]]&lt;31, "26-30", IF(SportClimbing[[#This Row],[Height (m)]]&lt;36, "31-35", "35+"))))))</f>
        <v>11-15</v>
      </c>
      <c r="M182" t="s">
        <v>469</v>
      </c>
      <c r="N182" t="s">
        <v>130</v>
      </c>
      <c r="O182">
        <f>IF(ISNUMBER(SportClimbing[[#This Row],[Total number of tries]])=TRUE, SportClimbing[[#This Row],[Total number of tries]], 1)</f>
        <v>1</v>
      </c>
      <c r="P182" t="str">
        <f>IF(ISNUMBER(SportClimbing[[#This Row],[Total number of tries]])=TRUE, "redpoint", SportClimbing[[#This Row],[Total number of tries]])</f>
        <v>onsight</v>
      </c>
      <c r="Q182">
        <f>_xlfn.XLOOKUP(SportClimbing[[#This Row],[Grade]],SCORE[GRADE],SCORE[SCORE],,)</f>
        <v>10</v>
      </c>
    </row>
    <row r="183" spans="1:17" x14ac:dyDescent="0.25">
      <c r="A183" s="21">
        <v>45745</v>
      </c>
      <c r="B183" s="21" t="b">
        <f ca="1">AND(SportClimbing[[#This Row],[Date]] &gt;= TODAY()-365, SportClimbing[[#This Row],[Date]] &lt;= TODAY())</f>
        <v>1</v>
      </c>
      <c r="C183">
        <v>29</v>
      </c>
      <c r="D183" t="s">
        <v>367</v>
      </c>
      <c r="E183">
        <v>2025</v>
      </c>
      <c r="F183" t="s">
        <v>472</v>
      </c>
      <c r="G183" t="s">
        <v>29</v>
      </c>
      <c r="H183" t="s">
        <v>313</v>
      </c>
      <c r="I183" t="s">
        <v>468</v>
      </c>
      <c r="J183" t="s">
        <v>470</v>
      </c>
      <c r="K183">
        <v>15</v>
      </c>
      <c r="L183" t="str">
        <f>IF(SportClimbing[[#This Row],[Height (m)]]&lt;11, "0-10", IF(SportClimbing[[#This Row],[Height (m)]]&lt;16, "11-15", IF(SportClimbing[[#This Row],[Height (m)]]&lt;21, "16-20", IF(SportClimbing[[#This Row],[Height (m)]]&lt;26, "21-25", IF(SportClimbing[[#This Row],[Height (m)]]&lt;31, "26-30", IF(SportClimbing[[#This Row],[Height (m)]]&lt;36, "31-35", "35+"))))))</f>
        <v>11-15</v>
      </c>
      <c r="M183" t="s">
        <v>469</v>
      </c>
      <c r="N183">
        <v>3</v>
      </c>
      <c r="O183">
        <f>IF(ISNUMBER(SportClimbing[[#This Row],[Total number of tries]])=TRUE, SportClimbing[[#This Row],[Total number of tries]], 1)</f>
        <v>3</v>
      </c>
      <c r="P183" t="str">
        <f>IF(ISNUMBER(SportClimbing[[#This Row],[Total number of tries]])=TRUE, "redpoint", SportClimbing[[#This Row],[Total number of tries]])</f>
        <v>redpoint</v>
      </c>
      <c r="Q183">
        <f>_xlfn.XLOOKUP(SportClimbing[[#This Row],[Grade]],SCORE[GRADE],SCORE[SCORE],,)</f>
        <v>25</v>
      </c>
    </row>
    <row r="184" spans="1:17" x14ac:dyDescent="0.25">
      <c r="A184" s="21">
        <v>45746</v>
      </c>
      <c r="B184" s="21" t="b">
        <f ca="1">AND(SportClimbing[[#This Row],[Date]] &gt;= TODAY()-365, SportClimbing[[#This Row],[Date]] &lt;= TODAY())</f>
        <v>1</v>
      </c>
      <c r="C184">
        <v>30</v>
      </c>
      <c r="D184" t="s">
        <v>367</v>
      </c>
      <c r="E184">
        <v>2025</v>
      </c>
      <c r="F184" t="s">
        <v>471</v>
      </c>
      <c r="G184" t="s">
        <v>21</v>
      </c>
      <c r="H184" t="s">
        <v>313</v>
      </c>
      <c r="I184" t="s">
        <v>468</v>
      </c>
      <c r="J184" t="s">
        <v>526</v>
      </c>
      <c r="K184">
        <v>33</v>
      </c>
      <c r="L184" t="str">
        <f>IF(SportClimbing[[#This Row],[Height (m)]]&lt;11, "0-10", IF(SportClimbing[[#This Row],[Height (m)]]&lt;16, "11-15", IF(SportClimbing[[#This Row],[Height (m)]]&lt;21, "16-20", IF(SportClimbing[[#This Row],[Height (m)]]&lt;26, "21-25", IF(SportClimbing[[#This Row],[Height (m)]]&lt;31, "26-30", IF(SportClimbing[[#This Row],[Height (m)]]&lt;36, "31-35", "35+"))))))</f>
        <v>31-35</v>
      </c>
      <c r="M184" t="s">
        <v>469</v>
      </c>
      <c r="N184" t="s">
        <v>130</v>
      </c>
      <c r="O184">
        <f>IF(ISNUMBER(SportClimbing[[#This Row],[Total number of tries]])=TRUE, SportClimbing[[#This Row],[Total number of tries]], 1)</f>
        <v>1</v>
      </c>
      <c r="P184" t="str">
        <f>IF(ISNUMBER(SportClimbing[[#This Row],[Total number of tries]])=TRUE, "redpoint", SportClimbing[[#This Row],[Total number of tries]])</f>
        <v>onsight</v>
      </c>
      <c r="Q184">
        <f>_xlfn.XLOOKUP(SportClimbing[[#This Row],[Grade]],SCORE[GRADE],SCORE[SCORE],,)</f>
        <v>15</v>
      </c>
    </row>
    <row r="185" spans="1:17" x14ac:dyDescent="0.25">
      <c r="A185" s="21">
        <v>45753</v>
      </c>
      <c r="B185" s="21" t="b">
        <f ca="1">AND(SportClimbing[[#This Row],[Date]] &gt;= TODAY()-365, SportClimbing[[#This Row],[Date]] &lt;= TODAY())</f>
        <v>1</v>
      </c>
      <c r="C185">
        <v>6</v>
      </c>
      <c r="D185" t="s">
        <v>368</v>
      </c>
      <c r="E185">
        <v>2025</v>
      </c>
      <c r="F185" t="s">
        <v>474</v>
      </c>
      <c r="G185" t="s">
        <v>32</v>
      </c>
      <c r="H185" t="s">
        <v>298</v>
      </c>
      <c r="I185" t="s">
        <v>306</v>
      </c>
      <c r="J185" t="s">
        <v>333</v>
      </c>
      <c r="K185">
        <v>26</v>
      </c>
      <c r="L185" t="str">
        <f>IF(SportClimbing[[#This Row],[Height (m)]]&lt;11, "0-10", IF(SportClimbing[[#This Row],[Height (m)]]&lt;16, "11-15", IF(SportClimbing[[#This Row],[Height (m)]]&lt;21, "16-20", IF(SportClimbing[[#This Row],[Height (m)]]&lt;26, "21-25", IF(SportClimbing[[#This Row],[Height (m)]]&lt;31, "26-30", IF(SportClimbing[[#This Row],[Height (m)]]&lt;36, "31-35", "35+"))))))</f>
        <v>26-30</v>
      </c>
      <c r="M185" t="s">
        <v>469</v>
      </c>
      <c r="N185">
        <v>5</v>
      </c>
      <c r="O185">
        <f>IF(ISNUMBER(SportClimbing[[#This Row],[Total number of tries]])=TRUE, SportClimbing[[#This Row],[Total number of tries]], 1)</f>
        <v>5</v>
      </c>
      <c r="P185" t="str">
        <f>IF(ISNUMBER(SportClimbing[[#This Row],[Total number of tries]])=TRUE, "redpoint", SportClimbing[[#This Row],[Total number of tries]])</f>
        <v>redpoint</v>
      </c>
      <c r="Q185">
        <f>_xlfn.XLOOKUP(SportClimbing[[#This Row],[Grade]],SCORE[GRADE],SCORE[SCORE],,)</f>
        <v>40</v>
      </c>
    </row>
    <row r="186" spans="1:17" x14ac:dyDescent="0.25">
      <c r="A186" s="21">
        <v>45768</v>
      </c>
      <c r="B186" s="21" t="b">
        <f ca="1">AND(SportClimbing[[#This Row],[Date]] &gt;= TODAY()-365, SportClimbing[[#This Row],[Date]] &lt;= TODAY())</f>
        <v>1</v>
      </c>
      <c r="C186">
        <v>21</v>
      </c>
      <c r="D186" t="s">
        <v>368</v>
      </c>
      <c r="E186">
        <v>2025</v>
      </c>
      <c r="F186" t="s">
        <v>477</v>
      </c>
      <c r="G186" t="s">
        <v>21</v>
      </c>
      <c r="H186" t="s">
        <v>298</v>
      </c>
      <c r="I186" t="s">
        <v>306</v>
      </c>
      <c r="J186" t="s">
        <v>476</v>
      </c>
      <c r="K186">
        <v>22</v>
      </c>
      <c r="L186" t="str">
        <f>IF(SportClimbing[[#This Row],[Height (m)]]&lt;11, "0-10", IF(SportClimbing[[#This Row],[Height (m)]]&lt;16, "11-15", IF(SportClimbing[[#This Row],[Height (m)]]&lt;21, "16-20", IF(SportClimbing[[#This Row],[Height (m)]]&lt;26, "21-25", IF(SportClimbing[[#This Row],[Height (m)]]&lt;31, "26-30", IF(SportClimbing[[#This Row],[Height (m)]]&lt;36, "31-35", "35+"))))))</f>
        <v>21-25</v>
      </c>
      <c r="M186" t="s">
        <v>469</v>
      </c>
      <c r="N186">
        <v>6</v>
      </c>
      <c r="O186">
        <f>IF(ISNUMBER(SportClimbing[[#This Row],[Total number of tries]])=TRUE, SportClimbing[[#This Row],[Total number of tries]], 1)</f>
        <v>6</v>
      </c>
      <c r="P186" t="str">
        <f>IF(ISNUMBER(SportClimbing[[#This Row],[Total number of tries]])=TRUE, "redpoint", SportClimbing[[#This Row],[Total number of tries]])</f>
        <v>redpoint</v>
      </c>
      <c r="Q186">
        <f>_xlfn.XLOOKUP(SportClimbing[[#This Row],[Grade]],SCORE[GRADE],SCORE[SCORE],,)</f>
        <v>15</v>
      </c>
    </row>
    <row r="187" spans="1:17" x14ac:dyDescent="0.25">
      <c r="A187" s="21">
        <v>45774</v>
      </c>
      <c r="B187" s="21" t="b">
        <f ca="1">AND(SportClimbing[[#This Row],[Date]] &gt;= TODAY()-365, SportClimbing[[#This Row],[Date]] &lt;= TODAY())</f>
        <v>1</v>
      </c>
      <c r="C187">
        <v>27</v>
      </c>
      <c r="D187" t="s">
        <v>368</v>
      </c>
      <c r="E187">
        <v>2025</v>
      </c>
      <c r="F187" t="s">
        <v>482</v>
      </c>
      <c r="G187" t="s">
        <v>3</v>
      </c>
      <c r="H187" t="s">
        <v>298</v>
      </c>
      <c r="I187" t="s">
        <v>478</v>
      </c>
      <c r="J187" t="s">
        <v>479</v>
      </c>
      <c r="K187">
        <v>20</v>
      </c>
      <c r="L187" t="str">
        <f>IF(SportClimbing[[#This Row],[Height (m)]]&lt;11, "0-10", IF(SportClimbing[[#This Row],[Height (m)]]&lt;16, "11-15", IF(SportClimbing[[#This Row],[Height (m)]]&lt;21, "16-20", IF(SportClimbing[[#This Row],[Height (m)]]&lt;26, "21-25", IF(SportClimbing[[#This Row],[Height (m)]]&lt;31, "26-30", IF(SportClimbing[[#This Row],[Height (m)]]&lt;36, "31-35", "35+"))))))</f>
        <v>16-20</v>
      </c>
      <c r="M187" t="s">
        <v>469</v>
      </c>
      <c r="N187" t="s">
        <v>130</v>
      </c>
      <c r="O187">
        <f>IF(ISNUMBER(SportClimbing[[#This Row],[Total number of tries]])=TRUE, SportClimbing[[#This Row],[Total number of tries]], 1)</f>
        <v>1</v>
      </c>
      <c r="P187" t="str">
        <f>IF(ISNUMBER(SportClimbing[[#This Row],[Total number of tries]])=TRUE, "redpoint", SportClimbing[[#This Row],[Total number of tries]])</f>
        <v>onsight</v>
      </c>
      <c r="Q187">
        <f>_xlfn.XLOOKUP(SportClimbing[[#This Row],[Grade]],SCORE[GRADE],SCORE[SCORE],,)</f>
        <v>10</v>
      </c>
    </row>
    <row r="188" spans="1:17" x14ac:dyDescent="0.25">
      <c r="A188" s="21">
        <v>45774</v>
      </c>
      <c r="B188" s="21" t="b">
        <f ca="1">AND(SportClimbing[[#This Row],[Date]] &gt;= TODAY()-365, SportClimbing[[#This Row],[Date]] &lt;= TODAY())</f>
        <v>1</v>
      </c>
      <c r="C188">
        <v>27</v>
      </c>
      <c r="D188" t="s">
        <v>368</v>
      </c>
      <c r="E188">
        <v>2025</v>
      </c>
      <c r="F188" t="s">
        <v>480</v>
      </c>
      <c r="G188" t="s">
        <v>21</v>
      </c>
      <c r="H188" t="s">
        <v>298</v>
      </c>
      <c r="I188" t="s">
        <v>478</v>
      </c>
      <c r="J188" t="s">
        <v>479</v>
      </c>
      <c r="K188">
        <v>20</v>
      </c>
      <c r="L188" t="str">
        <f>IF(SportClimbing[[#This Row],[Height (m)]]&lt;11, "0-10", IF(SportClimbing[[#This Row],[Height (m)]]&lt;16, "11-15", IF(SportClimbing[[#This Row],[Height (m)]]&lt;21, "16-20", IF(SportClimbing[[#This Row],[Height (m)]]&lt;26, "21-25", IF(SportClimbing[[#This Row],[Height (m)]]&lt;31, "26-30", IF(SportClimbing[[#This Row],[Height (m)]]&lt;36, "31-35", "35+"))))))</f>
        <v>16-20</v>
      </c>
      <c r="M188" t="s">
        <v>469</v>
      </c>
      <c r="N188" t="s">
        <v>130</v>
      </c>
      <c r="O188">
        <f>IF(ISNUMBER(SportClimbing[[#This Row],[Total number of tries]])=TRUE, SportClimbing[[#This Row],[Total number of tries]], 1)</f>
        <v>1</v>
      </c>
      <c r="P188" t="str">
        <f>IF(ISNUMBER(SportClimbing[[#This Row],[Total number of tries]])=TRUE, "redpoint", SportClimbing[[#This Row],[Total number of tries]])</f>
        <v>onsight</v>
      </c>
      <c r="Q188">
        <f>_xlfn.XLOOKUP(SportClimbing[[#This Row],[Grade]],SCORE[GRADE],SCORE[SCORE],,)</f>
        <v>15</v>
      </c>
    </row>
    <row r="189" spans="1:17" x14ac:dyDescent="0.25">
      <c r="A189" s="21">
        <v>45774</v>
      </c>
      <c r="B189" s="21" t="b">
        <f ca="1">AND(SportClimbing[[#This Row],[Date]] &gt;= TODAY()-365, SportClimbing[[#This Row],[Date]] &lt;= TODAY())</f>
        <v>1</v>
      </c>
      <c r="C189">
        <v>27</v>
      </c>
      <c r="D189" t="s">
        <v>368</v>
      </c>
      <c r="E189">
        <v>2025</v>
      </c>
      <c r="F189" t="s">
        <v>481</v>
      </c>
      <c r="G189" t="s">
        <v>29</v>
      </c>
      <c r="H189" t="s">
        <v>298</v>
      </c>
      <c r="I189" t="s">
        <v>478</v>
      </c>
      <c r="J189" t="s">
        <v>479</v>
      </c>
      <c r="K189">
        <v>20</v>
      </c>
      <c r="L189" t="str">
        <f>IF(SportClimbing[[#This Row],[Height (m)]]&lt;11, "0-10", IF(SportClimbing[[#This Row],[Height (m)]]&lt;16, "11-15", IF(SportClimbing[[#This Row],[Height (m)]]&lt;21, "16-20", IF(SportClimbing[[#This Row],[Height (m)]]&lt;26, "21-25", IF(SportClimbing[[#This Row],[Height (m)]]&lt;31, "26-30", IF(SportClimbing[[#This Row],[Height (m)]]&lt;36, "31-35", "35+"))))))</f>
        <v>16-20</v>
      </c>
      <c r="M189" t="s">
        <v>469</v>
      </c>
      <c r="N189">
        <v>2</v>
      </c>
      <c r="O189">
        <f>IF(ISNUMBER(SportClimbing[[#This Row],[Total number of tries]])=TRUE, SportClimbing[[#This Row],[Total number of tries]], 1)</f>
        <v>2</v>
      </c>
      <c r="P189" t="str">
        <f>IF(ISNUMBER(SportClimbing[[#This Row],[Total number of tries]])=TRUE, "redpoint", SportClimbing[[#This Row],[Total number of tries]])</f>
        <v>redpoint</v>
      </c>
      <c r="Q189">
        <f>_xlfn.XLOOKUP(SportClimbing[[#This Row],[Grade]],SCORE[GRADE],SCORE[SCORE],,)</f>
        <v>25</v>
      </c>
    </row>
    <row r="190" spans="1:17" x14ac:dyDescent="0.25">
      <c r="A190" s="21">
        <v>45788</v>
      </c>
      <c r="B190" s="21" t="b">
        <f ca="1">AND(SportClimbing[[#This Row],[Date]] &gt;= TODAY()-365, SportClimbing[[#This Row],[Date]] &lt;= TODAY())</f>
        <v>1</v>
      </c>
      <c r="C190">
        <v>11</v>
      </c>
      <c r="D190" t="s">
        <v>155</v>
      </c>
      <c r="E190">
        <v>2025</v>
      </c>
      <c r="F190" t="s">
        <v>483</v>
      </c>
      <c r="G190" t="s">
        <v>3</v>
      </c>
      <c r="H190" t="s">
        <v>298</v>
      </c>
      <c r="I190" t="s">
        <v>485</v>
      </c>
      <c r="J190" t="s">
        <v>486</v>
      </c>
      <c r="K190">
        <v>10</v>
      </c>
      <c r="L190" t="str">
        <f>IF(SportClimbing[[#This Row],[Height (m)]]&lt;11, "0-10", IF(SportClimbing[[#This Row],[Height (m)]]&lt;16, "11-15", IF(SportClimbing[[#This Row],[Height (m)]]&lt;21, "16-20", IF(SportClimbing[[#This Row],[Height (m)]]&lt;26, "21-25", IF(SportClimbing[[#This Row],[Height (m)]]&lt;31, "26-30", IF(SportClimbing[[#This Row],[Height (m)]]&lt;36, "31-35", "35+"))))))</f>
        <v>0-10</v>
      </c>
      <c r="M190" t="s">
        <v>469</v>
      </c>
      <c r="N190">
        <v>2</v>
      </c>
      <c r="O190">
        <f>IF(ISNUMBER(SportClimbing[[#This Row],[Total number of tries]])=TRUE, SportClimbing[[#This Row],[Total number of tries]], 1)</f>
        <v>2</v>
      </c>
      <c r="P190" t="str">
        <f>IF(ISNUMBER(SportClimbing[[#This Row],[Total number of tries]])=TRUE, "redpoint", SportClimbing[[#This Row],[Total number of tries]])</f>
        <v>redpoint</v>
      </c>
      <c r="Q190">
        <f>_xlfn.XLOOKUP(SportClimbing[[#This Row],[Grade]],SCORE[GRADE],SCORE[SCORE],,)</f>
        <v>10</v>
      </c>
    </row>
    <row r="191" spans="1:17" x14ac:dyDescent="0.25">
      <c r="A191" s="21">
        <v>45788</v>
      </c>
      <c r="B191" s="21" t="b">
        <f ca="1">AND(SportClimbing[[#This Row],[Date]] &gt;= TODAY()-365, SportClimbing[[#This Row],[Date]] &lt;= TODAY())</f>
        <v>1</v>
      </c>
      <c r="C191">
        <v>11</v>
      </c>
      <c r="D191" t="s">
        <v>155</v>
      </c>
      <c r="E191">
        <v>2025</v>
      </c>
      <c r="F191" t="s">
        <v>484</v>
      </c>
      <c r="G191" t="s">
        <v>3</v>
      </c>
      <c r="H191" t="s">
        <v>298</v>
      </c>
      <c r="I191" t="s">
        <v>485</v>
      </c>
      <c r="J191" t="s">
        <v>486</v>
      </c>
      <c r="K191">
        <v>10</v>
      </c>
      <c r="L191" t="str">
        <f>IF(SportClimbing[[#This Row],[Height (m)]]&lt;11, "0-10", IF(SportClimbing[[#This Row],[Height (m)]]&lt;16, "11-15", IF(SportClimbing[[#This Row],[Height (m)]]&lt;21, "16-20", IF(SportClimbing[[#This Row],[Height (m)]]&lt;26, "21-25", IF(SportClimbing[[#This Row],[Height (m)]]&lt;31, "26-30", IF(SportClimbing[[#This Row],[Height (m)]]&lt;36, "31-35", "35+"))))))</f>
        <v>0-10</v>
      </c>
      <c r="M191" t="s">
        <v>469</v>
      </c>
      <c r="N191">
        <v>2</v>
      </c>
      <c r="O191">
        <f>IF(ISNUMBER(SportClimbing[[#This Row],[Total number of tries]])=TRUE, SportClimbing[[#This Row],[Total number of tries]], 1)</f>
        <v>2</v>
      </c>
      <c r="P191" t="str">
        <f>IF(ISNUMBER(SportClimbing[[#This Row],[Total number of tries]])=TRUE, "redpoint", SportClimbing[[#This Row],[Total number of tries]])</f>
        <v>redpoint</v>
      </c>
      <c r="Q191">
        <f>_xlfn.XLOOKUP(SportClimbing[[#This Row],[Grade]],SCORE[GRADE],SCORE[SCORE],,)</f>
        <v>10</v>
      </c>
    </row>
    <row r="192" spans="1:17" x14ac:dyDescent="0.25">
      <c r="A192" s="21">
        <v>45801</v>
      </c>
      <c r="B192" s="21" t="b">
        <f ca="1">AND(SportClimbing[[#This Row],[Date]] &gt;= TODAY()-365, SportClimbing[[#This Row],[Date]] &lt;= TODAY())</f>
        <v>1</v>
      </c>
      <c r="C192">
        <v>24</v>
      </c>
      <c r="D192" t="s">
        <v>155</v>
      </c>
      <c r="E192">
        <v>2025</v>
      </c>
      <c r="F192" t="s">
        <v>488</v>
      </c>
      <c r="G192" t="s">
        <v>69</v>
      </c>
      <c r="H192" t="s">
        <v>298</v>
      </c>
      <c r="I192" t="s">
        <v>334</v>
      </c>
      <c r="J192" t="s">
        <v>533</v>
      </c>
      <c r="K192">
        <v>25</v>
      </c>
      <c r="L192" t="str">
        <f>IF(SportClimbing[[#This Row],[Height (m)]]&lt;11, "0-10", IF(SportClimbing[[#This Row],[Height (m)]]&lt;16, "11-15", IF(SportClimbing[[#This Row],[Height (m)]]&lt;21, "16-20", IF(SportClimbing[[#This Row],[Height (m)]]&lt;26, "21-25", IF(SportClimbing[[#This Row],[Height (m)]]&lt;31, "26-30", IF(SportClimbing[[#This Row],[Height (m)]]&lt;36, "31-35", "35+"))))))</f>
        <v>21-25</v>
      </c>
      <c r="M192" t="s">
        <v>469</v>
      </c>
      <c r="N192">
        <v>5</v>
      </c>
      <c r="O192">
        <f>IF(ISNUMBER(SportClimbing[[#This Row],[Total number of tries]])=TRUE, SportClimbing[[#This Row],[Total number of tries]], 1)</f>
        <v>5</v>
      </c>
      <c r="P192" t="str">
        <f>IF(ISNUMBER(SportClimbing[[#This Row],[Total number of tries]])=TRUE, "redpoint", SportClimbing[[#This Row],[Total number of tries]])</f>
        <v>redpoint</v>
      </c>
      <c r="Q192">
        <f>_xlfn.XLOOKUP(SportClimbing[[#This Row],[Grade]],SCORE[GRADE],SCORE[SCORE],,)</f>
        <v>60</v>
      </c>
    </row>
    <row r="193" spans="1:17" x14ac:dyDescent="0.25">
      <c r="A193" s="21">
        <v>45835</v>
      </c>
      <c r="B193" s="21" t="b">
        <f ca="1">AND(SportClimbing[[#This Row],[Date]] &gt;= TODAY()-365, SportClimbing[[#This Row],[Date]] &lt;= TODAY())</f>
        <v>1</v>
      </c>
      <c r="C193">
        <v>27</v>
      </c>
      <c r="D193" t="s">
        <v>366</v>
      </c>
      <c r="E193">
        <v>2025</v>
      </c>
      <c r="F193" t="s">
        <v>489</v>
      </c>
      <c r="G193" t="s">
        <v>163</v>
      </c>
      <c r="H193" t="s">
        <v>298</v>
      </c>
      <c r="I193" t="s">
        <v>433</v>
      </c>
      <c r="J193" t="s">
        <v>434</v>
      </c>
      <c r="K193">
        <v>20</v>
      </c>
      <c r="L193" t="str">
        <f>IF(SportClimbing[[#This Row],[Height (m)]]&lt;11, "0-10", IF(SportClimbing[[#This Row],[Height (m)]]&lt;16, "11-15", IF(SportClimbing[[#This Row],[Height (m)]]&lt;21, "16-20", IF(SportClimbing[[#This Row],[Height (m)]]&lt;26, "21-25", IF(SportClimbing[[#This Row],[Height (m)]]&lt;31, "26-30", IF(SportClimbing[[#This Row],[Height (m)]]&lt;36, "31-35", "35+"))))))</f>
        <v>16-20</v>
      </c>
      <c r="M193" t="s">
        <v>435</v>
      </c>
      <c r="N193">
        <v>14</v>
      </c>
      <c r="O193">
        <f>IF(ISNUMBER(SportClimbing[[#This Row],[Total number of tries]])=TRUE, SportClimbing[[#This Row],[Total number of tries]], 1)</f>
        <v>14</v>
      </c>
      <c r="P193" t="str">
        <f>IF(ISNUMBER(SportClimbing[[#This Row],[Total number of tries]])=TRUE, "redpoint", SportClimbing[[#This Row],[Total number of tries]])</f>
        <v>redpoint</v>
      </c>
      <c r="Q193">
        <f>_xlfn.XLOOKUP(SportClimbing[[#This Row],[Grade]],SCORE[GRADE],SCORE[SCORE],,)</f>
        <v>80</v>
      </c>
    </row>
    <row r="194" spans="1:17" x14ac:dyDescent="0.25">
      <c r="A194" s="21">
        <f>DATE(SportClimbing[[#This Row],[Year]],_xlfn.XLOOKUP(SportClimbing[[#This Row],[Month]],MONTHS[MONTHS 2],MONTHS[MONTHS 3]),SportClimbing[[#This Row],[Day]])</f>
        <v>45861</v>
      </c>
      <c r="B194" s="21" t="b">
        <f ca="1">AND(SportClimbing[[#This Row],[Date]] &gt;= TODAY()-365, SportClimbing[[#This Row],[Date]] &lt;= TODAY())</f>
        <v>1</v>
      </c>
      <c r="C194">
        <v>23</v>
      </c>
      <c r="D194" t="s">
        <v>365</v>
      </c>
      <c r="E194">
        <v>2025</v>
      </c>
      <c r="F194" t="s">
        <v>498</v>
      </c>
      <c r="G194" t="s">
        <v>3</v>
      </c>
      <c r="H194" t="s">
        <v>261</v>
      </c>
      <c r="I194" t="s">
        <v>492</v>
      </c>
      <c r="J194" t="s">
        <v>494</v>
      </c>
      <c r="K194">
        <v>30</v>
      </c>
      <c r="L194" t="str">
        <f>IF(SportClimbing[[#This Row],[Height (m)]]&lt;11, "0-10", IF(SportClimbing[[#This Row],[Height (m)]]&lt;16, "11-15", IF(SportClimbing[[#This Row],[Height (m)]]&lt;21, "16-20", IF(SportClimbing[[#This Row],[Height (m)]]&lt;26, "21-25", IF(SportClimbing[[#This Row],[Height (m)]]&lt;31, "26-30", IF(SportClimbing[[#This Row],[Height (m)]]&lt;36, "31-35", "35+"))))))</f>
        <v>26-30</v>
      </c>
      <c r="M194" t="s">
        <v>469</v>
      </c>
      <c r="N194">
        <v>2</v>
      </c>
      <c r="O194">
        <f>IF(ISNUMBER(SportClimbing[[#This Row],[Total number of tries]])=TRUE, SportClimbing[[#This Row],[Total number of tries]], 1)</f>
        <v>2</v>
      </c>
      <c r="P194" t="str">
        <f>IF(ISNUMBER(SportClimbing[[#This Row],[Total number of tries]])=TRUE, "redpoint", SportClimbing[[#This Row],[Total number of tries]])</f>
        <v>redpoint</v>
      </c>
      <c r="Q194">
        <f>_xlfn.XLOOKUP(SportClimbing[[#This Row],[Grade]],SCORE[GRADE],SCORE[SCORE],,)</f>
        <v>10</v>
      </c>
    </row>
    <row r="195" spans="1:17" x14ac:dyDescent="0.25">
      <c r="A195" s="21">
        <f>DATE(SportClimbing[[#This Row],[Year]],_xlfn.XLOOKUP(SportClimbing[[#This Row],[Month]],MONTHS[MONTHS 2],MONTHS[MONTHS 3]),SportClimbing[[#This Row],[Day]])</f>
        <v>45865</v>
      </c>
      <c r="B195" s="21" t="b">
        <f ca="1">AND(SportClimbing[[#This Row],[Date]] &gt;= TODAY()-365, SportClimbing[[#This Row],[Date]] &lt;= TODAY())</f>
        <v>1</v>
      </c>
      <c r="C195">
        <v>27</v>
      </c>
      <c r="D195" t="s">
        <v>365</v>
      </c>
      <c r="E195">
        <v>2025</v>
      </c>
      <c r="F195" t="s">
        <v>495</v>
      </c>
      <c r="G195" t="s">
        <v>3</v>
      </c>
      <c r="H195" t="s">
        <v>261</v>
      </c>
      <c r="I195" t="s">
        <v>493</v>
      </c>
      <c r="J195" t="s">
        <v>497</v>
      </c>
      <c r="K195">
        <v>18</v>
      </c>
      <c r="L195" t="str">
        <f>IF(SportClimbing[[#This Row],[Height (m)]]&lt;11, "0-10", IF(SportClimbing[[#This Row],[Height (m)]]&lt;16, "11-15", IF(SportClimbing[[#This Row],[Height (m)]]&lt;21, "16-20", IF(SportClimbing[[#This Row],[Height (m)]]&lt;26, "21-25", IF(SportClimbing[[#This Row],[Height (m)]]&lt;31, "26-30", IF(SportClimbing[[#This Row],[Height (m)]]&lt;36, "31-35", "35+"))))))</f>
        <v>16-20</v>
      </c>
      <c r="M195" t="s">
        <v>469</v>
      </c>
      <c r="N195" t="s">
        <v>130</v>
      </c>
      <c r="O195">
        <f>IF(ISNUMBER(SportClimbing[[#This Row],[Total number of tries]])=TRUE, SportClimbing[[#This Row],[Total number of tries]], 1)</f>
        <v>1</v>
      </c>
      <c r="P195" t="str">
        <f>IF(ISNUMBER(SportClimbing[[#This Row],[Total number of tries]])=TRUE, "redpoint", SportClimbing[[#This Row],[Total number of tries]])</f>
        <v>onsight</v>
      </c>
      <c r="Q195">
        <f>_xlfn.XLOOKUP(SportClimbing[[#This Row],[Grade]],SCORE[GRADE],SCORE[SCORE],,)</f>
        <v>10</v>
      </c>
    </row>
    <row r="196" spans="1:17" x14ac:dyDescent="0.25">
      <c r="A196" s="21">
        <f>DATE(SportClimbing[[#This Row],[Year]],_xlfn.XLOOKUP(SportClimbing[[#This Row],[Month]],MONTHS[MONTHS 2],MONTHS[MONTHS 3]),SportClimbing[[#This Row],[Day]])</f>
        <v>45865</v>
      </c>
      <c r="B196" s="21" t="b">
        <f ca="1">AND(SportClimbing[[#This Row],[Date]] &gt;= TODAY()-365, SportClimbing[[#This Row],[Date]] &lt;= TODAY())</f>
        <v>1</v>
      </c>
      <c r="C196">
        <v>27</v>
      </c>
      <c r="D196" t="s">
        <v>365</v>
      </c>
      <c r="E196">
        <v>2025</v>
      </c>
      <c r="F196" t="s">
        <v>496</v>
      </c>
      <c r="G196" t="s">
        <v>3</v>
      </c>
      <c r="H196" t="s">
        <v>261</v>
      </c>
      <c r="I196" t="s">
        <v>493</v>
      </c>
      <c r="J196" t="s">
        <v>497</v>
      </c>
      <c r="K196">
        <v>22</v>
      </c>
      <c r="L196" t="str">
        <f>IF(SportClimbing[[#This Row],[Height (m)]]&lt;11, "0-10", IF(SportClimbing[[#This Row],[Height (m)]]&lt;16, "11-15", IF(SportClimbing[[#This Row],[Height (m)]]&lt;21, "16-20", IF(SportClimbing[[#This Row],[Height (m)]]&lt;26, "21-25", IF(SportClimbing[[#This Row],[Height (m)]]&lt;31, "26-30", IF(SportClimbing[[#This Row],[Height (m)]]&lt;36, "31-35", "35+"))))))</f>
        <v>21-25</v>
      </c>
      <c r="M196" t="s">
        <v>469</v>
      </c>
      <c r="N196" t="s">
        <v>130</v>
      </c>
      <c r="O196">
        <f>IF(ISNUMBER(SportClimbing[[#This Row],[Total number of tries]])=TRUE, SportClimbing[[#This Row],[Total number of tries]], 1)</f>
        <v>1</v>
      </c>
      <c r="P196" t="str">
        <f>IF(ISNUMBER(SportClimbing[[#This Row],[Total number of tries]])=TRUE, "redpoint", SportClimbing[[#This Row],[Total number of tries]])</f>
        <v>onsight</v>
      </c>
      <c r="Q196">
        <f>_xlfn.XLOOKUP(SportClimbing[[#This Row],[Grade]],SCORE[GRADE],SCORE[SCORE],,)</f>
        <v>10</v>
      </c>
    </row>
    <row r="197" spans="1:17" x14ac:dyDescent="0.25">
      <c r="A197" s="21">
        <f>DATE(SportClimbing[[#This Row],[Year]],_xlfn.XLOOKUP(SportClimbing[[#This Row],[Month]],MONTHS[MONTHS 2],MONTHS[MONTHS 3]),SportClimbing[[#This Row],[Day]])</f>
        <v>45867</v>
      </c>
      <c r="B197" s="21" t="b">
        <f ca="1">AND(SportClimbing[[#This Row],[Date]] &gt;= TODAY()-365, SportClimbing[[#This Row],[Date]] &lt;= TODAY())</f>
        <v>1</v>
      </c>
      <c r="C197">
        <v>29</v>
      </c>
      <c r="D197" t="s">
        <v>365</v>
      </c>
      <c r="E197">
        <v>2025</v>
      </c>
      <c r="F197" t="s">
        <v>502</v>
      </c>
      <c r="G197" t="s">
        <v>3</v>
      </c>
      <c r="H197" t="s">
        <v>261</v>
      </c>
      <c r="I197" t="s">
        <v>493</v>
      </c>
      <c r="J197" t="s">
        <v>501</v>
      </c>
      <c r="K197">
        <v>27</v>
      </c>
      <c r="L197" t="str">
        <f>IF(SportClimbing[[#This Row],[Height (m)]]&lt;11, "0-10", IF(SportClimbing[[#This Row],[Height (m)]]&lt;16, "11-15", IF(SportClimbing[[#This Row],[Height (m)]]&lt;21, "16-20", IF(SportClimbing[[#This Row],[Height (m)]]&lt;26, "21-25", IF(SportClimbing[[#This Row],[Height (m)]]&lt;31, "26-30", IF(SportClimbing[[#This Row],[Height (m)]]&lt;36, "31-35", "35+"))))))</f>
        <v>26-30</v>
      </c>
      <c r="M197" t="s">
        <v>469</v>
      </c>
      <c r="N197" t="s">
        <v>130</v>
      </c>
      <c r="O197">
        <f>IF(ISNUMBER(SportClimbing[[#This Row],[Total number of tries]])=TRUE, SportClimbing[[#This Row],[Total number of tries]], 1)</f>
        <v>1</v>
      </c>
      <c r="P197" t="str">
        <f>IF(ISNUMBER(SportClimbing[[#This Row],[Total number of tries]])=TRUE, "redpoint", SportClimbing[[#This Row],[Total number of tries]])</f>
        <v>onsight</v>
      </c>
      <c r="Q197">
        <f>_xlfn.XLOOKUP(SportClimbing[[#This Row],[Grade]],SCORE[GRADE],SCORE[SCORE],,)</f>
        <v>10</v>
      </c>
    </row>
    <row r="198" spans="1:17" x14ac:dyDescent="0.25">
      <c r="A198" s="21">
        <f>DATE(SportClimbing[[#This Row],[Year]],_xlfn.XLOOKUP(SportClimbing[[#This Row],[Month]],MONTHS[MONTHS 2],MONTHS[MONTHS 3]),SportClimbing[[#This Row],[Day]])</f>
        <v>45888</v>
      </c>
      <c r="B198" s="21" t="b">
        <f ca="1">AND(SportClimbing[[#This Row],[Date]] &gt;= TODAY()-365, SportClimbing[[#This Row],[Date]] &lt;= TODAY())</f>
        <v>1</v>
      </c>
      <c r="C198">
        <v>19</v>
      </c>
      <c r="D198" t="s">
        <v>158</v>
      </c>
      <c r="E198">
        <v>2025</v>
      </c>
      <c r="F198" t="s">
        <v>504</v>
      </c>
      <c r="G198" t="s">
        <v>29</v>
      </c>
      <c r="H198" t="s">
        <v>262</v>
      </c>
      <c r="I198" t="s">
        <v>500</v>
      </c>
      <c r="J198" t="s">
        <v>503</v>
      </c>
      <c r="K198">
        <v>30</v>
      </c>
      <c r="L198" t="str">
        <f>IF(SportClimbing[[#This Row],[Height (m)]]&lt;11, "0-10", IF(SportClimbing[[#This Row],[Height (m)]]&lt;16, "11-15", IF(SportClimbing[[#This Row],[Height (m)]]&lt;21, "16-20", IF(SportClimbing[[#This Row],[Height (m)]]&lt;26, "21-25", IF(SportClimbing[[#This Row],[Height (m)]]&lt;31, "26-30", IF(SportClimbing[[#This Row],[Height (m)]]&lt;36, "31-35", "35+"))))))</f>
        <v>26-30</v>
      </c>
      <c r="M198" t="s">
        <v>469</v>
      </c>
      <c r="N198" t="s">
        <v>130</v>
      </c>
      <c r="O198">
        <f>IF(ISNUMBER(SportClimbing[[#This Row],[Total number of tries]])=TRUE, SportClimbing[[#This Row],[Total number of tries]], 1)</f>
        <v>1</v>
      </c>
      <c r="P198" t="str">
        <f>IF(ISNUMBER(SportClimbing[[#This Row],[Total number of tries]])=TRUE, "redpoint", SportClimbing[[#This Row],[Total number of tries]])</f>
        <v>onsight</v>
      </c>
      <c r="Q198">
        <f>_xlfn.XLOOKUP(SportClimbing[[#This Row],[Grade]],SCORE[GRADE],SCORE[SCORE],,)</f>
        <v>25</v>
      </c>
    </row>
    <row r="199" spans="1:17" x14ac:dyDescent="0.25">
      <c r="A199" s="21">
        <f>DATE(SportClimbing[[#This Row],[Year]],_xlfn.XLOOKUP(SportClimbing[[#This Row],[Month]],MONTHS[MONTHS 2],MONTHS[MONTHS 3]),SportClimbing[[#This Row],[Day]])</f>
        <v>45889</v>
      </c>
      <c r="B199" s="21" t="b">
        <f ca="1">AND(SportClimbing[[#This Row],[Date]] &gt;= TODAY()-365, SportClimbing[[#This Row],[Date]] &lt;= TODAY())</f>
        <v>1</v>
      </c>
      <c r="C199">
        <v>20</v>
      </c>
      <c r="D199" t="s">
        <v>158</v>
      </c>
      <c r="E199">
        <v>2025</v>
      </c>
      <c r="F199" t="s">
        <v>499</v>
      </c>
      <c r="G199" t="s">
        <v>3</v>
      </c>
      <c r="H199" t="s">
        <v>262</v>
      </c>
      <c r="I199" t="s">
        <v>500</v>
      </c>
      <c r="J199" t="s">
        <v>505</v>
      </c>
      <c r="K199">
        <v>28</v>
      </c>
      <c r="L199" t="str">
        <f>IF(SportClimbing[[#This Row],[Height (m)]]&lt;11, "0-10", IF(SportClimbing[[#This Row],[Height (m)]]&lt;16, "11-15", IF(SportClimbing[[#This Row],[Height (m)]]&lt;21, "16-20", IF(SportClimbing[[#This Row],[Height (m)]]&lt;26, "21-25", IF(SportClimbing[[#This Row],[Height (m)]]&lt;31, "26-30", IF(SportClimbing[[#This Row],[Height (m)]]&lt;36, "31-35", "35+"))))))</f>
        <v>26-30</v>
      </c>
      <c r="M199" t="s">
        <v>469</v>
      </c>
      <c r="N199">
        <v>2</v>
      </c>
      <c r="O199">
        <f>IF(ISNUMBER(SportClimbing[[#This Row],[Total number of tries]])=TRUE, SportClimbing[[#This Row],[Total number of tries]], 1)</f>
        <v>2</v>
      </c>
      <c r="P199" t="str">
        <f>IF(ISNUMBER(SportClimbing[[#This Row],[Total number of tries]])=TRUE, "redpoint", SportClimbing[[#This Row],[Total number of tries]])</f>
        <v>redpoint</v>
      </c>
      <c r="Q199">
        <f>_xlfn.XLOOKUP(SportClimbing[[#This Row],[Grade]],SCORE[GRADE],SCORE[SCORE],,)</f>
        <v>10</v>
      </c>
    </row>
    <row r="200" spans="1:17" x14ac:dyDescent="0.25">
      <c r="A200" s="21">
        <f>DATE(SportClimbing[[#This Row],[Year]],_xlfn.XLOOKUP(SportClimbing[[#This Row],[Month]],MONTHS[MONTHS 2],MONTHS[MONTHS 3]),SportClimbing[[#This Row],[Day]])</f>
        <v>45894</v>
      </c>
      <c r="B200" s="21" t="b">
        <f ca="1">AND(SportClimbing[[#This Row],[Date]] &gt;= TODAY()-365, SportClimbing[[#This Row],[Date]] &lt;= TODAY())</f>
        <v>1</v>
      </c>
      <c r="C200">
        <v>25</v>
      </c>
      <c r="D200" t="s">
        <v>158</v>
      </c>
      <c r="E200">
        <v>2025</v>
      </c>
      <c r="F200" t="s">
        <v>506</v>
      </c>
      <c r="G200" t="s">
        <v>3</v>
      </c>
      <c r="H200" t="s">
        <v>261</v>
      </c>
      <c r="I200" t="s">
        <v>507</v>
      </c>
      <c r="J200" t="s">
        <v>508</v>
      </c>
      <c r="K200">
        <v>25</v>
      </c>
      <c r="L200" t="str">
        <f>IF(SportClimbing[[#This Row],[Height (m)]]&lt;11, "0-10", IF(SportClimbing[[#This Row],[Height (m)]]&lt;16, "11-15", IF(SportClimbing[[#This Row],[Height (m)]]&lt;21, "16-20", IF(SportClimbing[[#This Row],[Height (m)]]&lt;26, "21-25", IF(SportClimbing[[#This Row],[Height (m)]]&lt;31, "26-30", IF(SportClimbing[[#This Row],[Height (m)]]&lt;36, "31-35", "35+"))))))</f>
        <v>21-25</v>
      </c>
      <c r="M200" t="s">
        <v>469</v>
      </c>
      <c r="N200">
        <v>2</v>
      </c>
      <c r="O200">
        <f>IF(ISNUMBER(SportClimbing[[#This Row],[Total number of tries]])=TRUE, SportClimbing[[#This Row],[Total number of tries]], 1)</f>
        <v>2</v>
      </c>
      <c r="P200" t="str">
        <f>IF(ISNUMBER(SportClimbing[[#This Row],[Total number of tries]])=TRUE, "redpoint", SportClimbing[[#This Row],[Total number of tries]])</f>
        <v>redpoint</v>
      </c>
      <c r="Q200">
        <f>_xlfn.XLOOKUP(SportClimbing[[#This Row],[Grade]],SCORE[GRADE],SCORE[SCORE],,)</f>
        <v>10</v>
      </c>
    </row>
    <row r="201" spans="1:17" x14ac:dyDescent="0.25">
      <c r="A201" s="21">
        <v>45906</v>
      </c>
      <c r="B201" s="21" t="b">
        <f ca="1">AND(SportClimbing[[#This Row],[Date]] &gt;= TODAY()-365, SportClimbing[[#This Row],[Date]] &lt;= TODAY())</f>
        <v>1</v>
      </c>
      <c r="C201">
        <v>6</v>
      </c>
      <c r="D201" t="s">
        <v>159</v>
      </c>
      <c r="E201">
        <v>2025</v>
      </c>
      <c r="F201" t="s">
        <v>509</v>
      </c>
      <c r="G201" t="s">
        <v>3</v>
      </c>
      <c r="H201" t="s">
        <v>298</v>
      </c>
      <c r="I201" t="s">
        <v>513</v>
      </c>
      <c r="J201" t="s">
        <v>512</v>
      </c>
      <c r="K201">
        <v>11</v>
      </c>
      <c r="L201" t="str">
        <f>IF(SportClimbing[[#This Row],[Height (m)]]&lt;11, "0-10", IF(SportClimbing[[#This Row],[Height (m)]]&lt;16, "11-15", IF(SportClimbing[[#This Row],[Height (m)]]&lt;21, "16-20", IF(SportClimbing[[#This Row],[Height (m)]]&lt;26, "21-25", IF(SportClimbing[[#This Row],[Height (m)]]&lt;31, "26-30", IF(SportClimbing[[#This Row],[Height (m)]]&lt;36, "31-35", "35+"))))))</f>
        <v>11-15</v>
      </c>
      <c r="M201" t="s">
        <v>469</v>
      </c>
      <c r="N201">
        <v>2</v>
      </c>
      <c r="O201">
        <f>IF(ISNUMBER(SportClimbing[[#This Row],[Total number of tries]])=TRUE, SportClimbing[[#This Row],[Total number of tries]], 1)</f>
        <v>2</v>
      </c>
      <c r="P201" t="str">
        <f>IF(ISNUMBER(SportClimbing[[#This Row],[Total number of tries]])=TRUE, "redpoint", SportClimbing[[#This Row],[Total number of tries]])</f>
        <v>redpoint</v>
      </c>
      <c r="Q201">
        <f>_xlfn.XLOOKUP(SportClimbing[[#This Row],[Grade]],SCORE[GRADE],SCORE[SCORE],,)</f>
        <v>10</v>
      </c>
    </row>
    <row r="202" spans="1:17" x14ac:dyDescent="0.25">
      <c r="A202" s="21">
        <v>45906</v>
      </c>
      <c r="B202" s="21" t="b">
        <f ca="1">AND(SportClimbing[[#This Row],[Date]] &gt;= TODAY()-365, SportClimbing[[#This Row],[Date]] &lt;= TODAY())</f>
        <v>1</v>
      </c>
      <c r="C202">
        <v>6</v>
      </c>
      <c r="D202" t="s">
        <v>159</v>
      </c>
      <c r="E202">
        <v>2025</v>
      </c>
      <c r="F202" t="s">
        <v>510</v>
      </c>
      <c r="G202" t="s">
        <v>3</v>
      </c>
      <c r="H202" t="s">
        <v>298</v>
      </c>
      <c r="I202" t="s">
        <v>513</v>
      </c>
      <c r="J202" t="s">
        <v>511</v>
      </c>
      <c r="K202">
        <v>15</v>
      </c>
      <c r="L202" t="str">
        <f>IF(SportClimbing[[#This Row],[Height (m)]]&lt;11, "0-10", IF(SportClimbing[[#This Row],[Height (m)]]&lt;16, "11-15", IF(SportClimbing[[#This Row],[Height (m)]]&lt;21, "16-20", IF(SportClimbing[[#This Row],[Height (m)]]&lt;26, "21-25", IF(SportClimbing[[#This Row],[Height (m)]]&lt;31, "26-30", IF(SportClimbing[[#This Row],[Height (m)]]&lt;36, "31-35", "35+"))))))</f>
        <v>11-15</v>
      </c>
      <c r="M202" t="s">
        <v>469</v>
      </c>
      <c r="N202" t="s">
        <v>130</v>
      </c>
      <c r="O202">
        <f>IF(ISNUMBER(SportClimbing[[#This Row],[Total number of tries]])=TRUE, SportClimbing[[#This Row],[Total number of tries]], 1)</f>
        <v>1</v>
      </c>
      <c r="P202" t="str">
        <f>IF(ISNUMBER(SportClimbing[[#This Row],[Total number of tries]])=TRUE, "redpoint", SportClimbing[[#This Row],[Total number of tries]])</f>
        <v>onsight</v>
      </c>
      <c r="Q202">
        <f>_xlfn.XLOOKUP(SportClimbing[[#This Row],[Grade]],SCORE[GRADE],SCORE[SCORE],,)</f>
        <v>10</v>
      </c>
    </row>
    <row r="203" spans="1:17" x14ac:dyDescent="0.25">
      <c r="A203" s="21">
        <v>45948</v>
      </c>
      <c r="B203" s="21" t="b">
        <f ca="1">AND(SportClimbing[[#This Row],[Date]] &gt;= TODAY()-365, SportClimbing[[#This Row],[Date]] &lt;= TODAY())</f>
        <v>1</v>
      </c>
      <c r="C203">
        <v>18</v>
      </c>
      <c r="D203" t="s">
        <v>162</v>
      </c>
      <c r="E203">
        <v>2025</v>
      </c>
      <c r="F203" t="s">
        <v>516</v>
      </c>
      <c r="G203" t="s">
        <v>21</v>
      </c>
      <c r="H203" t="s">
        <v>313</v>
      </c>
      <c r="I203" t="s">
        <v>468</v>
      </c>
      <c r="J203" t="s">
        <v>517</v>
      </c>
      <c r="K203">
        <v>22</v>
      </c>
      <c r="L203" t="str">
        <f>IF(SportClimbing[[#This Row],[Height (m)]]&lt;11, "0-10", IF(SportClimbing[[#This Row],[Height (m)]]&lt;16, "11-15", IF(SportClimbing[[#This Row],[Height (m)]]&lt;21, "16-20", IF(SportClimbing[[#This Row],[Height (m)]]&lt;26, "21-25", IF(SportClimbing[[#This Row],[Height (m)]]&lt;31, "26-30", IF(SportClimbing[[#This Row],[Height (m)]]&lt;36, "31-35", "35+"))))))</f>
        <v>21-25</v>
      </c>
      <c r="M203" t="s">
        <v>435</v>
      </c>
      <c r="N203">
        <v>5</v>
      </c>
      <c r="O203">
        <f>IF(ISNUMBER(SportClimbing[[#This Row],[Total number of tries]])=TRUE, SportClimbing[[#This Row],[Total number of tries]], 1)</f>
        <v>5</v>
      </c>
      <c r="P203" t="str">
        <f>IF(ISNUMBER(SportClimbing[[#This Row],[Total number of tries]])=TRUE, "redpoint", SportClimbing[[#This Row],[Total number of tries]])</f>
        <v>redpoint</v>
      </c>
      <c r="Q203">
        <f>_xlfn.XLOOKUP(SportClimbing[[#This Row],[Grade]],SCORE[GRADE],SCORE[SCORE],,)</f>
        <v>15</v>
      </c>
    </row>
    <row r="204" spans="1:17" x14ac:dyDescent="0.25">
      <c r="A204" s="21">
        <v>45949</v>
      </c>
      <c r="B204" s="21" t="b">
        <f ca="1">AND(SportClimbing[[#This Row],[Date]] &gt;= TODAY()-365, SportClimbing[[#This Row],[Date]] &lt;= TODAY())</f>
        <v>1</v>
      </c>
      <c r="C204">
        <v>19</v>
      </c>
      <c r="D204" t="s">
        <v>162</v>
      </c>
      <c r="E204">
        <v>2025</v>
      </c>
      <c r="F204" t="s">
        <v>518</v>
      </c>
      <c r="G204" t="s">
        <v>3</v>
      </c>
      <c r="H204" t="s">
        <v>313</v>
      </c>
      <c r="I204" t="s">
        <v>468</v>
      </c>
      <c r="J204" t="s">
        <v>515</v>
      </c>
      <c r="K204">
        <v>18</v>
      </c>
      <c r="L204" t="str">
        <f>IF(SportClimbing[[#This Row],[Height (m)]]&lt;11, "0-10", IF(SportClimbing[[#This Row],[Height (m)]]&lt;16, "11-15", IF(SportClimbing[[#This Row],[Height (m)]]&lt;21, "16-20", IF(SportClimbing[[#This Row],[Height (m)]]&lt;26, "21-25", IF(SportClimbing[[#This Row],[Height (m)]]&lt;31, "26-30", IF(SportClimbing[[#This Row],[Height (m)]]&lt;36, "31-35", "35+"))))))</f>
        <v>16-20</v>
      </c>
      <c r="M204" t="s">
        <v>435</v>
      </c>
      <c r="N204">
        <v>2</v>
      </c>
      <c r="O204">
        <f>IF(ISNUMBER(SportClimbing[[#This Row],[Total number of tries]])=TRUE, SportClimbing[[#This Row],[Total number of tries]], 1)</f>
        <v>2</v>
      </c>
      <c r="P204" t="str">
        <f>IF(ISNUMBER(SportClimbing[[#This Row],[Total number of tries]])=TRUE, "redpoint", SportClimbing[[#This Row],[Total number of tries]])</f>
        <v>redpoint</v>
      </c>
      <c r="Q204">
        <f>_xlfn.XLOOKUP(SportClimbing[[#This Row],[Grade]],SCORE[GRADE],SCORE[SCORE],,)</f>
        <v>10</v>
      </c>
    </row>
    <row r="205" spans="1:17" x14ac:dyDescent="0.25">
      <c r="A205" s="21">
        <v>45949</v>
      </c>
      <c r="B205" s="21" t="b">
        <f ca="1">AND(SportClimbing[[#This Row],[Date]] &gt;= TODAY()-365, SportClimbing[[#This Row],[Date]] &lt;= TODAY())</f>
        <v>1</v>
      </c>
      <c r="C205">
        <v>19</v>
      </c>
      <c r="D205" t="s">
        <v>162</v>
      </c>
      <c r="E205">
        <v>2025</v>
      </c>
      <c r="F205" t="s">
        <v>519</v>
      </c>
      <c r="G205" t="s">
        <v>3</v>
      </c>
      <c r="H205" t="s">
        <v>313</v>
      </c>
      <c r="I205" t="s">
        <v>468</v>
      </c>
      <c r="J205" t="s">
        <v>515</v>
      </c>
      <c r="K205">
        <v>20</v>
      </c>
      <c r="L205" t="str">
        <f>IF(SportClimbing[[#This Row],[Height (m)]]&lt;11, "0-10", IF(SportClimbing[[#This Row],[Height (m)]]&lt;16, "11-15", IF(SportClimbing[[#This Row],[Height (m)]]&lt;21, "16-20", IF(SportClimbing[[#This Row],[Height (m)]]&lt;26, "21-25", IF(SportClimbing[[#This Row],[Height (m)]]&lt;31, "26-30", IF(SportClimbing[[#This Row],[Height (m)]]&lt;36, "31-35", "35+"))))))</f>
        <v>16-20</v>
      </c>
      <c r="M205" t="s">
        <v>435</v>
      </c>
      <c r="N205">
        <v>2</v>
      </c>
      <c r="O205">
        <f>IF(ISNUMBER(SportClimbing[[#This Row],[Total number of tries]])=TRUE, SportClimbing[[#This Row],[Total number of tries]], 1)</f>
        <v>2</v>
      </c>
      <c r="P205" t="str">
        <f>IF(ISNUMBER(SportClimbing[[#This Row],[Total number of tries]])=TRUE, "redpoint", SportClimbing[[#This Row],[Total number of tries]])</f>
        <v>redpoint</v>
      </c>
      <c r="Q205">
        <f>_xlfn.XLOOKUP(SportClimbing[[#This Row],[Grade]],SCORE[GRADE],SCORE[SCORE],,)</f>
        <v>10</v>
      </c>
    </row>
    <row r="206" spans="1:17" x14ac:dyDescent="0.25">
      <c r="A206" s="21">
        <v>45955</v>
      </c>
      <c r="B206" s="21" t="b">
        <f ca="1">AND(SportClimbing[[#This Row],[Date]] &gt;= TODAY()-365, SportClimbing[[#This Row],[Date]] &lt;= TODAY())</f>
        <v>1</v>
      </c>
      <c r="C206">
        <v>25</v>
      </c>
      <c r="D206" t="s">
        <v>162</v>
      </c>
      <c r="E206">
        <v>2025</v>
      </c>
      <c r="F206" t="s">
        <v>521</v>
      </c>
      <c r="G206" t="s">
        <v>29</v>
      </c>
      <c r="H206" t="s">
        <v>313</v>
      </c>
      <c r="I206" t="s">
        <v>468</v>
      </c>
      <c r="J206" t="s">
        <v>523</v>
      </c>
      <c r="K206">
        <v>30</v>
      </c>
      <c r="L206" t="str">
        <f>IF(SportClimbing[[#This Row],[Height (m)]]&lt;11, "0-10", IF(SportClimbing[[#This Row],[Height (m)]]&lt;16, "11-15", IF(SportClimbing[[#This Row],[Height (m)]]&lt;21, "16-20", IF(SportClimbing[[#This Row],[Height (m)]]&lt;26, "21-25", IF(SportClimbing[[#This Row],[Height (m)]]&lt;31, "26-30", IF(SportClimbing[[#This Row],[Height (m)]]&lt;36, "31-35", "35+"))))))</f>
        <v>26-30</v>
      </c>
      <c r="M206" t="s">
        <v>469</v>
      </c>
      <c r="N206">
        <v>2</v>
      </c>
      <c r="O206">
        <f>IF(ISNUMBER(SportClimbing[[#This Row],[Total number of tries]])=TRUE, SportClimbing[[#This Row],[Total number of tries]], 1)</f>
        <v>2</v>
      </c>
      <c r="P206" t="str">
        <f>IF(ISNUMBER(SportClimbing[[#This Row],[Total number of tries]])=TRUE, "redpoint", SportClimbing[[#This Row],[Total number of tries]])</f>
        <v>redpoint</v>
      </c>
      <c r="Q206">
        <f>_xlfn.XLOOKUP(SportClimbing[[#This Row],[Grade]],SCORE[GRADE],SCORE[SCORE],,)</f>
        <v>25</v>
      </c>
    </row>
    <row r="207" spans="1:17" x14ac:dyDescent="0.25">
      <c r="A207" s="21">
        <v>45955</v>
      </c>
      <c r="B207" s="21" t="b">
        <f ca="1">AND(SportClimbing[[#This Row],[Date]] &gt;= TODAY()-365, SportClimbing[[#This Row],[Date]] &lt;= TODAY())</f>
        <v>1</v>
      </c>
      <c r="C207">
        <v>25</v>
      </c>
      <c r="D207" t="s">
        <v>162</v>
      </c>
      <c r="E207">
        <v>2025</v>
      </c>
      <c r="F207" t="s">
        <v>520</v>
      </c>
      <c r="G207" t="s">
        <v>3</v>
      </c>
      <c r="H207" t="s">
        <v>313</v>
      </c>
      <c r="I207" t="s">
        <v>468</v>
      </c>
      <c r="J207" t="s">
        <v>523</v>
      </c>
      <c r="K207">
        <v>30</v>
      </c>
      <c r="L207" t="str">
        <f>IF(SportClimbing[[#This Row],[Height (m)]]&lt;11, "0-10", IF(SportClimbing[[#This Row],[Height (m)]]&lt;16, "11-15", IF(SportClimbing[[#This Row],[Height (m)]]&lt;21, "16-20", IF(SportClimbing[[#This Row],[Height (m)]]&lt;26, "21-25", IF(SportClimbing[[#This Row],[Height (m)]]&lt;31, "26-30", IF(SportClimbing[[#This Row],[Height (m)]]&lt;36, "31-35", "35+"))))))</f>
        <v>26-30</v>
      </c>
      <c r="M207" t="s">
        <v>469</v>
      </c>
      <c r="N207" t="s">
        <v>130</v>
      </c>
      <c r="O207">
        <f>IF(ISNUMBER(SportClimbing[[#This Row],[Total number of tries]])=TRUE, SportClimbing[[#This Row],[Total number of tries]], 1)</f>
        <v>1</v>
      </c>
      <c r="P207" t="str">
        <f>IF(ISNUMBER(SportClimbing[[#This Row],[Total number of tries]])=TRUE, "redpoint", SportClimbing[[#This Row],[Total number of tries]])</f>
        <v>onsight</v>
      </c>
      <c r="Q207">
        <f>_xlfn.XLOOKUP(SportClimbing[[#This Row],[Grade]],SCORE[GRADE],SCORE[SCORE],,)</f>
        <v>10</v>
      </c>
    </row>
    <row r="208" spans="1:17" x14ac:dyDescent="0.25">
      <c r="A208" s="21">
        <v>45955</v>
      </c>
      <c r="B208" s="21" t="b">
        <f ca="1">AND(SportClimbing[[#This Row],[Date]] &gt;= TODAY()-365, SportClimbing[[#This Row],[Date]] &lt;= TODAY())</f>
        <v>1</v>
      </c>
      <c r="C208">
        <v>25</v>
      </c>
      <c r="D208" t="s">
        <v>162</v>
      </c>
      <c r="E208">
        <v>2025</v>
      </c>
      <c r="F208" t="s">
        <v>522</v>
      </c>
      <c r="G208" t="s">
        <v>3</v>
      </c>
      <c r="H208" t="s">
        <v>313</v>
      </c>
      <c r="I208" t="s">
        <v>468</v>
      </c>
      <c r="J208" t="s">
        <v>523</v>
      </c>
      <c r="K208">
        <v>30</v>
      </c>
      <c r="L208" t="str">
        <f>IF(SportClimbing[[#This Row],[Height (m)]]&lt;11, "0-10", IF(SportClimbing[[#This Row],[Height (m)]]&lt;16, "11-15", IF(SportClimbing[[#This Row],[Height (m)]]&lt;21, "16-20", IF(SportClimbing[[#This Row],[Height (m)]]&lt;26, "21-25", IF(SportClimbing[[#This Row],[Height (m)]]&lt;31, "26-30", IF(SportClimbing[[#This Row],[Height (m)]]&lt;36, "31-35", "35+"))))))</f>
        <v>26-30</v>
      </c>
      <c r="M208" t="s">
        <v>469</v>
      </c>
      <c r="N208">
        <v>2</v>
      </c>
      <c r="O208">
        <f>IF(ISNUMBER(SportClimbing[[#This Row],[Total number of tries]])=TRUE, SportClimbing[[#This Row],[Total number of tries]], 1)</f>
        <v>2</v>
      </c>
      <c r="P208" t="str">
        <f>IF(ISNUMBER(SportClimbing[[#This Row],[Total number of tries]])=TRUE, "redpoint", SportClimbing[[#This Row],[Total number of tries]])</f>
        <v>redpoint</v>
      </c>
      <c r="Q208">
        <f>_xlfn.XLOOKUP(SportClimbing[[#This Row],[Grade]],SCORE[GRADE],SCORE[SCORE],,)</f>
        <v>10</v>
      </c>
    </row>
    <row r="209" spans="1:17" x14ac:dyDescent="0.25">
      <c r="A209" s="21">
        <v>45961</v>
      </c>
      <c r="B209" s="21" t="b">
        <f ca="1">AND(SportClimbing[[#This Row],[Date]] &gt;= TODAY()-365, SportClimbing[[#This Row],[Date]] &lt;= TODAY())</f>
        <v>1</v>
      </c>
      <c r="C209">
        <v>31</v>
      </c>
      <c r="D209" t="s">
        <v>162</v>
      </c>
      <c r="E209">
        <v>2025</v>
      </c>
      <c r="F209" t="s">
        <v>525</v>
      </c>
      <c r="G209" t="s">
        <v>21</v>
      </c>
      <c r="H209" t="s">
        <v>313</v>
      </c>
      <c r="I209" t="s">
        <v>468</v>
      </c>
      <c r="J209" t="s">
        <v>534</v>
      </c>
      <c r="K209">
        <v>27</v>
      </c>
      <c r="L209" t="str">
        <f>IF(SportClimbing[[#This Row],[Height (m)]]&lt;11, "0-10", IF(SportClimbing[[#This Row],[Height (m)]]&lt;16, "11-15", IF(SportClimbing[[#This Row],[Height (m)]]&lt;21, "16-20", IF(SportClimbing[[#This Row],[Height (m)]]&lt;26, "21-25", IF(SportClimbing[[#This Row],[Height (m)]]&lt;31, "26-30", IF(SportClimbing[[#This Row],[Height (m)]]&lt;36, "31-35", "35+"))))))</f>
        <v>26-30</v>
      </c>
      <c r="M209" t="s">
        <v>469</v>
      </c>
      <c r="N209">
        <v>2</v>
      </c>
      <c r="O209">
        <f>IF(ISNUMBER(SportClimbing[[#This Row],[Total number of tries]])=TRUE, SportClimbing[[#This Row],[Total number of tries]], 1)</f>
        <v>2</v>
      </c>
      <c r="P209" t="str">
        <f>IF(ISNUMBER(SportClimbing[[#This Row],[Total number of tries]])=TRUE, "redpoint", SportClimbing[[#This Row],[Total number of tries]])</f>
        <v>redpoint</v>
      </c>
      <c r="Q209">
        <f>_xlfn.XLOOKUP(SportClimbing[[#This Row],[Grade]],SCORE[GRADE],SCORE[SCORE],,)</f>
        <v>15</v>
      </c>
    </row>
    <row r="210" spans="1:17" x14ac:dyDescent="0.25">
      <c r="A210" s="21">
        <v>45961</v>
      </c>
      <c r="B210" s="21" t="b">
        <f ca="1">AND(SportClimbing[[#This Row],[Date]] &gt;= TODAY()-365, SportClimbing[[#This Row],[Date]] &lt;= TODAY())</f>
        <v>1</v>
      </c>
      <c r="C210">
        <v>31</v>
      </c>
      <c r="D210" t="s">
        <v>162</v>
      </c>
      <c r="E210">
        <v>2025</v>
      </c>
      <c r="F210" t="s">
        <v>524</v>
      </c>
      <c r="G210" t="s">
        <v>3</v>
      </c>
      <c r="H210" t="s">
        <v>313</v>
      </c>
      <c r="I210" t="s">
        <v>468</v>
      </c>
      <c r="J210" t="s">
        <v>534</v>
      </c>
      <c r="K210">
        <v>25</v>
      </c>
      <c r="L210" t="str">
        <f>IF(SportClimbing[[#This Row],[Height (m)]]&lt;11, "0-10", IF(SportClimbing[[#This Row],[Height (m)]]&lt;16, "11-15", IF(SportClimbing[[#This Row],[Height (m)]]&lt;21, "16-20", IF(SportClimbing[[#This Row],[Height (m)]]&lt;26, "21-25", IF(SportClimbing[[#This Row],[Height (m)]]&lt;31, "26-30", IF(SportClimbing[[#This Row],[Height (m)]]&lt;36, "31-35", "35+"))))))</f>
        <v>21-25</v>
      </c>
      <c r="M210" t="s">
        <v>469</v>
      </c>
      <c r="N210">
        <v>2</v>
      </c>
      <c r="O210">
        <f>IF(ISNUMBER(SportClimbing[[#This Row],[Total number of tries]])=TRUE, SportClimbing[[#This Row],[Total number of tries]], 1)</f>
        <v>2</v>
      </c>
      <c r="P210" t="str">
        <f>IF(ISNUMBER(SportClimbing[[#This Row],[Total number of tries]])=TRUE, "redpoint", SportClimbing[[#This Row],[Total number of tries]])</f>
        <v>redpoint</v>
      </c>
      <c r="Q210">
        <f>_xlfn.XLOOKUP(SportClimbing[[#This Row],[Grade]],SCORE[GRADE],SCORE[SCORE],,)</f>
        <v>10</v>
      </c>
    </row>
    <row r="211" spans="1:17" x14ac:dyDescent="0.25">
      <c r="A211" s="21">
        <v>45998</v>
      </c>
      <c r="B211" s="21" t="b">
        <f ca="1">AND(SportClimbing[[#This Row],[Date]] &gt;= TODAY()-365, SportClimbing[[#This Row],[Date]] &lt;= TODAY())</f>
        <v>1</v>
      </c>
      <c r="C211">
        <v>7</v>
      </c>
      <c r="D211" t="s">
        <v>161</v>
      </c>
      <c r="E211">
        <v>2025</v>
      </c>
      <c r="F211" t="s">
        <v>535</v>
      </c>
      <c r="G211" t="s">
        <v>3</v>
      </c>
      <c r="H211" t="s">
        <v>313</v>
      </c>
      <c r="I211" t="s">
        <v>468</v>
      </c>
      <c r="J211" t="s">
        <v>527</v>
      </c>
      <c r="K211">
        <v>22</v>
      </c>
      <c r="L211" t="str">
        <f>IF(SportClimbing[[#This Row],[Height (m)]]&lt;11, "0-10", IF(SportClimbing[[#This Row],[Height (m)]]&lt;16, "11-15", IF(SportClimbing[[#This Row],[Height (m)]]&lt;21, "16-20", IF(SportClimbing[[#This Row],[Height (m)]]&lt;26, "21-25", IF(SportClimbing[[#This Row],[Height (m)]]&lt;31, "26-30", IF(SportClimbing[[#This Row],[Height (m)]]&lt;36, "31-35", "35+"))))))</f>
        <v>21-25</v>
      </c>
      <c r="M211" t="s">
        <v>469</v>
      </c>
      <c r="N211">
        <v>2</v>
      </c>
      <c r="O211">
        <f>IF(ISNUMBER(SportClimbing[[#This Row],[Total number of tries]])=TRUE, SportClimbing[[#This Row],[Total number of tries]], 1)</f>
        <v>2</v>
      </c>
      <c r="P211" t="str">
        <f>IF(ISNUMBER(SportClimbing[[#This Row],[Total number of tries]])=TRUE, "redpoint", SportClimbing[[#This Row],[Total number of tries]])</f>
        <v>redpoint</v>
      </c>
      <c r="Q211">
        <f>_xlfn.XLOOKUP(SportClimbing[[#This Row],[Grade]],SCORE[GRADE],SCORE[SCORE],,)</f>
        <v>10</v>
      </c>
    </row>
    <row r="212" spans="1:17" x14ac:dyDescent="0.25">
      <c r="A212" s="21">
        <v>46064</v>
      </c>
      <c r="B212" s="21" t="b">
        <f ca="1">AND(SportClimbing[[#This Row],[Date]] &gt;= TODAY()-365, SportClimbing[[#This Row],[Date]] &lt;= TODAY())</f>
        <v>1</v>
      </c>
      <c r="C212">
        <v>11</v>
      </c>
      <c r="D212" t="s">
        <v>152</v>
      </c>
      <c r="E212">
        <v>2026</v>
      </c>
      <c r="F212" t="s">
        <v>536</v>
      </c>
      <c r="G212" t="s">
        <v>3</v>
      </c>
      <c r="H212" t="s">
        <v>313</v>
      </c>
      <c r="I212" t="s">
        <v>468</v>
      </c>
      <c r="J212" t="s">
        <v>527</v>
      </c>
      <c r="K212">
        <v>25</v>
      </c>
      <c r="L212" t="str">
        <f>IF(SportClimbing[[#This Row],[Height (m)]]&lt;11, "0-10", IF(SportClimbing[[#This Row],[Height (m)]]&lt;16, "11-15", IF(SportClimbing[[#This Row],[Height (m)]]&lt;21, "16-20", IF(SportClimbing[[#This Row],[Height (m)]]&lt;26, "21-25", IF(SportClimbing[[#This Row],[Height (m)]]&lt;31, "26-30", IF(SportClimbing[[#This Row],[Height (m)]]&lt;36, "31-35", "35+"))))))</f>
        <v>21-25</v>
      </c>
      <c r="M212" t="s">
        <v>469</v>
      </c>
      <c r="N212">
        <v>2</v>
      </c>
      <c r="O212">
        <f>IF(ISNUMBER(SportClimbing[[#This Row],[Total number of tries]])=TRUE, SportClimbing[[#This Row],[Total number of tries]], 1)</f>
        <v>2</v>
      </c>
      <c r="P212" t="str">
        <f>IF(ISNUMBER(SportClimbing[[#This Row],[Total number of tries]])=TRUE, "redpoint", SportClimbing[[#This Row],[Total number of tries]])</f>
        <v>redpoint</v>
      </c>
      <c r="Q212">
        <f>_xlfn.XLOOKUP(SportClimbing[[#This Row],[Grade]],SCORE[GRADE],SCORE[SCORE],,)</f>
        <v>10</v>
      </c>
    </row>
    <row r="213" spans="1:17" x14ac:dyDescent="0.25">
      <c r="A213" s="21">
        <v>46066</v>
      </c>
      <c r="B213" s="21" t="b">
        <f ca="1">AND(SportClimbing[[#This Row],[Date]] &gt;= TODAY()-365, SportClimbing[[#This Row],[Date]] &lt;= TODAY())</f>
        <v>1</v>
      </c>
      <c r="C213">
        <v>13</v>
      </c>
      <c r="D213" t="s">
        <v>152</v>
      </c>
      <c r="E213">
        <v>2026</v>
      </c>
      <c r="F213" t="s">
        <v>537</v>
      </c>
      <c r="G213" t="s">
        <v>3</v>
      </c>
      <c r="H213" t="s">
        <v>313</v>
      </c>
      <c r="I213" t="s">
        <v>468</v>
      </c>
      <c r="J213" t="s">
        <v>527</v>
      </c>
      <c r="K213">
        <v>20</v>
      </c>
      <c r="L213" t="str">
        <f>IF(SportClimbing[[#This Row],[Height (m)]]&lt;11, "0-10", IF(SportClimbing[[#This Row],[Height (m)]]&lt;16, "11-15", IF(SportClimbing[[#This Row],[Height (m)]]&lt;21, "16-20", IF(SportClimbing[[#This Row],[Height (m)]]&lt;26, "21-25", IF(SportClimbing[[#This Row],[Height (m)]]&lt;31, "26-30", IF(SportClimbing[[#This Row],[Height (m)]]&lt;36, "31-35", "35+"))))))</f>
        <v>16-20</v>
      </c>
      <c r="M213" t="s">
        <v>469</v>
      </c>
      <c r="N213">
        <v>2</v>
      </c>
      <c r="O213">
        <f>IF(ISNUMBER(SportClimbing[[#This Row],[Total number of tries]])=TRUE, SportClimbing[[#This Row],[Total number of tries]], 1)</f>
        <v>2</v>
      </c>
      <c r="P213" t="str">
        <f>IF(ISNUMBER(SportClimbing[[#This Row],[Total number of tries]])=TRUE, "redpoint", SportClimbing[[#This Row],[Total number of tries]])</f>
        <v>redpoint</v>
      </c>
      <c r="Q213">
        <f>_xlfn.XLOOKUP(SportClimbing[[#This Row],[Grade]],SCORE[GRADE],SCORE[SCORE],,)</f>
        <v>10</v>
      </c>
    </row>
    <row r="214" spans="1:17" x14ac:dyDescent="0.25">
      <c r="A214" s="21">
        <v>46088</v>
      </c>
      <c r="B214" s="21" t="b">
        <f ca="1">AND(SportClimbing[[#This Row],[Date]] &gt;= TODAY()-365, SportClimbing[[#This Row],[Date]] &lt;= TODAY())</f>
        <v>1</v>
      </c>
      <c r="C214">
        <v>1</v>
      </c>
      <c r="D214" t="s">
        <v>367</v>
      </c>
      <c r="E214">
        <v>2026</v>
      </c>
      <c r="F214" t="s">
        <v>530</v>
      </c>
      <c r="G214" t="s">
        <v>32</v>
      </c>
      <c r="H214" t="s">
        <v>298</v>
      </c>
      <c r="I214" t="s">
        <v>306</v>
      </c>
      <c r="J214" t="s">
        <v>307</v>
      </c>
      <c r="K214">
        <v>15</v>
      </c>
      <c r="L214" t="str">
        <f>IF(SportClimbing[[#This Row],[Height (m)]]&lt;11, "0-10", IF(SportClimbing[[#This Row],[Height (m)]]&lt;16, "11-15", IF(SportClimbing[[#This Row],[Height (m)]]&lt;21, "16-20", IF(SportClimbing[[#This Row],[Height (m)]]&lt;26, "21-25", IF(SportClimbing[[#This Row],[Height (m)]]&lt;31, "26-30", IF(SportClimbing[[#This Row],[Height (m)]]&lt;36, "31-35", "35+"))))))</f>
        <v>11-15</v>
      </c>
      <c r="M214" t="s">
        <v>370</v>
      </c>
      <c r="N214">
        <v>5</v>
      </c>
      <c r="O214">
        <f>IF(ISNUMBER(SportClimbing[[#This Row],[Total number of tries]])=TRUE, SportClimbing[[#This Row],[Total number of tries]], 1)</f>
        <v>5</v>
      </c>
      <c r="P214" t="str">
        <f>IF(ISNUMBER(SportClimbing[[#This Row],[Total number of tries]])=TRUE, "redpoint", SportClimbing[[#This Row],[Total number of tries]])</f>
        <v>redpoint</v>
      </c>
      <c r="Q214">
        <f>_xlfn.XLOOKUP(SportClimbing[[#This Row],[Grade]],SCORE[GRADE],SCORE[SCORE],,)</f>
        <v>40</v>
      </c>
    </row>
    <row r="215" spans="1:17" x14ac:dyDescent="0.25">
      <c r="A215" s="33">
        <v>46103</v>
      </c>
      <c r="B215" s="33" t="b">
        <f ca="1">AND(SportClimbing[[#This Row],[Date]] &gt;= TODAY()-365, SportClimbing[[#This Row],[Date]] &lt;= TODAY())</f>
        <v>1</v>
      </c>
      <c r="C215" s="34">
        <v>22</v>
      </c>
      <c r="D215" s="34" t="s">
        <v>367</v>
      </c>
      <c r="E215" s="34">
        <v>2026</v>
      </c>
      <c r="F215" s="34" t="s">
        <v>532</v>
      </c>
      <c r="G215" s="34" t="s">
        <v>3</v>
      </c>
      <c r="H215" s="34" t="s">
        <v>298</v>
      </c>
      <c r="I215" s="34" t="s">
        <v>334</v>
      </c>
      <c r="J215" s="34" t="s">
        <v>487</v>
      </c>
      <c r="K215" s="34">
        <v>15</v>
      </c>
      <c r="L215" s="35" t="str">
        <f>IF(SportClimbing[[#This Row],[Height (m)]]&lt;11, "0-10", IF(SportClimbing[[#This Row],[Height (m)]]&lt;16, "11-15", IF(SportClimbing[[#This Row],[Height (m)]]&lt;21, "16-20", IF(SportClimbing[[#This Row],[Height (m)]]&lt;26, "21-25", IF(SportClimbing[[#This Row],[Height (m)]]&lt;31, "26-30", IF(SportClimbing[[#This Row],[Height (m)]]&lt;36, "31-35", "35+"))))))</f>
        <v>11-15</v>
      </c>
      <c r="M215" s="34" t="s">
        <v>435</v>
      </c>
      <c r="N215" s="34">
        <v>2</v>
      </c>
      <c r="O215" s="35">
        <f>IF(ISNUMBER(SportClimbing[[#This Row],[Total number of tries]])=TRUE, SportClimbing[[#This Row],[Total number of tries]], 1)</f>
        <v>2</v>
      </c>
      <c r="P215" s="35" t="str">
        <f>IF(ISNUMBER(SportClimbing[[#This Row],[Total number of tries]])=TRUE, "redpoint", SportClimbing[[#This Row],[Total number of tries]])</f>
        <v>redpoint</v>
      </c>
      <c r="Q215" s="35">
        <f>_xlfn.XLOOKUP(SportClimbing[[#This Row],[Grade]],SCORE[GRADE],SCORE[SCORE],,)</f>
        <v>10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5B40-F163-49B0-B208-8FE9E6886035}">
  <sheetPr codeName="Sheet2">
    <tabColor rgb="FF00B0F0"/>
    <pageSetUpPr fitToPage="1"/>
  </sheetPr>
  <dimension ref="A1:A4"/>
  <sheetViews>
    <sheetView showGridLines="0" tabSelected="1" zoomScale="115" zoomScaleNormal="115" workbookViewId="0">
      <selection activeCell="A15" sqref="A15"/>
    </sheetView>
  </sheetViews>
  <sheetFormatPr defaultColWidth="9.21875" defaultRowHeight="13.2" x14ac:dyDescent="0.25"/>
  <cols>
    <col min="1" max="1" width="6" style="3" customWidth="1"/>
    <col min="2" max="16384" width="9.21875" style="3"/>
  </cols>
  <sheetData>
    <row r="1" s="14" customFormat="1" x14ac:dyDescent="0.25"/>
    <row r="2" s="14" customFormat="1" x14ac:dyDescent="0.25"/>
    <row r="3" s="14" customFormat="1" x14ac:dyDescent="0.25"/>
    <row r="4" s="14" customFormat="1" x14ac:dyDescent="0.25"/>
  </sheetData>
  <pageMargins left="0.25" right="0.25" top="0.75" bottom="0.75" header="0.3" footer="0.3"/>
  <pageSetup paperSize="8" scale="85"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2933-BCCC-41BA-ADF6-9C9561906489}">
  <sheetPr codeName="Sheet3">
    <tabColor theme="7" tint="0.59999389629810485"/>
  </sheetPr>
  <dimension ref="A2:AN127"/>
  <sheetViews>
    <sheetView workbookViewId="0">
      <selection activeCell="B5" sqref="B5"/>
    </sheetView>
  </sheetViews>
  <sheetFormatPr defaultRowHeight="13.2" x14ac:dyDescent="0.25"/>
  <cols>
    <col min="1" max="1" width="26.109375" bestFit="1" customWidth="1"/>
    <col min="2" max="2" width="16.5546875" bestFit="1" customWidth="1"/>
    <col min="3" max="3" width="7.5546875" bestFit="1" customWidth="1"/>
    <col min="4" max="4" width="8.33203125" bestFit="1" customWidth="1"/>
    <col min="5" max="5" width="8.5546875" customWidth="1"/>
    <col min="6" max="6" width="13.44140625" bestFit="1" customWidth="1"/>
    <col min="7" max="7" width="16" bestFit="1" customWidth="1"/>
    <col min="8" max="8" width="4.21875" customWidth="1"/>
    <col min="9" max="9" width="27" bestFit="1" customWidth="1"/>
    <col min="10" max="10" width="14.33203125" bestFit="1" customWidth="1"/>
    <col min="11" max="11" width="2.44140625" customWidth="1"/>
    <col min="12" max="12" width="13.44140625" bestFit="1" customWidth="1"/>
    <col min="13" max="13" width="17.33203125" bestFit="1" customWidth="1"/>
    <col min="14" max="14" width="4.77734375" customWidth="1"/>
    <col min="15" max="15" width="13.44140625" bestFit="1" customWidth="1"/>
    <col min="16" max="16" width="17.109375" bestFit="1" customWidth="1"/>
    <col min="17" max="17" width="2.77734375" customWidth="1"/>
    <col min="18" max="18" width="13.44140625" bestFit="1" customWidth="1"/>
    <col min="19" max="19" width="15.88671875" bestFit="1" customWidth="1"/>
    <col min="20" max="20" width="4.77734375" customWidth="1"/>
    <col min="21" max="21" width="13.44140625" bestFit="1" customWidth="1"/>
    <col min="22" max="22" width="13" bestFit="1" customWidth="1"/>
    <col min="23" max="23" width="13.44140625" bestFit="1" customWidth="1"/>
    <col min="24" max="25" width="8.77734375" customWidth="1"/>
    <col min="26" max="26" width="4.77734375" customWidth="1"/>
    <col min="27" max="27" width="31.33203125" bestFit="1" customWidth="1"/>
    <col min="28" max="28" width="7.109375" bestFit="1" customWidth="1"/>
    <col min="29" max="33" width="5.6640625" bestFit="1" customWidth="1"/>
    <col min="34" max="34" width="4.109375" bestFit="1" customWidth="1"/>
    <col min="35" max="35" width="5.44140625" bestFit="1" customWidth="1"/>
    <col min="36" max="37" width="8" bestFit="1" customWidth="1"/>
    <col min="38" max="38" width="13.44140625" bestFit="1" customWidth="1"/>
    <col min="39" max="39" width="15.77734375" bestFit="1" customWidth="1"/>
    <col min="40" max="40" width="5" bestFit="1" customWidth="1"/>
    <col min="41" max="42" width="8" bestFit="1" customWidth="1"/>
    <col min="43" max="43" width="8.21875" bestFit="1" customWidth="1"/>
    <col min="44" max="49" width="8" bestFit="1" customWidth="1"/>
    <col min="50" max="50" width="9.44140625" bestFit="1" customWidth="1"/>
    <col min="51" max="52" width="8" bestFit="1" customWidth="1"/>
    <col min="53" max="53" width="8.21875" bestFit="1" customWidth="1"/>
    <col min="54" max="54" width="8" bestFit="1" customWidth="1"/>
    <col min="55" max="55" width="9.21875" bestFit="1" customWidth="1"/>
    <col min="56" max="56" width="11.77734375" bestFit="1" customWidth="1"/>
  </cols>
  <sheetData>
    <row r="2" spans="1:40" s="11" customFormat="1" ht="15.6" x14ac:dyDescent="0.3">
      <c r="A2" s="27" t="s">
        <v>406</v>
      </c>
      <c r="B2" s="27"/>
      <c r="C2" s="27"/>
      <c r="F2" s="31" t="s">
        <v>427</v>
      </c>
      <c r="G2" s="31"/>
      <c r="I2" s="28" t="s">
        <v>417</v>
      </c>
      <c r="J2" s="28"/>
      <c r="K2" s="28"/>
      <c r="L2" s="28"/>
      <c r="M2" s="28"/>
      <c r="O2" s="32" t="s">
        <v>418</v>
      </c>
      <c r="P2" s="32"/>
      <c r="Q2" s="32"/>
      <c r="R2" s="32"/>
      <c r="S2" s="32"/>
      <c r="T2"/>
      <c r="U2" s="29" t="s">
        <v>440</v>
      </c>
      <c r="V2" s="29"/>
      <c r="W2" s="29"/>
      <c r="X2" s="29"/>
      <c r="Y2" s="29"/>
      <c r="AA2" s="30" t="s">
        <v>408</v>
      </c>
      <c r="AB2" s="30"/>
      <c r="AC2" s="30"/>
      <c r="AD2" s="30"/>
      <c r="AE2" s="30"/>
      <c r="AF2" s="30"/>
      <c r="AG2" s="30"/>
      <c r="AL2" s="30" t="s">
        <v>528</v>
      </c>
      <c r="AM2" s="30"/>
      <c r="AN2" s="30"/>
    </row>
    <row r="3" spans="1:40" x14ac:dyDescent="0.25">
      <c r="AA3" t="s">
        <v>409</v>
      </c>
      <c r="AB3" s="13">
        <f>PEARSON(SportClimbing[Height (m)], SportClimbing[Tries num. only excl. outliers])</f>
        <v>-7.490735930617104E-2</v>
      </c>
      <c r="AC3" s="12"/>
    </row>
    <row r="4" spans="1:40" x14ac:dyDescent="0.25">
      <c r="A4" s="1" t="s">
        <v>233</v>
      </c>
      <c r="B4" t="s">
        <v>393</v>
      </c>
      <c r="F4" s="1" t="s">
        <v>233</v>
      </c>
      <c r="G4" t="s">
        <v>396</v>
      </c>
      <c r="I4" s="1" t="s">
        <v>233</v>
      </c>
      <c r="J4" t="s">
        <v>398</v>
      </c>
      <c r="L4" s="5" t="s">
        <v>141</v>
      </c>
      <c r="M4" s="5" t="s">
        <v>398</v>
      </c>
      <c r="O4" s="1" t="s">
        <v>233</v>
      </c>
      <c r="P4" t="s">
        <v>395</v>
      </c>
      <c r="R4" s="1" t="s">
        <v>233</v>
      </c>
      <c r="S4" t="s">
        <v>394</v>
      </c>
      <c r="U4" s="1" t="s">
        <v>233</v>
      </c>
      <c r="V4" t="s">
        <v>444</v>
      </c>
      <c r="AA4" s="12" t="s">
        <v>410</v>
      </c>
      <c r="AB4" s="13">
        <f>RSQ(SportClimbing[Height (m)], SportClimbing[Tries num. only excl. outliers])</f>
        <v>5.6111124782238109E-3</v>
      </c>
      <c r="AC4" s="12"/>
      <c r="AL4" s="1" t="s">
        <v>233</v>
      </c>
      <c r="AM4" t="s">
        <v>529</v>
      </c>
    </row>
    <row r="5" spans="1:40" x14ac:dyDescent="0.25">
      <c r="A5" s="2" t="s">
        <v>3</v>
      </c>
      <c r="B5" s="36">
        <v>117</v>
      </c>
      <c r="F5" s="2">
        <v>2006</v>
      </c>
      <c r="G5" s="36">
        <v>1</v>
      </c>
      <c r="I5" s="2" t="s">
        <v>43</v>
      </c>
      <c r="J5" s="36">
        <v>52</v>
      </c>
      <c r="L5" s="6" t="str">
        <f t="shared" ref="L5:L14" si="0">IF($I5="Grand Total", "", $I5)</f>
        <v>Siurana</v>
      </c>
      <c r="M5" s="7">
        <f t="shared" ref="M5:M14" si="1">IF($I5="Grand Total", "", $J5)</f>
        <v>52</v>
      </c>
      <c r="O5" s="2" t="s">
        <v>469</v>
      </c>
      <c r="P5" s="36">
        <v>28</v>
      </c>
      <c r="R5" s="2" t="s">
        <v>411</v>
      </c>
      <c r="S5" s="36">
        <v>9</v>
      </c>
      <c r="U5" s="2">
        <v>2006</v>
      </c>
      <c r="V5" s="36">
        <v>10</v>
      </c>
      <c r="AL5" s="2" t="s">
        <v>3</v>
      </c>
      <c r="AM5" s="36">
        <v>117</v>
      </c>
    </row>
    <row r="6" spans="1:40" x14ac:dyDescent="0.25">
      <c r="A6" s="2" t="s">
        <v>21</v>
      </c>
      <c r="B6" s="36">
        <v>54</v>
      </c>
      <c r="F6" s="2">
        <v>2007</v>
      </c>
      <c r="G6" s="36">
        <v>1</v>
      </c>
      <c r="I6" s="2" t="s">
        <v>100</v>
      </c>
      <c r="J6" s="36">
        <v>16</v>
      </c>
      <c r="L6" s="6" t="str">
        <f t="shared" si="0"/>
        <v>Grau dels matxos</v>
      </c>
      <c r="M6" s="7">
        <f t="shared" si="1"/>
        <v>16</v>
      </c>
      <c r="O6" s="2" t="s">
        <v>132</v>
      </c>
      <c r="P6" s="36">
        <v>20</v>
      </c>
      <c r="R6" s="2" t="s">
        <v>412</v>
      </c>
      <c r="S6" s="36">
        <v>24</v>
      </c>
      <c r="U6" s="2">
        <v>2007</v>
      </c>
      <c r="V6" s="36">
        <v>10</v>
      </c>
      <c r="AL6" s="2" t="s">
        <v>21</v>
      </c>
      <c r="AM6" s="36">
        <v>54</v>
      </c>
    </row>
    <row r="7" spans="1:40" x14ac:dyDescent="0.25">
      <c r="A7" s="2" t="s">
        <v>29</v>
      </c>
      <c r="B7" s="36">
        <v>24</v>
      </c>
      <c r="F7" s="2">
        <v>2008</v>
      </c>
      <c r="G7" s="36">
        <v>2</v>
      </c>
      <c r="I7" s="2" t="s">
        <v>468</v>
      </c>
      <c r="J7" s="36">
        <v>14</v>
      </c>
      <c r="L7" s="6" t="str">
        <f t="shared" si="0"/>
        <v>Arco</v>
      </c>
      <c r="M7" s="7">
        <f t="shared" si="1"/>
        <v>14</v>
      </c>
      <c r="O7" s="2" t="s">
        <v>332</v>
      </c>
      <c r="P7" s="36">
        <v>14</v>
      </c>
      <c r="R7" s="2" t="s">
        <v>413</v>
      </c>
      <c r="S7" s="36">
        <v>70</v>
      </c>
      <c r="U7" s="2">
        <v>2008</v>
      </c>
      <c r="V7" s="36">
        <v>20</v>
      </c>
      <c r="AL7" s="2" t="s">
        <v>29</v>
      </c>
      <c r="AM7" s="36">
        <v>24</v>
      </c>
    </row>
    <row r="8" spans="1:40" x14ac:dyDescent="0.25">
      <c r="A8" s="2" t="s">
        <v>32</v>
      </c>
      <c r="B8" s="36">
        <v>12</v>
      </c>
      <c r="F8" s="2">
        <v>2009</v>
      </c>
      <c r="G8" s="36">
        <v>0</v>
      </c>
      <c r="I8" s="2" t="s">
        <v>126</v>
      </c>
      <c r="J8" s="36">
        <v>13</v>
      </c>
      <c r="L8" s="6" t="str">
        <f t="shared" si="0"/>
        <v>Chulilla</v>
      </c>
      <c r="M8" s="7">
        <f t="shared" si="1"/>
        <v>13</v>
      </c>
      <c r="O8" s="2" t="s">
        <v>120</v>
      </c>
      <c r="P8" s="36">
        <v>11</v>
      </c>
      <c r="R8" s="2" t="s">
        <v>414</v>
      </c>
      <c r="S8" s="36">
        <v>64</v>
      </c>
      <c r="U8" s="2">
        <v>2009</v>
      </c>
      <c r="V8" s="36">
        <v>0</v>
      </c>
      <c r="AL8" s="2" t="s">
        <v>32</v>
      </c>
      <c r="AM8" s="36">
        <v>12</v>
      </c>
    </row>
    <row r="9" spans="1:40" x14ac:dyDescent="0.25">
      <c r="A9" s="2" t="s">
        <v>69</v>
      </c>
      <c r="B9" s="36">
        <v>5</v>
      </c>
      <c r="F9" s="2">
        <v>2010</v>
      </c>
      <c r="G9" s="36">
        <v>0</v>
      </c>
      <c r="I9" s="2" t="s">
        <v>306</v>
      </c>
      <c r="J9" s="36">
        <v>12</v>
      </c>
      <c r="L9" s="6" t="str">
        <f t="shared" si="0"/>
        <v>Martinswand</v>
      </c>
      <c r="M9" s="7">
        <f t="shared" si="1"/>
        <v>12</v>
      </c>
      <c r="O9" s="2" t="s">
        <v>370</v>
      </c>
      <c r="P9" s="36">
        <v>10</v>
      </c>
      <c r="R9" s="2" t="s">
        <v>415</v>
      </c>
      <c r="S9" s="36">
        <v>33</v>
      </c>
      <c r="U9" s="2">
        <v>2010</v>
      </c>
      <c r="V9" s="36">
        <v>0</v>
      </c>
      <c r="AL9" s="2" t="s">
        <v>69</v>
      </c>
      <c r="AM9" s="36">
        <v>5</v>
      </c>
    </row>
    <row r="10" spans="1:40" x14ac:dyDescent="0.25">
      <c r="A10" s="2" t="s">
        <v>163</v>
      </c>
      <c r="B10" s="36">
        <v>2</v>
      </c>
      <c r="F10" s="2">
        <v>2011</v>
      </c>
      <c r="G10" s="36">
        <v>1</v>
      </c>
      <c r="I10" s="2" t="s">
        <v>22</v>
      </c>
      <c r="J10" s="36">
        <v>12</v>
      </c>
      <c r="L10" s="6" t="str">
        <f t="shared" si="0"/>
        <v>Gelida</v>
      </c>
      <c r="M10" s="7">
        <f t="shared" si="1"/>
        <v>12</v>
      </c>
      <c r="O10" s="2" t="s">
        <v>164</v>
      </c>
      <c r="P10" s="36">
        <v>9</v>
      </c>
      <c r="R10" s="2" t="s">
        <v>416</v>
      </c>
      <c r="S10" s="36">
        <v>11</v>
      </c>
      <c r="U10" s="2">
        <v>2011</v>
      </c>
      <c r="V10" s="36">
        <v>10</v>
      </c>
      <c r="AL10" s="2" t="s">
        <v>163</v>
      </c>
      <c r="AM10" s="36">
        <v>2</v>
      </c>
      <c r="AN10" t="str" cm="1">
        <f t="array" ref="AN10">INDEX(AL4:AL10,MAX((AL4:AL10&lt;&gt;"")*ROW(AL4:AL10))-ROW(AL4)+1)</f>
        <v>7c+</v>
      </c>
    </row>
    <row r="11" spans="1:40" x14ac:dyDescent="0.25">
      <c r="A11" s="2" t="s">
        <v>232</v>
      </c>
      <c r="B11" s="36">
        <v>214</v>
      </c>
      <c r="F11" s="2">
        <v>2012</v>
      </c>
      <c r="G11" s="36">
        <v>3</v>
      </c>
      <c r="I11" s="2" t="s">
        <v>25</v>
      </c>
      <c r="J11" s="36">
        <v>7</v>
      </c>
      <c r="L11" s="6" t="str">
        <f t="shared" si="0"/>
        <v>Garraf</v>
      </c>
      <c r="M11" s="7">
        <f t="shared" si="1"/>
        <v>7</v>
      </c>
      <c r="O11" s="2" t="s">
        <v>131</v>
      </c>
      <c r="P11" s="36">
        <v>9</v>
      </c>
      <c r="R11" s="2" t="s">
        <v>381</v>
      </c>
      <c r="S11" s="36">
        <v>3</v>
      </c>
      <c r="U11" s="2">
        <v>2012</v>
      </c>
      <c r="V11" s="36">
        <v>40</v>
      </c>
      <c r="AL11" s="2" t="s">
        <v>232</v>
      </c>
      <c r="AM11" s="36">
        <v>214</v>
      </c>
      <c r="AN11">
        <f>GETPIVOTDATA("[Measures].[Count of Belayer]",$AM$4)</f>
        <v>214</v>
      </c>
    </row>
    <row r="12" spans="1:40" x14ac:dyDescent="0.25">
      <c r="F12" s="2">
        <v>2013</v>
      </c>
      <c r="G12" s="36">
        <v>16</v>
      </c>
      <c r="I12" s="2" t="s">
        <v>105</v>
      </c>
      <c r="J12" s="36">
        <v>7</v>
      </c>
      <c r="L12" s="6" t="str">
        <f t="shared" si="0"/>
        <v>Arbolí</v>
      </c>
      <c r="M12" s="7">
        <f t="shared" si="1"/>
        <v>7</v>
      </c>
      <c r="O12" s="2" t="s">
        <v>435</v>
      </c>
      <c r="P12" s="36">
        <v>8</v>
      </c>
      <c r="R12" s="2" t="s">
        <v>232</v>
      </c>
      <c r="S12" s="36">
        <v>214</v>
      </c>
      <c r="U12" s="2">
        <v>2013</v>
      </c>
      <c r="V12" s="36">
        <v>335</v>
      </c>
    </row>
    <row r="13" spans="1:40" x14ac:dyDescent="0.25">
      <c r="F13" s="2">
        <v>2014</v>
      </c>
      <c r="G13" s="36">
        <v>0</v>
      </c>
      <c r="I13" s="2" t="s">
        <v>68</v>
      </c>
      <c r="J13" s="36">
        <v>7</v>
      </c>
      <c r="L13" s="6" t="str">
        <f t="shared" si="0"/>
        <v>Margalef</v>
      </c>
      <c r="M13" s="7">
        <f t="shared" si="1"/>
        <v>7</v>
      </c>
      <c r="O13" s="2" t="s">
        <v>133</v>
      </c>
      <c r="P13" s="36">
        <v>8</v>
      </c>
      <c r="U13" s="2">
        <v>2014</v>
      </c>
      <c r="V13" s="36">
        <v>0</v>
      </c>
    </row>
    <row r="14" spans="1:40" x14ac:dyDescent="0.25">
      <c r="A14" s="8" t="s">
        <v>140</v>
      </c>
      <c r="B14" s="8" t="s">
        <v>402</v>
      </c>
      <c r="C14" s="8" t="s">
        <v>393</v>
      </c>
      <c r="F14" s="2">
        <v>2015</v>
      </c>
      <c r="G14" s="36">
        <v>0</v>
      </c>
      <c r="I14" s="2" t="s">
        <v>49</v>
      </c>
      <c r="J14" s="36">
        <v>5</v>
      </c>
      <c r="L14" s="6" t="str">
        <f t="shared" si="0"/>
        <v>Font Soleia</v>
      </c>
      <c r="M14" s="7">
        <f t="shared" si="1"/>
        <v>5</v>
      </c>
      <c r="O14" s="2" t="s">
        <v>104</v>
      </c>
      <c r="P14" s="36">
        <v>5</v>
      </c>
      <c r="U14" s="2">
        <v>2015</v>
      </c>
      <c r="V14" s="36">
        <v>0</v>
      </c>
    </row>
    <row r="15" spans="1:40" x14ac:dyDescent="0.25">
      <c r="A15" s="7" t="s">
        <v>3</v>
      </c>
      <c r="B15" s="7">
        <f t="shared" ref="B15:B20" si="2">(LARGE($C$15:$C$20, 1)-C15)/2</f>
        <v>0</v>
      </c>
      <c r="C15" s="7">
        <f>IFERROR(GETPIVOTDATA("[Measures].[Count of Belayer]",$A$4,"[SportClimbing].[Grade]","[SportClimbing].[Grade].&amp;[7a]"), 0)</f>
        <v>117</v>
      </c>
      <c r="F15" s="2">
        <v>2016</v>
      </c>
      <c r="G15" s="36">
        <v>2</v>
      </c>
      <c r="I15" s="2" t="s">
        <v>433</v>
      </c>
      <c r="J15" s="36">
        <v>5</v>
      </c>
      <c r="L15" s="6" t="s">
        <v>401</v>
      </c>
      <c r="M15" s="7">
        <f>$M16-SUM($M5:$M14)</f>
        <v>69</v>
      </c>
      <c r="O15" s="4" t="s">
        <v>232</v>
      </c>
      <c r="P15" s="36">
        <v>214</v>
      </c>
      <c r="U15" s="2">
        <v>2016</v>
      </c>
      <c r="V15" s="36">
        <v>20</v>
      </c>
    </row>
    <row r="16" spans="1:40" x14ac:dyDescent="0.25">
      <c r="A16" s="7" t="s">
        <v>21</v>
      </c>
      <c r="B16" s="7">
        <f t="shared" si="2"/>
        <v>31.5</v>
      </c>
      <c r="C16" s="7">
        <f>IFERROR(GETPIVOTDATA("[Measures].[Count of Belayer]",$A$4,"[SportClimbing].[Grade]","[SportClimbing].[Grade].&amp;[7a+]"), 0)</f>
        <v>54</v>
      </c>
      <c r="F16" s="2">
        <v>2017</v>
      </c>
      <c r="G16" s="36">
        <v>31</v>
      </c>
      <c r="I16" s="2" t="s">
        <v>77</v>
      </c>
      <c r="J16" s="36">
        <v>4</v>
      </c>
      <c r="L16" s="5" t="s">
        <v>232</v>
      </c>
      <c r="M16" s="5">
        <f>GETPIVOTDATA("[Measures].[Count of Belayer]",$I$4)</f>
        <v>214</v>
      </c>
      <c r="U16" s="2">
        <v>2017</v>
      </c>
      <c r="V16" s="36">
        <v>450</v>
      </c>
      <c r="AL16" s="1" t="s">
        <v>233</v>
      </c>
      <c r="AM16" t="s">
        <v>529</v>
      </c>
    </row>
    <row r="17" spans="1:40" x14ac:dyDescent="0.25">
      <c r="A17" s="7" t="s">
        <v>29</v>
      </c>
      <c r="B17" s="7">
        <f t="shared" si="2"/>
        <v>46.5</v>
      </c>
      <c r="C17" s="7">
        <f>IFERROR(GETPIVOTDATA("[Measures].[Count of Belayer]",$A$4,"[SportClimbing].[Grade]","[SportClimbing].[Grade].&amp;[7b]"), 0)</f>
        <v>24</v>
      </c>
      <c r="F17" s="2">
        <v>2018</v>
      </c>
      <c r="G17" s="36">
        <v>25</v>
      </c>
      <c r="I17" s="2" t="s">
        <v>15</v>
      </c>
      <c r="J17" s="36">
        <v>3</v>
      </c>
      <c r="U17" s="2">
        <v>2018</v>
      </c>
      <c r="V17" s="36">
        <v>500</v>
      </c>
      <c r="AL17" s="2">
        <v>2006</v>
      </c>
      <c r="AM17" s="36">
        <v>1</v>
      </c>
    </row>
    <row r="18" spans="1:40" x14ac:dyDescent="0.25">
      <c r="A18" s="7" t="s">
        <v>32</v>
      </c>
      <c r="B18" s="7">
        <f t="shared" si="2"/>
        <v>52.5</v>
      </c>
      <c r="C18" s="7">
        <f>IFERROR(GETPIVOTDATA("[Measures].[Count of Belayer]",$A$4,"[SportClimbing].[Grade]","[SportClimbing].[Grade].&amp;[7b+]"), 0)</f>
        <v>12</v>
      </c>
      <c r="F18" s="2">
        <v>2019</v>
      </c>
      <c r="G18" s="36">
        <v>7</v>
      </c>
      <c r="I18" s="2" t="s">
        <v>70</v>
      </c>
      <c r="J18" s="36">
        <v>3</v>
      </c>
      <c r="S18" s="18"/>
      <c r="T18" s="18"/>
      <c r="U18" s="2">
        <v>2019</v>
      </c>
      <c r="V18" s="36">
        <v>110</v>
      </c>
      <c r="X18" s="18"/>
      <c r="Y18" s="18"/>
      <c r="AL18" s="2">
        <v>2007</v>
      </c>
      <c r="AM18" s="36">
        <v>1</v>
      </c>
    </row>
    <row r="19" spans="1:40" x14ac:dyDescent="0.25">
      <c r="A19" s="7" t="s">
        <v>69</v>
      </c>
      <c r="B19" s="7">
        <f t="shared" si="2"/>
        <v>56</v>
      </c>
      <c r="C19" s="7">
        <f>IFERROR(GETPIVOTDATA("[Measures].[Count of Belayer]",$A$4,"[SportClimbing].[Grade]","[SportClimbing].[Grade].&amp;[7c]"), 0)</f>
        <v>5</v>
      </c>
      <c r="F19" s="2">
        <v>2020</v>
      </c>
      <c r="G19" s="36">
        <v>10</v>
      </c>
      <c r="I19" s="2" t="s">
        <v>1</v>
      </c>
      <c r="J19" s="36">
        <v>3</v>
      </c>
      <c r="L19" s="1" t="s">
        <v>233</v>
      </c>
      <c r="M19" t="s">
        <v>400</v>
      </c>
      <c r="S19" s="18"/>
      <c r="T19" s="18"/>
      <c r="U19" s="2">
        <v>2020</v>
      </c>
      <c r="V19" s="36">
        <v>190</v>
      </c>
      <c r="X19" s="18"/>
      <c r="Y19" s="18"/>
      <c r="AL19" s="2">
        <v>2008</v>
      </c>
      <c r="AM19" s="36">
        <v>2</v>
      </c>
    </row>
    <row r="20" spans="1:40" x14ac:dyDescent="0.25">
      <c r="A20" s="7" t="s">
        <v>163</v>
      </c>
      <c r="B20" s="7">
        <f t="shared" si="2"/>
        <v>57.5</v>
      </c>
      <c r="C20" s="7">
        <f>IFERROR(GETPIVOTDATA("[Measures].[Count of Belayer]",$A$4,"[SportClimbing].[Grade]","[SportClimbing].[Grade].&amp;[7c+]"), 0)</f>
        <v>2</v>
      </c>
      <c r="F20" s="2">
        <v>2021</v>
      </c>
      <c r="G20" s="36">
        <v>17</v>
      </c>
      <c r="I20" s="2" t="s">
        <v>76</v>
      </c>
      <c r="J20" s="36">
        <v>3</v>
      </c>
      <c r="L20" s="2" t="s">
        <v>262</v>
      </c>
      <c r="M20" s="36">
        <v>145</v>
      </c>
      <c r="U20" s="2">
        <v>2021</v>
      </c>
      <c r="V20" s="36">
        <v>290</v>
      </c>
      <c r="AL20" s="2">
        <v>2011</v>
      </c>
      <c r="AM20" s="36">
        <v>1</v>
      </c>
    </row>
    <row r="21" spans="1:40" x14ac:dyDescent="0.25">
      <c r="A21" s="8" t="s">
        <v>232</v>
      </c>
      <c r="B21" s="8"/>
      <c r="C21" s="8">
        <f>GETPIVOTDATA("[Measures].[Count of Belayer]",$A$4)</f>
        <v>214</v>
      </c>
      <c r="F21" s="2">
        <v>2022</v>
      </c>
      <c r="G21" s="36">
        <v>19</v>
      </c>
      <c r="I21" s="2" t="s">
        <v>478</v>
      </c>
      <c r="J21" s="36">
        <v>3</v>
      </c>
      <c r="L21" s="2" t="s">
        <v>298</v>
      </c>
      <c r="M21" s="36">
        <v>38</v>
      </c>
      <c r="U21" s="2">
        <v>2022</v>
      </c>
      <c r="V21" s="36">
        <v>290</v>
      </c>
      <c r="AL21" s="2">
        <v>2012</v>
      </c>
      <c r="AM21" s="36">
        <v>3</v>
      </c>
    </row>
    <row r="22" spans="1:40" x14ac:dyDescent="0.25">
      <c r="F22" s="2">
        <v>2023</v>
      </c>
      <c r="G22" s="36">
        <v>22</v>
      </c>
      <c r="I22" s="2" t="s">
        <v>380</v>
      </c>
      <c r="J22" s="36">
        <v>3</v>
      </c>
      <c r="L22" s="2" t="s">
        <v>313</v>
      </c>
      <c r="M22" s="36">
        <v>15</v>
      </c>
      <c r="R22" s="1" t="s">
        <v>422</v>
      </c>
      <c r="S22" t="s" vm="1">
        <v>423</v>
      </c>
      <c r="U22" s="2">
        <v>2023</v>
      </c>
      <c r="V22" s="36">
        <v>225</v>
      </c>
      <c r="AL22" s="2">
        <v>2013</v>
      </c>
      <c r="AM22" s="36">
        <v>16</v>
      </c>
    </row>
    <row r="23" spans="1:40" x14ac:dyDescent="0.25">
      <c r="F23" s="2">
        <v>2024</v>
      </c>
      <c r="G23" s="36">
        <v>11</v>
      </c>
      <c r="I23" s="2" t="s">
        <v>334</v>
      </c>
      <c r="J23" s="36">
        <v>3</v>
      </c>
      <c r="L23" s="2" t="s">
        <v>261</v>
      </c>
      <c r="M23" s="36">
        <v>13</v>
      </c>
      <c r="U23" s="2">
        <v>2024</v>
      </c>
      <c r="V23" s="36">
        <v>195</v>
      </c>
      <c r="AL23" s="2">
        <v>2016</v>
      </c>
      <c r="AM23" s="36">
        <v>2</v>
      </c>
    </row>
    <row r="24" spans="1:40" x14ac:dyDescent="0.25">
      <c r="A24" s="1" t="s">
        <v>233</v>
      </c>
      <c r="B24" t="s">
        <v>399</v>
      </c>
      <c r="F24" s="2">
        <v>2025</v>
      </c>
      <c r="G24" s="36">
        <v>42</v>
      </c>
      <c r="I24" s="2" t="s">
        <v>493</v>
      </c>
      <c r="J24" s="36">
        <v>3</v>
      </c>
      <c r="L24" s="2" t="s">
        <v>273</v>
      </c>
      <c r="M24" s="36">
        <v>2</v>
      </c>
      <c r="R24" s="1" t="s">
        <v>233</v>
      </c>
      <c r="S24" t="s">
        <v>420</v>
      </c>
      <c r="U24" s="2">
        <v>2025</v>
      </c>
      <c r="V24" s="36">
        <v>755</v>
      </c>
      <c r="AL24" s="2">
        <v>2017</v>
      </c>
      <c r="AM24" s="36">
        <v>31</v>
      </c>
    </row>
    <row r="25" spans="1:40" ht="15.6" x14ac:dyDescent="0.3">
      <c r="A25" s="2" t="s">
        <v>348</v>
      </c>
      <c r="B25" s="36">
        <v>81</v>
      </c>
      <c r="F25" s="2" t="s">
        <v>531</v>
      </c>
      <c r="G25" s="36">
        <v>4</v>
      </c>
      <c r="I25" s="2" t="s">
        <v>311</v>
      </c>
      <c r="J25" s="36">
        <v>2</v>
      </c>
      <c r="L25" s="2" t="s">
        <v>390</v>
      </c>
      <c r="M25" s="36">
        <v>1</v>
      </c>
      <c r="R25" s="2" t="s">
        <v>469</v>
      </c>
      <c r="S25" s="36">
        <v>28</v>
      </c>
      <c r="U25" s="2" t="s">
        <v>531</v>
      </c>
      <c r="V25" s="36">
        <v>70</v>
      </c>
      <c r="AA25" s="30" t="s">
        <v>475</v>
      </c>
      <c r="AB25" s="30"/>
      <c r="AC25" s="30"/>
      <c r="AD25" s="30"/>
      <c r="AE25" s="30"/>
      <c r="AF25" s="30"/>
      <c r="AG25" s="30"/>
      <c r="AL25" s="2">
        <v>2018</v>
      </c>
      <c r="AM25" s="36">
        <v>25</v>
      </c>
    </row>
    <row r="26" spans="1:40" x14ac:dyDescent="0.25">
      <c r="A26" s="2" t="s">
        <v>130</v>
      </c>
      <c r="B26" s="36">
        <v>58</v>
      </c>
      <c r="F26" s="2" t="s">
        <v>232</v>
      </c>
      <c r="G26" s="36">
        <v>214</v>
      </c>
      <c r="I26" s="2" t="s">
        <v>500</v>
      </c>
      <c r="J26" s="36">
        <v>2</v>
      </c>
      <c r="L26" s="2" t="s">
        <v>232</v>
      </c>
      <c r="M26" s="36">
        <v>214</v>
      </c>
      <c r="R26" s="2" t="s">
        <v>435</v>
      </c>
      <c r="S26" s="36">
        <v>5</v>
      </c>
      <c r="U26" s="2" t="s">
        <v>232</v>
      </c>
      <c r="V26" s="36">
        <v>3520</v>
      </c>
      <c r="AA26" t="s">
        <v>409</v>
      </c>
      <c r="AB26" s="13">
        <f>PEARSON(AB38:AH38, AB39:AH39)</f>
        <v>-7.8068683228316643E-2</v>
      </c>
      <c r="AC26" s="12"/>
      <c r="AL26" s="2">
        <v>2019</v>
      </c>
      <c r="AM26" s="36">
        <v>7</v>
      </c>
    </row>
    <row r="27" spans="1:40" x14ac:dyDescent="0.25">
      <c r="A27" s="2" t="s">
        <v>349</v>
      </c>
      <c r="B27" s="36">
        <v>20</v>
      </c>
      <c r="F27" s="1" t="s">
        <v>233</v>
      </c>
      <c r="G27" t="s">
        <v>397</v>
      </c>
      <c r="I27" s="2" t="s">
        <v>300</v>
      </c>
      <c r="J27" s="36">
        <v>2</v>
      </c>
      <c r="R27" s="2" t="s">
        <v>332</v>
      </c>
      <c r="S27" s="36">
        <v>3</v>
      </c>
      <c r="U27" s="1" t="s">
        <v>233</v>
      </c>
      <c r="V27" t="s">
        <v>441</v>
      </c>
      <c r="AA27" s="12" t="s">
        <v>410</v>
      </c>
      <c r="AB27" s="13">
        <f>RSQ(AB38:AH38, AB39:AH39)</f>
        <v>6.0947193010032459E-3</v>
      </c>
      <c r="AC27" s="12"/>
      <c r="AL27" s="2">
        <v>2020</v>
      </c>
      <c r="AM27" s="36">
        <v>10</v>
      </c>
    </row>
    <row r="28" spans="1:40" x14ac:dyDescent="0.25">
      <c r="A28" s="2" t="s">
        <v>11</v>
      </c>
      <c r="B28" s="36">
        <v>17</v>
      </c>
      <c r="F28" s="2" t="s">
        <v>151</v>
      </c>
      <c r="G28" s="36">
        <v>5</v>
      </c>
      <c r="I28" s="2" t="s">
        <v>450</v>
      </c>
      <c r="J28" s="36">
        <v>2</v>
      </c>
      <c r="R28" s="2" t="s">
        <v>370</v>
      </c>
      <c r="S28" s="36">
        <v>1</v>
      </c>
      <c r="U28" s="2" t="s">
        <v>469</v>
      </c>
      <c r="V28" s="36">
        <v>440</v>
      </c>
      <c r="AL28" s="2">
        <v>2021</v>
      </c>
      <c r="AM28" s="36">
        <v>17</v>
      </c>
    </row>
    <row r="29" spans="1:40" x14ac:dyDescent="0.25">
      <c r="A29" s="2" t="s">
        <v>351</v>
      </c>
      <c r="B29" s="36">
        <v>10</v>
      </c>
      <c r="F29" s="2" t="s">
        <v>152</v>
      </c>
      <c r="G29" s="36">
        <v>27</v>
      </c>
      <c r="I29" s="2" t="s">
        <v>372</v>
      </c>
      <c r="J29" s="36">
        <v>2</v>
      </c>
      <c r="L29" s="8" t="s">
        <v>140</v>
      </c>
      <c r="M29" s="8" t="s">
        <v>393</v>
      </c>
      <c r="U29" s="2" t="s">
        <v>132</v>
      </c>
      <c r="V29" s="36">
        <v>440</v>
      </c>
      <c r="AA29" s="1" t="s">
        <v>430</v>
      </c>
      <c r="AB29" s="1" t="s">
        <v>428</v>
      </c>
      <c r="AL29" s="2">
        <v>2022</v>
      </c>
      <c r="AM29" s="36">
        <v>19</v>
      </c>
    </row>
    <row r="30" spans="1:40" x14ac:dyDescent="0.25">
      <c r="A30" s="2" t="s">
        <v>350</v>
      </c>
      <c r="B30" s="36">
        <v>9</v>
      </c>
      <c r="F30" s="2" t="s">
        <v>367</v>
      </c>
      <c r="G30" s="36">
        <v>27</v>
      </c>
      <c r="I30" s="2" t="s">
        <v>289</v>
      </c>
      <c r="J30" s="36">
        <v>2</v>
      </c>
      <c r="L30" s="7" t="s">
        <v>262</v>
      </c>
      <c r="M30" s="7">
        <f>GETPIVOTDATA("[Measures].[Count of Belayer]",$L$19,"[SportClimbing].[Country]","[SportClimbing].[Country].&amp;[Spain]")</f>
        <v>145</v>
      </c>
      <c r="U30" s="2" t="s">
        <v>332</v>
      </c>
      <c r="V30" s="36">
        <v>230</v>
      </c>
      <c r="AA30" s="1" t="s">
        <v>429</v>
      </c>
      <c r="AB30" t="s">
        <v>411</v>
      </c>
      <c r="AC30" t="s">
        <v>412</v>
      </c>
      <c r="AD30" t="s">
        <v>413</v>
      </c>
      <c r="AE30" t="s">
        <v>414</v>
      </c>
      <c r="AF30" t="s">
        <v>415</v>
      </c>
      <c r="AG30" t="s">
        <v>416</v>
      </c>
      <c r="AH30" t="s">
        <v>381</v>
      </c>
      <c r="AI30" t="s">
        <v>431</v>
      </c>
      <c r="AL30" s="2">
        <v>2023</v>
      </c>
      <c r="AM30" s="36">
        <v>22</v>
      </c>
    </row>
    <row r="31" spans="1:40" x14ac:dyDescent="0.25">
      <c r="A31" s="2" t="s">
        <v>352</v>
      </c>
      <c r="B31" s="36">
        <v>5</v>
      </c>
      <c r="F31" s="2" t="s">
        <v>368</v>
      </c>
      <c r="G31" s="36">
        <v>32</v>
      </c>
      <c r="I31" s="2" t="s">
        <v>485</v>
      </c>
      <c r="J31" s="36">
        <v>2</v>
      </c>
      <c r="L31" s="7" t="s">
        <v>298</v>
      </c>
      <c r="M31" s="7">
        <f>GETPIVOTDATA("[Measures].[Count of Belayer]",$L$19,"[SportClimbing].[Country]","[SportClimbing].[Country].&amp;[Austria]")</f>
        <v>38</v>
      </c>
      <c r="U31" s="2" t="s">
        <v>435</v>
      </c>
      <c r="V31" s="36">
        <v>225</v>
      </c>
      <c r="AA31" s="2" t="s">
        <v>3</v>
      </c>
      <c r="AB31" s="19">
        <v>2.3333333333333335</v>
      </c>
      <c r="AC31" s="19">
        <v>2.8125</v>
      </c>
      <c r="AD31" s="19">
        <v>1.6097560975609757</v>
      </c>
      <c r="AE31" s="19">
        <v>2.193548387096774</v>
      </c>
      <c r="AF31" s="19">
        <v>1.3157894736842106</v>
      </c>
      <c r="AG31" s="19">
        <v>1</v>
      </c>
      <c r="AH31" s="19"/>
      <c r="AI31" s="19">
        <v>1.8974358974358974</v>
      </c>
      <c r="AL31" s="2">
        <v>2024</v>
      </c>
      <c r="AM31" s="36">
        <v>11</v>
      </c>
    </row>
    <row r="32" spans="1:40" x14ac:dyDescent="0.25">
      <c r="A32" s="2" t="s">
        <v>354</v>
      </c>
      <c r="B32" s="36">
        <v>3</v>
      </c>
      <c r="F32" s="2" t="s">
        <v>155</v>
      </c>
      <c r="G32" s="36">
        <v>19</v>
      </c>
      <c r="I32" s="2" t="s">
        <v>513</v>
      </c>
      <c r="J32" s="36">
        <v>2</v>
      </c>
      <c r="L32" s="7" t="s">
        <v>261</v>
      </c>
      <c r="M32" s="7">
        <f>GETPIVOTDATA("[Measures].[Count of Belayer]",$L$19,"[SportClimbing].[Country]","[SportClimbing].[Country].&amp;[France]")</f>
        <v>13</v>
      </c>
      <c r="U32" s="2" t="s">
        <v>131</v>
      </c>
      <c r="V32" s="36">
        <v>195</v>
      </c>
      <c r="AA32" s="2" t="s">
        <v>21</v>
      </c>
      <c r="AB32" s="19">
        <v>1.5</v>
      </c>
      <c r="AC32" s="19">
        <v>2</v>
      </c>
      <c r="AD32" s="19">
        <v>2.2000000000000002</v>
      </c>
      <c r="AE32" s="19">
        <v>2.1818181818181817</v>
      </c>
      <c r="AF32" s="19">
        <v>3.2</v>
      </c>
      <c r="AG32" s="19">
        <v>1.25</v>
      </c>
      <c r="AH32" s="19">
        <v>1</v>
      </c>
      <c r="AI32" s="19">
        <v>2.1481481481481484</v>
      </c>
      <c r="AL32" s="2">
        <v>2025</v>
      </c>
      <c r="AM32" s="36">
        <v>42</v>
      </c>
      <c r="AN32">
        <f>INDEX(AL13:AL32,MATCH(MAX(AM13:AM32),AM13:AM32,0))</f>
        <v>2025</v>
      </c>
    </row>
    <row r="33" spans="1:39" x14ac:dyDescent="0.25">
      <c r="A33" s="2" t="s">
        <v>353</v>
      </c>
      <c r="B33" s="36">
        <v>3</v>
      </c>
      <c r="F33" s="2" t="s">
        <v>366</v>
      </c>
      <c r="G33" s="36">
        <v>16</v>
      </c>
      <c r="I33" s="2" t="s">
        <v>71</v>
      </c>
      <c r="J33" s="36">
        <v>2</v>
      </c>
      <c r="L33" s="7" t="s">
        <v>273</v>
      </c>
      <c r="M33" s="7">
        <f>GETPIVOTDATA("[Measures].[Count of Belayer]",$L$19,"[SportClimbing].[Country]","[SportClimbing].[Country].&amp;[Portugal]")</f>
        <v>2</v>
      </c>
      <c r="U33" s="2" t="s">
        <v>120</v>
      </c>
      <c r="V33" s="36">
        <v>160</v>
      </c>
      <c r="AA33" s="2" t="s">
        <v>29</v>
      </c>
      <c r="AB33" s="19">
        <v>3</v>
      </c>
      <c r="AC33" s="19">
        <v>3</v>
      </c>
      <c r="AD33" s="19">
        <v>3.25</v>
      </c>
      <c r="AE33" s="19">
        <v>5.25</v>
      </c>
      <c r="AF33" s="19">
        <v>2.3333333333333335</v>
      </c>
      <c r="AG33" s="19">
        <v>1.6666666666666667</v>
      </c>
      <c r="AH33" s="19"/>
      <c r="AI33" s="19">
        <v>3.125</v>
      </c>
      <c r="AL33" s="2">
        <v>2026</v>
      </c>
      <c r="AM33" s="36">
        <v>4</v>
      </c>
    </row>
    <row r="34" spans="1:39" x14ac:dyDescent="0.25">
      <c r="A34" s="2" t="s">
        <v>346</v>
      </c>
      <c r="B34" s="36">
        <v>2</v>
      </c>
      <c r="F34" s="2" t="s">
        <v>365</v>
      </c>
      <c r="G34" s="36">
        <v>13</v>
      </c>
      <c r="I34" s="2" t="s">
        <v>343</v>
      </c>
      <c r="J34" s="36">
        <v>2</v>
      </c>
      <c r="L34" s="7" t="s">
        <v>313</v>
      </c>
      <c r="M34" s="7">
        <f>GETPIVOTDATA("[Measures].[Count of Belayer]",$L$19,"[SportClimbing].[Country]","[SportClimbing].[Country].&amp;[Italy]")</f>
        <v>15</v>
      </c>
      <c r="U34" s="2" t="s">
        <v>164</v>
      </c>
      <c r="V34" s="36">
        <v>155</v>
      </c>
      <c r="AA34" s="2" t="s">
        <v>32</v>
      </c>
      <c r="AB34" s="19"/>
      <c r="AC34" s="19">
        <v>5</v>
      </c>
      <c r="AD34" s="19">
        <v>5</v>
      </c>
      <c r="AE34" s="19">
        <v>8</v>
      </c>
      <c r="AF34" s="19">
        <v>3.6666666666666665</v>
      </c>
      <c r="AG34" s="19"/>
      <c r="AH34" s="19">
        <v>1</v>
      </c>
      <c r="AI34" s="19">
        <v>5.583333333333333</v>
      </c>
      <c r="AL34" s="2" t="s">
        <v>232</v>
      </c>
      <c r="AM34" s="36">
        <v>214</v>
      </c>
    </row>
    <row r="35" spans="1:39" x14ac:dyDescent="0.25">
      <c r="A35" s="2" t="s">
        <v>347</v>
      </c>
      <c r="B35" s="36">
        <v>2</v>
      </c>
      <c r="F35" s="2" t="s">
        <v>158</v>
      </c>
      <c r="G35" s="36">
        <v>7</v>
      </c>
      <c r="I35" s="2" t="s">
        <v>492</v>
      </c>
      <c r="J35" s="36">
        <v>1</v>
      </c>
      <c r="L35" s="7" t="s">
        <v>390</v>
      </c>
      <c r="M35" s="7">
        <f>GETPIVOTDATA("[Measures].[Count of Belayer]",$L$19,"[SportClimbing].[Country]","[SportClimbing].[Country].&amp;[Germany]")</f>
        <v>1</v>
      </c>
      <c r="U35" s="2" t="s">
        <v>370</v>
      </c>
      <c r="V35" s="36">
        <v>140</v>
      </c>
      <c r="AA35" s="2" t="s">
        <v>69</v>
      </c>
      <c r="AB35" s="19"/>
      <c r="AC35" s="19"/>
      <c r="AD35" s="19">
        <v>14.5</v>
      </c>
      <c r="AE35" s="19">
        <v>6</v>
      </c>
      <c r="AF35" s="19"/>
      <c r="AG35" s="19"/>
      <c r="AH35" s="19">
        <v>8</v>
      </c>
      <c r="AI35" s="19">
        <v>9.8000000000000007</v>
      </c>
    </row>
    <row r="36" spans="1:39" x14ac:dyDescent="0.25">
      <c r="A36" s="2" t="s">
        <v>446</v>
      </c>
      <c r="B36" s="36">
        <v>1</v>
      </c>
      <c r="F36" s="2" t="s">
        <v>159</v>
      </c>
      <c r="G36" s="36">
        <v>19</v>
      </c>
      <c r="I36" s="2" t="s">
        <v>278</v>
      </c>
      <c r="J36" s="36">
        <v>1</v>
      </c>
      <c r="L36" s="8" t="s">
        <v>232</v>
      </c>
      <c r="M36" s="8">
        <f>GETPIVOTDATA("[Measures].[Count of Belayer]",$A$4)</f>
        <v>214</v>
      </c>
      <c r="U36" s="2" t="s">
        <v>133</v>
      </c>
      <c r="V36" s="36">
        <v>125</v>
      </c>
      <c r="AA36" s="2" t="s">
        <v>163</v>
      </c>
      <c r="AB36" s="19"/>
      <c r="AC36" s="19"/>
      <c r="AD36" s="19">
        <v>27</v>
      </c>
      <c r="AE36" s="19"/>
      <c r="AF36" s="19"/>
      <c r="AG36" s="19"/>
      <c r="AH36" s="19"/>
      <c r="AI36" s="19">
        <v>27</v>
      </c>
    </row>
    <row r="37" spans="1:39" x14ac:dyDescent="0.25">
      <c r="A37" s="2" t="s">
        <v>490</v>
      </c>
      <c r="B37" s="36">
        <v>1</v>
      </c>
      <c r="F37" s="2" t="s">
        <v>162</v>
      </c>
      <c r="G37" s="36">
        <v>23</v>
      </c>
      <c r="I37" s="2" t="s">
        <v>286</v>
      </c>
      <c r="J37" s="36">
        <v>1</v>
      </c>
      <c r="U37" s="2" t="s">
        <v>146</v>
      </c>
      <c r="V37" s="36">
        <v>100</v>
      </c>
      <c r="AA37" s="2" t="s">
        <v>431</v>
      </c>
      <c r="AB37" s="19">
        <v>2.2222222222222223</v>
      </c>
      <c r="AC37" s="19">
        <v>2.75</v>
      </c>
      <c r="AD37" s="19">
        <v>3.1142857142857143</v>
      </c>
      <c r="AE37" s="19">
        <v>2.953125</v>
      </c>
      <c r="AF37" s="19">
        <v>2</v>
      </c>
      <c r="AG37" s="19">
        <v>1.2727272727272727</v>
      </c>
      <c r="AH37" s="19">
        <v>3.3333333333333335</v>
      </c>
      <c r="AI37" s="19">
        <v>2.7242990654205608</v>
      </c>
    </row>
    <row r="38" spans="1:39" x14ac:dyDescent="0.25">
      <c r="A38" s="2" t="s">
        <v>452</v>
      </c>
      <c r="B38" s="36">
        <v>1</v>
      </c>
      <c r="F38" s="2" t="s">
        <v>160</v>
      </c>
      <c r="G38" s="36">
        <v>16</v>
      </c>
      <c r="I38" s="2" t="s">
        <v>123</v>
      </c>
      <c r="J38" s="36">
        <v>1</v>
      </c>
      <c r="U38" s="2" t="s">
        <v>232</v>
      </c>
      <c r="V38" s="36">
        <v>2210</v>
      </c>
      <c r="AA38" s="2"/>
      <c r="AB38" s="20">
        <v>10</v>
      </c>
      <c r="AC38" s="20">
        <v>15</v>
      </c>
      <c r="AD38" s="20">
        <v>20</v>
      </c>
      <c r="AE38" s="20">
        <v>25</v>
      </c>
      <c r="AF38" s="20">
        <v>30</v>
      </c>
      <c r="AG38" s="20">
        <v>35</v>
      </c>
      <c r="AH38" s="20">
        <v>40</v>
      </c>
      <c r="AI38" s="19"/>
    </row>
    <row r="39" spans="1:39" x14ac:dyDescent="0.25">
      <c r="A39" s="2" t="s">
        <v>382</v>
      </c>
      <c r="B39" s="36">
        <v>1</v>
      </c>
      <c r="F39" s="2" t="s">
        <v>161</v>
      </c>
      <c r="G39" s="36">
        <v>10</v>
      </c>
      <c r="I39" s="2" t="s">
        <v>274</v>
      </c>
      <c r="J39" s="36">
        <v>1</v>
      </c>
      <c r="AB39" s="7">
        <f>GETPIVOTDATA("[Measures].[Average of Tries num. only excl. outliers]",$AA$29,"[SportClimbing].[Height range (m)]","[SportClimbing].[Height range (m)].&amp;[0-10]")</f>
        <v>2.2222222222222223</v>
      </c>
      <c r="AC39" s="7">
        <f>GETPIVOTDATA("[Measures].[Average of Tries num. only excl. outliers]",$AA$29,"[SportClimbing].[Height range (m)]","[SportClimbing].[Height range (m)].&amp;[11-15]")</f>
        <v>2.75</v>
      </c>
      <c r="AD39" s="7">
        <f>GETPIVOTDATA("[Measures].[Average of Tries num. only excl. outliers]",$AA$29,"[SportClimbing].[Height range (m)]","[SportClimbing].[Height range (m)].&amp;[16-20]")</f>
        <v>3.1142857142857143</v>
      </c>
      <c r="AE39" s="7">
        <f>GETPIVOTDATA("[Measures].[Average of Tries num. only excl. outliers]",$AA$29,"[SportClimbing].[Height range (m)]","[SportClimbing].[Height range (m)].&amp;[21-25]")</f>
        <v>2.953125</v>
      </c>
      <c r="AF39" s="7">
        <f>GETPIVOTDATA("[Measures].[Average of Tries num. only excl. outliers]",$AA$29,"[SportClimbing].[Height range (m)]","[SportClimbing].[Height range (m)].&amp;[26-30]")</f>
        <v>2</v>
      </c>
      <c r="AG39" s="7">
        <f>GETPIVOTDATA("[Measures].[Average of Tries num. only excl. outliers]",$AA$29,"[SportClimbing].[Height range (m)]","[SportClimbing].[Height range (m)].&amp;[31-35]")</f>
        <v>1.2727272727272727</v>
      </c>
      <c r="AH39" s="7">
        <f>GETPIVOTDATA("[Measures].[Average of Tries num. only excl. outliers]",$AA$29,"[SportClimbing].[Height range (m)]","[SportClimbing].[Height range (m)].&amp;[35+]")</f>
        <v>3.3333333333333335</v>
      </c>
    </row>
    <row r="40" spans="1:39" x14ac:dyDescent="0.25">
      <c r="A40" s="2" t="s">
        <v>232</v>
      </c>
      <c r="B40" s="36">
        <v>214</v>
      </c>
      <c r="F40" s="2" t="s">
        <v>232</v>
      </c>
      <c r="G40" s="36">
        <v>214</v>
      </c>
      <c r="I40" s="2" t="s">
        <v>8</v>
      </c>
      <c r="J40" s="36">
        <v>1</v>
      </c>
    </row>
    <row r="41" spans="1:39" x14ac:dyDescent="0.25">
      <c r="A41" s="2"/>
      <c r="F41" s="2"/>
      <c r="I41" s="2" t="s">
        <v>72</v>
      </c>
      <c r="J41" s="36">
        <v>1</v>
      </c>
    </row>
    <row r="42" spans="1:39" x14ac:dyDescent="0.25">
      <c r="I42" s="2" t="s">
        <v>265</v>
      </c>
      <c r="J42" s="36">
        <v>1</v>
      </c>
      <c r="U42" s="1" t="s">
        <v>233</v>
      </c>
      <c r="V42" t="s">
        <v>441</v>
      </c>
    </row>
    <row r="43" spans="1:39" x14ac:dyDescent="0.25">
      <c r="A43" s="1" t="s">
        <v>233</v>
      </c>
      <c r="B43" t="s">
        <v>424</v>
      </c>
      <c r="I43" s="2" t="s">
        <v>507</v>
      </c>
      <c r="J43" s="36">
        <v>1</v>
      </c>
      <c r="U43" s="2">
        <v>2006</v>
      </c>
      <c r="V43">
        <v>10</v>
      </c>
    </row>
    <row r="44" spans="1:39" x14ac:dyDescent="0.25">
      <c r="A44" s="2" t="s">
        <v>11</v>
      </c>
      <c r="B44" s="10">
        <v>8.4112149532710276E-2</v>
      </c>
      <c r="I44" s="2" t="s">
        <v>12</v>
      </c>
      <c r="J44" s="36">
        <v>1</v>
      </c>
      <c r="U44" s="26" t="s">
        <v>365</v>
      </c>
      <c r="V44">
        <v>10</v>
      </c>
    </row>
    <row r="45" spans="1:39" x14ac:dyDescent="0.25">
      <c r="A45" s="2" t="s">
        <v>130</v>
      </c>
      <c r="B45" s="10">
        <v>0.27102803738317754</v>
      </c>
      <c r="I45" s="2" t="s">
        <v>345</v>
      </c>
      <c r="J45" s="36">
        <v>1</v>
      </c>
      <c r="U45" s="2">
        <v>2007</v>
      </c>
      <c r="V45">
        <v>10</v>
      </c>
    </row>
    <row r="46" spans="1:39" x14ac:dyDescent="0.25">
      <c r="A46" s="2" t="s">
        <v>404</v>
      </c>
      <c r="B46" s="10">
        <v>0.64485981308411211</v>
      </c>
      <c r="I46" s="2" t="s">
        <v>18</v>
      </c>
      <c r="J46" s="36">
        <v>1</v>
      </c>
      <c r="U46" s="26" t="s">
        <v>365</v>
      </c>
      <c r="V46">
        <v>10</v>
      </c>
    </row>
    <row r="47" spans="1:39" x14ac:dyDescent="0.25">
      <c r="A47" s="2" t="s">
        <v>232</v>
      </c>
      <c r="B47" s="10">
        <v>1</v>
      </c>
      <c r="I47" s="2" t="s">
        <v>323</v>
      </c>
      <c r="J47" s="36">
        <v>1</v>
      </c>
      <c r="U47" s="2">
        <v>2008</v>
      </c>
      <c r="V47">
        <v>20</v>
      </c>
    </row>
    <row r="48" spans="1:39" x14ac:dyDescent="0.25">
      <c r="A48" s="2"/>
      <c r="B48" s="10"/>
      <c r="I48" s="2" t="s">
        <v>281</v>
      </c>
      <c r="J48" s="36">
        <v>1</v>
      </c>
      <c r="U48" s="26" t="s">
        <v>368</v>
      </c>
      <c r="V48">
        <v>10</v>
      </c>
    </row>
    <row r="49" spans="1:22" x14ac:dyDescent="0.25">
      <c r="I49" s="2" t="s">
        <v>391</v>
      </c>
      <c r="J49" s="36">
        <v>1</v>
      </c>
      <c r="U49" s="26" t="s">
        <v>155</v>
      </c>
      <c r="V49">
        <v>10</v>
      </c>
    </row>
    <row r="50" spans="1:22" x14ac:dyDescent="0.25">
      <c r="A50" s="1" t="s">
        <v>233</v>
      </c>
      <c r="B50" t="s">
        <v>425</v>
      </c>
      <c r="I50" s="2" t="s">
        <v>459</v>
      </c>
      <c r="J50" s="36">
        <v>1</v>
      </c>
      <c r="U50" s="2">
        <v>2011</v>
      </c>
      <c r="V50">
        <v>10</v>
      </c>
    </row>
    <row r="51" spans="1:22" x14ac:dyDescent="0.25">
      <c r="A51" s="2" t="s">
        <v>3</v>
      </c>
      <c r="B51" s="9">
        <v>1.8974358974358974</v>
      </c>
      <c r="I51" s="4" t="s">
        <v>232</v>
      </c>
      <c r="J51" s="36">
        <v>214</v>
      </c>
      <c r="U51" s="26" t="s">
        <v>158</v>
      </c>
      <c r="V51">
        <v>10</v>
      </c>
    </row>
    <row r="52" spans="1:22" x14ac:dyDescent="0.25">
      <c r="A52" s="2" t="s">
        <v>21</v>
      </c>
      <c r="B52" s="9">
        <v>2.1481481481481484</v>
      </c>
      <c r="U52" s="2">
        <v>2012</v>
      </c>
      <c r="V52">
        <v>40</v>
      </c>
    </row>
    <row r="53" spans="1:22" x14ac:dyDescent="0.25">
      <c r="A53" s="2" t="s">
        <v>29</v>
      </c>
      <c r="B53" s="9">
        <v>3.125</v>
      </c>
      <c r="U53" s="26" t="s">
        <v>368</v>
      </c>
      <c r="V53">
        <v>10</v>
      </c>
    </row>
    <row r="54" spans="1:22" x14ac:dyDescent="0.25">
      <c r="A54" s="2" t="s">
        <v>32</v>
      </c>
      <c r="B54" s="9">
        <v>5.583333333333333</v>
      </c>
      <c r="U54" s="26" t="s">
        <v>160</v>
      </c>
      <c r="V54">
        <v>15</v>
      </c>
    </row>
    <row r="55" spans="1:22" x14ac:dyDescent="0.25">
      <c r="A55" s="2" t="s">
        <v>69</v>
      </c>
      <c r="B55" s="9">
        <v>9.8000000000000007</v>
      </c>
      <c r="U55" s="26" t="s">
        <v>161</v>
      </c>
      <c r="V55">
        <v>15</v>
      </c>
    </row>
    <row r="56" spans="1:22" x14ac:dyDescent="0.25">
      <c r="A56" s="2" t="s">
        <v>163</v>
      </c>
      <c r="B56" s="9">
        <v>27</v>
      </c>
      <c r="U56" s="2">
        <v>2013</v>
      </c>
      <c r="V56">
        <v>335</v>
      </c>
    </row>
    <row r="57" spans="1:22" x14ac:dyDescent="0.25">
      <c r="A57" s="2" t="s">
        <v>232</v>
      </c>
      <c r="B57" s="9">
        <v>2.7242990654205608</v>
      </c>
      <c r="U57" s="26" t="s">
        <v>151</v>
      </c>
      <c r="V57">
        <v>25</v>
      </c>
    </row>
    <row r="58" spans="1:22" x14ac:dyDescent="0.25">
      <c r="U58" s="26" t="s">
        <v>152</v>
      </c>
      <c r="V58">
        <v>85</v>
      </c>
    </row>
    <row r="59" spans="1:22" x14ac:dyDescent="0.25">
      <c r="A59" s="1" t="s">
        <v>426</v>
      </c>
      <c r="B59" s="1" t="s">
        <v>419</v>
      </c>
      <c r="U59" s="26" t="s">
        <v>367</v>
      </c>
      <c r="V59">
        <v>65</v>
      </c>
    </row>
    <row r="60" spans="1:22" x14ac:dyDescent="0.25">
      <c r="A60" s="1" t="s">
        <v>233</v>
      </c>
      <c r="B60" t="s">
        <v>11</v>
      </c>
      <c r="C60" t="s">
        <v>130</v>
      </c>
      <c r="D60" t="s">
        <v>404</v>
      </c>
      <c r="U60" s="26" t="s">
        <v>368</v>
      </c>
      <c r="V60">
        <v>110</v>
      </c>
    </row>
    <row r="61" spans="1:22" x14ac:dyDescent="0.25">
      <c r="A61" s="2" t="s">
        <v>3</v>
      </c>
      <c r="B61" s="15">
        <v>0.10256410256410256</v>
      </c>
      <c r="C61" s="15">
        <v>0.3504273504273504</v>
      </c>
      <c r="D61" s="15">
        <v>0.54700854700854706</v>
      </c>
      <c r="E61" s="15"/>
      <c r="U61" s="26" t="s">
        <v>155</v>
      </c>
      <c r="V61">
        <v>50</v>
      </c>
    </row>
    <row r="62" spans="1:22" x14ac:dyDescent="0.25">
      <c r="A62" s="2" t="s">
        <v>21</v>
      </c>
      <c r="B62" s="15">
        <v>9.2592592592592587E-2</v>
      </c>
      <c r="C62" s="15">
        <v>0.25925925925925924</v>
      </c>
      <c r="D62" s="15">
        <v>0.64814814814814814</v>
      </c>
      <c r="E62" s="15"/>
      <c r="U62" s="2">
        <v>2016</v>
      </c>
      <c r="V62">
        <v>20</v>
      </c>
    </row>
    <row r="63" spans="1:22" x14ac:dyDescent="0.25">
      <c r="A63" s="2" t="s">
        <v>29</v>
      </c>
      <c r="B63" s="15">
        <v>4.1666666666666664E-2</v>
      </c>
      <c r="C63" s="15">
        <v>8.3333333333333329E-2</v>
      </c>
      <c r="D63" s="15">
        <v>0.875</v>
      </c>
      <c r="E63" s="15"/>
      <c r="U63" s="26" t="s">
        <v>366</v>
      </c>
      <c r="V63">
        <v>10</v>
      </c>
    </row>
    <row r="64" spans="1:22" x14ac:dyDescent="0.25">
      <c r="A64" s="2" t="s">
        <v>32</v>
      </c>
      <c r="B64" s="15">
        <v>0</v>
      </c>
      <c r="C64" s="15">
        <v>8.3333333333333329E-2</v>
      </c>
      <c r="D64" s="15">
        <v>0.91666666666666663</v>
      </c>
      <c r="E64" s="15"/>
      <c r="U64" s="26" t="s">
        <v>160</v>
      </c>
      <c r="V64">
        <v>10</v>
      </c>
    </row>
    <row r="65" spans="1:22" x14ac:dyDescent="0.25">
      <c r="A65" s="2" t="s">
        <v>69</v>
      </c>
      <c r="B65" s="15">
        <v>0</v>
      </c>
      <c r="C65" s="15">
        <v>0</v>
      </c>
      <c r="D65" s="15">
        <v>1</v>
      </c>
      <c r="E65" s="15"/>
      <c r="U65" s="2">
        <v>2017</v>
      </c>
      <c r="V65">
        <v>450</v>
      </c>
    </row>
    <row r="66" spans="1:22" x14ac:dyDescent="0.25">
      <c r="A66" s="2" t="s">
        <v>163</v>
      </c>
      <c r="B66" s="15">
        <v>0</v>
      </c>
      <c r="C66" s="15">
        <v>0</v>
      </c>
      <c r="D66" s="15">
        <v>1</v>
      </c>
      <c r="E66" s="15"/>
      <c r="U66" s="26" t="s">
        <v>368</v>
      </c>
      <c r="V66">
        <v>35</v>
      </c>
    </row>
    <row r="67" spans="1:22" x14ac:dyDescent="0.25">
      <c r="U67" s="26" t="s">
        <v>155</v>
      </c>
      <c r="V67">
        <v>10</v>
      </c>
    </row>
    <row r="68" spans="1:22" x14ac:dyDescent="0.25">
      <c r="A68" s="16" t="s">
        <v>233</v>
      </c>
      <c r="B68" s="16" t="s">
        <v>11</v>
      </c>
      <c r="C68" s="16" t="s">
        <v>130</v>
      </c>
      <c r="U68" s="26" t="s">
        <v>366</v>
      </c>
      <c r="V68">
        <v>35</v>
      </c>
    </row>
    <row r="69" spans="1:22" x14ac:dyDescent="0.25">
      <c r="A69" s="6" t="s">
        <v>3</v>
      </c>
      <c r="B69" s="17">
        <f>GETPIVOTDATA("[Measures].[Count of Belayer]",$A$59,"[SportClimbing].[Grade]","[SportClimbing].[Grade].&amp;[7a]","[SportClimbing].[onsight/flash/redpoint]","[SportClimbing].[onsight/flash/redpoint].&amp;[flash]")</f>
        <v>0.10256410256410256</v>
      </c>
      <c r="C69" s="17">
        <f>GETPIVOTDATA("[Measures].[Count of Belayer]",$A$59,"[SportClimbing].[Grade]","[SportClimbing].[Grade].&amp;[7a]","[SportClimbing].[onsight/flash/redpoint]","[SportClimbing].[onsight/flash/redpoint].&amp;[onsight]")</f>
        <v>0.3504273504273504</v>
      </c>
      <c r="U69" s="26" t="s">
        <v>365</v>
      </c>
      <c r="V69">
        <v>25</v>
      </c>
    </row>
    <row r="70" spans="1:22" x14ac:dyDescent="0.25">
      <c r="A70" s="6" t="s">
        <v>21</v>
      </c>
      <c r="B70" s="17">
        <f>GETPIVOTDATA("[Measures].[Count of Belayer]",$A$59,"[SportClimbing].[Grade]","[SportClimbing].[Grade].&amp;[7a+]","[SportClimbing].[onsight/flash/redpoint]","[SportClimbing].[onsight/flash/redpoint].&amp;[flash]")</f>
        <v>9.2592592592592587E-2</v>
      </c>
      <c r="C70" s="17">
        <f>GETPIVOTDATA("[Measures].[Count of Belayer]",$A$59,"[SportClimbing].[Grade]","[SportClimbing].[Grade].&amp;[7a+]","[SportClimbing].[onsight/flash/redpoint]","[SportClimbing].[onsight/flash/redpoint].&amp;[onsight]")</f>
        <v>0.25925925925925924</v>
      </c>
      <c r="U70" s="26" t="s">
        <v>158</v>
      </c>
      <c r="V70">
        <v>10</v>
      </c>
    </row>
    <row r="71" spans="1:22" x14ac:dyDescent="0.25">
      <c r="A71" s="6" t="s">
        <v>29</v>
      </c>
      <c r="B71" s="17">
        <f>GETPIVOTDATA("[Measures].[Count of Belayer]",$A$59,"[SportClimbing].[Grade]","[SportClimbing].[Grade].&amp;[7b]","[SportClimbing].[onsight/flash/redpoint]","[SportClimbing].[onsight/flash/redpoint].&amp;[flash]")</f>
        <v>4.1666666666666664E-2</v>
      </c>
      <c r="C71" s="17">
        <f>GETPIVOTDATA("[Measures].[Count of Belayer]",$A$59,"[SportClimbing].[Grade]","[SportClimbing].[Grade].&amp;[7b]","[SportClimbing].[onsight/flash/redpoint]","[SportClimbing].[onsight/flash/redpoint].&amp;[onsight]")</f>
        <v>8.3333333333333329E-2</v>
      </c>
      <c r="U71" s="26" t="s">
        <v>159</v>
      </c>
      <c r="V71">
        <v>80</v>
      </c>
    </row>
    <row r="72" spans="1:22" x14ac:dyDescent="0.25">
      <c r="A72" s="6" t="s">
        <v>32</v>
      </c>
      <c r="B72" s="17">
        <f>GETPIVOTDATA("[Measures].[Count of Belayer]",$A$59,"[SportClimbing].[Grade]","[SportClimbing].[Grade].&amp;[7b+]","[SportClimbing].[onsight/flash/redpoint]","[SportClimbing].[onsight/flash/redpoint].&amp;[flash]")</f>
        <v>0</v>
      </c>
      <c r="C72" s="17">
        <f>GETPIVOTDATA("[Measures].[Count of Belayer]",$A$59,"[SportClimbing].[Grade]","[SportClimbing].[Grade].&amp;[7b+]","[SportClimbing].[onsight/flash/redpoint]","[SportClimbing].[onsight/flash/redpoint].&amp;[onsight]")</f>
        <v>8.3333333333333329E-2</v>
      </c>
      <c r="U72" s="26" t="s">
        <v>162</v>
      </c>
      <c r="V72">
        <v>90</v>
      </c>
    </row>
    <row r="73" spans="1:22" x14ac:dyDescent="0.25">
      <c r="A73" s="6" t="s">
        <v>69</v>
      </c>
      <c r="B73" s="17">
        <f>GETPIVOTDATA("[Measures].[Count of Belayer]",$A$59,"[SportClimbing].[Grade]","[SportClimbing].[Grade].&amp;[7c]","[SportClimbing].[onsight/flash/redpoint]","[SportClimbing].[onsight/flash/redpoint].&amp;[flash]")</f>
        <v>0</v>
      </c>
      <c r="C73" s="17">
        <f>GETPIVOTDATA("[Measures].[Count of Belayer]",$A$59,"[SportClimbing].[Grade]","[SportClimbing].[Grade].&amp;[7c]","[SportClimbing].[onsight/flash/redpoint]","[SportClimbing].[onsight/flash/redpoint].&amp;[onsight]")</f>
        <v>0</v>
      </c>
      <c r="U73" s="26" t="s">
        <v>160</v>
      </c>
      <c r="V73">
        <v>25</v>
      </c>
    </row>
    <row r="74" spans="1:22" x14ac:dyDescent="0.25">
      <c r="A74" s="6" t="s">
        <v>163</v>
      </c>
      <c r="B74" s="17">
        <f>GETPIVOTDATA("[Measures].[Count of Belayer]",$A$59,"[SportClimbing].[Grade]","[SportClimbing].[Grade].&amp;[7c+]","[SportClimbing].[onsight/flash/redpoint]","[SportClimbing].[onsight/flash/redpoint].&amp;[flash]")</f>
        <v>0</v>
      </c>
      <c r="C74" s="17">
        <f>GETPIVOTDATA("[Measures].[Count of Belayer]",$A$59,"[SportClimbing].[Grade]","[SportClimbing].[Grade].&amp;[7c+]","[SportClimbing].[onsight/flash/redpoint]","[SportClimbing].[onsight/flash/redpoint].&amp;[onsight]")</f>
        <v>0</v>
      </c>
      <c r="U74" s="26" t="s">
        <v>161</v>
      </c>
      <c r="V74">
        <v>140</v>
      </c>
    </row>
    <row r="75" spans="1:22" x14ac:dyDescent="0.25">
      <c r="U75" s="2">
        <v>2018</v>
      </c>
      <c r="V75">
        <v>500</v>
      </c>
    </row>
    <row r="76" spans="1:22" x14ac:dyDescent="0.25">
      <c r="U76" s="26" t="s">
        <v>151</v>
      </c>
      <c r="V76">
        <v>65</v>
      </c>
    </row>
    <row r="77" spans="1:22" x14ac:dyDescent="0.25">
      <c r="U77" s="26" t="s">
        <v>152</v>
      </c>
      <c r="V77">
        <v>85</v>
      </c>
    </row>
    <row r="78" spans="1:22" x14ac:dyDescent="0.25">
      <c r="U78" s="26" t="s">
        <v>367</v>
      </c>
      <c r="V78">
        <v>85</v>
      </c>
    </row>
    <row r="79" spans="1:22" x14ac:dyDescent="0.25">
      <c r="U79" s="26" t="s">
        <v>368</v>
      </c>
      <c r="V79">
        <v>175</v>
      </c>
    </row>
    <row r="80" spans="1:22" x14ac:dyDescent="0.25">
      <c r="U80" s="26" t="s">
        <v>155</v>
      </c>
      <c r="V80">
        <v>25</v>
      </c>
    </row>
    <row r="81" spans="21:22" x14ac:dyDescent="0.25">
      <c r="U81" s="26" t="s">
        <v>366</v>
      </c>
      <c r="V81">
        <v>30</v>
      </c>
    </row>
    <row r="82" spans="21:22" x14ac:dyDescent="0.25">
      <c r="U82" s="26" t="s">
        <v>159</v>
      </c>
      <c r="V82">
        <v>10</v>
      </c>
    </row>
    <row r="83" spans="21:22" x14ac:dyDescent="0.25">
      <c r="U83" s="26" t="s">
        <v>160</v>
      </c>
      <c r="V83">
        <v>25</v>
      </c>
    </row>
    <row r="84" spans="21:22" x14ac:dyDescent="0.25">
      <c r="U84" s="2">
        <v>2019</v>
      </c>
      <c r="V84">
        <v>110</v>
      </c>
    </row>
    <row r="85" spans="21:22" x14ac:dyDescent="0.25">
      <c r="U85" s="26" t="s">
        <v>368</v>
      </c>
      <c r="V85">
        <v>35</v>
      </c>
    </row>
    <row r="86" spans="21:22" x14ac:dyDescent="0.25">
      <c r="U86" s="26" t="s">
        <v>159</v>
      </c>
      <c r="V86">
        <v>15</v>
      </c>
    </row>
    <row r="87" spans="21:22" x14ac:dyDescent="0.25">
      <c r="U87" s="26" t="s">
        <v>160</v>
      </c>
      <c r="V87">
        <v>60</v>
      </c>
    </row>
    <row r="88" spans="21:22" x14ac:dyDescent="0.25">
      <c r="U88" s="2">
        <v>2020</v>
      </c>
      <c r="V88">
        <v>190</v>
      </c>
    </row>
    <row r="89" spans="21:22" x14ac:dyDescent="0.25">
      <c r="U89" s="26" t="s">
        <v>158</v>
      </c>
      <c r="V89">
        <v>40</v>
      </c>
    </row>
    <row r="90" spans="21:22" x14ac:dyDescent="0.25">
      <c r="U90" s="26" t="s">
        <v>159</v>
      </c>
      <c r="V90">
        <v>80</v>
      </c>
    </row>
    <row r="91" spans="21:22" x14ac:dyDescent="0.25">
      <c r="U91" s="26" t="s">
        <v>162</v>
      </c>
      <c r="V91">
        <v>70</v>
      </c>
    </row>
    <row r="92" spans="21:22" x14ac:dyDescent="0.25">
      <c r="U92" s="2">
        <v>2021</v>
      </c>
      <c r="V92">
        <v>290</v>
      </c>
    </row>
    <row r="93" spans="21:22" x14ac:dyDescent="0.25">
      <c r="U93" s="26" t="s">
        <v>368</v>
      </c>
      <c r="V93">
        <v>35</v>
      </c>
    </row>
    <row r="94" spans="21:22" x14ac:dyDescent="0.25">
      <c r="U94" s="26" t="s">
        <v>155</v>
      </c>
      <c r="V94">
        <v>105</v>
      </c>
    </row>
    <row r="95" spans="21:22" x14ac:dyDescent="0.25">
      <c r="U95" s="26" t="s">
        <v>366</v>
      </c>
      <c r="V95">
        <v>140</v>
      </c>
    </row>
    <row r="96" spans="21:22" x14ac:dyDescent="0.25">
      <c r="U96" s="26" t="s">
        <v>160</v>
      </c>
      <c r="V96">
        <v>10</v>
      </c>
    </row>
    <row r="97" spans="21:22" x14ac:dyDescent="0.25">
      <c r="U97" s="2">
        <v>2022</v>
      </c>
      <c r="V97">
        <v>290</v>
      </c>
    </row>
    <row r="98" spans="21:22" x14ac:dyDescent="0.25">
      <c r="U98" s="26" t="s">
        <v>151</v>
      </c>
      <c r="V98">
        <v>80</v>
      </c>
    </row>
    <row r="99" spans="21:22" x14ac:dyDescent="0.25">
      <c r="U99" s="26" t="s">
        <v>152</v>
      </c>
      <c r="V99">
        <v>45</v>
      </c>
    </row>
    <row r="100" spans="21:22" x14ac:dyDescent="0.25">
      <c r="U100" s="26" t="s">
        <v>367</v>
      </c>
      <c r="V100">
        <v>10</v>
      </c>
    </row>
    <row r="101" spans="21:22" x14ac:dyDescent="0.25">
      <c r="U101" s="26" t="s">
        <v>155</v>
      </c>
      <c r="V101">
        <v>10</v>
      </c>
    </row>
    <row r="102" spans="21:22" x14ac:dyDescent="0.25">
      <c r="U102" s="26" t="s">
        <v>366</v>
      </c>
      <c r="V102">
        <v>25</v>
      </c>
    </row>
    <row r="103" spans="21:22" x14ac:dyDescent="0.25">
      <c r="U103" s="26" t="s">
        <v>365</v>
      </c>
      <c r="V103">
        <v>40</v>
      </c>
    </row>
    <row r="104" spans="21:22" x14ac:dyDescent="0.25">
      <c r="U104" s="26" t="s">
        <v>159</v>
      </c>
      <c r="V104">
        <v>15</v>
      </c>
    </row>
    <row r="105" spans="21:22" x14ac:dyDescent="0.25">
      <c r="U105" s="26" t="s">
        <v>162</v>
      </c>
      <c r="V105">
        <v>20</v>
      </c>
    </row>
    <row r="106" spans="21:22" x14ac:dyDescent="0.25">
      <c r="U106" s="26" t="s">
        <v>160</v>
      </c>
      <c r="V106">
        <v>45</v>
      </c>
    </row>
    <row r="107" spans="21:22" x14ac:dyDescent="0.25">
      <c r="U107" s="2">
        <v>2023</v>
      </c>
      <c r="V107">
        <v>225</v>
      </c>
    </row>
    <row r="108" spans="21:22" x14ac:dyDescent="0.25">
      <c r="U108" s="26" t="s">
        <v>152</v>
      </c>
      <c r="V108">
        <v>125</v>
      </c>
    </row>
    <row r="109" spans="21:22" x14ac:dyDescent="0.25">
      <c r="U109" s="26" t="s">
        <v>367</v>
      </c>
      <c r="V109">
        <v>10</v>
      </c>
    </row>
    <row r="110" spans="21:22" x14ac:dyDescent="0.25">
      <c r="U110" s="26" t="s">
        <v>155</v>
      </c>
      <c r="V110">
        <v>10</v>
      </c>
    </row>
    <row r="111" spans="21:22" x14ac:dyDescent="0.25">
      <c r="U111" s="26" t="s">
        <v>366</v>
      </c>
      <c r="V111">
        <v>10</v>
      </c>
    </row>
    <row r="112" spans="21:22" x14ac:dyDescent="0.25">
      <c r="U112" s="26" t="s">
        <v>365</v>
      </c>
      <c r="V112">
        <v>30</v>
      </c>
    </row>
    <row r="113" spans="21:22" x14ac:dyDescent="0.25">
      <c r="U113" s="26" t="s">
        <v>159</v>
      </c>
      <c r="V113">
        <v>10</v>
      </c>
    </row>
    <row r="114" spans="21:22" x14ac:dyDescent="0.25">
      <c r="U114" s="26" t="s">
        <v>162</v>
      </c>
      <c r="V114">
        <v>10</v>
      </c>
    </row>
    <row r="115" spans="21:22" x14ac:dyDescent="0.25">
      <c r="U115" s="26" t="s">
        <v>160</v>
      </c>
      <c r="V115">
        <v>20</v>
      </c>
    </row>
    <row r="116" spans="21:22" x14ac:dyDescent="0.25">
      <c r="U116" s="2">
        <v>2024</v>
      </c>
      <c r="V116">
        <v>195</v>
      </c>
    </row>
    <row r="117" spans="21:22" x14ac:dyDescent="0.25">
      <c r="U117" s="26" t="s">
        <v>151</v>
      </c>
      <c r="V117">
        <v>10</v>
      </c>
    </row>
    <row r="118" spans="21:22" x14ac:dyDescent="0.25">
      <c r="U118" s="26" t="s">
        <v>367</v>
      </c>
      <c r="V118">
        <v>25</v>
      </c>
    </row>
    <row r="119" spans="21:22" x14ac:dyDescent="0.25">
      <c r="U119" s="26" t="s">
        <v>368</v>
      </c>
      <c r="V119">
        <v>20</v>
      </c>
    </row>
    <row r="120" spans="21:22" x14ac:dyDescent="0.25">
      <c r="U120" s="26" t="s">
        <v>155</v>
      </c>
      <c r="V120">
        <v>15</v>
      </c>
    </row>
    <row r="121" spans="21:22" x14ac:dyDescent="0.25">
      <c r="U121" s="26" t="s">
        <v>159</v>
      </c>
      <c r="V121">
        <v>50</v>
      </c>
    </row>
    <row r="122" spans="21:22" x14ac:dyDescent="0.25">
      <c r="U122" s="26" t="s">
        <v>162</v>
      </c>
      <c r="V122">
        <v>15</v>
      </c>
    </row>
    <row r="123" spans="21:22" x14ac:dyDescent="0.25">
      <c r="U123" s="26" t="s">
        <v>160</v>
      </c>
      <c r="V123">
        <v>60</v>
      </c>
    </row>
    <row r="124" spans="21:22" x14ac:dyDescent="0.25">
      <c r="U124" s="2">
        <v>2025</v>
      </c>
      <c r="V124">
        <v>325</v>
      </c>
    </row>
    <row r="125" spans="21:22" x14ac:dyDescent="0.25">
      <c r="U125" s="26" t="s">
        <v>367</v>
      </c>
      <c r="V125">
        <v>270</v>
      </c>
    </row>
    <row r="126" spans="21:22" x14ac:dyDescent="0.25">
      <c r="U126" s="26" t="s">
        <v>368</v>
      </c>
      <c r="V126">
        <v>55</v>
      </c>
    </row>
    <row r="127" spans="21:22" x14ac:dyDescent="0.25">
      <c r="U127" s="2" t="s">
        <v>232</v>
      </c>
      <c r="V127">
        <v>3020</v>
      </c>
    </row>
  </sheetData>
  <mergeCells count="8">
    <mergeCell ref="A2:C2"/>
    <mergeCell ref="I2:M2"/>
    <mergeCell ref="U2:Y2"/>
    <mergeCell ref="AL2:AN2"/>
    <mergeCell ref="AA25:AG25"/>
    <mergeCell ref="AA2:AG2"/>
    <mergeCell ref="F2:G2"/>
    <mergeCell ref="O2:S2"/>
  </mergeCells>
  <conditionalFormatting pivot="1" sqref="AB31:AI37">
    <cfRule type="colorScale" priority="1">
      <colorScale>
        <cfvo type="min"/>
        <cfvo type="percentile" val="50"/>
        <cfvo type="max"/>
        <color rgb="FF5A8AC6"/>
        <color rgb="FFFCFCFF"/>
        <color rgb="FFF8696B"/>
      </colorScale>
    </cfRule>
  </conditionalFormatting>
  <pageMargins left="0.7" right="0.7" top="0.75" bottom="0.75" header="0.3" footer="0.3"/>
  <drawing r:id="rId1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DF08-8F91-4AAA-8F54-2A151311C853}">
  <sheetPr codeName="Sheet4">
    <tabColor theme="9" tint="0.59999389629810485"/>
  </sheetPr>
  <dimension ref="A1:O21"/>
  <sheetViews>
    <sheetView workbookViewId="0">
      <selection activeCell="I20" sqref="I20"/>
    </sheetView>
  </sheetViews>
  <sheetFormatPr defaultRowHeight="13.2" x14ac:dyDescent="0.25"/>
  <cols>
    <col min="1" max="1" width="9.21875" bestFit="1" customWidth="1"/>
    <col min="3" max="5" width="12.5546875" bestFit="1" customWidth="1"/>
    <col min="7" max="7" width="10.88671875" bestFit="1" customWidth="1"/>
    <col min="8" max="8" width="9.77734375" bestFit="1" customWidth="1"/>
    <col min="9" max="14" width="9.77734375" customWidth="1"/>
  </cols>
  <sheetData>
    <row r="1" spans="1:15" x14ac:dyDescent="0.25">
      <c r="A1" t="s">
        <v>355</v>
      </c>
      <c r="C1" t="s">
        <v>363</v>
      </c>
      <c r="D1" t="s">
        <v>364</v>
      </c>
      <c r="E1" t="s">
        <v>369</v>
      </c>
      <c r="G1" t="s">
        <v>405</v>
      </c>
      <c r="I1" t="s">
        <v>442</v>
      </c>
      <c r="J1" t="s">
        <v>440</v>
      </c>
      <c r="L1" t="s">
        <v>442</v>
      </c>
      <c r="M1" t="s">
        <v>440</v>
      </c>
    </row>
    <row r="2" spans="1:15" x14ac:dyDescent="0.25">
      <c r="A2">
        <v>2006</v>
      </c>
      <c r="C2" t="s">
        <v>359</v>
      </c>
      <c r="D2" t="s">
        <v>151</v>
      </c>
      <c r="E2">
        <v>1</v>
      </c>
      <c r="G2" t="s">
        <v>3</v>
      </c>
      <c r="I2" t="s">
        <v>3</v>
      </c>
      <c r="J2">
        <v>10</v>
      </c>
      <c r="L2" t="s">
        <v>3</v>
      </c>
      <c r="M2">
        <v>1</v>
      </c>
    </row>
    <row r="3" spans="1:15" x14ac:dyDescent="0.25">
      <c r="A3">
        <v>2007</v>
      </c>
      <c r="C3" t="s">
        <v>360</v>
      </c>
      <c r="D3" t="s">
        <v>152</v>
      </c>
      <c r="E3">
        <v>2</v>
      </c>
      <c r="G3" t="s">
        <v>21</v>
      </c>
      <c r="I3" t="s">
        <v>21</v>
      </c>
      <c r="J3">
        <v>15</v>
      </c>
      <c r="L3" t="s">
        <v>21</v>
      </c>
      <c r="M3">
        <v>2</v>
      </c>
    </row>
    <row r="4" spans="1:15" x14ac:dyDescent="0.25">
      <c r="A4">
        <v>2008</v>
      </c>
      <c r="C4" t="s">
        <v>153</v>
      </c>
      <c r="D4" t="s">
        <v>367</v>
      </c>
      <c r="E4">
        <v>3</v>
      </c>
      <c r="G4" t="s">
        <v>29</v>
      </c>
      <c r="I4" t="s">
        <v>29</v>
      </c>
      <c r="J4">
        <v>25</v>
      </c>
      <c r="L4" t="s">
        <v>29</v>
      </c>
      <c r="M4">
        <v>3</v>
      </c>
    </row>
    <row r="5" spans="1:15" x14ac:dyDescent="0.25">
      <c r="A5">
        <v>2009</v>
      </c>
      <c r="C5" t="s">
        <v>154</v>
      </c>
      <c r="D5" t="s">
        <v>368</v>
      </c>
      <c r="E5">
        <v>4</v>
      </c>
      <c r="G5" t="s">
        <v>32</v>
      </c>
      <c r="I5" t="s">
        <v>32</v>
      </c>
      <c r="J5">
        <v>40</v>
      </c>
      <c r="L5" t="s">
        <v>32</v>
      </c>
      <c r="M5">
        <v>4</v>
      </c>
    </row>
    <row r="6" spans="1:15" x14ac:dyDescent="0.25">
      <c r="A6">
        <v>2010</v>
      </c>
      <c r="C6" t="s">
        <v>155</v>
      </c>
      <c r="D6" t="s">
        <v>155</v>
      </c>
      <c r="E6">
        <v>5</v>
      </c>
      <c r="G6" t="s">
        <v>69</v>
      </c>
      <c r="I6" t="s">
        <v>69</v>
      </c>
      <c r="J6">
        <v>60</v>
      </c>
      <c r="L6" t="s">
        <v>69</v>
      </c>
      <c r="M6">
        <v>5</v>
      </c>
    </row>
    <row r="7" spans="1:15" x14ac:dyDescent="0.25">
      <c r="A7">
        <v>2011</v>
      </c>
      <c r="C7" t="s">
        <v>156</v>
      </c>
      <c r="D7" t="s">
        <v>366</v>
      </c>
      <c r="E7">
        <v>6</v>
      </c>
      <c r="G7" t="s">
        <v>163</v>
      </c>
      <c r="I7" t="s">
        <v>163</v>
      </c>
      <c r="J7">
        <v>80</v>
      </c>
      <c r="L7" t="s">
        <v>163</v>
      </c>
      <c r="M7">
        <v>6</v>
      </c>
    </row>
    <row r="8" spans="1:15" x14ac:dyDescent="0.25">
      <c r="A8">
        <v>2012</v>
      </c>
      <c r="C8" t="s">
        <v>157</v>
      </c>
      <c r="D8" t="s">
        <v>365</v>
      </c>
      <c r="E8">
        <v>7</v>
      </c>
      <c r="G8" t="s">
        <v>439</v>
      </c>
      <c r="I8" t="s">
        <v>439</v>
      </c>
      <c r="J8">
        <v>100</v>
      </c>
      <c r="L8" t="s">
        <v>439</v>
      </c>
      <c r="M8">
        <v>7</v>
      </c>
    </row>
    <row r="9" spans="1:15" x14ac:dyDescent="0.25">
      <c r="A9">
        <v>2013</v>
      </c>
      <c r="C9" t="s">
        <v>356</v>
      </c>
      <c r="D9" t="s">
        <v>158</v>
      </c>
      <c r="E9">
        <v>8</v>
      </c>
      <c r="G9" t="s">
        <v>514</v>
      </c>
      <c r="I9" t="s">
        <v>514</v>
      </c>
      <c r="J9">
        <v>150</v>
      </c>
      <c r="L9" t="s">
        <v>514</v>
      </c>
      <c r="M9">
        <v>8</v>
      </c>
    </row>
    <row r="10" spans="1:15" x14ac:dyDescent="0.25">
      <c r="A10">
        <v>2014</v>
      </c>
      <c r="C10" t="s">
        <v>361</v>
      </c>
      <c r="D10" t="s">
        <v>159</v>
      </c>
      <c r="E10">
        <v>9</v>
      </c>
    </row>
    <row r="11" spans="1:15" x14ac:dyDescent="0.25">
      <c r="A11">
        <v>2015</v>
      </c>
      <c r="C11" t="s">
        <v>362</v>
      </c>
      <c r="D11" t="s">
        <v>162</v>
      </c>
      <c r="E11">
        <v>10</v>
      </c>
    </row>
    <row r="12" spans="1:15" x14ac:dyDescent="0.25">
      <c r="A12">
        <v>2016</v>
      </c>
      <c r="C12" t="s">
        <v>357</v>
      </c>
      <c r="D12" t="s">
        <v>160</v>
      </c>
      <c r="E12">
        <v>11</v>
      </c>
    </row>
    <row r="13" spans="1:15" x14ac:dyDescent="0.25">
      <c r="A13">
        <v>2017</v>
      </c>
      <c r="C13" t="s">
        <v>358</v>
      </c>
      <c r="D13" t="s">
        <v>161</v>
      </c>
      <c r="E13">
        <v>12</v>
      </c>
    </row>
    <row r="14" spans="1:15" x14ac:dyDescent="0.25">
      <c r="A14">
        <v>2018</v>
      </c>
    </row>
    <row r="15" spans="1:15" x14ac:dyDescent="0.25">
      <c r="A15">
        <v>2019</v>
      </c>
    </row>
    <row r="16" spans="1:15" x14ac:dyDescent="0.25">
      <c r="A16">
        <v>2020</v>
      </c>
    </row>
    <row r="17" spans="1:1" x14ac:dyDescent="0.25">
      <c r="A17">
        <v>2021</v>
      </c>
    </row>
    <row r="18" spans="1:1" x14ac:dyDescent="0.25">
      <c r="A18">
        <v>2022</v>
      </c>
    </row>
    <row r="19" spans="1:1" x14ac:dyDescent="0.25">
      <c r="A19">
        <v>2023</v>
      </c>
    </row>
    <row r="20" spans="1:1" x14ac:dyDescent="0.25">
      <c r="A20">
        <v>2024</v>
      </c>
    </row>
    <row r="21" spans="1:1" x14ac:dyDescent="0.25">
      <c r="A21">
        <v>2025</v>
      </c>
    </row>
  </sheetData>
  <phoneticPr fontId="2" type="noConversion"/>
  <pageMargins left="0.7" right="0.7" top="0.75" bottom="0.75" header="0.3" footer="0.3"/>
  <legacyDrawing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E0F24F3-C0E9-449F-B688-77A7DFD38F09}">
  <ds:schemaRefs>
    <ds:schemaRef ds:uri="http://gemini/pivotcustomization/FormulaBarState"/>
  </ds:schemaRefs>
</ds:datastoreItem>
</file>

<file path=customXml/itemProps2.xml><?xml version="1.0" encoding="utf-8"?>
<ds:datastoreItem xmlns:ds="http://schemas.openxmlformats.org/officeDocument/2006/customXml" ds:itemID="{F1C3DFF6-546E-410F-9BE2-038277E51682}">
  <ds:schemaRefs>
    <ds:schemaRef ds:uri="http://gemini/pivotcustomization/MeasureGridState"/>
  </ds:schemaRefs>
</ds:datastoreItem>
</file>

<file path=customXml/itemProps3.xml><?xml version="1.0" encoding="utf-8"?>
<ds:datastoreItem xmlns:ds="http://schemas.openxmlformats.org/officeDocument/2006/customXml" ds:itemID="{53BE68E1-6F92-4A1C-93DE-E308885B49CC}">
  <ds:schemaRefs>
    <ds:schemaRef ds:uri="http://gemini/pivotcustomization/ClientWindowXML"/>
  </ds:schemaRefs>
</ds:datastoreItem>
</file>

<file path=customXml/itemProps4.xml><?xml version="1.0" encoding="utf-8"?>
<ds:datastoreItem xmlns:ds="http://schemas.openxmlformats.org/officeDocument/2006/customXml" ds:itemID="{D64F9C9B-4F92-4D8A-82F3-574537A57134}">
  <ds:schemaRefs/>
</ds:datastoreItem>
</file>

<file path=customXml/itemProps5.xml><?xml version="1.0" encoding="utf-8"?>
<ds:datastoreItem xmlns:ds="http://schemas.openxmlformats.org/officeDocument/2006/customXml" ds:itemID="{3B1434EB-3BD9-4A05-A29D-45630C802FA9}">
  <ds:schemaRefs/>
</ds:datastoreItem>
</file>

<file path=customXml/itemProps6.xml><?xml version="1.0" encoding="utf-8"?>
<ds:datastoreItem xmlns:ds="http://schemas.openxmlformats.org/officeDocument/2006/customXml" ds:itemID="{18E3C73A-E7C2-44AC-8229-922530DBB2CB}">
  <ds:schemaRefs>
    <ds:schemaRef ds:uri="http://gemini/pivotcustomization/TableXML_GRADES"/>
  </ds:schemaRefs>
</ds:datastoreItem>
</file>

<file path=customXml/itemProps7.xml><?xml version="1.0" encoding="utf-8"?>
<ds:datastoreItem xmlns:ds="http://schemas.openxmlformats.org/officeDocument/2006/customXml" ds:itemID="{C8316F3B-9529-4A3D-BD1E-25FE735A6E57}">
  <ds:schemaRefs/>
</ds:datastoreItem>
</file>

<file path=customXml/itemProps8.xml><?xml version="1.0" encoding="utf-8"?>
<ds:datastoreItem xmlns:ds="http://schemas.openxmlformats.org/officeDocument/2006/customXml" ds:itemID="{7FE0BF0E-6351-4D1D-9C4F-4CD0E584E04E}">
  <ds:schemaRefs/>
</ds:datastoreItem>
</file>

<file path=customXml/itemProps9.xml><?xml version="1.0" encoding="utf-8"?>
<ds:datastoreItem xmlns:ds="http://schemas.openxmlformats.org/officeDocument/2006/customXml" ds:itemID="{A4D24252-5665-426C-9C48-C4A54AC52032}">
  <ds:schemaRefs>
    <ds:schemaRef ds:uri="http://gemini/pivotcustomization/TableXML_SportClimbing"/>
  </ds:schemaRefs>
</ds:datastoreItem>
</file>

<file path=customXml/itemProps10.xml><?xml version="1.0" encoding="utf-8"?>
<ds:datastoreItem xmlns:ds="http://schemas.openxmlformats.org/officeDocument/2006/customXml" ds:itemID="{05CB22FE-FECB-45E0-A3C8-8E9AAD8157A6}">
  <ds:schemaRefs/>
</ds:datastoreItem>
</file>

<file path=customXml/itemProps11.xml><?xml version="1.0" encoding="utf-8"?>
<ds:datastoreItem xmlns:ds="http://schemas.openxmlformats.org/officeDocument/2006/customXml" ds:itemID="{E2948CCF-8C3D-4458-B583-D98867966D63}">
  <ds:schemaRefs>
    <ds:schemaRef ds:uri="http://gemini/pivotcustomization/LinkedTableUpdateMode"/>
  </ds:schemaRefs>
</ds:datastoreItem>
</file>

<file path=customXml/itemProps12.xml><?xml version="1.0" encoding="utf-8"?>
<ds:datastoreItem xmlns:ds="http://schemas.openxmlformats.org/officeDocument/2006/customXml" ds:itemID="{8EA1DE6E-EEDE-465C-890A-110EE8903A8C}">
  <ds:schemaRefs>
    <ds:schemaRef ds:uri="http://gemini/pivotcustomization/TableXML_Years3"/>
  </ds:schemaRefs>
</ds:datastoreItem>
</file>

<file path=customXml/itemProps13.xml><?xml version="1.0" encoding="utf-8"?>
<ds:datastoreItem xmlns:ds="http://schemas.openxmlformats.org/officeDocument/2006/customXml" ds:itemID="{770F313B-F554-4FA0-B7C8-2BB721D1E244}">
  <ds:schemaRefs>
    <ds:schemaRef ds:uri="http://gemini/pivotcustomization/ManualCalcMode"/>
  </ds:schemaRefs>
</ds:datastoreItem>
</file>

<file path=customXml/itemProps14.xml><?xml version="1.0" encoding="utf-8"?>
<ds:datastoreItem xmlns:ds="http://schemas.openxmlformats.org/officeDocument/2006/customXml" ds:itemID="{DE5384C8-4EE0-48D0-BE86-A3A7DCB1A787}">
  <ds:schemaRefs>
    <ds:schemaRef ds:uri="http://gemini/pivotcustomization/ShowHidden"/>
  </ds:schemaRefs>
</ds:datastoreItem>
</file>

<file path=customXml/itemProps15.xml><?xml version="1.0" encoding="utf-8"?>
<ds:datastoreItem xmlns:ds="http://schemas.openxmlformats.org/officeDocument/2006/customXml" ds:itemID="{6762C802-A2A4-49C2-8CE0-E1ADC23F5280}">
  <ds:schemaRefs>
    <ds:schemaRef ds:uri="http://gemini/pivotcustomization/TableXML_MONTHS"/>
  </ds:schemaRefs>
</ds:datastoreItem>
</file>

<file path=customXml/itemProps16.xml><?xml version="1.0" encoding="utf-8"?>
<ds:datastoreItem xmlns:ds="http://schemas.openxmlformats.org/officeDocument/2006/customXml" ds:itemID="{ADB7EC15-B468-4585-8BAA-F5359E923585}">
  <ds:schemaRefs>
    <ds:schemaRef ds:uri="http://gemini/pivotcustomization/TableWidget"/>
  </ds:schemaRefs>
</ds:datastoreItem>
</file>

<file path=customXml/itemProps17.xml><?xml version="1.0" encoding="utf-8"?>
<ds:datastoreItem xmlns:ds="http://schemas.openxmlformats.org/officeDocument/2006/customXml" ds:itemID="{41329B92-25FF-4F3F-A4A0-DDE64A58BE2A}">
  <ds:schemaRefs>
    <ds:schemaRef ds:uri="http://gemini/pivotcustomization/Diagrams"/>
  </ds:schemaRefs>
</ds:datastoreItem>
</file>

<file path=customXml/itemProps18.xml><?xml version="1.0" encoding="utf-8"?>
<ds:datastoreItem xmlns:ds="http://schemas.openxmlformats.org/officeDocument/2006/customXml" ds:itemID="{0BFDF83C-55EF-45CE-84C5-DA16D7BE9A86}">
  <ds:schemaRefs>
    <ds:schemaRef ds:uri="http://gemini/pivotcustomization/TableXML_Years"/>
  </ds:schemaRefs>
</ds:datastoreItem>
</file>

<file path=customXml/itemProps19.xml><?xml version="1.0" encoding="utf-8"?>
<ds:datastoreItem xmlns:ds="http://schemas.openxmlformats.org/officeDocument/2006/customXml" ds:itemID="{4E7D7996-E24C-4A79-816F-264DE0E703E2}">
  <ds:schemaRefs>
    <ds:schemaRef ds:uri="http://gemini/pivotcustomization/ShowImplicitMeasures"/>
  </ds:schemaRefs>
</ds:datastoreItem>
</file>

<file path=customXml/itemProps20.xml><?xml version="1.0" encoding="utf-8"?>
<ds:datastoreItem xmlns:ds="http://schemas.openxmlformats.org/officeDocument/2006/customXml" ds:itemID="{6D4FC956-7989-40ED-BA5E-1F697686E1A1}">
  <ds:schemaRefs>
    <ds:schemaRef ds:uri="http://gemini/pivotcustomization/TableOrder"/>
  </ds:schemaRefs>
</ds:datastoreItem>
</file>

<file path=customXml/itemProps21.xml><?xml version="1.0" encoding="utf-8"?>
<ds:datastoreItem xmlns:ds="http://schemas.openxmlformats.org/officeDocument/2006/customXml" ds:itemID="{CCB5A8B8-789C-43BE-854E-1DB53E81B2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PIVOTS &amp; CALCULATIONS</vt:lpstr>
      <vt:lpstr>DATES &amp; GRADES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Malharin, Frederic (external - Service)</dc:creator>
  <cp:lastModifiedBy>Frédéric Malharin</cp:lastModifiedBy>
  <cp:lastPrinted>2025-07-08T10:47:21Z</cp:lastPrinted>
  <dcterms:created xsi:type="dcterms:W3CDTF">2018-02-26T15:29:07Z</dcterms:created>
  <dcterms:modified xsi:type="dcterms:W3CDTF">2026-03-22T21:09:46Z</dcterms:modified>
</cp:coreProperties>
</file>