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lone\Master\"/>
    </mc:Choice>
  </mc:AlternateContent>
  <xr:revisionPtr revIDLastSave="0" documentId="8_{0804A3EF-3BD3-4F1A-AEFF-3021C19A3BB4}" xr6:coauthVersionLast="47" xr6:coauthVersionMax="47" xr10:uidLastSave="{00000000-0000-0000-0000-000000000000}"/>
  <bookViews>
    <workbookView xWindow="2685" yWindow="2685" windowWidth="21600" windowHeight="12585" firstSheet="1" activeTab="1" xr2:uid="{AAFC8B8D-9972-4026-BCCA-D1A9B23ED0F4}"/>
  </bookViews>
  <sheets>
    <sheet name="Sheet1" sheetId="1" r:id="rId1"/>
    <sheet name="NPVs" sheetId="8" r:id="rId2"/>
    <sheet name="Sheet7" sheetId="7" r:id="rId3"/>
    <sheet name="Sheet2" sheetId="2" r:id="rId4"/>
    <sheet name="Sheet6" sheetId="6" r:id="rId5"/>
    <sheet name="Sheet3" sheetId="3" r:id="rId6"/>
    <sheet name="Sheet4" sheetId="4" r:id="rId7"/>
    <sheet name="Sheet5" sheetId="5" r:id="rId8"/>
  </sheets>
  <definedNames>
    <definedName name="_xlnm._FilterDatabase" localSheetId="1" hidden="1">NPVs!$H$11:$K$23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K20" i="8"/>
  <c r="K21" i="8"/>
  <c r="K22" i="8"/>
  <c r="K23" i="8"/>
  <c r="K18" i="8"/>
  <c r="K14" i="8"/>
  <c r="K12" i="8"/>
  <c r="K16" i="8"/>
  <c r="K13" i="8"/>
  <c r="K15" i="8"/>
  <c r="K17" i="8"/>
  <c r="K19" i="8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8" i="1"/>
  <c r="C9" i="2"/>
  <c r="E5" i="2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8" i="7"/>
  <c r="D9" i="7" l="1"/>
  <c r="E9" i="7"/>
  <c r="F9" i="7"/>
  <c r="G9" i="7"/>
  <c r="H9" i="7"/>
  <c r="I9" i="7"/>
  <c r="J9" i="7"/>
  <c r="K9" i="7"/>
  <c r="L9" i="7"/>
  <c r="L14" i="7" s="1"/>
  <c r="M9" i="7"/>
  <c r="N9" i="7"/>
  <c r="O9" i="7"/>
  <c r="P9" i="7"/>
  <c r="Q9" i="7"/>
  <c r="R9" i="7"/>
  <c r="S9" i="7"/>
  <c r="T9" i="7"/>
  <c r="U9" i="7"/>
  <c r="V9" i="7"/>
  <c r="W9" i="7"/>
  <c r="X9" i="7"/>
  <c r="X14" i="7" s="1"/>
  <c r="Y9" i="7"/>
  <c r="Z9" i="7"/>
  <c r="AA9" i="7"/>
  <c r="C9" i="7"/>
  <c r="F14" i="7"/>
  <c r="C14" i="7"/>
  <c r="D14" i="7"/>
  <c r="H24" i="7"/>
  <c r="G24" i="7"/>
  <c r="D22" i="7"/>
  <c r="D18" i="7"/>
  <c r="D17" i="7"/>
  <c r="P14" i="7"/>
  <c r="B6" i="7"/>
  <c r="B4" i="7"/>
  <c r="F14" i="1"/>
  <c r="G14" i="1"/>
  <c r="H14" i="1"/>
  <c r="S14" i="1"/>
  <c r="T14" i="1"/>
  <c r="D22" i="1"/>
  <c r="D3" i="6"/>
  <c r="D4" i="6"/>
  <c r="D5" i="6"/>
  <c r="D6" i="6"/>
  <c r="D7" i="6"/>
  <c r="D9" i="6"/>
  <c r="D8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G4" i="6"/>
  <c r="G5" i="6"/>
  <c r="G6" i="6"/>
  <c r="G7" i="6"/>
  <c r="G8" i="6"/>
  <c r="G9" i="6"/>
  <c r="G3" i="6"/>
  <c r="I3" i="6"/>
  <c r="H4" i="6"/>
  <c r="H3" i="6"/>
  <c r="C4" i="6"/>
  <c r="C5" i="6"/>
  <c r="C6" i="6"/>
  <c r="C7" i="6"/>
  <c r="C8" i="6"/>
  <c r="C9" i="6"/>
  <c r="C3" i="6"/>
  <c r="G24" i="1"/>
  <c r="N18" i="3"/>
  <c r="N21" i="3" s="1"/>
  <c r="E2" i="3"/>
  <c r="R8" i="3" s="1"/>
  <c r="R14" i="3" s="1"/>
  <c r="C6" i="5"/>
  <c r="C9" i="5"/>
  <c r="C5" i="5"/>
  <c r="E2" i="5"/>
  <c r="J9" i="5"/>
  <c r="B4" i="5"/>
  <c r="J8" i="5"/>
  <c r="K8" i="5"/>
  <c r="AA8" i="5"/>
  <c r="I9" i="5"/>
  <c r="O9" i="5"/>
  <c r="Q9" i="5"/>
  <c r="B14" i="5"/>
  <c r="C2" i="5"/>
  <c r="H24" i="5"/>
  <c r="K22" i="5"/>
  <c r="F22" i="5"/>
  <c r="F23" i="5" s="1"/>
  <c r="E23" i="5" s="1"/>
  <c r="N21" i="5"/>
  <c r="F20" i="5"/>
  <c r="N18" i="5"/>
  <c r="N19" i="5" s="1"/>
  <c r="N22" i="5" s="1"/>
  <c r="K18" i="5"/>
  <c r="J18" i="5"/>
  <c r="D18" i="5"/>
  <c r="G17" i="5"/>
  <c r="D17" i="5"/>
  <c r="E5" i="5"/>
  <c r="E22" i="5" s="1"/>
  <c r="K4" i="5"/>
  <c r="J4" i="5"/>
  <c r="J1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8" i="4"/>
  <c r="N18" i="4"/>
  <c r="N21" i="4" s="1"/>
  <c r="H24" i="4"/>
  <c r="K22" i="4"/>
  <c r="F22" i="4"/>
  <c r="F23" i="4" s="1"/>
  <c r="E23" i="4" s="1"/>
  <c r="F20" i="4"/>
  <c r="K18" i="4"/>
  <c r="D18" i="4"/>
  <c r="G17" i="4"/>
  <c r="D17" i="4"/>
  <c r="AA9" i="4"/>
  <c r="Z9" i="4"/>
  <c r="Y9" i="4"/>
  <c r="X9" i="4"/>
  <c r="W9" i="4"/>
  <c r="V9" i="4"/>
  <c r="S9" i="4"/>
  <c r="R9" i="4"/>
  <c r="Q9" i="4"/>
  <c r="P9" i="4"/>
  <c r="O9" i="4"/>
  <c r="N9" i="4"/>
  <c r="M9" i="4"/>
  <c r="L9" i="4"/>
  <c r="K9" i="4"/>
  <c r="J9" i="4"/>
  <c r="G9" i="4"/>
  <c r="F9" i="4"/>
  <c r="E9" i="4"/>
  <c r="D9" i="4"/>
  <c r="C9" i="4"/>
  <c r="K4" i="4"/>
  <c r="B4" i="4"/>
  <c r="B14" i="4" s="1"/>
  <c r="E2" i="4"/>
  <c r="I4" i="4" s="1"/>
  <c r="F22" i="3"/>
  <c r="F23" i="3" s="1"/>
  <c r="E23" i="3" s="1"/>
  <c r="G17" i="3"/>
  <c r="K18" i="3"/>
  <c r="K22" i="3"/>
  <c r="E5" i="3"/>
  <c r="E22" i="3" s="1"/>
  <c r="F20" i="3"/>
  <c r="D2" i="3" s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H24" i="3"/>
  <c r="D17" i="3"/>
  <c r="D18" i="3" s="1"/>
  <c r="K4" i="3"/>
  <c r="B4" i="3"/>
  <c r="B14" i="3" s="1"/>
  <c r="D9" i="2"/>
  <c r="E9" i="2"/>
  <c r="E14" i="2" s="1"/>
  <c r="F9" i="2"/>
  <c r="G9" i="2"/>
  <c r="H9" i="2"/>
  <c r="I9" i="2"/>
  <c r="J9" i="2"/>
  <c r="K9" i="2"/>
  <c r="L9" i="2"/>
  <c r="M9" i="2"/>
  <c r="N9" i="2"/>
  <c r="O9" i="2"/>
  <c r="P9" i="2"/>
  <c r="Q9" i="2"/>
  <c r="Q14" i="2" s="1"/>
  <c r="R9" i="2"/>
  <c r="S9" i="2"/>
  <c r="T9" i="2"/>
  <c r="U9" i="2"/>
  <c r="V9" i="2"/>
  <c r="W9" i="2"/>
  <c r="X9" i="2"/>
  <c r="Y9" i="2"/>
  <c r="Z9" i="2"/>
  <c r="AA9" i="2"/>
  <c r="B6" i="2"/>
  <c r="E2" i="2"/>
  <c r="E4" i="2" s="1"/>
  <c r="K4" i="2"/>
  <c r="B4" i="2"/>
  <c r="H24" i="2"/>
  <c r="D17" i="2"/>
  <c r="D18" i="2" s="1"/>
  <c r="H24" i="1"/>
  <c r="C14" i="1"/>
  <c r="I14" i="1"/>
  <c r="R14" i="1"/>
  <c r="U14" i="1"/>
  <c r="D18" i="1"/>
  <c r="D17" i="1"/>
  <c r="B6" i="1"/>
  <c r="B4" i="1"/>
  <c r="V8" i="3" l="1"/>
  <c r="V14" i="3" s="1"/>
  <c r="U8" i="3"/>
  <c r="AA8" i="3"/>
  <c r="S8" i="3"/>
  <c r="S14" i="3" s="1"/>
  <c r="D5" i="3"/>
  <c r="E8" i="3"/>
  <c r="E14" i="3" s="1"/>
  <c r="C8" i="3"/>
  <c r="C14" i="3" s="1"/>
  <c r="W8" i="3"/>
  <c r="P8" i="3"/>
  <c r="P14" i="3" s="1"/>
  <c r="O8" i="3"/>
  <c r="Y8" i="3"/>
  <c r="M8" i="3"/>
  <c r="M14" i="3" s="1"/>
  <c r="G8" i="3"/>
  <c r="G14" i="3" s="1"/>
  <c r="D8" i="3"/>
  <c r="D14" i="3" s="1"/>
  <c r="H14" i="3"/>
  <c r="Z8" i="3"/>
  <c r="N8" i="3"/>
  <c r="X8" i="3"/>
  <c r="L8" i="3"/>
  <c r="L14" i="3" s="1"/>
  <c r="K8" i="3"/>
  <c r="J8" i="3"/>
  <c r="J14" i="3" s="1"/>
  <c r="I8" i="3"/>
  <c r="I14" i="3" s="1"/>
  <c r="J4" i="3"/>
  <c r="T8" i="3"/>
  <c r="T14" i="3" s="1"/>
  <c r="H8" i="3"/>
  <c r="F8" i="3"/>
  <c r="F14" i="3" s="1"/>
  <c r="Q8" i="3"/>
  <c r="Q14" i="3" s="1"/>
  <c r="B14" i="2"/>
  <c r="V14" i="7"/>
  <c r="AA14" i="7"/>
  <c r="R14" i="7"/>
  <c r="B14" i="7"/>
  <c r="T14" i="7"/>
  <c r="J14" i="7"/>
  <c r="H14" i="7"/>
  <c r="O14" i="7"/>
  <c r="M14" i="7"/>
  <c r="Y14" i="7"/>
  <c r="I14" i="7"/>
  <c r="E14" i="7"/>
  <c r="Q14" i="7"/>
  <c r="G14" i="7"/>
  <c r="S14" i="7"/>
  <c r="U14" i="7"/>
  <c r="K14" i="7"/>
  <c r="W14" i="7"/>
  <c r="N14" i="7"/>
  <c r="Z14" i="7"/>
  <c r="D14" i="1"/>
  <c r="W14" i="1"/>
  <c r="K14" i="1"/>
  <c r="B14" i="1"/>
  <c r="P14" i="1"/>
  <c r="V14" i="1"/>
  <c r="J14" i="1"/>
  <c r="Q14" i="1"/>
  <c r="E14" i="1"/>
  <c r="AA14" i="1"/>
  <c r="X14" i="1"/>
  <c r="Y14" i="1"/>
  <c r="M14" i="1"/>
  <c r="L14" i="1"/>
  <c r="E9" i="5"/>
  <c r="C8" i="5"/>
  <c r="W8" i="5"/>
  <c r="AA9" i="5"/>
  <c r="V8" i="5"/>
  <c r="U8" i="5"/>
  <c r="V9" i="5"/>
  <c r="Q8" i="5"/>
  <c r="W9" i="5"/>
  <c r="U9" i="5"/>
  <c r="U14" i="5" s="1"/>
  <c r="O8" i="5"/>
  <c r="O14" i="5" s="1"/>
  <c r="K9" i="5"/>
  <c r="E8" i="5"/>
  <c r="E14" i="5" s="1"/>
  <c r="X9" i="5"/>
  <c r="L9" i="5"/>
  <c r="X8" i="5"/>
  <c r="L8" i="5"/>
  <c r="I8" i="5"/>
  <c r="T9" i="5"/>
  <c r="H9" i="5"/>
  <c r="T8" i="5"/>
  <c r="T14" i="5" s="1"/>
  <c r="H8" i="5"/>
  <c r="H14" i="5" s="1"/>
  <c r="S9" i="5"/>
  <c r="G9" i="5"/>
  <c r="S8" i="5"/>
  <c r="G8" i="5"/>
  <c r="R9" i="5"/>
  <c r="F9" i="5"/>
  <c r="R8" i="5"/>
  <c r="F8" i="5"/>
  <c r="P9" i="5"/>
  <c r="D9" i="5"/>
  <c r="P8" i="5"/>
  <c r="P14" i="5" s="1"/>
  <c r="D8" i="5"/>
  <c r="Z9" i="5"/>
  <c r="N9" i="5"/>
  <c r="Z8" i="5"/>
  <c r="Z14" i="5" s="1"/>
  <c r="N8" i="5"/>
  <c r="C14" i="5"/>
  <c r="Y9" i="5"/>
  <c r="M9" i="5"/>
  <c r="Y8" i="5"/>
  <c r="Y14" i="5" s="1"/>
  <c r="M8" i="5"/>
  <c r="AA14" i="5"/>
  <c r="F14" i="5"/>
  <c r="Q14" i="5"/>
  <c r="E24" i="5"/>
  <c r="D14" i="5"/>
  <c r="E4" i="5"/>
  <c r="I14" i="5"/>
  <c r="H4" i="5"/>
  <c r="J14" i="5"/>
  <c r="V14" i="5"/>
  <c r="I4" i="5"/>
  <c r="K14" i="5"/>
  <c r="W14" i="5"/>
  <c r="M14" i="5"/>
  <c r="J14" i="4"/>
  <c r="Z14" i="4"/>
  <c r="Y14" i="4"/>
  <c r="V14" i="4"/>
  <c r="L14" i="4"/>
  <c r="S14" i="4"/>
  <c r="G14" i="4"/>
  <c r="R14" i="4"/>
  <c r="F14" i="4"/>
  <c r="H9" i="4"/>
  <c r="T9" i="4"/>
  <c r="Q14" i="4"/>
  <c r="E14" i="4"/>
  <c r="E5" i="4"/>
  <c r="E22" i="4" s="1"/>
  <c r="E24" i="4" s="1"/>
  <c r="I9" i="4"/>
  <c r="U9" i="4"/>
  <c r="C14" i="4"/>
  <c r="P14" i="4"/>
  <c r="D14" i="4"/>
  <c r="AA14" i="4"/>
  <c r="O14" i="4"/>
  <c r="K14" i="4"/>
  <c r="X14" i="4"/>
  <c r="W14" i="4"/>
  <c r="M14" i="4"/>
  <c r="N14" i="4"/>
  <c r="N19" i="4"/>
  <c r="N22" i="4" s="1"/>
  <c r="J4" i="4"/>
  <c r="E4" i="4"/>
  <c r="H4" i="4"/>
  <c r="X14" i="3"/>
  <c r="W14" i="3"/>
  <c r="K14" i="3"/>
  <c r="N14" i="3"/>
  <c r="N19" i="3"/>
  <c r="N22" i="3" s="1"/>
  <c r="E24" i="3"/>
  <c r="H4" i="2"/>
  <c r="I4" i="2"/>
  <c r="J4" i="2"/>
  <c r="U14" i="3"/>
  <c r="AA14" i="3"/>
  <c r="O14" i="3"/>
  <c r="Z14" i="3"/>
  <c r="Y14" i="3"/>
  <c r="E4" i="3"/>
  <c r="H4" i="3"/>
  <c r="I4" i="3"/>
  <c r="I14" i="2"/>
  <c r="U14" i="2"/>
  <c r="Z14" i="2"/>
  <c r="N14" i="2"/>
  <c r="X14" i="2"/>
  <c r="L14" i="2"/>
  <c r="W14" i="2"/>
  <c r="K14" i="2"/>
  <c r="V14" i="2"/>
  <c r="J14" i="2"/>
  <c r="H14" i="2"/>
  <c r="T14" i="2"/>
  <c r="C14" i="2"/>
  <c r="O14" i="2"/>
  <c r="AA14" i="2"/>
  <c r="F14" i="2"/>
  <c r="R14" i="2"/>
  <c r="G14" i="2"/>
  <c r="S14" i="2"/>
  <c r="M14" i="2"/>
  <c r="Y14" i="2"/>
  <c r="D14" i="2"/>
  <c r="P14" i="2"/>
  <c r="Z14" i="1"/>
  <c r="N14" i="1"/>
  <c r="O14" i="1"/>
  <c r="A14" i="7" l="1"/>
  <c r="B16" i="7"/>
  <c r="B16" i="1"/>
  <c r="B18" i="1" s="1"/>
  <c r="B20" i="1" s="1"/>
  <c r="A14" i="1"/>
  <c r="S14" i="5"/>
  <c r="B16" i="5" s="1"/>
  <c r="B18" i="5" s="1"/>
  <c r="B20" i="5" s="1"/>
  <c r="R14" i="5"/>
  <c r="L14" i="5"/>
  <c r="N14" i="5"/>
  <c r="G14" i="5"/>
  <c r="X14" i="5"/>
  <c r="A14" i="5"/>
  <c r="T14" i="4"/>
  <c r="H14" i="4"/>
  <c r="U14" i="4"/>
  <c r="I14" i="4"/>
  <c r="B16" i="3"/>
  <c r="A14" i="3"/>
  <c r="B16" i="2"/>
  <c r="B18" i="2" s="1"/>
  <c r="B20" i="2" s="1"/>
  <c r="A14" i="2"/>
  <c r="B18" i="3" l="1"/>
  <c r="B20" i="3" s="1"/>
  <c r="B18" i="7"/>
  <c r="B20" i="7" s="1"/>
  <c r="A14" i="4"/>
  <c r="B16" i="4"/>
  <c r="B18" i="4" s="1"/>
  <c r="B20" i="4" s="1"/>
</calcChain>
</file>

<file path=xl/sharedStrings.xml><?xml version="1.0" encoding="utf-8"?>
<sst xmlns="http://schemas.openxmlformats.org/spreadsheetml/2006/main" count="112" uniqueCount="59">
  <si>
    <t>Capex</t>
  </si>
  <si>
    <t>Upgrading</t>
  </si>
  <si>
    <t>Capacity</t>
  </si>
  <si>
    <t>Revenue</t>
  </si>
  <si>
    <t>Cost</t>
  </si>
  <si>
    <t>Transport</t>
  </si>
  <si>
    <t>GHG</t>
  </si>
  <si>
    <t>IRR</t>
  </si>
  <si>
    <t>Flex</t>
  </si>
  <si>
    <t>U_elec</t>
  </si>
  <si>
    <t>MWh</t>
  </si>
  <si>
    <t>NCH4</t>
  </si>
  <si>
    <t>MW</t>
  </si>
  <si>
    <t>NonEEG</t>
  </si>
  <si>
    <t>Flexbiogas</t>
  </si>
  <si>
    <t>Flexbiomethane</t>
  </si>
  <si>
    <t>Boiler</t>
  </si>
  <si>
    <t>Manure</t>
  </si>
  <si>
    <t>Small man</t>
  </si>
  <si>
    <t>Number of plants</t>
  </si>
  <si>
    <t>NPVs</t>
  </si>
  <si>
    <t>Runtime</t>
  </si>
  <si>
    <t>New model</t>
  </si>
  <si>
    <t>godHelg</t>
  </si>
  <si>
    <t>Nodes</t>
  </si>
  <si>
    <t>Sunday</t>
  </si>
  <si>
    <t>Type</t>
  </si>
  <si>
    <t>Full LAU</t>
  </si>
  <si>
    <t>manure</t>
  </si>
  <si>
    <t>Large scale</t>
  </si>
  <si>
    <t>Small scale</t>
  </si>
  <si>
    <t>100nodes</t>
  </si>
  <si>
    <t>killed</t>
  </si>
  <si>
    <t>soon done</t>
  </si>
  <si>
    <t>No signs of improvement</t>
  </si>
  <si>
    <t>restarted</t>
  </si>
  <si>
    <t>not done</t>
  </si>
  <si>
    <t>75 nodes</t>
  </si>
  <si>
    <t>restarted 50 nodes</t>
  </si>
  <si>
    <t>price</t>
  </si>
  <si>
    <t>methane</t>
  </si>
  <si>
    <t>cattle_man</t>
  </si>
  <si>
    <t>cattle_slu</t>
  </si>
  <si>
    <t>horse_man</t>
  </si>
  <si>
    <t>pigh_man</t>
  </si>
  <si>
    <t>pig_slur</t>
  </si>
  <si>
    <t>clover</t>
  </si>
  <si>
    <t>rape</t>
  </si>
  <si>
    <t>beat</t>
  </si>
  <si>
    <t>maize</t>
  </si>
  <si>
    <t>perm</t>
  </si>
  <si>
    <t>cereal</t>
  </si>
  <si>
    <t>legume</t>
  </si>
  <si>
    <t>ratio</t>
  </si>
  <si>
    <t>restarted with RAM limits</t>
  </si>
  <si>
    <t>35nodes</t>
  </si>
  <si>
    <t>Large scale with RAM</t>
  </si>
  <si>
    <t>75 nodes, large scale</t>
  </si>
  <si>
    <t>50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</si>
</sst>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_-* #,##0.0000_-;\-* #,##0.0000_-;_-* &quot;-&quot;??_-;_-@_-"/>
    <numFmt numFmtId="167" formatCode="_-* #,##0.00000_-;\-* #,##0.00000_-;_-* &quot;-&quot;??_-;_-@_-"/>
    <numFmt numFmtId="168" formatCode="0.000E+00"/>
    <numFmt numFmtId="169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8" fontId="0" fillId="0" borderId="0" xfId="0" applyNumberFormat="1"/>
    <xf numFmtId="9" fontId="0" fillId="0" borderId="0" xfId="0" applyNumberFormat="1"/>
    <xf numFmtId="43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8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5" fontId="0" fillId="0" borderId="0" xfId="1" applyNumberFormat="1" applyFont="1"/>
    <xf numFmtId="0" fontId="2" fillId="0" borderId="0" xfId="0" applyFont="1"/>
    <xf numFmtId="11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140969</xdr:colOff>
      <xdr:row>12</xdr:row>
      <xdr:rowOff>32385</xdr:rowOff>
    </xdr:from>
    <xdr:to>
      <xdr:col>18</xdr:col>
      <xdr:colOff>217440</xdr:colOff>
      <xdr:row>26</xdr:row>
      <xdr:rowOff>67292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155AAA-13FF-DE5E-5684-519891B77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4744" y="2318385"/>
          <a:ext cx="4343671" cy="2701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5002-4104-47EA-804A-FF92F82BB724}">
  <dimension ref="A1:AA24"/>
  <sheetViews>
    <sheetView workbookViewId="0">
      <selection activeCell="A14" sqref="A14"/>
    </sheetView>
  </sheetViews>
  <sheetFormatPr defaultRowHeight="15" x14ac:dyDescent="0.25"/>
  <cols>
    <col min="2" max="2" width="14.7109375" bestFit="1" customWidth="1"/>
    <col min="3" max="3" width="14.140625" bestFit="1" customWidth="1"/>
    <col min="4" max="4" width="12" bestFit="1" customWidth="1"/>
  </cols>
  <sheetData>
    <row r="1" spans="1:27" x14ac:dyDescent="0.25">
      <c r="B1" t="s">
        <v>2</v>
      </c>
    </row>
    <row r="2" spans="1:27" x14ac:dyDescent="0.25">
      <c r="B2" s="1">
        <v>80000000</v>
      </c>
    </row>
    <row r="3" spans="1:27" x14ac:dyDescent="0.25">
      <c r="B3" t="s">
        <v>0</v>
      </c>
    </row>
    <row r="4" spans="1:27" x14ac:dyDescent="0.25">
      <c r="B4" s="2">
        <f>-B2*150.12*B2^(-0.311)</f>
        <v>-41847311.018606402</v>
      </c>
    </row>
    <row r="5" spans="1:27" x14ac:dyDescent="0.25">
      <c r="B5" t="s">
        <v>1</v>
      </c>
    </row>
    <row r="6" spans="1:27" x14ac:dyDescent="0.25">
      <c r="B6" s="2">
        <f>-(B2/8000)*47777*(B2/8000)^(-0.421)</f>
        <v>-9890514.3221189622</v>
      </c>
    </row>
    <row r="8" spans="1:27" x14ac:dyDescent="0.25">
      <c r="B8" t="s">
        <v>3</v>
      </c>
      <c r="C8" s="16">
        <f>30*9.97/1000 * $B$2*0.55 + 50/556 * $B$2*0.3</f>
        <v>15318673.381294968</v>
      </c>
      <c r="D8" s="16">
        <f t="shared" ref="D8:AA8" si="0">30*9.97/1000 * $B$2*0.55 + 50/556 * $B$2*0.3</f>
        <v>15318673.381294968</v>
      </c>
      <c r="E8" s="16">
        <f t="shared" si="0"/>
        <v>15318673.381294968</v>
      </c>
      <c r="F8" s="16">
        <f t="shared" si="0"/>
        <v>15318673.381294968</v>
      </c>
      <c r="G8" s="16">
        <f t="shared" si="0"/>
        <v>15318673.381294968</v>
      </c>
      <c r="H8" s="16">
        <f t="shared" si="0"/>
        <v>15318673.381294968</v>
      </c>
      <c r="I8" s="16">
        <f t="shared" si="0"/>
        <v>15318673.381294968</v>
      </c>
      <c r="J8" s="16">
        <f t="shared" si="0"/>
        <v>15318673.381294968</v>
      </c>
      <c r="K8" s="16">
        <f t="shared" si="0"/>
        <v>15318673.381294968</v>
      </c>
      <c r="L8" s="16">
        <f t="shared" si="0"/>
        <v>15318673.381294968</v>
      </c>
      <c r="M8" s="16">
        <f t="shared" si="0"/>
        <v>15318673.381294968</v>
      </c>
      <c r="N8" s="16">
        <f t="shared" si="0"/>
        <v>15318673.381294968</v>
      </c>
      <c r="O8" s="16">
        <f t="shared" si="0"/>
        <v>15318673.381294968</v>
      </c>
      <c r="P8" s="16">
        <f t="shared" si="0"/>
        <v>15318673.381294968</v>
      </c>
      <c r="Q8" s="16">
        <f t="shared" si="0"/>
        <v>15318673.381294968</v>
      </c>
      <c r="R8" s="16">
        <f t="shared" si="0"/>
        <v>15318673.381294968</v>
      </c>
      <c r="S8" s="16">
        <f t="shared" si="0"/>
        <v>15318673.381294968</v>
      </c>
      <c r="T8" s="16">
        <f t="shared" si="0"/>
        <v>15318673.381294968</v>
      </c>
      <c r="U8" s="16">
        <f t="shared" si="0"/>
        <v>15318673.381294968</v>
      </c>
      <c r="V8" s="16">
        <f t="shared" si="0"/>
        <v>15318673.381294968</v>
      </c>
      <c r="W8" s="16">
        <f t="shared" si="0"/>
        <v>15318673.381294968</v>
      </c>
      <c r="X8" s="16">
        <f t="shared" si="0"/>
        <v>15318673.381294968</v>
      </c>
      <c r="Y8" s="16">
        <f t="shared" si="0"/>
        <v>15318673.381294968</v>
      </c>
      <c r="Z8" s="16">
        <f t="shared" si="0"/>
        <v>15318673.381294968</v>
      </c>
      <c r="AA8" s="16">
        <f t="shared" si="0"/>
        <v>15318673.381294968</v>
      </c>
    </row>
    <row r="9" spans="1:27" x14ac:dyDescent="0.25">
      <c r="B9" t="s">
        <v>4</v>
      </c>
      <c r="C9" s="4">
        <f>-2.1209*$B$2^(0.8359)-0.05*$B$2*0.5</f>
        <v>-10564718.8712082</v>
      </c>
      <c r="D9" s="4">
        <f t="shared" ref="D9:AA9" si="1">-2.1209*$B$2^(0.8359)-0.05*$B$2*0.5</f>
        <v>-10564718.8712082</v>
      </c>
      <c r="E9" s="4">
        <f t="shared" si="1"/>
        <v>-10564718.8712082</v>
      </c>
      <c r="F9" s="4">
        <f t="shared" si="1"/>
        <v>-10564718.8712082</v>
      </c>
      <c r="G9" s="4">
        <f t="shared" si="1"/>
        <v>-10564718.8712082</v>
      </c>
      <c r="H9" s="4">
        <f t="shared" si="1"/>
        <v>-10564718.8712082</v>
      </c>
      <c r="I9" s="4">
        <f t="shared" si="1"/>
        <v>-10564718.8712082</v>
      </c>
      <c r="J9" s="4">
        <f t="shared" si="1"/>
        <v>-10564718.8712082</v>
      </c>
      <c r="K9" s="4">
        <f t="shared" si="1"/>
        <v>-10564718.8712082</v>
      </c>
      <c r="L9" s="4">
        <f t="shared" si="1"/>
        <v>-10564718.8712082</v>
      </c>
      <c r="M9" s="4">
        <f t="shared" si="1"/>
        <v>-10564718.8712082</v>
      </c>
      <c r="N9" s="4">
        <f t="shared" si="1"/>
        <v>-10564718.8712082</v>
      </c>
      <c r="O9" s="4">
        <f t="shared" si="1"/>
        <v>-10564718.8712082</v>
      </c>
      <c r="P9" s="4">
        <f t="shared" si="1"/>
        <v>-10564718.8712082</v>
      </c>
      <c r="Q9" s="4">
        <f t="shared" si="1"/>
        <v>-10564718.8712082</v>
      </c>
      <c r="R9" s="4">
        <f t="shared" si="1"/>
        <v>-10564718.8712082</v>
      </c>
      <c r="S9" s="4">
        <f t="shared" si="1"/>
        <v>-10564718.8712082</v>
      </c>
      <c r="T9" s="4">
        <f t="shared" si="1"/>
        <v>-10564718.8712082</v>
      </c>
      <c r="U9" s="4">
        <f t="shared" si="1"/>
        <v>-10564718.8712082</v>
      </c>
      <c r="V9" s="4">
        <f t="shared" si="1"/>
        <v>-10564718.8712082</v>
      </c>
      <c r="W9" s="4">
        <f t="shared" si="1"/>
        <v>-10564718.8712082</v>
      </c>
      <c r="X9" s="4">
        <f t="shared" si="1"/>
        <v>-10564718.8712082</v>
      </c>
      <c r="Y9" s="4">
        <f t="shared" si="1"/>
        <v>-10564718.8712082</v>
      </c>
      <c r="Z9" s="4">
        <f t="shared" si="1"/>
        <v>-10564718.8712082</v>
      </c>
      <c r="AA9" s="4">
        <f t="shared" si="1"/>
        <v>-10564718.8712082</v>
      </c>
    </row>
    <row r="10" spans="1:27" x14ac:dyDescent="0.25">
      <c r="B10" t="s">
        <v>5</v>
      </c>
      <c r="C10" s="1">
        <v>-11800000</v>
      </c>
      <c r="D10" s="1">
        <v>-11800000</v>
      </c>
      <c r="E10" s="1">
        <v>-11800000</v>
      </c>
      <c r="F10" s="1">
        <v>-11800000</v>
      </c>
      <c r="G10" s="1">
        <v>-11800000</v>
      </c>
      <c r="H10" s="1">
        <v>-11800000</v>
      </c>
      <c r="I10" s="1">
        <v>-11800000</v>
      </c>
      <c r="J10" s="1">
        <v>-11800000</v>
      </c>
      <c r="K10" s="1">
        <v>-11800000</v>
      </c>
      <c r="L10" s="1">
        <v>-11800000</v>
      </c>
      <c r="M10" s="1">
        <v>-11800000</v>
      </c>
      <c r="N10" s="1">
        <v>-11800000</v>
      </c>
      <c r="O10" s="1">
        <v>-11800000</v>
      </c>
      <c r="P10" s="1">
        <v>-11800000</v>
      </c>
      <c r="Q10" s="1">
        <v>-11800000</v>
      </c>
      <c r="R10" s="1">
        <v>-11800000</v>
      </c>
      <c r="S10" s="1">
        <v>-11800000</v>
      </c>
      <c r="T10" s="1">
        <v>-11800000</v>
      </c>
      <c r="U10" s="1">
        <v>-11800000</v>
      </c>
      <c r="V10" s="1">
        <v>-11800000</v>
      </c>
      <c r="W10" s="1">
        <v>-11800000</v>
      </c>
      <c r="X10" s="1">
        <v>-11800000</v>
      </c>
      <c r="Y10" s="1">
        <v>-11800000</v>
      </c>
      <c r="Z10" s="1">
        <v>-11800000</v>
      </c>
      <c r="AA10" s="1">
        <v>-11800000</v>
      </c>
    </row>
    <row r="11" spans="1:27" x14ac:dyDescent="0.25">
      <c r="B11" t="s">
        <v>6</v>
      </c>
      <c r="C11" s="15">
        <v>16300000</v>
      </c>
      <c r="D11" s="15">
        <v>16300000</v>
      </c>
      <c r="E11" s="15">
        <v>16300000</v>
      </c>
      <c r="F11" s="15">
        <v>16300000</v>
      </c>
      <c r="G11" s="15">
        <v>16300000</v>
      </c>
      <c r="H11" s="15">
        <v>16300000</v>
      </c>
      <c r="I11" s="15">
        <v>16300000</v>
      </c>
      <c r="J11" s="15">
        <v>16300000</v>
      </c>
      <c r="K11" s="15">
        <v>16300000</v>
      </c>
      <c r="L11" s="15">
        <v>16300000</v>
      </c>
      <c r="M11" s="15">
        <v>16300000</v>
      </c>
      <c r="N11" s="15">
        <v>16300000</v>
      </c>
      <c r="O11" s="15">
        <v>16300000</v>
      </c>
      <c r="P11" s="15">
        <v>16300000</v>
      </c>
      <c r="Q11" s="15">
        <v>16300000</v>
      </c>
      <c r="R11" s="15">
        <v>16300000</v>
      </c>
      <c r="S11" s="15">
        <v>16300000</v>
      </c>
      <c r="T11" s="15">
        <v>16300000</v>
      </c>
      <c r="U11" s="15">
        <v>16300000</v>
      </c>
      <c r="V11" s="15">
        <v>16300000</v>
      </c>
      <c r="W11" s="15">
        <v>16300000</v>
      </c>
      <c r="X11" s="15">
        <v>16300000</v>
      </c>
      <c r="Y11" s="15">
        <v>16300000</v>
      </c>
      <c r="Z11" s="15">
        <v>16300000</v>
      </c>
      <c r="AA11" s="15">
        <v>16300000</v>
      </c>
    </row>
    <row r="13" spans="1:27" x14ac:dyDescent="0.25">
      <c r="A13" t="s">
        <v>7</v>
      </c>
    </row>
    <row r="14" spans="1:27" x14ac:dyDescent="0.25">
      <c r="A14" s="17">
        <f>IRR(B14:AA14)</f>
        <v>0.17573814718100267</v>
      </c>
      <c r="B14" s="3">
        <f>B6+B4</f>
        <v>-51737825.340725362</v>
      </c>
      <c r="C14">
        <f>SUM(C8:C13)</f>
        <v>9253954.5100867674</v>
      </c>
      <c r="D14">
        <f t="shared" ref="D14:AA14" si="2">SUM(D8:D13)</f>
        <v>9253954.5100867674</v>
      </c>
      <c r="E14">
        <f t="shared" si="2"/>
        <v>9253954.5100867674</v>
      </c>
      <c r="F14">
        <f t="shared" si="2"/>
        <v>9253954.5100867674</v>
      </c>
      <c r="G14">
        <f t="shared" si="2"/>
        <v>9253954.5100867674</v>
      </c>
      <c r="H14">
        <f t="shared" si="2"/>
        <v>9253954.5100867674</v>
      </c>
      <c r="I14">
        <f t="shared" si="2"/>
        <v>9253954.5100867674</v>
      </c>
      <c r="J14">
        <f t="shared" si="2"/>
        <v>9253954.5100867674</v>
      </c>
      <c r="K14">
        <f t="shared" si="2"/>
        <v>9253954.5100867674</v>
      </c>
      <c r="L14">
        <f t="shared" si="2"/>
        <v>9253954.5100867674</v>
      </c>
      <c r="M14">
        <f t="shared" si="2"/>
        <v>9253954.5100867674</v>
      </c>
      <c r="N14">
        <f t="shared" si="2"/>
        <v>9253954.5100867674</v>
      </c>
      <c r="O14">
        <f t="shared" si="2"/>
        <v>9253954.5100867674</v>
      </c>
      <c r="P14">
        <f t="shared" si="2"/>
        <v>9253954.5100867674</v>
      </c>
      <c r="Q14">
        <f t="shared" si="2"/>
        <v>9253954.5100867674</v>
      </c>
      <c r="R14">
        <f t="shared" si="2"/>
        <v>9253954.5100867674</v>
      </c>
      <c r="S14">
        <f t="shared" si="2"/>
        <v>9253954.5100867674</v>
      </c>
      <c r="T14">
        <f t="shared" si="2"/>
        <v>9253954.5100867674</v>
      </c>
      <c r="U14">
        <f t="shared" si="2"/>
        <v>9253954.5100867674</v>
      </c>
      <c r="V14">
        <f t="shared" si="2"/>
        <v>9253954.5100867674</v>
      </c>
      <c r="W14">
        <f t="shared" si="2"/>
        <v>9253954.5100867674</v>
      </c>
      <c r="X14">
        <f t="shared" si="2"/>
        <v>9253954.5100867674</v>
      </c>
      <c r="Y14">
        <f t="shared" si="2"/>
        <v>9253954.5100867674</v>
      </c>
      <c r="Z14">
        <f t="shared" si="2"/>
        <v>9253954.5100867674</v>
      </c>
      <c r="AA14">
        <f t="shared" si="2"/>
        <v>9253954.5100867674</v>
      </c>
    </row>
    <row r="16" spans="1:27" x14ac:dyDescent="0.25">
      <c r="B16" s="5">
        <f>NPV(0.042,C14:AA14)+B14</f>
        <v>89820026.380025983</v>
      </c>
    </row>
    <row r="17" spans="2:8" x14ac:dyDescent="0.25">
      <c r="D17">
        <f>75000000/100</f>
        <v>750000</v>
      </c>
    </row>
    <row r="18" spans="2:8" x14ac:dyDescent="0.25">
      <c r="B18" s="5">
        <f>B16/1000000</f>
        <v>89.820026380025979</v>
      </c>
      <c r="D18">
        <f>D17/30</f>
        <v>25000</v>
      </c>
    </row>
    <row r="19" spans="2:8" x14ac:dyDescent="0.25">
      <c r="G19">
        <v>11.03</v>
      </c>
      <c r="H19">
        <v>8.94</v>
      </c>
    </row>
    <row r="20" spans="2:8" x14ac:dyDescent="0.25">
      <c r="B20" s="5">
        <f>B18*5</f>
        <v>449.1001319001299</v>
      </c>
      <c r="G20">
        <v>8.94</v>
      </c>
      <c r="H20">
        <v>10.83</v>
      </c>
    </row>
    <row r="21" spans="2:8" x14ac:dyDescent="0.25">
      <c r="G21">
        <v>10.83</v>
      </c>
      <c r="H21">
        <v>11.54</v>
      </c>
    </row>
    <row r="22" spans="2:8" x14ac:dyDescent="0.25">
      <c r="D22">
        <f>30*9.97/1000 * 10915000 + 56/500 * (20000000 - 11000000)</f>
        <v>4272676.5</v>
      </c>
      <c r="G22">
        <v>8.91</v>
      </c>
      <c r="H22">
        <v>8.91</v>
      </c>
    </row>
    <row r="23" spans="2:8" x14ac:dyDescent="0.25">
      <c r="G23">
        <v>11.54</v>
      </c>
      <c r="H23">
        <v>11.03</v>
      </c>
    </row>
    <row r="24" spans="2:8" x14ac:dyDescent="0.25">
      <c r="G24">
        <f>AVERAGE(G19:G23)</f>
        <v>10.249999999999998</v>
      </c>
      <c r="H24">
        <f>AVERAGE(H19:H23)</f>
        <v>10.25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1989-E8FD-43AC-A79F-224D08CF178B}">
  <dimension ref="A2:O31"/>
  <sheetViews>
    <sheetView tabSelected="1" workbookViewId="0">
      <selection activeCell="I31" sqref="I31"/>
    </sheetView>
  </sheetViews>
  <sheetFormatPr defaultRowHeight="15" x14ac:dyDescent="0.25"/>
  <cols>
    <col min="1" max="1" width="11.140625" bestFit="1" customWidth="1"/>
    <col min="2" max="2" width="16.7109375" bestFit="1" customWidth="1"/>
  </cols>
  <sheetData>
    <row r="2" spans="1:15" x14ac:dyDescent="0.25">
      <c r="B2" s="14" t="s">
        <v>19</v>
      </c>
      <c r="C2" s="14" t="s">
        <v>20</v>
      </c>
      <c r="D2" s="14" t="s">
        <v>21</v>
      </c>
    </row>
    <row r="3" spans="1:15" x14ac:dyDescent="0.25">
      <c r="B3">
        <v>10</v>
      </c>
      <c r="C3">
        <v>842.69</v>
      </c>
      <c r="D3">
        <v>497</v>
      </c>
    </row>
    <row r="4" spans="1:15" x14ac:dyDescent="0.25">
      <c r="B4">
        <v>35</v>
      </c>
      <c r="D4">
        <v>8800</v>
      </c>
    </row>
    <row r="5" spans="1:15" x14ac:dyDescent="0.25">
      <c r="A5" s="14" t="s">
        <v>22</v>
      </c>
      <c r="B5">
        <v>10</v>
      </c>
      <c r="C5">
        <v>842.7</v>
      </c>
      <c r="D5">
        <v>1936.07</v>
      </c>
    </row>
    <row r="8" spans="1:15" x14ac:dyDescent="0.25">
      <c r="B8">
        <v>1</v>
      </c>
      <c r="C8">
        <v>0.17199999999999999</v>
      </c>
    </row>
    <row r="9" spans="1:15" x14ac:dyDescent="0.25">
      <c r="B9">
        <v>2</v>
      </c>
      <c r="C9">
        <v>0.22500000000000001</v>
      </c>
    </row>
    <row r="10" spans="1:15" x14ac:dyDescent="0.25">
      <c r="B10">
        <v>3</v>
      </c>
      <c r="C10">
        <v>0.16400000000000001</v>
      </c>
    </row>
    <row r="11" spans="1:15" x14ac:dyDescent="0.25">
      <c r="B11">
        <v>4</v>
      </c>
      <c r="C11">
        <v>0.20200000000000001</v>
      </c>
      <c r="I11" t="s">
        <v>39</v>
      </c>
      <c r="J11" t="s">
        <v>40</v>
      </c>
      <c r="K11" t="s">
        <v>53</v>
      </c>
    </row>
    <row r="12" spans="1:15" x14ac:dyDescent="0.25">
      <c r="B12">
        <v>5</v>
      </c>
      <c r="C12">
        <v>0.16200000000000001</v>
      </c>
      <c r="H12" t="s">
        <v>48</v>
      </c>
      <c r="I12">
        <v>20</v>
      </c>
      <c r="J12">
        <v>44</v>
      </c>
      <c r="K12">
        <f t="shared" ref="K12:K23" si="0">I12/J12</f>
        <v>0.45454545454545453</v>
      </c>
      <c r="O12" t="s">
        <v>57</v>
      </c>
    </row>
    <row r="13" spans="1:15" x14ac:dyDescent="0.25">
      <c r="B13">
        <v>6</v>
      </c>
      <c r="C13">
        <v>0.16200000000000001</v>
      </c>
      <c r="H13" t="s">
        <v>50</v>
      </c>
      <c r="I13">
        <v>35</v>
      </c>
      <c r="J13">
        <v>80</v>
      </c>
      <c r="K13">
        <f t="shared" si="0"/>
        <v>0.4375</v>
      </c>
    </row>
    <row r="14" spans="1:15" x14ac:dyDescent="0.25">
      <c r="B14">
        <v>7</v>
      </c>
      <c r="C14">
        <v>0.247</v>
      </c>
      <c r="H14" t="s">
        <v>47</v>
      </c>
      <c r="I14">
        <v>50</v>
      </c>
      <c r="J14">
        <v>123</v>
      </c>
      <c r="K14">
        <f t="shared" si="0"/>
        <v>0.4065040650406504</v>
      </c>
    </row>
    <row r="15" spans="1:15" x14ac:dyDescent="0.25">
      <c r="B15">
        <v>8</v>
      </c>
      <c r="C15">
        <v>0.128</v>
      </c>
      <c r="H15" t="s">
        <v>51</v>
      </c>
      <c r="I15">
        <v>65</v>
      </c>
      <c r="J15">
        <v>208</v>
      </c>
      <c r="K15">
        <f t="shared" si="0"/>
        <v>0.3125</v>
      </c>
    </row>
    <row r="16" spans="1:15" x14ac:dyDescent="0.25">
      <c r="B16">
        <v>9</v>
      </c>
      <c r="C16">
        <v>0.187</v>
      </c>
      <c r="H16" t="s">
        <v>49</v>
      </c>
      <c r="I16">
        <v>55</v>
      </c>
      <c r="J16">
        <v>220</v>
      </c>
      <c r="K16">
        <f t="shared" si="0"/>
        <v>0.25</v>
      </c>
    </row>
    <row r="17" spans="2:11" x14ac:dyDescent="0.25">
      <c r="B17">
        <v>10</v>
      </c>
      <c r="C17">
        <v>9.6000000000000002E-2</v>
      </c>
      <c r="H17" t="s">
        <v>52</v>
      </c>
      <c r="I17">
        <v>30</v>
      </c>
      <c r="J17">
        <v>130</v>
      </c>
      <c r="K17">
        <f t="shared" si="0"/>
        <v>0.23076923076923078</v>
      </c>
    </row>
    <row r="18" spans="2:11" x14ac:dyDescent="0.25">
      <c r="B18" s="1"/>
      <c r="H18" t="s">
        <v>46</v>
      </c>
      <c r="I18">
        <v>20</v>
      </c>
      <c r="J18">
        <v>102</v>
      </c>
      <c r="K18">
        <f t="shared" si="0"/>
        <v>0.19607843137254902</v>
      </c>
    </row>
    <row r="19" spans="2:11" x14ac:dyDescent="0.25">
      <c r="H19" t="s">
        <v>41</v>
      </c>
      <c r="I19">
        <v>0</v>
      </c>
      <c r="J19">
        <v>36</v>
      </c>
      <c r="K19">
        <f t="shared" si="0"/>
        <v>0</v>
      </c>
    </row>
    <row r="20" spans="2:11" x14ac:dyDescent="0.25">
      <c r="H20" t="s">
        <v>42</v>
      </c>
      <c r="I20">
        <v>0</v>
      </c>
      <c r="J20">
        <v>16</v>
      </c>
      <c r="K20">
        <f t="shared" si="0"/>
        <v>0</v>
      </c>
    </row>
    <row r="21" spans="2:11" x14ac:dyDescent="0.25">
      <c r="G21" t="s">
        <v>38</v>
      </c>
      <c r="H21" t="s">
        <v>43</v>
      </c>
      <c r="I21">
        <v>0</v>
      </c>
      <c r="J21">
        <v>56</v>
      </c>
      <c r="K21">
        <f t="shared" si="0"/>
        <v>0</v>
      </c>
    </row>
    <row r="22" spans="2:11" x14ac:dyDescent="0.25">
      <c r="H22" t="s">
        <v>44</v>
      </c>
      <c r="I22">
        <v>0</v>
      </c>
      <c r="J22">
        <v>86</v>
      </c>
      <c r="K22">
        <f t="shared" si="0"/>
        <v>0</v>
      </c>
    </row>
    <row r="23" spans="2:11" x14ac:dyDescent="0.25">
      <c r="H23" t="s">
        <v>45</v>
      </c>
      <c r="I23">
        <v>0</v>
      </c>
      <c r="J23">
        <v>8</v>
      </c>
      <c r="K23">
        <f t="shared" si="0"/>
        <v>0</v>
      </c>
    </row>
    <row r="26" spans="2:11" x14ac:dyDescent="0.25">
      <c r="B26" s="1"/>
      <c r="C26" t="s">
        <v>24</v>
      </c>
      <c r="D26" t="s">
        <v>26</v>
      </c>
    </row>
    <row r="27" spans="2:11" x14ac:dyDescent="0.25">
      <c r="B27" t="s">
        <v>23</v>
      </c>
      <c r="C27">
        <v>35</v>
      </c>
      <c r="D27" t="s">
        <v>27</v>
      </c>
      <c r="E27" t="s">
        <v>33</v>
      </c>
      <c r="F27" t="s">
        <v>36</v>
      </c>
    </row>
    <row r="28" spans="2:11" x14ac:dyDescent="0.25">
      <c r="B28" s="14" t="s">
        <v>25</v>
      </c>
      <c r="C28">
        <v>100</v>
      </c>
      <c r="D28" t="s">
        <v>30</v>
      </c>
      <c r="E28" t="s">
        <v>32</v>
      </c>
      <c r="F28" t="s">
        <v>35</v>
      </c>
      <c r="G28" t="s">
        <v>54</v>
      </c>
      <c r="I28" t="s">
        <v>58</v>
      </c>
    </row>
    <row r="29" spans="2:11" x14ac:dyDescent="0.25">
      <c r="B29" t="s">
        <v>28</v>
      </c>
      <c r="C29">
        <v>35</v>
      </c>
      <c r="D29" t="s">
        <v>29</v>
      </c>
      <c r="E29" t="s">
        <v>33</v>
      </c>
      <c r="F29" t="s">
        <v>37</v>
      </c>
    </row>
    <row r="30" spans="2:11" x14ac:dyDescent="0.25">
      <c r="B30" s="14" t="s">
        <v>31</v>
      </c>
      <c r="C30">
        <v>100</v>
      </c>
      <c r="D30" t="s">
        <v>29</v>
      </c>
      <c r="E30" t="s">
        <v>34</v>
      </c>
    </row>
    <row r="31" spans="2:11" x14ac:dyDescent="0.25">
      <c r="B31" t="s">
        <v>55</v>
      </c>
      <c r="C31">
        <v>35</v>
      </c>
      <c r="D31" t="s">
        <v>56</v>
      </c>
    </row>
  </sheetData>
  <autoFilter ref="H11:K23" xr:uid="{FB3E1989-E8FD-43AC-A79F-224D08CF178B}">
    <sortState xmlns:xlrd2="http://schemas.microsoft.com/office/spreadsheetml/2017/richdata2" ref="H12:K23">
      <sortCondition descending="1" ref="K11:K2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A8CE-501E-4B27-BECE-6924618E679C}">
  <dimension ref="A1:AA24"/>
  <sheetViews>
    <sheetView workbookViewId="0">
      <selection activeCell="B20" sqref="B20"/>
    </sheetView>
  </sheetViews>
  <sheetFormatPr defaultRowHeight="15" x14ac:dyDescent="0.25"/>
  <cols>
    <col min="2" max="2" width="14.7109375" bestFit="1" customWidth="1"/>
    <col min="3" max="3" width="14.140625" bestFit="1" customWidth="1"/>
    <col min="4" max="4" width="12" bestFit="1" customWidth="1"/>
  </cols>
  <sheetData>
    <row r="1" spans="1:27" x14ac:dyDescent="0.25">
      <c r="B1" t="s">
        <v>2</v>
      </c>
    </row>
    <row r="2" spans="1:27" x14ac:dyDescent="0.25">
      <c r="B2" s="1">
        <v>40000000</v>
      </c>
    </row>
    <row r="3" spans="1:27" x14ac:dyDescent="0.25">
      <c r="B3" t="s">
        <v>0</v>
      </c>
    </row>
    <row r="4" spans="1:27" x14ac:dyDescent="0.25">
      <c r="B4" s="2">
        <f>-B2*150.12*B2^(-0.311)</f>
        <v>-25957202.773503952</v>
      </c>
    </row>
    <row r="5" spans="1:27" x14ac:dyDescent="0.25">
      <c r="B5" t="s">
        <v>1</v>
      </c>
    </row>
    <row r="6" spans="1:27" x14ac:dyDescent="0.25">
      <c r="B6" s="2">
        <f>-(B2/8000)*47777*(B2/8000)^(-0.421)</f>
        <v>-6620983.5471947705</v>
      </c>
    </row>
    <row r="8" spans="1:27" x14ac:dyDescent="0.25">
      <c r="B8" t="s">
        <v>3</v>
      </c>
      <c r="C8">
        <f>30*9.97/1000 * 19202918 + 50/556 * 14786801</f>
        <v>7073341.0651669074</v>
      </c>
      <c r="D8">
        <f t="shared" ref="D8:AA8" si="0">30*9.97/1000 * 19202918 + 50/556 * 14786801</f>
        <v>7073341.0651669074</v>
      </c>
      <c r="E8">
        <f t="shared" si="0"/>
        <v>7073341.0651669074</v>
      </c>
      <c r="F8">
        <f t="shared" si="0"/>
        <v>7073341.0651669074</v>
      </c>
      <c r="G8">
        <f t="shared" si="0"/>
        <v>7073341.0651669074</v>
      </c>
      <c r="H8">
        <f t="shared" si="0"/>
        <v>7073341.0651669074</v>
      </c>
      <c r="I8">
        <f t="shared" si="0"/>
        <v>7073341.0651669074</v>
      </c>
      <c r="J8">
        <f t="shared" si="0"/>
        <v>7073341.0651669074</v>
      </c>
      <c r="K8">
        <f t="shared" si="0"/>
        <v>7073341.0651669074</v>
      </c>
      <c r="L8">
        <f t="shared" si="0"/>
        <v>7073341.0651669074</v>
      </c>
      <c r="M8">
        <f t="shared" si="0"/>
        <v>7073341.0651669074</v>
      </c>
      <c r="N8">
        <f t="shared" si="0"/>
        <v>7073341.0651669074</v>
      </c>
      <c r="O8">
        <f t="shared" si="0"/>
        <v>7073341.0651669074</v>
      </c>
      <c r="P8">
        <f t="shared" si="0"/>
        <v>7073341.0651669074</v>
      </c>
      <c r="Q8">
        <f t="shared" si="0"/>
        <v>7073341.0651669074</v>
      </c>
      <c r="R8">
        <f t="shared" si="0"/>
        <v>7073341.0651669074</v>
      </c>
      <c r="S8">
        <f t="shared" si="0"/>
        <v>7073341.0651669074</v>
      </c>
      <c r="T8">
        <f t="shared" si="0"/>
        <v>7073341.0651669074</v>
      </c>
      <c r="U8">
        <f t="shared" si="0"/>
        <v>7073341.0651669074</v>
      </c>
      <c r="V8">
        <f t="shared" si="0"/>
        <v>7073341.0651669074</v>
      </c>
      <c r="W8">
        <f t="shared" si="0"/>
        <v>7073341.0651669074</v>
      </c>
      <c r="X8">
        <f t="shared" si="0"/>
        <v>7073341.0651669074</v>
      </c>
      <c r="Y8">
        <f t="shared" si="0"/>
        <v>7073341.0651669074</v>
      </c>
      <c r="Z8">
        <f t="shared" si="0"/>
        <v>7073341.0651669074</v>
      </c>
      <c r="AA8">
        <f t="shared" si="0"/>
        <v>7073341.0651669074</v>
      </c>
    </row>
    <row r="9" spans="1:27" x14ac:dyDescent="0.25">
      <c r="B9" t="s">
        <v>4</v>
      </c>
      <c r="C9" s="4">
        <f>-2.1209*$B$2^(0.8359)-0.05*19202918</f>
        <v>-5758387.8002115972</v>
      </c>
      <c r="D9" s="4">
        <f t="shared" ref="D9:AA9" si="1">-2.1209*$B$2^(0.8359)-0.05*19202918</f>
        <v>-5758387.8002115972</v>
      </c>
      <c r="E9" s="4">
        <f t="shared" si="1"/>
        <v>-5758387.8002115972</v>
      </c>
      <c r="F9" s="4">
        <f t="shared" si="1"/>
        <v>-5758387.8002115972</v>
      </c>
      <c r="G9" s="4">
        <f t="shared" si="1"/>
        <v>-5758387.8002115972</v>
      </c>
      <c r="H9" s="4">
        <f t="shared" si="1"/>
        <v>-5758387.8002115972</v>
      </c>
      <c r="I9" s="4">
        <f t="shared" si="1"/>
        <v>-5758387.8002115972</v>
      </c>
      <c r="J9" s="4">
        <f t="shared" si="1"/>
        <v>-5758387.8002115972</v>
      </c>
      <c r="K9" s="4">
        <f t="shared" si="1"/>
        <v>-5758387.8002115972</v>
      </c>
      <c r="L9" s="4">
        <f t="shared" si="1"/>
        <v>-5758387.8002115972</v>
      </c>
      <c r="M9" s="4">
        <f t="shared" si="1"/>
        <v>-5758387.8002115972</v>
      </c>
      <c r="N9" s="4">
        <f t="shared" si="1"/>
        <v>-5758387.8002115972</v>
      </c>
      <c r="O9" s="4">
        <f t="shared" si="1"/>
        <v>-5758387.8002115972</v>
      </c>
      <c r="P9" s="4">
        <f t="shared" si="1"/>
        <v>-5758387.8002115972</v>
      </c>
      <c r="Q9" s="4">
        <f t="shared" si="1"/>
        <v>-5758387.8002115972</v>
      </c>
      <c r="R9" s="4">
        <f t="shared" si="1"/>
        <v>-5758387.8002115972</v>
      </c>
      <c r="S9" s="4">
        <f t="shared" si="1"/>
        <v>-5758387.8002115972</v>
      </c>
      <c r="T9" s="4">
        <f t="shared" si="1"/>
        <v>-5758387.8002115972</v>
      </c>
      <c r="U9" s="4">
        <f t="shared" si="1"/>
        <v>-5758387.8002115972</v>
      </c>
      <c r="V9" s="4">
        <f t="shared" si="1"/>
        <v>-5758387.8002115972</v>
      </c>
      <c r="W9" s="4">
        <f t="shared" si="1"/>
        <v>-5758387.8002115972</v>
      </c>
      <c r="X9" s="4">
        <f t="shared" si="1"/>
        <v>-5758387.8002115972</v>
      </c>
      <c r="Y9" s="4">
        <f t="shared" si="1"/>
        <v>-5758387.8002115972</v>
      </c>
      <c r="Z9" s="4">
        <f t="shared" si="1"/>
        <v>-5758387.8002115972</v>
      </c>
      <c r="AA9" s="4">
        <f t="shared" si="1"/>
        <v>-5758387.8002115972</v>
      </c>
    </row>
    <row r="10" spans="1:27" x14ac:dyDescent="0.25">
      <c r="B10" t="s">
        <v>5</v>
      </c>
      <c r="C10" s="1">
        <v>-4000000</v>
      </c>
      <c r="D10" s="1">
        <v>-4000000</v>
      </c>
      <c r="E10" s="1">
        <v>-4000000</v>
      </c>
      <c r="F10" s="1">
        <v>-4000000</v>
      </c>
      <c r="G10" s="1">
        <v>-4000000</v>
      </c>
      <c r="H10" s="1">
        <v>-4000000</v>
      </c>
      <c r="I10" s="1">
        <v>-4000000</v>
      </c>
      <c r="J10" s="1">
        <v>-4000000</v>
      </c>
      <c r="K10" s="1">
        <v>-4000000</v>
      </c>
      <c r="L10" s="1">
        <v>-4000000</v>
      </c>
      <c r="M10" s="1">
        <v>-4000000</v>
      </c>
      <c r="N10" s="1">
        <v>-4000000</v>
      </c>
      <c r="O10" s="1">
        <v>-4000000</v>
      </c>
      <c r="P10" s="1">
        <v>-4000000</v>
      </c>
      <c r="Q10" s="1">
        <v>-4000000</v>
      </c>
      <c r="R10" s="1">
        <v>-4000000</v>
      </c>
      <c r="S10" s="1">
        <v>-4000000</v>
      </c>
      <c r="T10" s="1">
        <v>-4000000</v>
      </c>
      <c r="U10" s="1">
        <v>-4000000</v>
      </c>
      <c r="V10" s="1">
        <v>-4000000</v>
      </c>
      <c r="W10" s="1">
        <v>-4000000</v>
      </c>
      <c r="X10" s="1">
        <v>-4000000</v>
      </c>
      <c r="Y10" s="1">
        <v>-4000000</v>
      </c>
      <c r="Z10" s="1">
        <v>-4000000</v>
      </c>
      <c r="AA10" s="1">
        <v>-4000000</v>
      </c>
    </row>
    <row r="11" spans="1:27" x14ac:dyDescent="0.25">
      <c r="B11" t="s">
        <v>6</v>
      </c>
      <c r="C11" s="15">
        <v>8022000</v>
      </c>
      <c r="D11" s="15">
        <v>8022000</v>
      </c>
      <c r="E11" s="15">
        <v>8022000</v>
      </c>
      <c r="F11" s="15">
        <v>8022000</v>
      </c>
      <c r="G11" s="15">
        <v>8022000</v>
      </c>
      <c r="H11" s="15">
        <v>8022000</v>
      </c>
      <c r="I11" s="15">
        <v>8022000</v>
      </c>
      <c r="J11" s="15">
        <v>8022000</v>
      </c>
      <c r="K11" s="15">
        <v>8022000</v>
      </c>
      <c r="L11" s="15">
        <v>8022000</v>
      </c>
      <c r="M11" s="15">
        <v>8022000</v>
      </c>
      <c r="N11" s="15">
        <v>8022000</v>
      </c>
      <c r="O11" s="15">
        <v>8022000</v>
      </c>
      <c r="P11" s="15">
        <v>8022000</v>
      </c>
      <c r="Q11" s="15">
        <v>8022000</v>
      </c>
      <c r="R11" s="15">
        <v>8022000</v>
      </c>
      <c r="S11" s="15">
        <v>8022000</v>
      </c>
      <c r="T11" s="15">
        <v>8022000</v>
      </c>
      <c r="U11" s="15">
        <v>8022000</v>
      </c>
      <c r="V11" s="15">
        <v>8022000</v>
      </c>
      <c r="W11" s="15">
        <v>8022000</v>
      </c>
      <c r="X11" s="15">
        <v>8022000</v>
      </c>
      <c r="Y11" s="15">
        <v>8022000</v>
      </c>
      <c r="Z11" s="15">
        <v>8022000</v>
      </c>
      <c r="AA11" s="15">
        <v>8022000</v>
      </c>
    </row>
    <row r="13" spans="1:27" x14ac:dyDescent="0.25">
      <c r="A13" t="s">
        <v>7</v>
      </c>
    </row>
    <row r="14" spans="1:27" x14ac:dyDescent="0.25">
      <c r="A14" s="6">
        <f>IRR(B14:AA14)</f>
        <v>0.15979411609014282</v>
      </c>
      <c r="B14" s="3">
        <f>B6+B4</f>
        <v>-32578186.320698723</v>
      </c>
      <c r="C14">
        <f>SUM(C8:C13)</f>
        <v>5336953.2649553102</v>
      </c>
      <c r="D14">
        <f t="shared" ref="D14:AA14" si="2">SUM(D8:D13)</f>
        <v>5336953.2649553102</v>
      </c>
      <c r="E14">
        <f t="shared" si="2"/>
        <v>5336953.2649553102</v>
      </c>
      <c r="F14">
        <f t="shared" si="2"/>
        <v>5336953.2649553102</v>
      </c>
      <c r="G14">
        <f t="shared" si="2"/>
        <v>5336953.2649553102</v>
      </c>
      <c r="H14">
        <f t="shared" si="2"/>
        <v>5336953.2649553102</v>
      </c>
      <c r="I14">
        <f t="shared" si="2"/>
        <v>5336953.2649553102</v>
      </c>
      <c r="J14">
        <f t="shared" si="2"/>
        <v>5336953.2649553102</v>
      </c>
      <c r="K14">
        <f t="shared" si="2"/>
        <v>5336953.2649553102</v>
      </c>
      <c r="L14">
        <f t="shared" si="2"/>
        <v>5336953.2649553102</v>
      </c>
      <c r="M14">
        <f t="shared" si="2"/>
        <v>5336953.2649553102</v>
      </c>
      <c r="N14">
        <f t="shared" si="2"/>
        <v>5336953.2649553102</v>
      </c>
      <c r="O14">
        <f t="shared" si="2"/>
        <v>5336953.2649553102</v>
      </c>
      <c r="P14">
        <f t="shared" si="2"/>
        <v>5336953.2649553102</v>
      </c>
      <c r="Q14">
        <f t="shared" si="2"/>
        <v>5336953.2649553102</v>
      </c>
      <c r="R14">
        <f t="shared" si="2"/>
        <v>5336953.2649553102</v>
      </c>
      <c r="S14">
        <f t="shared" si="2"/>
        <v>5336953.2649553102</v>
      </c>
      <c r="T14">
        <f t="shared" si="2"/>
        <v>5336953.2649553102</v>
      </c>
      <c r="U14">
        <f t="shared" si="2"/>
        <v>5336953.2649553102</v>
      </c>
      <c r="V14">
        <f t="shared" si="2"/>
        <v>5336953.2649553102</v>
      </c>
      <c r="W14">
        <f t="shared" si="2"/>
        <v>5336953.2649553102</v>
      </c>
      <c r="X14">
        <f t="shared" si="2"/>
        <v>5336953.2649553102</v>
      </c>
      <c r="Y14">
        <f t="shared" si="2"/>
        <v>5336953.2649553102</v>
      </c>
      <c r="Z14">
        <f t="shared" si="2"/>
        <v>5336953.2649553102</v>
      </c>
      <c r="AA14">
        <f t="shared" si="2"/>
        <v>5336953.2649553102</v>
      </c>
    </row>
    <row r="16" spans="1:27" x14ac:dyDescent="0.25">
      <c r="B16" s="5">
        <f>NPV(0.042,C14:AA14)+B14</f>
        <v>49061250.970423236</v>
      </c>
    </row>
    <row r="17" spans="2:13" x14ac:dyDescent="0.25">
      <c r="D17">
        <f>75000000/100</f>
        <v>750000</v>
      </c>
    </row>
    <row r="18" spans="2:13" x14ac:dyDescent="0.25">
      <c r="B18" s="5">
        <f>B16/1000000</f>
        <v>49.061250970423238</v>
      </c>
      <c r="D18">
        <f>D17/30</f>
        <v>25000</v>
      </c>
      <c r="K18">
        <v>1</v>
      </c>
      <c r="L18">
        <v>4</v>
      </c>
      <c r="M18">
        <v>15</v>
      </c>
    </row>
    <row r="19" spans="2:13" x14ac:dyDescent="0.25">
      <c r="G19">
        <v>11.03</v>
      </c>
      <c r="H19">
        <v>8.94</v>
      </c>
    </row>
    <row r="20" spans="2:13" x14ac:dyDescent="0.25">
      <c r="B20" s="5">
        <f>B18*5</f>
        <v>245.30625485211618</v>
      </c>
      <c r="G20">
        <v>8.94</v>
      </c>
      <c r="H20">
        <v>10.83</v>
      </c>
    </row>
    <row r="21" spans="2:13" x14ac:dyDescent="0.25">
      <c r="G21">
        <v>10.83</v>
      </c>
      <c r="H21">
        <v>11.54</v>
      </c>
    </row>
    <row r="22" spans="2:13" x14ac:dyDescent="0.25">
      <c r="D22">
        <f>30*9.97/1000 * 10915000 + 56/500 * (20000000 - 11000000)</f>
        <v>4272676.5</v>
      </c>
      <c r="G22">
        <v>8.91</v>
      </c>
      <c r="H22">
        <v>8.91</v>
      </c>
    </row>
    <row r="23" spans="2:13" x14ac:dyDescent="0.25">
      <c r="G23">
        <v>11.54</v>
      </c>
      <c r="H23">
        <v>11.03</v>
      </c>
    </row>
    <row r="24" spans="2:13" x14ac:dyDescent="0.25">
      <c r="G24">
        <f>AVERAGE(G19:G23)</f>
        <v>10.249999999999998</v>
      </c>
      <c r="H24">
        <f>AVERAGE(H19:H23)</f>
        <v>10.25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586D-64F1-44F7-8EB4-60CC51F36813}">
  <dimension ref="A1:AA24"/>
  <sheetViews>
    <sheetView workbookViewId="0">
      <selection activeCell="C10" sqref="C10"/>
    </sheetView>
  </sheetViews>
  <sheetFormatPr defaultRowHeight="15" x14ac:dyDescent="0.25"/>
  <cols>
    <col min="2" max="2" width="14.7109375" bestFit="1" customWidth="1"/>
    <col min="3" max="3" width="14.140625" bestFit="1" customWidth="1"/>
    <col min="4" max="4" width="12" bestFit="1" customWidth="1"/>
    <col min="5" max="5" width="14.140625" bestFit="1" customWidth="1"/>
    <col min="6" max="6" width="11.42578125" bestFit="1" customWidth="1"/>
    <col min="10" max="10" width="14.140625" bestFit="1" customWidth="1"/>
  </cols>
  <sheetData>
    <row r="1" spans="1:27" x14ac:dyDescent="0.25">
      <c r="B1" t="s">
        <v>2</v>
      </c>
      <c r="E1" t="s">
        <v>9</v>
      </c>
    </row>
    <row r="2" spans="1:27" x14ac:dyDescent="0.25">
      <c r="B2" s="1">
        <v>40000000</v>
      </c>
      <c r="E2" s="2">
        <f>B2*(8000/8760)*0.4*9.97*0.569/1000</f>
        <v>82892.127853881291</v>
      </c>
      <c r="F2" t="s">
        <v>10</v>
      </c>
    </row>
    <row r="3" spans="1:27" x14ac:dyDescent="0.25">
      <c r="B3" t="s">
        <v>0</v>
      </c>
      <c r="J3" s="4"/>
    </row>
    <row r="4" spans="1:27" x14ac:dyDescent="0.25">
      <c r="B4" s="2">
        <f>-B2*150.12*B2^(-0.311)</f>
        <v>-25957202.773503952</v>
      </c>
      <c r="E4" s="8">
        <f>(E2*0.45*190*0.9+E2*0.55*60+20*E2)/1000000</f>
        <v>10.771832014611874</v>
      </c>
      <c r="F4">
        <v>1.17</v>
      </c>
      <c r="G4">
        <v>6.4874999999999998</v>
      </c>
      <c r="H4">
        <f>(20*E2)/1000000</f>
        <v>1.6578425570776258</v>
      </c>
      <c r="I4">
        <f>(E2*0.9*60)/1000000</f>
        <v>4.4761749041095902</v>
      </c>
      <c r="J4" s="7">
        <f>(E2*0.1*210*0.9106)/1000000</f>
        <v>1.5851130040986305</v>
      </c>
      <c r="K4">
        <f>1.174</f>
        <v>1.1739999999999999</v>
      </c>
    </row>
    <row r="5" spans="1:27" x14ac:dyDescent="0.25">
      <c r="E5" s="8">
        <f>100*(B2*0.589*0.4*9.97)/8000/1000000</f>
        <v>1.174466</v>
      </c>
      <c r="F5" s="7"/>
    </row>
    <row r="6" spans="1:27" x14ac:dyDescent="0.25">
      <c r="B6" s="2">
        <f>-(B2/8000)*47777*(B2/8000)^(-0.421)</f>
        <v>-6620983.5471947705</v>
      </c>
    </row>
    <row r="8" spans="1:27" x14ac:dyDescent="0.25">
      <c r="B8" t="s">
        <v>3</v>
      </c>
      <c r="C8" s="1">
        <v>2350000</v>
      </c>
      <c r="D8" s="1">
        <v>2350000</v>
      </c>
      <c r="E8" s="1">
        <v>2350000</v>
      </c>
      <c r="F8" s="1">
        <v>2350000</v>
      </c>
      <c r="G8" s="1">
        <v>2350000</v>
      </c>
      <c r="H8" s="1">
        <v>2350000</v>
      </c>
      <c r="I8" s="1">
        <v>2350000</v>
      </c>
      <c r="J8" s="1">
        <v>2350000</v>
      </c>
      <c r="K8" s="1">
        <v>2350000</v>
      </c>
      <c r="L8" s="1">
        <v>2350000</v>
      </c>
      <c r="M8" s="1">
        <v>2350000</v>
      </c>
      <c r="N8" s="1">
        <v>2350000</v>
      </c>
      <c r="O8" s="1">
        <v>2350000</v>
      </c>
      <c r="P8" s="1">
        <v>2350000</v>
      </c>
      <c r="Q8" s="1">
        <v>2350000</v>
      </c>
      <c r="R8" s="1">
        <v>2350000</v>
      </c>
      <c r="S8" s="1">
        <v>2350000</v>
      </c>
      <c r="T8" s="1">
        <v>2350000</v>
      </c>
      <c r="U8" s="1">
        <v>2350000</v>
      </c>
      <c r="V8" s="1">
        <v>2350000</v>
      </c>
      <c r="W8" s="1">
        <v>2350000</v>
      </c>
      <c r="X8" s="1">
        <v>2350000</v>
      </c>
      <c r="Y8" s="1">
        <v>2350000</v>
      </c>
      <c r="Z8" s="1">
        <v>2350000</v>
      </c>
      <c r="AA8" s="1">
        <v>2350000</v>
      </c>
    </row>
    <row r="9" spans="1:27" x14ac:dyDescent="0.25">
      <c r="B9" t="s">
        <v>4</v>
      </c>
      <c r="C9" s="4">
        <f>-2.1209*$B$2^(0.8359)</f>
        <v>-4798241.9002115969</v>
      </c>
      <c r="D9" s="4">
        <f t="shared" ref="D9:AA9" si="0">-2.1209*$B$2^(0.8359) - 0.05*5600000</f>
        <v>-5078241.9002115969</v>
      </c>
      <c r="E9" s="4">
        <f t="shared" si="0"/>
        <v>-5078241.9002115969</v>
      </c>
      <c r="F9" s="4">
        <f t="shared" si="0"/>
        <v>-5078241.9002115969</v>
      </c>
      <c r="G9" s="4">
        <f t="shared" si="0"/>
        <v>-5078241.9002115969</v>
      </c>
      <c r="H9" s="4">
        <f t="shared" si="0"/>
        <v>-5078241.9002115969</v>
      </c>
      <c r="I9" s="4">
        <f t="shared" si="0"/>
        <v>-5078241.9002115969</v>
      </c>
      <c r="J9" s="4">
        <f t="shared" si="0"/>
        <v>-5078241.9002115969</v>
      </c>
      <c r="K9" s="4">
        <f t="shared" si="0"/>
        <v>-5078241.9002115969</v>
      </c>
      <c r="L9" s="4">
        <f t="shared" si="0"/>
        <v>-5078241.9002115969</v>
      </c>
      <c r="M9" s="4">
        <f t="shared" si="0"/>
        <v>-5078241.9002115969</v>
      </c>
      <c r="N9" s="4">
        <f t="shared" si="0"/>
        <v>-5078241.9002115969</v>
      </c>
      <c r="O9" s="4">
        <f t="shared" si="0"/>
        <v>-5078241.9002115969</v>
      </c>
      <c r="P9" s="4">
        <f t="shared" si="0"/>
        <v>-5078241.9002115969</v>
      </c>
      <c r="Q9" s="4">
        <f t="shared" si="0"/>
        <v>-5078241.9002115969</v>
      </c>
      <c r="R9" s="4">
        <f t="shared" si="0"/>
        <v>-5078241.9002115969</v>
      </c>
      <c r="S9" s="4">
        <f t="shared" si="0"/>
        <v>-5078241.9002115969</v>
      </c>
      <c r="T9" s="4">
        <f t="shared" si="0"/>
        <v>-5078241.9002115969</v>
      </c>
      <c r="U9" s="4">
        <f t="shared" si="0"/>
        <v>-5078241.9002115969</v>
      </c>
      <c r="V9" s="4">
        <f t="shared" si="0"/>
        <v>-5078241.9002115969</v>
      </c>
      <c r="W9" s="4">
        <f t="shared" si="0"/>
        <v>-5078241.9002115969</v>
      </c>
      <c r="X9" s="4">
        <f t="shared" si="0"/>
        <v>-5078241.9002115969</v>
      </c>
      <c r="Y9" s="4">
        <f t="shared" si="0"/>
        <v>-5078241.9002115969</v>
      </c>
      <c r="Z9" s="4">
        <f t="shared" si="0"/>
        <v>-5078241.9002115969</v>
      </c>
      <c r="AA9" s="4">
        <f t="shared" si="0"/>
        <v>-5078241.9002115969</v>
      </c>
    </row>
    <row r="10" spans="1:27" x14ac:dyDescent="0.25">
      <c r="B10" t="s">
        <v>5</v>
      </c>
      <c r="C10" s="1">
        <v>-700000</v>
      </c>
      <c r="D10" s="1">
        <v>-700000</v>
      </c>
      <c r="E10" s="1">
        <v>-700000</v>
      </c>
      <c r="F10" s="1">
        <v>-700000</v>
      </c>
      <c r="G10" s="1">
        <v>-700000</v>
      </c>
      <c r="H10" s="1">
        <v>-700000</v>
      </c>
      <c r="I10" s="1">
        <v>-700000</v>
      </c>
      <c r="J10" s="1">
        <v>-700000</v>
      </c>
      <c r="K10" s="1">
        <v>-700000</v>
      </c>
      <c r="L10" s="1">
        <v>-700000</v>
      </c>
      <c r="M10" s="1">
        <v>-700000</v>
      </c>
      <c r="N10" s="1">
        <v>-700000</v>
      </c>
      <c r="O10" s="1">
        <v>-700000</v>
      </c>
      <c r="P10" s="1">
        <v>-700000</v>
      </c>
      <c r="Q10" s="1">
        <v>-700000</v>
      </c>
      <c r="R10" s="1">
        <v>-700000</v>
      </c>
      <c r="S10" s="1">
        <v>-700000</v>
      </c>
      <c r="T10" s="1">
        <v>-700000</v>
      </c>
      <c r="U10" s="1">
        <v>-700000</v>
      </c>
      <c r="V10" s="1">
        <v>-700000</v>
      </c>
      <c r="W10" s="1">
        <v>-700000</v>
      </c>
      <c r="X10" s="1">
        <v>-700000</v>
      </c>
      <c r="Y10" s="1">
        <v>-700000</v>
      </c>
      <c r="Z10" s="1">
        <v>-700000</v>
      </c>
      <c r="AA10" s="1">
        <v>-700000</v>
      </c>
    </row>
    <row r="11" spans="1:27" x14ac:dyDescent="0.25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25">
      <c r="A13" t="s">
        <v>7</v>
      </c>
    </row>
    <row r="14" spans="1:27" x14ac:dyDescent="0.25">
      <c r="A14" s="6" t="e">
        <f>IRR(B14:AA14)</f>
        <v>#NUM!</v>
      </c>
      <c r="B14" s="3">
        <f>B6+B4</f>
        <v>-32578186.320698723</v>
      </c>
      <c r="C14">
        <f>SUM(C8:C13)</f>
        <v>-3148241.9002115969</v>
      </c>
      <c r="D14">
        <f t="shared" ref="D14:AA14" si="1">SUM(D8:D13)</f>
        <v>-3428241.9002115969</v>
      </c>
      <c r="E14">
        <f t="shared" si="1"/>
        <v>-3428241.9002115969</v>
      </c>
      <c r="F14">
        <f t="shared" si="1"/>
        <v>-3428241.9002115969</v>
      </c>
      <c r="G14">
        <f t="shared" si="1"/>
        <v>-3428241.9002115969</v>
      </c>
      <c r="H14">
        <f t="shared" si="1"/>
        <v>-3428241.9002115969</v>
      </c>
      <c r="I14">
        <f t="shared" si="1"/>
        <v>-3428241.9002115969</v>
      </c>
      <c r="J14">
        <f t="shared" si="1"/>
        <v>-3428241.9002115969</v>
      </c>
      <c r="K14">
        <f t="shared" si="1"/>
        <v>-3428241.9002115969</v>
      </c>
      <c r="L14">
        <f t="shared" si="1"/>
        <v>-3428241.9002115969</v>
      </c>
      <c r="M14">
        <f t="shared" si="1"/>
        <v>-3428241.9002115969</v>
      </c>
      <c r="N14">
        <f t="shared" si="1"/>
        <v>-3428241.9002115969</v>
      </c>
      <c r="O14">
        <f t="shared" si="1"/>
        <v>-3428241.9002115969</v>
      </c>
      <c r="P14">
        <f t="shared" si="1"/>
        <v>-3428241.9002115969</v>
      </c>
      <c r="Q14">
        <f t="shared" si="1"/>
        <v>-3428241.9002115969</v>
      </c>
      <c r="R14">
        <f t="shared" si="1"/>
        <v>-3428241.9002115969</v>
      </c>
      <c r="S14">
        <f t="shared" si="1"/>
        <v>-3428241.9002115969</v>
      </c>
      <c r="T14">
        <f t="shared" si="1"/>
        <v>-3428241.9002115969</v>
      </c>
      <c r="U14">
        <f t="shared" si="1"/>
        <v>-3428241.9002115969</v>
      </c>
      <c r="V14">
        <f t="shared" si="1"/>
        <v>-3428241.9002115969</v>
      </c>
      <c r="W14">
        <f t="shared" si="1"/>
        <v>-3428241.9002115969</v>
      </c>
      <c r="X14">
        <f t="shared" si="1"/>
        <v>-3428241.9002115969</v>
      </c>
      <c r="Y14">
        <f t="shared" si="1"/>
        <v>-3428241.9002115969</v>
      </c>
      <c r="Z14">
        <f t="shared" si="1"/>
        <v>-3428241.9002115969</v>
      </c>
      <c r="AA14">
        <f t="shared" si="1"/>
        <v>-3428241.9002115969</v>
      </c>
    </row>
    <row r="16" spans="1:27" x14ac:dyDescent="0.25">
      <c r="B16" s="5">
        <f>NPV(0.042,C14:AA14)+B14</f>
        <v>-84751329.251968473</v>
      </c>
    </row>
    <row r="17" spans="2:8" x14ac:dyDescent="0.25">
      <c r="D17">
        <f>75000000/100</f>
        <v>750000</v>
      </c>
    </row>
    <row r="18" spans="2:8" x14ac:dyDescent="0.25">
      <c r="B18" s="5">
        <f>B16/1000000</f>
        <v>-84.751329251968471</v>
      </c>
      <c r="D18">
        <f>D17/30</f>
        <v>25000</v>
      </c>
    </row>
    <row r="19" spans="2:8" x14ac:dyDescent="0.25">
      <c r="H19">
        <v>4.22</v>
      </c>
    </row>
    <row r="20" spans="2:8" x14ac:dyDescent="0.25">
      <c r="B20" s="10">
        <f>B18*5</f>
        <v>-423.75664625984234</v>
      </c>
      <c r="H20">
        <v>8.15</v>
      </c>
    </row>
    <row r="21" spans="2:8" x14ac:dyDescent="0.25">
      <c r="B21" s="2">
        <v>177.52557523289957</v>
      </c>
      <c r="H21">
        <v>8.91</v>
      </c>
    </row>
    <row r="22" spans="2:8" x14ac:dyDescent="0.25">
      <c r="H22">
        <v>8.06</v>
      </c>
    </row>
    <row r="23" spans="2:8" x14ac:dyDescent="0.25">
      <c r="H23">
        <v>4.13</v>
      </c>
    </row>
    <row r="24" spans="2:8" x14ac:dyDescent="0.25">
      <c r="H24">
        <f>AVERAGE(H19:H23)</f>
        <v>6.6940000000000008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2EC2-F1A0-4483-95EA-28775947BFBE}">
  <dimension ref="B2:I9"/>
  <sheetViews>
    <sheetView workbookViewId="0">
      <selection activeCell="I10" sqref="I10"/>
    </sheetView>
  </sheetViews>
  <sheetFormatPr defaultRowHeight="15" x14ac:dyDescent="0.25"/>
  <cols>
    <col min="3" max="3" width="14.140625" bestFit="1" customWidth="1"/>
  </cols>
  <sheetData>
    <row r="2" spans="2:9" x14ac:dyDescent="0.25">
      <c r="B2" s="14" t="s">
        <v>2</v>
      </c>
      <c r="C2" s="14" t="s">
        <v>13</v>
      </c>
      <c r="D2" s="14" t="s">
        <v>1</v>
      </c>
      <c r="E2" s="14" t="s">
        <v>14</v>
      </c>
      <c r="F2" s="14" t="s">
        <v>15</v>
      </c>
      <c r="G2" s="14" t="s">
        <v>16</v>
      </c>
      <c r="H2" s="14" t="s">
        <v>17</v>
      </c>
      <c r="I2" s="14" t="s">
        <v>18</v>
      </c>
    </row>
    <row r="3" spans="2:9" x14ac:dyDescent="0.25">
      <c r="B3">
        <v>250000</v>
      </c>
      <c r="C3" s="4">
        <f>(60+20)*0.4*0.6*B3*9.97/1000</f>
        <v>47856</v>
      </c>
      <c r="D3" s="1">
        <f t="shared" ref="D3:D9" si="0">30*9.97/1000 * 0.6*B3 + 50/556 * B3*0.5</f>
        <v>56106.007194244601</v>
      </c>
      <c r="E3">
        <f>B3*0.6*9.97/1000 * 0.4*(194.3*0.45+0.55*60+20)+100*B3*0.6*0.4*9.97/8000</f>
        <v>91485.717000000004</v>
      </c>
      <c r="F3">
        <f>B3*0.6*9.97/1000 * 0.4*(210*0.1+0.9*60+20)+100*B3*0.6*0.4*9.97/8000</f>
        <v>64306.500000000007</v>
      </c>
      <c r="G3">
        <f>20*0.9*B3*0.6*9.97/1000</f>
        <v>26919</v>
      </c>
      <c r="H3" s="4">
        <f>(190+20)*0.4*0.6*B3*9.97/1000</f>
        <v>125622.00000000001</v>
      </c>
      <c r="I3" s="4">
        <f>(210+20)*0.4*0.6*B3*9.97/1000</f>
        <v>137586</v>
      </c>
    </row>
    <row r="4" spans="2:9" x14ac:dyDescent="0.25">
      <c r="B4">
        <v>500000</v>
      </c>
      <c r="C4" s="4">
        <f t="shared" ref="C4:C9" si="1">(60+20)*0.4*0.6*B4*9.97/1000</f>
        <v>95712</v>
      </c>
      <c r="D4" s="1">
        <f t="shared" si="0"/>
        <v>112212.0143884892</v>
      </c>
      <c r="E4">
        <f t="shared" ref="E4:E9" si="2">B4*0.6*9.97/1000 * 0.4*(194.3*0.45+0.55*60+20)+100*B4*0.6*0.4*9.97/8000</f>
        <v>182971.43400000001</v>
      </c>
      <c r="F4">
        <f t="shared" ref="F4:F9" si="3">B4*0.6*9.97/1000 * 0.4*(210*0.1+0.9*60+20)+100*B4*0.6*0.4*9.97/8000</f>
        <v>128613.00000000001</v>
      </c>
      <c r="G4">
        <f t="shared" ref="G4:G9" si="4">20*0.9*B4*0.6*9.97/1000</f>
        <v>53838</v>
      </c>
      <c r="H4" s="4">
        <f>(190+20)*0.4*0.6*B4*9.97/1000</f>
        <v>251244.00000000003</v>
      </c>
      <c r="I4" s="4"/>
    </row>
    <row r="5" spans="2:9" x14ac:dyDescent="0.25">
      <c r="B5" s="1">
        <v>5000000</v>
      </c>
      <c r="C5" s="4">
        <f t="shared" si="1"/>
        <v>957120.00000000012</v>
      </c>
      <c r="D5" s="1">
        <f t="shared" si="0"/>
        <v>1122120.1438848921</v>
      </c>
      <c r="E5">
        <f t="shared" si="2"/>
        <v>1829714.3400000003</v>
      </c>
      <c r="F5">
        <f t="shared" si="3"/>
        <v>1286130.0000000002</v>
      </c>
      <c r="G5">
        <f t="shared" si="4"/>
        <v>538380</v>
      </c>
      <c r="H5" s="4"/>
    </row>
    <row r="6" spans="2:9" x14ac:dyDescent="0.25">
      <c r="B6" s="1">
        <v>10000000</v>
      </c>
      <c r="C6" s="4">
        <f t="shared" si="1"/>
        <v>1914240.0000000002</v>
      </c>
      <c r="D6" s="1">
        <f t="shared" si="0"/>
        <v>2244240.2877697842</v>
      </c>
      <c r="E6">
        <f t="shared" si="2"/>
        <v>3659428.6800000006</v>
      </c>
      <c r="F6">
        <f t="shared" si="3"/>
        <v>2572260.0000000005</v>
      </c>
      <c r="G6">
        <f t="shared" si="4"/>
        <v>1076760</v>
      </c>
      <c r="H6" s="4"/>
    </row>
    <row r="7" spans="2:9" x14ac:dyDescent="0.25">
      <c r="B7" s="1">
        <v>20000000</v>
      </c>
      <c r="C7" s="4">
        <f t="shared" si="1"/>
        <v>3828480.0000000005</v>
      </c>
      <c r="D7" s="1">
        <f t="shared" si="0"/>
        <v>4488480.5755395684</v>
      </c>
      <c r="E7">
        <f t="shared" si="2"/>
        <v>7318857.3600000013</v>
      </c>
      <c r="F7">
        <f t="shared" si="3"/>
        <v>5144520.0000000009</v>
      </c>
      <c r="G7">
        <f t="shared" si="4"/>
        <v>2153520</v>
      </c>
      <c r="H7" s="4"/>
    </row>
    <row r="8" spans="2:9" x14ac:dyDescent="0.25">
      <c r="B8" s="1">
        <v>40000000</v>
      </c>
      <c r="C8" s="4">
        <f t="shared" si="1"/>
        <v>7656960.0000000009</v>
      </c>
      <c r="D8" s="1">
        <f t="shared" si="0"/>
        <v>8976961.1510791369</v>
      </c>
      <c r="E8">
        <f t="shared" si="2"/>
        <v>14637714.720000003</v>
      </c>
      <c r="F8">
        <f t="shared" si="3"/>
        <v>10289040.000000002</v>
      </c>
      <c r="G8">
        <f t="shared" si="4"/>
        <v>4307040</v>
      </c>
      <c r="H8" s="4"/>
    </row>
    <row r="9" spans="2:9" x14ac:dyDescent="0.25">
      <c r="B9" s="1">
        <v>75000000</v>
      </c>
      <c r="C9" s="4">
        <f t="shared" si="1"/>
        <v>14356800</v>
      </c>
      <c r="D9" s="1">
        <f t="shared" si="0"/>
        <v>16831802.15827338</v>
      </c>
      <c r="E9">
        <f t="shared" si="2"/>
        <v>27445715.100000001</v>
      </c>
      <c r="F9">
        <f t="shared" si="3"/>
        <v>19291950</v>
      </c>
      <c r="G9">
        <f t="shared" si="4"/>
        <v>8075700.0000000009</v>
      </c>
      <c r="H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0CB5-3F08-4511-AF60-2EA48BE69EE9}">
  <dimension ref="A1:AA24"/>
  <sheetViews>
    <sheetView topLeftCell="B1" workbookViewId="0">
      <selection activeCell="C20" sqref="C20"/>
    </sheetView>
  </sheetViews>
  <sheetFormatPr defaultRowHeight="15" x14ac:dyDescent="0.25"/>
  <cols>
    <col min="2" max="2" width="14.7109375" bestFit="1" customWidth="1"/>
    <col min="3" max="3" width="14.140625" bestFit="1" customWidth="1"/>
    <col min="4" max="4" width="12" bestFit="1" customWidth="1"/>
    <col min="5" max="5" width="14.140625" bestFit="1" customWidth="1"/>
    <col min="6" max="6" width="11.42578125" bestFit="1" customWidth="1"/>
    <col min="10" max="10" width="14.140625" bestFit="1" customWidth="1"/>
  </cols>
  <sheetData>
    <row r="1" spans="1:27" x14ac:dyDescent="0.25">
      <c r="B1" t="s">
        <v>2</v>
      </c>
      <c r="E1" t="s">
        <v>9</v>
      </c>
    </row>
    <row r="2" spans="1:27" x14ac:dyDescent="0.25">
      <c r="B2" s="1">
        <v>500000</v>
      </c>
      <c r="D2">
        <f>F20*190*0.9/1000000+20*F20/1000000</f>
        <v>54.860739000000002</v>
      </c>
      <c r="E2" s="2">
        <f>B2*(8000/8760)*0.4*9.97*0.589/1000</f>
        <v>1072.571689497717</v>
      </c>
      <c r="F2" t="s">
        <v>10</v>
      </c>
    </row>
    <row r="3" spans="1:27" x14ac:dyDescent="0.25">
      <c r="B3" t="s">
        <v>0</v>
      </c>
      <c r="J3" s="4"/>
    </row>
    <row r="4" spans="1:27" x14ac:dyDescent="0.25">
      <c r="B4" s="2">
        <f>-B2*150.12*B2^(-0.311)</f>
        <v>-1267736.1912872565</v>
      </c>
      <c r="E4" s="8">
        <f>(E2*0.1*210*0.9+E2*0.9*60+20*E2)/1000000</f>
        <v>9.9641909954337929E-2</v>
      </c>
      <c r="F4">
        <v>1.17</v>
      </c>
      <c r="G4">
        <v>6.4874999999999998</v>
      </c>
      <c r="H4">
        <f>(20*E2)/1000000</f>
        <v>2.145143378995434E-2</v>
      </c>
      <c r="I4">
        <f>(E2*0.9*60)/1000000</f>
        <v>5.7918871232876722E-2</v>
      </c>
      <c r="J4" s="12">
        <f>(F22*0.1*210*0.9106)/1000000</f>
        <v>2.2458843531599996E-2</v>
      </c>
      <c r="K4">
        <f>1.174</f>
        <v>1.1739999999999999</v>
      </c>
    </row>
    <row r="5" spans="1:27" x14ac:dyDescent="0.25">
      <c r="D5">
        <f>210*E2+E2*200</f>
        <v>439754.39269406395</v>
      </c>
      <c r="E5" s="13">
        <f>100*(B2*0.589*0.4*9.97)/8000/1000000</f>
        <v>1.4680825000000002E-2</v>
      </c>
      <c r="F5" s="7"/>
    </row>
    <row r="6" spans="1:27" x14ac:dyDescent="0.25">
      <c r="B6" s="2"/>
    </row>
    <row r="8" spans="1:27" x14ac:dyDescent="0.25">
      <c r="B8" t="s">
        <v>3</v>
      </c>
      <c r="C8" s="1">
        <f>210*0.9*$E$2+20*$E$2</f>
        <v>224167.48310502287</v>
      </c>
      <c r="D8" s="1">
        <f t="shared" ref="D8:AA8" si="0">210*0.9*$E$2+20*$E$2</f>
        <v>224167.48310502287</v>
      </c>
      <c r="E8" s="1">
        <f t="shared" si="0"/>
        <v>224167.48310502287</v>
      </c>
      <c r="F8" s="1">
        <f t="shared" si="0"/>
        <v>224167.48310502287</v>
      </c>
      <c r="G8" s="1">
        <f t="shared" si="0"/>
        <v>224167.48310502287</v>
      </c>
      <c r="H8" s="1">
        <f t="shared" si="0"/>
        <v>224167.48310502287</v>
      </c>
      <c r="I8" s="1">
        <f t="shared" si="0"/>
        <v>224167.48310502287</v>
      </c>
      <c r="J8" s="1">
        <f t="shared" si="0"/>
        <v>224167.48310502287</v>
      </c>
      <c r="K8" s="1">
        <f t="shared" si="0"/>
        <v>224167.48310502287</v>
      </c>
      <c r="L8" s="1">
        <f t="shared" si="0"/>
        <v>224167.48310502287</v>
      </c>
      <c r="M8" s="1">
        <f t="shared" si="0"/>
        <v>224167.48310502287</v>
      </c>
      <c r="N8" s="1">
        <f t="shared" si="0"/>
        <v>224167.48310502287</v>
      </c>
      <c r="O8" s="1">
        <f t="shared" si="0"/>
        <v>224167.48310502287</v>
      </c>
      <c r="P8" s="1">
        <f t="shared" si="0"/>
        <v>224167.48310502287</v>
      </c>
      <c r="Q8" s="1">
        <f t="shared" si="0"/>
        <v>224167.48310502287</v>
      </c>
      <c r="R8" s="1">
        <f t="shared" si="0"/>
        <v>224167.48310502287</v>
      </c>
      <c r="S8" s="1">
        <f t="shared" si="0"/>
        <v>224167.48310502287</v>
      </c>
      <c r="T8" s="1">
        <f t="shared" si="0"/>
        <v>224167.48310502287</v>
      </c>
      <c r="U8" s="1">
        <f t="shared" si="0"/>
        <v>224167.48310502287</v>
      </c>
      <c r="V8" s="1">
        <f t="shared" si="0"/>
        <v>224167.48310502287</v>
      </c>
      <c r="W8" s="1">
        <f t="shared" si="0"/>
        <v>224167.48310502287</v>
      </c>
      <c r="X8" s="1">
        <f t="shared" si="0"/>
        <v>224167.48310502287</v>
      </c>
      <c r="Y8" s="1">
        <f t="shared" si="0"/>
        <v>224167.48310502287</v>
      </c>
      <c r="Z8" s="1">
        <f t="shared" si="0"/>
        <v>224167.48310502287</v>
      </c>
      <c r="AA8" s="1">
        <f t="shared" si="0"/>
        <v>224167.48310502287</v>
      </c>
    </row>
    <row r="9" spans="1:27" x14ac:dyDescent="0.25">
      <c r="B9" t="s">
        <v>4</v>
      </c>
      <c r="C9" s="4">
        <f>-2.1209*$B$2^(0.8359)</f>
        <v>-123108.83420672998</v>
      </c>
      <c r="D9" s="4">
        <f t="shared" ref="D9:AA9" si="1">-2.1209*$B$2^(0.8359)</f>
        <v>-123108.83420672998</v>
      </c>
      <c r="E9" s="4">
        <f t="shared" si="1"/>
        <v>-123108.83420672998</v>
      </c>
      <c r="F9" s="4">
        <f t="shared" si="1"/>
        <v>-123108.83420672998</v>
      </c>
      <c r="G9" s="4">
        <f t="shared" si="1"/>
        <v>-123108.83420672998</v>
      </c>
      <c r="H9" s="4">
        <f t="shared" si="1"/>
        <v>-123108.83420672998</v>
      </c>
      <c r="I9" s="4">
        <f t="shared" si="1"/>
        <v>-123108.83420672998</v>
      </c>
      <c r="J9" s="4">
        <f t="shared" si="1"/>
        <v>-123108.83420672998</v>
      </c>
      <c r="K9" s="4">
        <f t="shared" si="1"/>
        <v>-123108.83420672998</v>
      </c>
      <c r="L9" s="4">
        <f t="shared" si="1"/>
        <v>-123108.83420672998</v>
      </c>
      <c r="M9" s="4">
        <f t="shared" si="1"/>
        <v>-123108.83420672998</v>
      </c>
      <c r="N9" s="4">
        <f t="shared" si="1"/>
        <v>-123108.83420672998</v>
      </c>
      <c r="O9" s="4">
        <f t="shared" si="1"/>
        <v>-123108.83420672998</v>
      </c>
      <c r="P9" s="4">
        <f t="shared" si="1"/>
        <v>-123108.83420672998</v>
      </c>
      <c r="Q9" s="4">
        <f t="shared" si="1"/>
        <v>-123108.83420672998</v>
      </c>
      <c r="R9" s="4">
        <f t="shared" si="1"/>
        <v>-123108.83420672998</v>
      </c>
      <c r="S9" s="4">
        <f t="shared" si="1"/>
        <v>-123108.83420672998</v>
      </c>
      <c r="T9" s="4">
        <f t="shared" si="1"/>
        <v>-123108.83420672998</v>
      </c>
      <c r="U9" s="4">
        <f t="shared" si="1"/>
        <v>-123108.83420672998</v>
      </c>
      <c r="V9" s="4">
        <f t="shared" si="1"/>
        <v>-123108.83420672998</v>
      </c>
      <c r="W9" s="4">
        <f t="shared" si="1"/>
        <v>-123108.83420672998</v>
      </c>
      <c r="X9" s="4">
        <f t="shared" si="1"/>
        <v>-123108.83420672998</v>
      </c>
      <c r="Y9" s="4">
        <f t="shared" si="1"/>
        <v>-123108.83420672998</v>
      </c>
      <c r="Z9" s="4">
        <f t="shared" si="1"/>
        <v>-123108.83420672998</v>
      </c>
      <c r="AA9" s="4">
        <f t="shared" si="1"/>
        <v>-123108.83420672998</v>
      </c>
    </row>
    <row r="10" spans="1:27" x14ac:dyDescent="0.25">
      <c r="B10" t="s">
        <v>5</v>
      </c>
      <c r="C10" s="1">
        <v>-10000</v>
      </c>
      <c r="D10" s="1">
        <v>-10000</v>
      </c>
      <c r="E10" s="1">
        <v>-10000</v>
      </c>
      <c r="F10" s="1">
        <v>-10000</v>
      </c>
      <c r="G10" s="1">
        <v>-10000</v>
      </c>
      <c r="H10" s="1">
        <v>-10000</v>
      </c>
      <c r="I10" s="1">
        <v>-10000</v>
      </c>
      <c r="J10" s="1">
        <v>-10000</v>
      </c>
      <c r="K10" s="1">
        <v>-10000</v>
      </c>
      <c r="L10" s="1">
        <v>-10000</v>
      </c>
      <c r="M10" s="1">
        <v>-10000</v>
      </c>
      <c r="N10" s="1">
        <v>-10000</v>
      </c>
      <c r="O10" s="1">
        <v>-10000</v>
      </c>
      <c r="P10" s="1">
        <v>-10000</v>
      </c>
      <c r="Q10" s="1">
        <v>-10000</v>
      </c>
      <c r="R10" s="1">
        <v>-10000</v>
      </c>
      <c r="S10" s="1">
        <v>-10000</v>
      </c>
      <c r="T10" s="1">
        <v>-10000</v>
      </c>
      <c r="U10" s="1">
        <v>-10000</v>
      </c>
      <c r="V10" s="1">
        <v>-10000</v>
      </c>
      <c r="W10" s="1">
        <v>-10000</v>
      </c>
      <c r="X10" s="1">
        <v>-10000</v>
      </c>
      <c r="Y10" s="1">
        <v>-10000</v>
      </c>
      <c r="Z10" s="1">
        <v>-10000</v>
      </c>
      <c r="AA10" s="1">
        <v>-10000</v>
      </c>
    </row>
    <row r="11" spans="1:27" x14ac:dyDescent="0.25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25">
      <c r="A13" t="s">
        <v>7</v>
      </c>
    </row>
    <row r="14" spans="1:27" x14ac:dyDescent="0.25">
      <c r="A14" s="6">
        <f>IRR(B14:AA14)</f>
        <v>5.1227331849744484E-2</v>
      </c>
      <c r="B14" s="3">
        <f>B6+B4</f>
        <v>-1267736.1912872565</v>
      </c>
      <c r="C14">
        <f>SUM(C8:C13)</f>
        <v>91058.648898292886</v>
      </c>
      <c r="D14">
        <f t="shared" ref="D14:AA14" si="2">SUM(D8:D13)</f>
        <v>91058.648898292886</v>
      </c>
      <c r="E14">
        <f t="shared" si="2"/>
        <v>91058.648898292886</v>
      </c>
      <c r="F14">
        <f t="shared" si="2"/>
        <v>91058.648898292886</v>
      </c>
      <c r="G14">
        <f t="shared" si="2"/>
        <v>91058.648898292886</v>
      </c>
      <c r="H14">
        <f t="shared" si="2"/>
        <v>91058.648898292886</v>
      </c>
      <c r="I14">
        <f t="shared" si="2"/>
        <v>91058.648898292886</v>
      </c>
      <c r="J14">
        <f t="shared" si="2"/>
        <v>91058.648898292886</v>
      </c>
      <c r="K14">
        <f t="shared" si="2"/>
        <v>91058.648898292886</v>
      </c>
      <c r="L14">
        <f t="shared" si="2"/>
        <v>91058.648898292886</v>
      </c>
      <c r="M14">
        <f t="shared" si="2"/>
        <v>91058.648898292886</v>
      </c>
      <c r="N14">
        <f t="shared" si="2"/>
        <v>91058.648898292886</v>
      </c>
      <c r="O14">
        <f t="shared" si="2"/>
        <v>91058.648898292886</v>
      </c>
      <c r="P14">
        <f t="shared" si="2"/>
        <v>91058.648898292886</v>
      </c>
      <c r="Q14">
        <f t="shared" si="2"/>
        <v>91058.648898292886</v>
      </c>
      <c r="R14">
        <f t="shared" si="2"/>
        <v>91058.648898292886</v>
      </c>
      <c r="S14">
        <f t="shared" si="2"/>
        <v>91058.648898292886</v>
      </c>
      <c r="T14">
        <f t="shared" si="2"/>
        <v>91058.648898292886</v>
      </c>
      <c r="U14">
        <f t="shared" si="2"/>
        <v>91058.648898292886</v>
      </c>
      <c r="V14">
        <f t="shared" si="2"/>
        <v>91058.648898292886</v>
      </c>
      <c r="W14">
        <f t="shared" si="2"/>
        <v>91058.648898292886</v>
      </c>
      <c r="X14">
        <f t="shared" si="2"/>
        <v>91058.648898292886</v>
      </c>
      <c r="Y14">
        <f t="shared" si="2"/>
        <v>91058.648898292886</v>
      </c>
      <c r="Z14">
        <f t="shared" si="2"/>
        <v>91058.648898292886</v>
      </c>
      <c r="AA14">
        <f t="shared" si="2"/>
        <v>91058.648898292886</v>
      </c>
    </row>
    <row r="16" spans="1:27" x14ac:dyDescent="0.25">
      <c r="B16" s="5">
        <f>NPV(0.042,C14:AA14)+B14</f>
        <v>125189.03917355789</v>
      </c>
    </row>
    <row r="17" spans="2:15" x14ac:dyDescent="0.25">
      <c r="D17">
        <f>75000000/100</f>
        <v>750000</v>
      </c>
      <c r="G17">
        <f>0.1556+0.214395</f>
        <v>0.36999499999999996</v>
      </c>
      <c r="K17">
        <v>0.74642283024207101</v>
      </c>
    </row>
    <row r="18" spans="2:15" x14ac:dyDescent="0.25">
      <c r="B18" s="5">
        <f>B16/1000000</f>
        <v>0.12518903917355789</v>
      </c>
      <c r="D18">
        <f>D17/30</f>
        <v>25000</v>
      </c>
      <c r="K18">
        <f>K17*287000</f>
        <v>214223.35227947438</v>
      </c>
      <c r="N18" s="2">
        <f>B2*(8000/8760)*0.4*9.97*0.589/1000</f>
        <v>1072.571689497717</v>
      </c>
      <c r="O18" t="s">
        <v>10</v>
      </c>
    </row>
    <row r="19" spans="2:15" x14ac:dyDescent="0.25">
      <c r="F19" t="s">
        <v>11</v>
      </c>
      <c r="H19">
        <v>4.22</v>
      </c>
      <c r="N19">
        <f>N18*2</f>
        <v>2145.143378995434</v>
      </c>
      <c r="O19" t="s">
        <v>10</v>
      </c>
    </row>
    <row r="20" spans="2:15" x14ac:dyDescent="0.25">
      <c r="B20" s="10">
        <f>B18*5</f>
        <v>0.62594519586778952</v>
      </c>
      <c r="F20">
        <f>287229</f>
        <v>287229</v>
      </c>
      <c r="H20">
        <v>8.15</v>
      </c>
    </row>
    <row r="21" spans="2:15" x14ac:dyDescent="0.25">
      <c r="B21" s="2">
        <v>177.52557523289957</v>
      </c>
      <c r="H21">
        <v>8.91</v>
      </c>
      <c r="N21">
        <f>190*0.91*N18+20*N18</f>
        <v>206899.07890410963</v>
      </c>
    </row>
    <row r="22" spans="2:15" x14ac:dyDescent="0.25">
      <c r="E22" s="9">
        <f>E5</f>
        <v>1.4680825000000002E-2</v>
      </c>
      <c r="F22" s="1">
        <f>B2*0.4*0.589*9.97/1000</f>
        <v>1174.4659999999999</v>
      </c>
      <c r="H22">
        <v>8.06</v>
      </c>
      <c r="K22">
        <f>0.713*265000</f>
        <v>188945</v>
      </c>
      <c r="N22">
        <f>190*0.91*N19+20*N19</f>
        <v>413798.15780821926</v>
      </c>
    </row>
    <row r="23" spans="2:15" x14ac:dyDescent="0.25">
      <c r="E23">
        <f>F23/1000000</f>
        <v>0.248028427744</v>
      </c>
      <c r="F23">
        <f>F22*210*0.9104+F22*20</f>
        <v>248028.42774399999</v>
      </c>
      <c r="H23">
        <v>4.13</v>
      </c>
    </row>
    <row r="24" spans="2:15" x14ac:dyDescent="0.25">
      <c r="E24">
        <f>E22*10+E23</f>
        <v>0.394836677744</v>
      </c>
      <c r="H24">
        <f>AVERAGE(H19:H23)</f>
        <v>6.6940000000000008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DD19-2AED-43A9-945E-37859E7C536F}">
  <dimension ref="A1:AA24"/>
  <sheetViews>
    <sheetView workbookViewId="0">
      <selection activeCell="D24" sqref="D24"/>
    </sheetView>
  </sheetViews>
  <sheetFormatPr defaultRowHeight="15" x14ac:dyDescent="0.25"/>
  <cols>
    <col min="2" max="2" width="14.7109375" bestFit="1" customWidth="1"/>
    <col min="3" max="3" width="14.140625" bestFit="1" customWidth="1"/>
    <col min="4" max="4" width="12" bestFit="1" customWidth="1"/>
    <col min="5" max="5" width="14.140625" bestFit="1" customWidth="1"/>
    <col min="6" max="6" width="11.42578125" bestFit="1" customWidth="1"/>
    <col min="10" max="10" width="14.140625" bestFit="1" customWidth="1"/>
  </cols>
  <sheetData>
    <row r="1" spans="1:27" x14ac:dyDescent="0.25">
      <c r="B1" t="s">
        <v>2</v>
      </c>
      <c r="E1" t="s">
        <v>9</v>
      </c>
    </row>
    <row r="2" spans="1:27" x14ac:dyDescent="0.25">
      <c r="B2" s="1">
        <v>40000000</v>
      </c>
      <c r="E2" s="2">
        <f>B2*(8000/8760)*0.4*9.97*0.589/1000</f>
        <v>85805.73515981737</v>
      </c>
      <c r="F2" t="s">
        <v>10</v>
      </c>
    </row>
    <row r="3" spans="1:27" x14ac:dyDescent="0.25">
      <c r="B3" t="s">
        <v>0</v>
      </c>
      <c r="J3" s="4"/>
    </row>
    <row r="4" spans="1:27" x14ac:dyDescent="0.25">
      <c r="B4" s="2">
        <f>-B2*150.12*B2^(-0.311)</f>
        <v>-25957202.773503952</v>
      </c>
      <c r="E4" s="8">
        <f>(E2*0.1*210*0.9+E2*0.9*60+20*E2)/1000000</f>
        <v>7.9713527963470332</v>
      </c>
      <c r="F4">
        <v>1.17</v>
      </c>
      <c r="G4">
        <v>6.4874999999999998</v>
      </c>
      <c r="H4">
        <f>(20*E2)/1000000</f>
        <v>1.7161147031963475</v>
      </c>
      <c r="I4">
        <f>(E2*0.9*60)/1000000</f>
        <v>4.633509698630137</v>
      </c>
      <c r="J4" s="12">
        <f>(F22*0.1*210*0.9106)/1000000</f>
        <v>1.7967074825280001</v>
      </c>
      <c r="K4">
        <f>1.174</f>
        <v>1.1739999999999999</v>
      </c>
    </row>
    <row r="5" spans="1:27" x14ac:dyDescent="0.25">
      <c r="E5" s="13">
        <f>100*(B2*0.589*0.4*9.97)/8000/1000000</f>
        <v>1.174466</v>
      </c>
      <c r="F5" s="7"/>
    </row>
    <row r="6" spans="1:27" x14ac:dyDescent="0.25">
      <c r="B6" s="2"/>
    </row>
    <row r="8" spans="1:27" x14ac:dyDescent="0.25">
      <c r="B8" t="s">
        <v>3</v>
      </c>
      <c r="C8" s="1">
        <f>100*$E$2+20*$E$2</f>
        <v>10296688.219178084</v>
      </c>
      <c r="D8" s="1">
        <f t="shared" ref="D8:AA8" si="0">100*$E$2+20*$E$2</f>
        <v>10296688.219178084</v>
      </c>
      <c r="E8" s="1">
        <f t="shared" si="0"/>
        <v>10296688.219178084</v>
      </c>
      <c r="F8" s="1">
        <f t="shared" si="0"/>
        <v>10296688.219178084</v>
      </c>
      <c r="G8" s="1">
        <f t="shared" si="0"/>
        <v>10296688.219178084</v>
      </c>
      <c r="H8" s="1">
        <f t="shared" si="0"/>
        <v>10296688.219178084</v>
      </c>
      <c r="I8" s="1">
        <f t="shared" si="0"/>
        <v>10296688.219178084</v>
      </c>
      <c r="J8" s="1">
        <f t="shared" si="0"/>
        <v>10296688.219178084</v>
      </c>
      <c r="K8" s="1">
        <f t="shared" si="0"/>
        <v>10296688.219178084</v>
      </c>
      <c r="L8" s="1">
        <f t="shared" si="0"/>
        <v>10296688.219178084</v>
      </c>
      <c r="M8" s="1">
        <f t="shared" si="0"/>
        <v>10296688.219178084</v>
      </c>
      <c r="N8" s="1">
        <f t="shared" si="0"/>
        <v>10296688.219178084</v>
      </c>
      <c r="O8" s="1">
        <f t="shared" si="0"/>
        <v>10296688.219178084</v>
      </c>
      <c r="P8" s="1">
        <f t="shared" si="0"/>
        <v>10296688.219178084</v>
      </c>
      <c r="Q8" s="1">
        <f t="shared" si="0"/>
        <v>10296688.219178084</v>
      </c>
      <c r="R8" s="1">
        <f t="shared" si="0"/>
        <v>10296688.219178084</v>
      </c>
      <c r="S8" s="1">
        <f t="shared" si="0"/>
        <v>10296688.219178084</v>
      </c>
      <c r="T8" s="1">
        <f t="shared" si="0"/>
        <v>10296688.219178084</v>
      </c>
      <c r="U8" s="1">
        <f t="shared" si="0"/>
        <v>10296688.219178084</v>
      </c>
      <c r="V8" s="1">
        <f t="shared" si="0"/>
        <v>10296688.219178084</v>
      </c>
      <c r="W8" s="1">
        <f t="shared" si="0"/>
        <v>10296688.219178084</v>
      </c>
      <c r="X8" s="1">
        <f t="shared" si="0"/>
        <v>10296688.219178084</v>
      </c>
      <c r="Y8" s="1">
        <f t="shared" si="0"/>
        <v>10296688.219178084</v>
      </c>
      <c r="Z8" s="1">
        <f t="shared" si="0"/>
        <v>10296688.219178084</v>
      </c>
      <c r="AA8" s="1">
        <f t="shared" si="0"/>
        <v>10296688.219178084</v>
      </c>
    </row>
    <row r="9" spans="1:27" x14ac:dyDescent="0.25">
      <c r="B9" t="s">
        <v>4</v>
      </c>
      <c r="C9" s="4">
        <f>-2.1209*$B$2^(0.8359)</f>
        <v>-4798241.9002115969</v>
      </c>
      <c r="D9" s="4">
        <f t="shared" ref="D9:AA9" si="1">-2.1209*$B$2^(0.8359)</f>
        <v>-4798241.9002115969</v>
      </c>
      <c r="E9" s="4">
        <f t="shared" si="1"/>
        <v>-4798241.9002115969</v>
      </c>
      <c r="F9" s="4">
        <f t="shared" si="1"/>
        <v>-4798241.9002115969</v>
      </c>
      <c r="G9" s="4">
        <f t="shared" si="1"/>
        <v>-4798241.9002115969</v>
      </c>
      <c r="H9" s="4">
        <f t="shared" si="1"/>
        <v>-4798241.9002115969</v>
      </c>
      <c r="I9" s="4">
        <f t="shared" si="1"/>
        <v>-4798241.9002115969</v>
      </c>
      <c r="J9" s="4">
        <f t="shared" si="1"/>
        <v>-4798241.9002115969</v>
      </c>
      <c r="K9" s="4">
        <f t="shared" si="1"/>
        <v>-4798241.9002115969</v>
      </c>
      <c r="L9" s="4">
        <f t="shared" si="1"/>
        <v>-4798241.9002115969</v>
      </c>
      <c r="M9" s="4">
        <f t="shared" si="1"/>
        <v>-4798241.9002115969</v>
      </c>
      <c r="N9" s="4">
        <f t="shared" si="1"/>
        <v>-4798241.9002115969</v>
      </c>
      <c r="O9" s="4">
        <f t="shared" si="1"/>
        <v>-4798241.9002115969</v>
      </c>
      <c r="P9" s="4">
        <f t="shared" si="1"/>
        <v>-4798241.9002115969</v>
      </c>
      <c r="Q9" s="4">
        <f t="shared" si="1"/>
        <v>-4798241.9002115969</v>
      </c>
      <c r="R9" s="4">
        <f t="shared" si="1"/>
        <v>-4798241.9002115969</v>
      </c>
      <c r="S9" s="4">
        <f t="shared" si="1"/>
        <v>-4798241.9002115969</v>
      </c>
      <c r="T9" s="4">
        <f t="shared" si="1"/>
        <v>-4798241.9002115969</v>
      </c>
      <c r="U9" s="4">
        <f t="shared" si="1"/>
        <v>-4798241.9002115969</v>
      </c>
      <c r="V9" s="4">
        <f t="shared" si="1"/>
        <v>-4798241.9002115969</v>
      </c>
      <c r="W9" s="4">
        <f t="shared" si="1"/>
        <v>-4798241.9002115969</v>
      </c>
      <c r="X9" s="4">
        <f t="shared" si="1"/>
        <v>-4798241.9002115969</v>
      </c>
      <c r="Y9" s="4">
        <f t="shared" si="1"/>
        <v>-4798241.9002115969</v>
      </c>
      <c r="Z9" s="4">
        <f t="shared" si="1"/>
        <v>-4798241.9002115969</v>
      </c>
      <c r="AA9" s="4">
        <f t="shared" si="1"/>
        <v>-4798241.9002115969</v>
      </c>
    </row>
    <row r="10" spans="1:27" x14ac:dyDescent="0.25">
      <c r="B10" t="s">
        <v>5</v>
      </c>
      <c r="C10" s="1">
        <v>-4130000</v>
      </c>
      <c r="D10" s="1">
        <v>-4130000</v>
      </c>
      <c r="E10" s="1">
        <v>-4130000</v>
      </c>
      <c r="F10" s="1">
        <v>-4130000</v>
      </c>
      <c r="G10" s="1">
        <v>-4130000</v>
      </c>
      <c r="H10" s="1">
        <v>-4130000</v>
      </c>
      <c r="I10" s="1">
        <v>-4130000</v>
      </c>
      <c r="J10" s="1">
        <v>-4130000</v>
      </c>
      <c r="K10" s="1">
        <v>-4130000</v>
      </c>
      <c r="L10" s="1">
        <v>-4130000</v>
      </c>
      <c r="M10" s="1">
        <v>-4130000</v>
      </c>
      <c r="N10" s="1">
        <v>-4130000</v>
      </c>
      <c r="O10" s="1">
        <v>-4130000</v>
      </c>
      <c r="P10" s="1">
        <v>-4130000</v>
      </c>
      <c r="Q10" s="1">
        <v>-4130000</v>
      </c>
      <c r="R10" s="1">
        <v>-4130000</v>
      </c>
      <c r="S10" s="1">
        <v>-4130000</v>
      </c>
      <c r="T10" s="1">
        <v>-4130000</v>
      </c>
      <c r="U10" s="1">
        <v>-4130000</v>
      </c>
      <c r="V10" s="1">
        <v>-4130000</v>
      </c>
      <c r="W10" s="1">
        <v>-4130000</v>
      </c>
      <c r="X10" s="1">
        <v>-4130000</v>
      </c>
      <c r="Y10" s="1">
        <v>-4130000</v>
      </c>
      <c r="Z10" s="1">
        <v>-4130000</v>
      </c>
      <c r="AA10" s="1">
        <v>-4130000</v>
      </c>
    </row>
    <row r="11" spans="1:27" x14ac:dyDescent="0.25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25">
      <c r="A13" t="s">
        <v>7</v>
      </c>
    </row>
    <row r="14" spans="1:27" x14ac:dyDescent="0.25">
      <c r="A14" s="6">
        <f>IRR(B14:AA14)</f>
        <v>2.2472736444702157E-2</v>
      </c>
      <c r="B14" s="3">
        <f>B6+B4</f>
        <v>-25957202.773503952</v>
      </c>
      <c r="C14">
        <f>SUM(C8:C13)</f>
        <v>1368446.3189664874</v>
      </c>
      <c r="D14">
        <f t="shared" ref="D14:AA14" si="2">SUM(D8:D13)</f>
        <v>1368446.3189664874</v>
      </c>
      <c r="E14">
        <f t="shared" si="2"/>
        <v>1368446.3189664874</v>
      </c>
      <c r="F14">
        <f t="shared" si="2"/>
        <v>1368446.3189664874</v>
      </c>
      <c r="G14">
        <f t="shared" si="2"/>
        <v>1368446.3189664874</v>
      </c>
      <c r="H14">
        <f t="shared" si="2"/>
        <v>1368446.3189664874</v>
      </c>
      <c r="I14">
        <f t="shared" si="2"/>
        <v>1368446.3189664874</v>
      </c>
      <c r="J14">
        <f t="shared" si="2"/>
        <v>1368446.3189664874</v>
      </c>
      <c r="K14">
        <f t="shared" si="2"/>
        <v>1368446.3189664874</v>
      </c>
      <c r="L14">
        <f t="shared" si="2"/>
        <v>1368446.3189664874</v>
      </c>
      <c r="M14">
        <f t="shared" si="2"/>
        <v>1368446.3189664874</v>
      </c>
      <c r="N14">
        <f t="shared" si="2"/>
        <v>1368446.3189664874</v>
      </c>
      <c r="O14">
        <f t="shared" si="2"/>
        <v>1368446.3189664874</v>
      </c>
      <c r="P14">
        <f t="shared" si="2"/>
        <v>1368446.3189664874</v>
      </c>
      <c r="Q14">
        <f t="shared" si="2"/>
        <v>1368446.3189664874</v>
      </c>
      <c r="R14">
        <f t="shared" si="2"/>
        <v>1368446.3189664874</v>
      </c>
      <c r="S14">
        <f t="shared" si="2"/>
        <v>1368446.3189664874</v>
      </c>
      <c r="T14">
        <f t="shared" si="2"/>
        <v>1368446.3189664874</v>
      </c>
      <c r="U14">
        <f t="shared" si="2"/>
        <v>1368446.3189664874</v>
      </c>
      <c r="V14">
        <f t="shared" si="2"/>
        <v>1368446.3189664874</v>
      </c>
      <c r="W14">
        <f t="shared" si="2"/>
        <v>1368446.3189664874</v>
      </c>
      <c r="X14">
        <f t="shared" si="2"/>
        <v>1368446.3189664874</v>
      </c>
      <c r="Y14">
        <f t="shared" si="2"/>
        <v>1368446.3189664874</v>
      </c>
      <c r="Z14">
        <f t="shared" si="2"/>
        <v>1368446.3189664874</v>
      </c>
      <c r="AA14">
        <f t="shared" si="2"/>
        <v>1368446.3189664874</v>
      </c>
    </row>
    <row r="16" spans="1:27" x14ac:dyDescent="0.25">
      <c r="B16" s="5">
        <f>NPV(0.042,C14:AA14)+B14</f>
        <v>-5024063.2279271521</v>
      </c>
    </row>
    <row r="17" spans="2:15" x14ac:dyDescent="0.25">
      <c r="D17">
        <f>75000000/100</f>
        <v>750000</v>
      </c>
      <c r="G17">
        <f>0.1556+0.214395</f>
        <v>0.36999499999999996</v>
      </c>
      <c r="K17">
        <v>0.74642283024207101</v>
      </c>
    </row>
    <row r="18" spans="2:15" x14ac:dyDescent="0.25">
      <c r="B18" s="5">
        <f>B16/1000000</f>
        <v>-5.0240632279271518</v>
      </c>
      <c r="D18">
        <f>D17/30</f>
        <v>25000</v>
      </c>
      <c r="J18">
        <f>45000/365</f>
        <v>123.28767123287672</v>
      </c>
      <c r="K18">
        <f>K17*287000</f>
        <v>214223.35227947438</v>
      </c>
      <c r="N18" s="2">
        <f>B2/2*(8000/8760)*0.4*9.97*0.589/1000</f>
        <v>42902.867579908685</v>
      </c>
      <c r="O18" t="s">
        <v>10</v>
      </c>
    </row>
    <row r="19" spans="2:15" x14ac:dyDescent="0.25">
      <c r="F19" t="s">
        <v>11</v>
      </c>
      <c r="H19">
        <v>4.22</v>
      </c>
      <c r="N19">
        <f>N18*2</f>
        <v>85805.73515981737</v>
      </c>
      <c r="O19" t="s">
        <v>10</v>
      </c>
    </row>
    <row r="20" spans="2:15" x14ac:dyDescent="0.25">
      <c r="B20" s="10">
        <f>B18*5</f>
        <v>-25.120316139635758</v>
      </c>
      <c r="F20">
        <f>287229</f>
        <v>287229</v>
      </c>
      <c r="H20">
        <v>8.15</v>
      </c>
    </row>
    <row r="21" spans="2:15" x14ac:dyDescent="0.25">
      <c r="B21" s="2">
        <v>177.52557523289957</v>
      </c>
      <c r="H21">
        <v>8.91</v>
      </c>
      <c r="N21">
        <f>190*0.91*N18+20*N18</f>
        <v>8275963.1561643854</v>
      </c>
    </row>
    <row r="22" spans="2:15" x14ac:dyDescent="0.25">
      <c r="E22" s="9">
        <f>E5</f>
        <v>1.174466</v>
      </c>
      <c r="F22" s="1">
        <f>B2*0.4*0.589*9.97/1000</f>
        <v>93957.28</v>
      </c>
      <c r="H22">
        <v>8.06</v>
      </c>
      <c r="K22">
        <f>0.713*265000</f>
        <v>188945</v>
      </c>
      <c r="N22">
        <f>190*0.91*N19+20*N19</f>
        <v>16551926.312328771</v>
      </c>
    </row>
    <row r="23" spans="2:15" x14ac:dyDescent="0.25">
      <c r="E23">
        <f>F23/1000000</f>
        <v>19.842274219520004</v>
      </c>
      <c r="F23">
        <f>F22*210*0.9104+F22*20</f>
        <v>19842274.219520003</v>
      </c>
      <c r="H23">
        <v>4.13</v>
      </c>
    </row>
    <row r="24" spans="2:15" x14ac:dyDescent="0.25">
      <c r="E24">
        <f>E22*10+E23</f>
        <v>31.586934219520003</v>
      </c>
      <c r="H24">
        <f>AVERAGE(H19:H23)</f>
        <v>6.6940000000000008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3BF9-9BAE-47AE-9C75-BA1799236717}">
  <dimension ref="A1:AA24"/>
  <sheetViews>
    <sheetView workbookViewId="0">
      <selection activeCell="C8" sqref="C8"/>
    </sheetView>
  </sheetViews>
  <sheetFormatPr defaultRowHeight="15" x14ac:dyDescent="0.25"/>
  <cols>
    <col min="2" max="2" width="14.7109375" bestFit="1" customWidth="1"/>
    <col min="3" max="3" width="14.140625" bestFit="1" customWidth="1"/>
    <col min="4" max="4" width="12" bestFit="1" customWidth="1"/>
    <col min="5" max="5" width="14.140625" bestFit="1" customWidth="1"/>
    <col min="6" max="6" width="11.42578125" bestFit="1" customWidth="1"/>
    <col min="10" max="10" width="14.140625" bestFit="1" customWidth="1"/>
  </cols>
  <sheetData>
    <row r="1" spans="1:27" x14ac:dyDescent="0.25">
      <c r="B1" t="s">
        <v>2</v>
      </c>
      <c r="C1" t="s">
        <v>12</v>
      </c>
      <c r="E1" t="s">
        <v>9</v>
      </c>
    </row>
    <row r="2" spans="1:27" x14ac:dyDescent="0.25">
      <c r="B2" s="1">
        <v>10000000</v>
      </c>
      <c r="C2" s="2">
        <f>B2*0.589*0.4*9.97/(8000*1000)</f>
        <v>2.9361649999999999</v>
      </c>
      <c r="E2" s="2">
        <f>6500000*(8000/8760)*0.9*9.97*0.589/1000</f>
        <v>31372.72191780822</v>
      </c>
      <c r="F2" t="s">
        <v>10</v>
      </c>
    </row>
    <row r="3" spans="1:27" x14ac:dyDescent="0.25">
      <c r="B3" t="s">
        <v>0</v>
      </c>
      <c r="J3" s="4"/>
    </row>
    <row r="4" spans="1:27" x14ac:dyDescent="0.25">
      <c r="B4" s="4">
        <f>-110000*C2</f>
        <v>-322978.14999999997</v>
      </c>
      <c r="E4" s="8">
        <f>(E2*0.1*210*0.9+E2*0.9*60+20*E2)/1000000</f>
        <v>2.914525866164384</v>
      </c>
      <c r="F4">
        <v>1.17</v>
      </c>
      <c r="G4">
        <v>6.4874999999999998</v>
      </c>
      <c r="H4">
        <f>(20*E2)/1000000</f>
        <v>0.62745443835616432</v>
      </c>
      <c r="I4">
        <f>(E2*0.9*60)/1000000</f>
        <v>1.6941269835616439</v>
      </c>
      <c r="J4" s="12">
        <f>(F22*0.1*210*0.9106)/1000000</f>
        <v>0.44917687063200001</v>
      </c>
      <c r="K4">
        <f>1.174</f>
        <v>1.1739999999999999</v>
      </c>
    </row>
    <row r="5" spans="1:27" x14ac:dyDescent="0.25">
      <c r="C5" s="11">
        <f>C9/1000000</f>
        <v>-1.5686360958904109E-2</v>
      </c>
      <c r="E5" s="13">
        <f>100*(B2*0.589*0.4*9.97)/8000/1000000</f>
        <v>0.2936165</v>
      </c>
      <c r="F5" s="7"/>
    </row>
    <row r="6" spans="1:27" x14ac:dyDescent="0.25">
      <c r="B6" s="2"/>
      <c r="C6">
        <f>-3000*C2/1000000</f>
        <v>-8.8084949999999995E-3</v>
      </c>
    </row>
    <row r="8" spans="1:27" x14ac:dyDescent="0.25">
      <c r="B8" t="s">
        <v>3</v>
      </c>
      <c r="C8" s="1">
        <f>$E$2*200</f>
        <v>6274544.3835616438</v>
      </c>
      <c r="D8" s="1">
        <f t="shared" ref="D8:AA8" si="0">$E$2*20</f>
        <v>627454.43835616438</v>
      </c>
      <c r="E8" s="1">
        <f t="shared" si="0"/>
        <v>627454.43835616438</v>
      </c>
      <c r="F8" s="1">
        <f t="shared" si="0"/>
        <v>627454.43835616438</v>
      </c>
      <c r="G8" s="1">
        <f t="shared" si="0"/>
        <v>627454.43835616438</v>
      </c>
      <c r="H8" s="1">
        <f t="shared" si="0"/>
        <v>627454.43835616438</v>
      </c>
      <c r="I8" s="1">
        <f t="shared" si="0"/>
        <v>627454.43835616438</v>
      </c>
      <c r="J8" s="1">
        <f t="shared" si="0"/>
        <v>627454.43835616438</v>
      </c>
      <c r="K8" s="1">
        <f t="shared" si="0"/>
        <v>627454.43835616438</v>
      </c>
      <c r="L8" s="1">
        <f t="shared" si="0"/>
        <v>627454.43835616438</v>
      </c>
      <c r="M8" s="1">
        <f t="shared" si="0"/>
        <v>627454.43835616438</v>
      </c>
      <c r="N8" s="1">
        <f t="shared" si="0"/>
        <v>627454.43835616438</v>
      </c>
      <c r="O8" s="1">
        <f t="shared" si="0"/>
        <v>627454.43835616438</v>
      </c>
      <c r="P8" s="1">
        <f t="shared" si="0"/>
        <v>627454.43835616438</v>
      </c>
      <c r="Q8" s="1">
        <f t="shared" si="0"/>
        <v>627454.43835616438</v>
      </c>
      <c r="R8" s="1">
        <f t="shared" si="0"/>
        <v>627454.43835616438</v>
      </c>
      <c r="S8" s="1">
        <f t="shared" si="0"/>
        <v>627454.43835616438</v>
      </c>
      <c r="T8" s="1">
        <f t="shared" si="0"/>
        <v>627454.43835616438</v>
      </c>
      <c r="U8" s="1">
        <f t="shared" si="0"/>
        <v>627454.43835616438</v>
      </c>
      <c r="V8" s="1">
        <f t="shared" si="0"/>
        <v>627454.43835616438</v>
      </c>
      <c r="W8" s="1">
        <f t="shared" si="0"/>
        <v>627454.43835616438</v>
      </c>
      <c r="X8" s="1">
        <f t="shared" si="0"/>
        <v>627454.43835616438</v>
      </c>
      <c r="Y8" s="1">
        <f t="shared" si="0"/>
        <v>627454.43835616438</v>
      </c>
      <c r="Z8" s="1">
        <f t="shared" si="0"/>
        <v>627454.43835616438</v>
      </c>
      <c r="AA8" s="1">
        <f t="shared" si="0"/>
        <v>627454.43835616438</v>
      </c>
    </row>
    <row r="9" spans="1:27" x14ac:dyDescent="0.25">
      <c r="B9" t="s">
        <v>4</v>
      </c>
      <c r="C9" s="4">
        <f>-0.5*$E$2</f>
        <v>-15686.36095890411</v>
      </c>
      <c r="D9" s="4">
        <f t="shared" ref="D9:AA9" si="1">-0.5*$E$2-3000*$C$2</f>
        <v>-24494.855958904111</v>
      </c>
      <c r="E9" s="4">
        <f t="shared" si="1"/>
        <v>-24494.855958904111</v>
      </c>
      <c r="F9" s="4">
        <f t="shared" si="1"/>
        <v>-24494.855958904111</v>
      </c>
      <c r="G9" s="4">
        <f t="shared" si="1"/>
        <v>-24494.855958904111</v>
      </c>
      <c r="H9" s="4">
        <f t="shared" si="1"/>
        <v>-24494.855958904111</v>
      </c>
      <c r="I9" s="4">
        <f t="shared" si="1"/>
        <v>-24494.855958904111</v>
      </c>
      <c r="J9" s="4">
        <f t="shared" si="1"/>
        <v>-24494.855958904111</v>
      </c>
      <c r="K9" s="4">
        <f t="shared" si="1"/>
        <v>-24494.855958904111</v>
      </c>
      <c r="L9" s="4">
        <f t="shared" si="1"/>
        <v>-24494.855958904111</v>
      </c>
      <c r="M9" s="4">
        <f t="shared" si="1"/>
        <v>-24494.855958904111</v>
      </c>
      <c r="N9" s="4">
        <f t="shared" si="1"/>
        <v>-24494.855958904111</v>
      </c>
      <c r="O9" s="4">
        <f t="shared" si="1"/>
        <v>-24494.855958904111</v>
      </c>
      <c r="P9" s="4">
        <f t="shared" si="1"/>
        <v>-24494.855958904111</v>
      </c>
      <c r="Q9" s="4">
        <f t="shared" si="1"/>
        <v>-24494.855958904111</v>
      </c>
      <c r="R9" s="4">
        <f t="shared" si="1"/>
        <v>-24494.855958904111</v>
      </c>
      <c r="S9" s="4">
        <f t="shared" si="1"/>
        <v>-24494.855958904111</v>
      </c>
      <c r="T9" s="4">
        <f t="shared" si="1"/>
        <v>-24494.855958904111</v>
      </c>
      <c r="U9" s="4">
        <f t="shared" si="1"/>
        <v>-24494.855958904111</v>
      </c>
      <c r="V9" s="4">
        <f t="shared" si="1"/>
        <v>-24494.855958904111</v>
      </c>
      <c r="W9" s="4">
        <f t="shared" si="1"/>
        <v>-24494.855958904111</v>
      </c>
      <c r="X9" s="4">
        <f t="shared" si="1"/>
        <v>-24494.855958904111</v>
      </c>
      <c r="Y9" s="4">
        <f t="shared" si="1"/>
        <v>-24494.855958904111</v>
      </c>
      <c r="Z9" s="4">
        <f t="shared" si="1"/>
        <v>-24494.855958904111</v>
      </c>
      <c r="AA9" s="4">
        <f t="shared" si="1"/>
        <v>-24494.855958904111</v>
      </c>
    </row>
    <row r="10" spans="1:27" x14ac:dyDescent="0.25">
      <c r="B10" t="s">
        <v>5</v>
      </c>
      <c r="C10" s="1">
        <v>-1000000</v>
      </c>
      <c r="D10" s="1">
        <v>-1000000</v>
      </c>
      <c r="E10" s="1">
        <v>-1000000</v>
      </c>
      <c r="F10" s="1">
        <v>-1000000</v>
      </c>
      <c r="G10" s="1">
        <v>-1000000</v>
      </c>
      <c r="H10" s="1">
        <v>-1000000</v>
      </c>
      <c r="I10" s="1">
        <v>-1000000</v>
      </c>
      <c r="J10" s="1">
        <v>-1000000</v>
      </c>
      <c r="K10" s="1">
        <v>-1000000</v>
      </c>
      <c r="L10" s="1">
        <v>-1000000</v>
      </c>
      <c r="M10" s="1">
        <v>-1000000</v>
      </c>
      <c r="N10" s="1">
        <v>-1000000</v>
      </c>
      <c r="O10" s="1">
        <v>-1000000</v>
      </c>
      <c r="P10" s="1">
        <v>-1000000</v>
      </c>
      <c r="Q10" s="1">
        <v>-1000000</v>
      </c>
      <c r="R10" s="1">
        <v>-1000000</v>
      </c>
      <c r="S10" s="1">
        <v>-1000000</v>
      </c>
      <c r="T10" s="1">
        <v>-1000000</v>
      </c>
      <c r="U10" s="1">
        <v>-1000000</v>
      </c>
      <c r="V10" s="1">
        <v>-1000000</v>
      </c>
      <c r="W10" s="1">
        <v>-1000000</v>
      </c>
      <c r="X10" s="1">
        <v>-1000000</v>
      </c>
      <c r="Y10" s="1">
        <v>-1000000</v>
      </c>
      <c r="Z10" s="1">
        <v>-1000000</v>
      </c>
      <c r="AA10" s="1">
        <v>-1000000</v>
      </c>
    </row>
    <row r="11" spans="1:27" x14ac:dyDescent="0.25">
      <c r="B1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3" spans="1:27" x14ac:dyDescent="0.25">
      <c r="A13" t="s">
        <v>7</v>
      </c>
    </row>
    <row r="14" spans="1:27" x14ac:dyDescent="0.25">
      <c r="A14" s="6">
        <f>IRR(B14:AA14)</f>
        <v>6.146987414874161E-2</v>
      </c>
      <c r="B14" s="3">
        <f>B6+B4</f>
        <v>-322978.14999999997</v>
      </c>
      <c r="C14">
        <f>SUM(C8:C13)</f>
        <v>5258858.0226027397</v>
      </c>
      <c r="D14">
        <f t="shared" ref="D14:AA14" si="2">SUM(D8:D13)</f>
        <v>-397040.41760273976</v>
      </c>
      <c r="E14">
        <f t="shared" si="2"/>
        <v>-397040.41760273976</v>
      </c>
      <c r="F14">
        <f t="shared" si="2"/>
        <v>-397040.41760273976</v>
      </c>
      <c r="G14">
        <f t="shared" si="2"/>
        <v>-397040.41760273976</v>
      </c>
      <c r="H14">
        <f t="shared" si="2"/>
        <v>-397040.41760273976</v>
      </c>
      <c r="I14">
        <f t="shared" si="2"/>
        <v>-397040.41760273976</v>
      </c>
      <c r="J14">
        <f t="shared" si="2"/>
        <v>-397040.41760273976</v>
      </c>
      <c r="K14">
        <f t="shared" si="2"/>
        <v>-397040.41760273976</v>
      </c>
      <c r="L14">
        <f t="shared" si="2"/>
        <v>-397040.41760273976</v>
      </c>
      <c r="M14">
        <f t="shared" si="2"/>
        <v>-397040.41760273976</v>
      </c>
      <c r="N14">
        <f t="shared" si="2"/>
        <v>-397040.41760273976</v>
      </c>
      <c r="O14">
        <f t="shared" si="2"/>
        <v>-397040.41760273976</v>
      </c>
      <c r="P14">
        <f t="shared" si="2"/>
        <v>-397040.41760273976</v>
      </c>
      <c r="Q14">
        <f t="shared" si="2"/>
        <v>-397040.41760273976</v>
      </c>
      <c r="R14">
        <f t="shared" si="2"/>
        <v>-397040.41760273976</v>
      </c>
      <c r="S14">
        <f t="shared" si="2"/>
        <v>-397040.41760273976</v>
      </c>
      <c r="T14">
        <f t="shared" si="2"/>
        <v>-397040.41760273976</v>
      </c>
      <c r="U14">
        <f t="shared" si="2"/>
        <v>-397040.41760273976</v>
      </c>
      <c r="V14">
        <f t="shared" si="2"/>
        <v>-397040.41760273976</v>
      </c>
      <c r="W14">
        <f t="shared" si="2"/>
        <v>-397040.41760273976</v>
      </c>
      <c r="X14">
        <f t="shared" si="2"/>
        <v>-397040.41760273976</v>
      </c>
      <c r="Y14">
        <f t="shared" si="2"/>
        <v>-397040.41760273976</v>
      </c>
      <c r="Z14">
        <f t="shared" si="2"/>
        <v>-397040.41760273976</v>
      </c>
      <c r="AA14">
        <f t="shared" si="2"/>
        <v>-397040.41760273976</v>
      </c>
    </row>
    <row r="16" spans="1:27" x14ac:dyDescent="0.25">
      <c r="B16" s="5">
        <f>NPV(0.042,C14:AA14)+B14</f>
        <v>-968584.55317510525</v>
      </c>
    </row>
    <row r="17" spans="2:15" x14ac:dyDescent="0.25">
      <c r="D17">
        <f>75000000/100</f>
        <v>750000</v>
      </c>
      <c r="G17">
        <f>0.1556+0.214395</f>
        <v>0.36999499999999996</v>
      </c>
      <c r="K17">
        <v>0.74642283024207101</v>
      </c>
    </row>
    <row r="18" spans="2:15" x14ac:dyDescent="0.25">
      <c r="B18" s="5">
        <f>B16/1000000</f>
        <v>-0.96858455317510528</v>
      </c>
      <c r="D18">
        <f>D17/30</f>
        <v>25000</v>
      </c>
      <c r="J18">
        <f>45000/365</f>
        <v>123.28767123287672</v>
      </c>
      <c r="K18">
        <f>K17*287000</f>
        <v>214223.35227947438</v>
      </c>
      <c r="N18" s="2">
        <f>B2/2*(8000/8760)*0.4*9.97*0.589/1000</f>
        <v>10725.716894977171</v>
      </c>
      <c r="O18" t="s">
        <v>10</v>
      </c>
    </row>
    <row r="19" spans="2:15" x14ac:dyDescent="0.25">
      <c r="F19" t="s">
        <v>11</v>
      </c>
      <c r="H19">
        <v>4.22</v>
      </c>
      <c r="N19">
        <f>N18*2</f>
        <v>21451.433789954343</v>
      </c>
      <c r="O19" t="s">
        <v>10</v>
      </c>
    </row>
    <row r="20" spans="2:15" x14ac:dyDescent="0.25">
      <c r="B20" s="10">
        <f>B18*5</f>
        <v>-4.8429227658755263</v>
      </c>
      <c r="F20">
        <f>287229</f>
        <v>287229</v>
      </c>
      <c r="H20">
        <v>8.15</v>
      </c>
    </row>
    <row r="21" spans="2:15" x14ac:dyDescent="0.25">
      <c r="B21" s="2">
        <v>177.52557523289957</v>
      </c>
      <c r="H21">
        <v>8.91</v>
      </c>
      <c r="N21">
        <f>190*0.91*N18+20*N18</f>
        <v>2068990.7890410963</v>
      </c>
    </row>
    <row r="22" spans="2:15" x14ac:dyDescent="0.25">
      <c r="E22" s="9">
        <f>E5</f>
        <v>0.2936165</v>
      </c>
      <c r="F22" s="1">
        <f>B2*0.4*0.589*9.97/1000</f>
        <v>23489.32</v>
      </c>
      <c r="H22">
        <v>8.06</v>
      </c>
      <c r="K22">
        <f>0.713*265000</f>
        <v>188945</v>
      </c>
      <c r="N22">
        <f>190*0.91*N19+20*N19</f>
        <v>4137981.5780821927</v>
      </c>
    </row>
    <row r="23" spans="2:15" x14ac:dyDescent="0.25">
      <c r="E23">
        <f>F23/1000000</f>
        <v>4.9605685548800009</v>
      </c>
      <c r="F23">
        <f>F22*210*0.9104+F22*20</f>
        <v>4960568.5548800007</v>
      </c>
      <c r="H23">
        <v>4.13</v>
      </c>
    </row>
    <row r="24" spans="2:15" x14ac:dyDescent="0.25">
      <c r="E24">
        <f>E22*10+E23</f>
        <v>7.8967335548800008</v>
      </c>
      <c r="H24">
        <f>AVERAGE(H19:H23)</f>
        <v>6.6940000000000008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NPVs</vt:lpstr>
      <vt:lpstr>Sheet7</vt:lpstr>
      <vt:lpstr>Sheet2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Gården</dc:creator>
  <cp:lastModifiedBy>Fredrik Gården</cp:lastModifiedBy>
  <dcterms:created xsi:type="dcterms:W3CDTF">2025-05-15T08:52:19Z</dcterms:created>
  <dcterms:modified xsi:type="dcterms:W3CDTF">2025-05-21T12:15:55Z</dcterms:modified>
</cp:coreProperties>
</file>