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filterPrivacy="1"/>
  <xr:revisionPtr revIDLastSave="0" documentId="13_ncr:1_{706251A8-CB3C-7A47-ACC2-8D48F7F33953}" xr6:coauthVersionLast="47" xr6:coauthVersionMax="47" xr10:uidLastSave="{00000000-0000-0000-0000-000000000000}"/>
  <bookViews>
    <workbookView xWindow="0" yWindow="500" windowWidth="39440" windowHeight="25800" activeTab="5" xr2:uid="{00000000-000D-0000-FFFF-FFFF00000000}"/>
  </bookViews>
  <sheets>
    <sheet name="break even" sheetId="26" state="hidden" r:id="rId1"/>
    <sheet name="40 Units TH-breakeven" sheetId="28" state="hidden" r:id="rId2"/>
    <sheet name="20 Units - break even" sheetId="34" state="hidden" r:id="rId3"/>
    <sheet name="21 Units Single Family" sheetId="33" state="hidden" r:id="rId4"/>
    <sheet name="60 market rent" sheetId="51" state="hidden" r:id="rId5"/>
    <sheet name="Sale at CO Summary" sheetId="53" r:id="rId6"/>
    <sheet name="Sales Price Analysis" sheetId="55" r:id="rId7"/>
    <sheet name="5 Year Hold Scenario Summary" sheetId="56" r:id="rId8"/>
    <sheet name="Project Spending Schedule" sheetId="54" r:id="rId9"/>
    <sheet name="Vertical Cost Breakdown" sheetId="52" r:id="rId10"/>
    <sheet name="Townhome for sale -150 lever" sheetId="44" state="hidden" r:id="rId11"/>
    <sheet name="lot price" sheetId="40" state="hidden" r:id="rId12"/>
    <sheet name="Single family - 50 units" sheetId="38" state="hidden" r:id="rId13"/>
    <sheet name="Just Land" sheetId="30" state="hidden" r:id="rId14"/>
    <sheet name="10 Units Single Family" sheetId="27" state="hidden" r:id="rId15"/>
    <sheet name="25 Units Single Family" sheetId="31" state="hidden" r:id="rId16"/>
    <sheet name="62 units Rental - 4 years" sheetId="22" state="hidden" r:id="rId17"/>
    <sheet name="83Units For Sale" sheetId="1" state="hidden" r:id="rId18"/>
    <sheet name="0 Rental" sheetId="11" state="hidden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55" l="1"/>
  <c r="O15" i="52"/>
  <c r="O12" i="52"/>
  <c r="O17" i="52" s="1"/>
  <c r="F3" i="56"/>
  <c r="F5" i="56" s="1"/>
  <c r="I15" i="53"/>
  <c r="P27" i="56" l="1"/>
  <c r="Q27" i="56" s="1"/>
  <c r="R27" i="56" s="1"/>
  <c r="S27" i="56" s="1"/>
  <c r="T27" i="56" s="1"/>
  <c r="U27" i="56" s="1"/>
  <c r="V27" i="56" s="1"/>
  <c r="N29" i="56"/>
  <c r="N30" i="56" s="1"/>
  <c r="N31" i="56" s="1"/>
  <c r="N32" i="56" s="1"/>
  <c r="N33" i="56" s="1"/>
  <c r="N34" i="56" s="1"/>
  <c r="N35" i="56" s="1"/>
  <c r="J2" i="56"/>
  <c r="J5" i="56" s="1"/>
  <c r="F8" i="56"/>
  <c r="E32" i="56" s="1"/>
  <c r="F20" i="56"/>
  <c r="G20" i="56" s="1"/>
  <c r="H20" i="56" s="1"/>
  <c r="I20" i="56" s="1"/>
  <c r="J20" i="56" s="1"/>
  <c r="F22" i="56"/>
  <c r="G22" i="56" s="1"/>
  <c r="H22" i="56" s="1"/>
  <c r="I22" i="56" s="1"/>
  <c r="J22" i="56" s="1"/>
  <c r="F23" i="56"/>
  <c r="G23" i="56" s="1"/>
  <c r="H23" i="56" s="1"/>
  <c r="I23" i="56" s="1"/>
  <c r="J23" i="56" s="1"/>
  <c r="F24" i="56"/>
  <c r="G24" i="56" s="1"/>
  <c r="H24" i="56" s="1"/>
  <c r="I24" i="56" s="1"/>
  <c r="J24" i="56" s="1"/>
  <c r="F25" i="56"/>
  <c r="G25" i="56" s="1"/>
  <c r="H25" i="56" s="1"/>
  <c r="I25" i="56" s="1"/>
  <c r="J25" i="56" s="1"/>
  <c r="F26" i="56"/>
  <c r="G26" i="56" s="1"/>
  <c r="H26" i="56" s="1"/>
  <c r="I26" i="56" s="1"/>
  <c r="J26" i="56" s="1"/>
  <c r="E21" i="56"/>
  <c r="F21" i="56" s="1"/>
  <c r="G21" i="56" s="1"/>
  <c r="H21" i="56" s="1"/>
  <c r="I21" i="56" s="1"/>
  <c r="J21" i="56" s="1"/>
  <c r="E19" i="56"/>
  <c r="F19" i="56" s="1"/>
  <c r="G19" i="56" s="1"/>
  <c r="H19" i="56" s="1"/>
  <c r="I19" i="56" s="1"/>
  <c r="J19" i="56" s="1"/>
  <c r="E16" i="56"/>
  <c r="F16" i="56" s="1"/>
  <c r="G16" i="56" s="1"/>
  <c r="H16" i="56" s="1"/>
  <c r="I16" i="56" s="1"/>
  <c r="J16" i="56" s="1"/>
  <c r="G5" i="54"/>
  <c r="G6" i="54"/>
  <c r="G7" i="54"/>
  <c r="E4" i="54"/>
  <c r="E3" i="54"/>
  <c r="H22" i="53"/>
  <c r="H23" i="53" s="1"/>
  <c r="H24" i="53" s="1"/>
  <c r="H25" i="53" s="1"/>
  <c r="H26" i="53" s="1"/>
  <c r="H27" i="53" s="1"/>
  <c r="H28" i="53" s="1"/>
  <c r="I20" i="53"/>
  <c r="J20" i="53" s="1"/>
  <c r="K20" i="53" s="1"/>
  <c r="L20" i="53" s="1"/>
  <c r="M20" i="53" s="1"/>
  <c r="N20" i="53" s="1"/>
  <c r="O20" i="53" s="1"/>
  <c r="P20" i="53" s="1"/>
  <c r="B14" i="55"/>
  <c r="B12" i="55"/>
  <c r="B9" i="55"/>
  <c r="B35" i="56" l="1"/>
  <c r="F7" i="56"/>
  <c r="F30" i="56" s="1"/>
  <c r="F9" i="56"/>
  <c r="I30" i="56" s="1"/>
  <c r="I5" i="53"/>
  <c r="G4" i="54" s="1"/>
  <c r="O3" i="52"/>
  <c r="I8" i="53"/>
  <c r="O177" i="52"/>
  <c r="J47" i="52"/>
  <c r="E8" i="54"/>
  <c r="G8" i="54" s="1"/>
  <c r="B24" i="53"/>
  <c r="J30" i="56" l="1"/>
  <c r="E30" i="56"/>
  <c r="H30" i="56"/>
  <c r="G30" i="56"/>
  <c r="F10" i="56"/>
  <c r="I32" i="56" s="1"/>
  <c r="I10" i="53"/>
  <c r="F6" i="53" s="1"/>
  <c r="F7" i="53" s="1"/>
  <c r="B7" i="53" s="1"/>
  <c r="G3" i="54"/>
  <c r="O210" i="52"/>
  <c r="O200" i="52"/>
  <c r="O176" i="52"/>
  <c r="E14" i="54" s="1"/>
  <c r="O161" i="52"/>
  <c r="J117" i="52"/>
  <c r="O117" i="52" s="1"/>
  <c r="O104" i="52"/>
  <c r="O102" i="52"/>
  <c r="J90" i="52"/>
  <c r="J85" i="52"/>
  <c r="O85" i="52" s="1"/>
  <c r="J84" i="52"/>
  <c r="O84" i="52" s="1"/>
  <c r="J83" i="52"/>
  <c r="O83" i="52" s="1"/>
  <c r="J27" i="52"/>
  <c r="O27" i="52" s="1"/>
  <c r="O25" i="52"/>
  <c r="D6" i="52"/>
  <c r="L3" i="52" s="1"/>
  <c r="C6" i="52"/>
  <c r="E6" i="52"/>
  <c r="F5" i="52"/>
  <c r="F4" i="52"/>
  <c r="F3" i="52"/>
  <c r="O212" i="52"/>
  <c r="O211" i="52"/>
  <c r="O201" i="52"/>
  <c r="O199" i="52"/>
  <c r="O190" i="52"/>
  <c r="E16" i="54" s="1"/>
  <c r="O188" i="52"/>
  <c r="O187" i="52"/>
  <c r="O186" i="52"/>
  <c r="O185" i="52"/>
  <c r="O184" i="52"/>
  <c r="O183" i="52"/>
  <c r="O182" i="52"/>
  <c r="O181" i="52"/>
  <c r="O180" i="52"/>
  <c r="O179" i="52"/>
  <c r="O178" i="52"/>
  <c r="O163" i="52"/>
  <c r="O160" i="52"/>
  <c r="Q152" i="52"/>
  <c r="O149" i="52"/>
  <c r="O148" i="52"/>
  <c r="O147" i="52"/>
  <c r="O146" i="52"/>
  <c r="O145" i="52"/>
  <c r="O144" i="52"/>
  <c r="O143" i="52"/>
  <c r="O133" i="52"/>
  <c r="O131" i="52"/>
  <c r="O129" i="52"/>
  <c r="O89" i="52"/>
  <c r="O82" i="52"/>
  <c r="O80" i="52"/>
  <c r="O79" i="52"/>
  <c r="O78" i="52"/>
  <c r="O77" i="52"/>
  <c r="O76" i="52"/>
  <c r="O73" i="52"/>
  <c r="O72" i="52"/>
  <c r="O59" i="52"/>
  <c r="E18" i="54" s="1"/>
  <c r="G18" i="54" s="1"/>
  <c r="O47" i="52"/>
  <c r="O46" i="52"/>
  <c r="O24" i="52"/>
  <c r="F22" i="52"/>
  <c r="E26" i="54"/>
  <c r="G26" i="54" s="1"/>
  <c r="E22" i="54" l="1"/>
  <c r="J36" i="52"/>
  <c r="B2" i="56"/>
  <c r="E13" i="56" s="1"/>
  <c r="B2" i="55"/>
  <c r="B7" i="55" s="1"/>
  <c r="B8" i="55" s="1"/>
  <c r="B10" i="55" s="1"/>
  <c r="F7" i="52"/>
  <c r="J113" i="52"/>
  <c r="O113" i="52" s="1"/>
  <c r="J108" i="52"/>
  <c r="J112" i="52"/>
  <c r="O112" i="52" s="1"/>
  <c r="J106" i="52"/>
  <c r="O106" i="52" s="1"/>
  <c r="J100" i="52"/>
  <c r="J63" i="52"/>
  <c r="O50" i="52"/>
  <c r="O153" i="52"/>
  <c r="L153" i="52" s="1"/>
  <c r="O192" i="52"/>
  <c r="L192" i="52" s="1"/>
  <c r="O203" i="52"/>
  <c r="O217" i="52"/>
  <c r="O136" i="52"/>
  <c r="L136" i="52" s="1"/>
  <c r="O36" i="52"/>
  <c r="O39" i="52" s="1"/>
  <c r="O29" i="52"/>
  <c r="J119" i="52"/>
  <c r="O119" i="52" s="1"/>
  <c r="E21" i="54" s="1"/>
  <c r="O166" i="52"/>
  <c r="L166" i="52" s="1"/>
  <c r="O90" i="52"/>
  <c r="E13" i="54" s="1"/>
  <c r="E23" i="54" l="1"/>
  <c r="G23" i="54" s="1"/>
  <c r="E15" i="54"/>
  <c r="F13" i="56"/>
  <c r="E14" i="56"/>
  <c r="E15" i="56" s="1"/>
  <c r="B11" i="55"/>
  <c r="B20" i="55" s="1"/>
  <c r="B21" i="55" s="1"/>
  <c r="B25" i="55" s="1"/>
  <c r="B15" i="53" s="1"/>
  <c r="E24" i="54"/>
  <c r="G24" i="54" s="1"/>
  <c r="E17" i="54"/>
  <c r="G17" i="54" s="1"/>
  <c r="E25" i="54"/>
  <c r="G25" i="54" s="1"/>
  <c r="E9" i="54"/>
  <c r="E20" i="54"/>
  <c r="G20" i="54" s="1"/>
  <c r="G22" i="54"/>
  <c r="O108" i="52"/>
  <c r="J109" i="52"/>
  <c r="O109" i="52" s="1"/>
  <c r="G13" i="54"/>
  <c r="G9" i="54"/>
  <c r="J101" i="52"/>
  <c r="O101" i="52" s="1"/>
  <c r="O100" i="52"/>
  <c r="O63" i="52"/>
  <c r="J64" i="52"/>
  <c r="O64" i="52" s="1"/>
  <c r="O93" i="52"/>
  <c r="L93" i="52" s="1"/>
  <c r="E19" i="54" l="1"/>
  <c r="G19" i="54" s="1"/>
  <c r="E18" i="56"/>
  <c r="E17" i="56"/>
  <c r="E12" i="54"/>
  <c r="G12" i="54" s="1"/>
  <c r="G13" i="56"/>
  <c r="F14" i="56"/>
  <c r="F15" i="56" s="1"/>
  <c r="F17" i="56" s="1"/>
  <c r="E10" i="54"/>
  <c r="E11" i="54"/>
  <c r="I9" i="54"/>
  <c r="G15" i="54"/>
  <c r="G14" i="54"/>
  <c r="G21" i="54"/>
  <c r="G16" i="54"/>
  <c r="O122" i="52"/>
  <c r="L122" i="52" s="1"/>
  <c r="G11" i="54"/>
  <c r="G10" i="54"/>
  <c r="O66" i="52"/>
  <c r="E7" i="55" l="1"/>
  <c r="O2" i="52"/>
  <c r="I19" i="54"/>
  <c r="H13" i="56"/>
  <c r="G14" i="56"/>
  <c r="G15" i="56" s="1"/>
  <c r="G17" i="56" s="1"/>
  <c r="F18" i="56"/>
  <c r="E27" i="56"/>
  <c r="E28" i="56" s="1"/>
  <c r="E34" i="56" s="1"/>
  <c r="I10" i="54"/>
  <c r="I15" i="54"/>
  <c r="I18" i="54"/>
  <c r="I25" i="54"/>
  <c r="I24" i="54"/>
  <c r="I11" i="54"/>
  <c r="I22" i="54"/>
  <c r="I13" i="54"/>
  <c r="I16" i="54"/>
  <c r="I14" i="54"/>
  <c r="I17" i="54"/>
  <c r="I21" i="54"/>
  <c r="I20" i="54"/>
  <c r="I26" i="54"/>
  <c r="I12" i="54"/>
  <c r="I23" i="54"/>
  <c r="L2" i="52" l="1"/>
  <c r="O4" i="52"/>
  <c r="F27" i="56"/>
  <c r="F28" i="56" s="1"/>
  <c r="G18" i="56"/>
  <c r="I13" i="56"/>
  <c r="H14" i="56"/>
  <c r="H15" i="56" s="1"/>
  <c r="H17" i="56" s="1"/>
  <c r="H35" i="51"/>
  <c r="F21" i="51" s="1"/>
  <c r="G35" i="51"/>
  <c r="F24" i="51" s="1"/>
  <c r="F35" i="51"/>
  <c r="I35" i="51" s="1"/>
  <c r="I31" i="51"/>
  <c r="I30" i="51"/>
  <c r="I29" i="51"/>
  <c r="C12" i="51"/>
  <c r="B5" i="53" l="1"/>
  <c r="L4" i="52"/>
  <c r="J13" i="56"/>
  <c r="J14" i="56" s="1"/>
  <c r="J15" i="56" s="1"/>
  <c r="J17" i="56" s="1"/>
  <c r="I14" i="56"/>
  <c r="I15" i="56" s="1"/>
  <c r="I17" i="56" s="1"/>
  <c r="H18" i="56"/>
  <c r="G27" i="56"/>
  <c r="G28" i="56" s="1"/>
  <c r="C3" i="51"/>
  <c r="C22" i="51" s="1"/>
  <c r="C6" i="51"/>
  <c r="H27" i="56" l="1"/>
  <c r="H28" i="56" s="1"/>
  <c r="I18" i="56"/>
  <c r="C5" i="51"/>
  <c r="C25" i="51"/>
  <c r="C29" i="51" s="1"/>
  <c r="J18" i="56" l="1"/>
  <c r="J27" i="56" s="1"/>
  <c r="J28" i="56" s="1"/>
  <c r="I31" i="56" s="1"/>
  <c r="I27" i="56"/>
  <c r="I28" i="56" s="1"/>
  <c r="O4" i="51"/>
  <c r="I34" i="56" l="1"/>
  <c r="L12" i="51"/>
  <c r="L19" i="51" s="1"/>
  <c r="O5" i="51"/>
  <c r="J7" i="56" l="1"/>
  <c r="J8" i="56" s="1"/>
  <c r="N14" i="56"/>
  <c r="O7" i="51"/>
  <c r="O9" i="51" s="1"/>
  <c r="L29" i="51"/>
  <c r="L33" i="51" s="1"/>
  <c r="L35" i="51" s="1"/>
  <c r="O6" i="51"/>
  <c r="I35" i="56" l="1"/>
  <c r="J9" i="56"/>
  <c r="J10" i="56" s="1"/>
  <c r="O8" i="51"/>
  <c r="O12" i="51" s="1"/>
  <c r="B36" i="56" l="1"/>
  <c r="B38" i="56"/>
  <c r="C7" i="51"/>
  <c r="C13" i="51" s="1"/>
  <c r="C17" i="51" s="1"/>
  <c r="C31" i="51" s="1"/>
  <c r="F4" i="51" s="1"/>
  <c r="N12" i="51"/>
  <c r="B37" i="56" l="1"/>
  <c r="N27" i="56" s="1"/>
  <c r="N16" i="51"/>
  <c r="O16" i="51" s="1"/>
  <c r="M12" i="51"/>
  <c r="M19" i="51" s="1"/>
  <c r="F9" i="51" l="1"/>
  <c r="F14" i="51" s="1"/>
  <c r="M29" i="51"/>
  <c r="M33" i="51" s="1"/>
  <c r="M35" i="51" s="1"/>
  <c r="O29" i="51"/>
  <c r="B26" i="44"/>
  <c r="B63" i="44"/>
  <c r="B62" i="44"/>
  <c r="L57" i="44"/>
  <c r="B40" i="44"/>
  <c r="B29" i="44"/>
  <c r="B17" i="44"/>
  <c r="B21" i="44" s="1"/>
  <c r="B13" i="44"/>
  <c r="C8" i="44"/>
  <c r="F12" i="51" l="1"/>
  <c r="Q16" i="51" s="1"/>
  <c r="O18" i="51"/>
  <c r="N18" i="51"/>
  <c r="N19" i="51" s="1"/>
  <c r="B61" i="44"/>
  <c r="B70" i="44"/>
  <c r="B71" i="44" s="1"/>
  <c r="B72" i="44" s="1"/>
  <c r="B73" i="44" s="1"/>
  <c r="B74" i="44" s="1"/>
  <c r="B75" i="44" s="1"/>
  <c r="B76" i="44"/>
  <c r="B77" i="44" s="1"/>
  <c r="B78" i="44" s="1"/>
  <c r="B79" i="44" s="1"/>
  <c r="B80" i="44" s="1"/>
  <c r="B81" i="44" s="1"/>
  <c r="B64" i="44"/>
  <c r="B30" i="44"/>
  <c r="F76" i="44" s="1"/>
  <c r="B41" i="44"/>
  <c r="B33" i="44" l="1"/>
  <c r="B34" i="44" s="1"/>
  <c r="B36" i="44" s="1"/>
  <c r="P16" i="51"/>
  <c r="F13" i="51"/>
  <c r="Q17" i="51" s="1"/>
  <c r="N29" i="51"/>
  <c r="F17" i="51"/>
  <c r="O30" i="51"/>
  <c r="O33" i="51" s="1"/>
  <c r="O19" i="51"/>
  <c r="F82" i="44"/>
  <c r="F77" i="44"/>
  <c r="G61" i="44"/>
  <c r="F70" i="44"/>
  <c r="B65" i="44"/>
  <c r="P4" i="51" l="1"/>
  <c r="O35" i="51"/>
  <c r="N33" i="51"/>
  <c r="Q31" i="51"/>
  <c r="F71" i="44"/>
  <c r="F78" i="44"/>
  <c r="F83" i="44"/>
  <c r="B66" i="44"/>
  <c r="J22" i="40"/>
  <c r="P5" i="51" l="1"/>
  <c r="N35" i="51"/>
  <c r="F84" i="44"/>
  <c r="F79" i="44"/>
  <c r="F72" i="44"/>
  <c r="B67" i="44"/>
  <c r="B13" i="40"/>
  <c r="P6" i="51" l="1"/>
  <c r="F73" i="44"/>
  <c r="F80" i="44"/>
  <c r="F85" i="44"/>
  <c r="B68" i="44"/>
  <c r="B14" i="40"/>
  <c r="E5" i="40" s="1"/>
  <c r="C8" i="38"/>
  <c r="F86" i="44" l="1"/>
  <c r="F74" i="44"/>
  <c r="F81" i="44"/>
  <c r="B69" i="44"/>
  <c r="B45" i="44" s="1"/>
  <c r="B48" i="44" l="1"/>
  <c r="D62" i="44"/>
  <c r="F75" i="44"/>
  <c r="F87" i="44"/>
  <c r="H87" i="44" s="1"/>
  <c r="H86" i="44"/>
  <c r="E62" i="44" l="1"/>
  <c r="E63" i="44" s="1"/>
  <c r="B43" i="44"/>
  <c r="G62" i="44" l="1"/>
  <c r="E64" i="44"/>
  <c r="G63" i="44"/>
  <c r="B63" i="38"/>
  <c r="E42" i="38" s="1"/>
  <c r="B62" i="38"/>
  <c r="E41" i="38" s="1"/>
  <c r="E36" i="38"/>
  <c r="C57" i="38"/>
  <c r="B56" i="38"/>
  <c r="C56" i="38" s="1"/>
  <c r="B13" i="38"/>
  <c r="B20" i="38"/>
  <c r="E65" i="44" l="1"/>
  <c r="G64" i="44"/>
  <c r="E35" i="38"/>
  <c r="B41" i="38"/>
  <c r="B27" i="38"/>
  <c r="B30" i="38"/>
  <c r="B17" i="38"/>
  <c r="B22" i="38" s="1"/>
  <c r="B76" i="38" s="1"/>
  <c r="E66" i="44" l="1"/>
  <c r="G65" i="44"/>
  <c r="B64" i="38"/>
  <c r="B70" i="38"/>
  <c r="B71" i="38" s="1"/>
  <c r="B72" i="38" s="1"/>
  <c r="B73" i="38" s="1"/>
  <c r="B74" i="38" s="1"/>
  <c r="B75" i="38" s="1"/>
  <c r="B77" i="38"/>
  <c r="B78" i="38" s="1"/>
  <c r="B79" i="38" s="1"/>
  <c r="B80" i="38" s="1"/>
  <c r="B81" i="38" s="1"/>
  <c r="B61" i="38"/>
  <c r="E40" i="38" s="1"/>
  <c r="B31" i="38"/>
  <c r="D53" i="38" s="1"/>
  <c r="B42" i="38"/>
  <c r="E67" i="44" l="1"/>
  <c r="G66" i="44"/>
  <c r="D49" i="38"/>
  <c r="D50" i="38" s="1"/>
  <c r="D51" i="38" s="1"/>
  <c r="D52" i="38" s="1"/>
  <c r="D57" i="38"/>
  <c r="D58" i="38" s="1"/>
  <c r="D59" i="38" s="1"/>
  <c r="D60" i="38" s="1"/>
  <c r="B34" i="38"/>
  <c r="B35" i="38" s="1"/>
  <c r="B37" i="38" s="1"/>
  <c r="D54" i="38"/>
  <c r="D55" i="38" s="1"/>
  <c r="D56" i="38" s="1"/>
  <c r="B65" i="38"/>
  <c r="E43" i="38"/>
  <c r="P3" i="33"/>
  <c r="M10" i="33"/>
  <c r="M11" i="33"/>
  <c r="M12" i="33"/>
  <c r="M13" i="33"/>
  <c r="M9" i="33"/>
  <c r="E68" i="44" l="1"/>
  <c r="G67" i="44"/>
  <c r="B46" i="38"/>
  <c r="B44" i="38"/>
  <c r="E44" i="38"/>
  <c r="B66" i="38"/>
  <c r="B54" i="34"/>
  <c r="E54" i="34" s="1"/>
  <c r="B38" i="34"/>
  <c r="B39" i="34" s="1"/>
  <c r="B27" i="34"/>
  <c r="B25" i="34"/>
  <c r="B24" i="34"/>
  <c r="B17" i="34"/>
  <c r="B15" i="34"/>
  <c r="B11" i="34"/>
  <c r="C3" i="34"/>
  <c r="B54" i="33"/>
  <c r="C54" i="33" s="1"/>
  <c r="B38" i="33"/>
  <c r="B39" i="33" s="1"/>
  <c r="B27" i="33"/>
  <c r="B25" i="33"/>
  <c r="B24" i="33"/>
  <c r="B17" i="33"/>
  <c r="B15" i="33"/>
  <c r="B11" i="33"/>
  <c r="C3" i="33"/>
  <c r="B53" i="33" l="1"/>
  <c r="E53" i="33" s="1"/>
  <c r="B53" i="34"/>
  <c r="O53" i="34" s="1"/>
  <c r="E54" i="33"/>
  <c r="E69" i="44"/>
  <c r="B49" i="44" s="1"/>
  <c r="B50" i="44" s="1"/>
  <c r="G68" i="44"/>
  <c r="C54" i="34"/>
  <c r="B52" i="38"/>
  <c r="F35" i="38"/>
  <c r="B67" i="38"/>
  <c r="E45" i="38"/>
  <c r="B19" i="33"/>
  <c r="B19" i="34"/>
  <c r="B28" i="34"/>
  <c r="B31" i="34" s="1"/>
  <c r="B32" i="34" s="1"/>
  <c r="C53" i="34"/>
  <c r="E53" i="34"/>
  <c r="B28" i="33"/>
  <c r="B31" i="33" s="1"/>
  <c r="C53" i="33"/>
  <c r="O53" i="33"/>
  <c r="C3" i="22"/>
  <c r="Q4" i="51" l="1"/>
  <c r="B57" i="44"/>
  <c r="E57" i="44" s="1"/>
  <c r="B53" i="44"/>
  <c r="E70" i="44"/>
  <c r="G69" i="44"/>
  <c r="G89" i="44" s="1"/>
  <c r="G36" i="38"/>
  <c r="I36" i="38" s="1"/>
  <c r="J36" i="38" s="1"/>
  <c r="K36" i="38" s="1"/>
  <c r="G35" i="38"/>
  <c r="B68" i="38"/>
  <c r="E46" i="38"/>
  <c r="B34" i="34"/>
  <c r="B43" i="34" s="1"/>
  <c r="B44" i="33" s="1"/>
  <c r="B32" i="33"/>
  <c r="B34" i="33" s="1"/>
  <c r="B43" i="33" s="1"/>
  <c r="B54" i="31"/>
  <c r="C54" i="31" s="1"/>
  <c r="B53" i="31"/>
  <c r="E53" i="31" s="1"/>
  <c r="B38" i="31"/>
  <c r="B28" i="31" s="1"/>
  <c r="B27" i="31"/>
  <c r="B25" i="31"/>
  <c r="B24" i="31"/>
  <c r="B17" i="31"/>
  <c r="B15" i="31"/>
  <c r="B11" i="31"/>
  <c r="C3" i="31"/>
  <c r="B27" i="30"/>
  <c r="B13" i="30"/>
  <c r="B9" i="30"/>
  <c r="B19" i="30" s="1"/>
  <c r="C3" i="27"/>
  <c r="Q5" i="51" l="1"/>
  <c r="E71" i="44"/>
  <c r="H70" i="44"/>
  <c r="E54" i="31"/>
  <c r="M56" i="38"/>
  <c r="I35" i="38"/>
  <c r="J35" i="38" s="1"/>
  <c r="K35" i="38" s="1"/>
  <c r="B69" i="38"/>
  <c r="E48" i="38" s="1"/>
  <c r="E47" i="38"/>
  <c r="B41" i="34"/>
  <c r="B49" i="34" s="1"/>
  <c r="B41" i="33"/>
  <c r="F53" i="33" s="1"/>
  <c r="B39" i="31"/>
  <c r="B19" i="31"/>
  <c r="B31" i="31"/>
  <c r="B32" i="31" s="1"/>
  <c r="C53" i="31"/>
  <c r="O53" i="31"/>
  <c r="C27" i="30"/>
  <c r="E27" i="30"/>
  <c r="B26" i="30"/>
  <c r="E26" i="30" s="1"/>
  <c r="B14" i="30"/>
  <c r="B16" i="30" s="1"/>
  <c r="B54" i="27"/>
  <c r="C54" i="27" s="1"/>
  <c r="K61" i="28"/>
  <c r="E55" i="28"/>
  <c r="C55" i="28"/>
  <c r="B54" i="28"/>
  <c r="C54" i="28" s="1"/>
  <c r="B39" i="28"/>
  <c r="B29" i="28" s="1"/>
  <c r="B28" i="28"/>
  <c r="B25" i="28"/>
  <c r="B18" i="28"/>
  <c r="B16" i="28"/>
  <c r="B15" i="28"/>
  <c r="B11" i="28"/>
  <c r="B38" i="27"/>
  <c r="B39" i="27" s="1"/>
  <c r="B27" i="27"/>
  <c r="B25" i="27"/>
  <c r="B24" i="27"/>
  <c r="B20" i="27"/>
  <c r="B17" i="27"/>
  <c r="B15" i="27"/>
  <c r="B11" i="27"/>
  <c r="Q6" i="51" l="1"/>
  <c r="E72" i="44"/>
  <c r="H71" i="44"/>
  <c r="B19" i="27"/>
  <c r="F40" i="38"/>
  <c r="B47" i="38" s="1"/>
  <c r="F53" i="34"/>
  <c r="G53" i="34" s="1"/>
  <c r="B49" i="33"/>
  <c r="G54" i="33"/>
  <c r="I54" i="33" s="1"/>
  <c r="J54" i="33" s="1"/>
  <c r="K54" i="33" s="1"/>
  <c r="D9" i="33" s="1"/>
  <c r="G53" i="33"/>
  <c r="B34" i="31"/>
  <c r="B41" i="31" s="1"/>
  <c r="C26" i="30"/>
  <c r="E54" i="27"/>
  <c r="B53" i="27"/>
  <c r="C53" i="27" s="1"/>
  <c r="B32" i="28"/>
  <c r="B33" i="28" s="1"/>
  <c r="E54" i="28"/>
  <c r="B19" i="28"/>
  <c r="B20" i="28" s="1"/>
  <c r="B40" i="28"/>
  <c r="B28" i="27"/>
  <c r="B31" i="27" s="1"/>
  <c r="B32" i="27" s="1"/>
  <c r="B38" i="26"/>
  <c r="B39" i="26" s="1"/>
  <c r="B27" i="26"/>
  <c r="B25" i="26"/>
  <c r="B24" i="26"/>
  <c r="B20" i="26"/>
  <c r="B17" i="26"/>
  <c r="B15" i="26"/>
  <c r="B11" i="26"/>
  <c r="Q7" i="51" l="1"/>
  <c r="E73" i="44"/>
  <c r="H72" i="44"/>
  <c r="F57" i="44"/>
  <c r="G57" i="44" s="1"/>
  <c r="M57" i="44" s="1"/>
  <c r="B34" i="27"/>
  <c r="B43" i="27" s="1"/>
  <c r="B44" i="27" s="1"/>
  <c r="G54" i="34"/>
  <c r="I54" i="34" s="1"/>
  <c r="J54" i="34" s="1"/>
  <c r="K54" i="34" s="1"/>
  <c r="D9" i="34" s="1"/>
  <c r="I53" i="34"/>
  <c r="J53" i="34" s="1"/>
  <c r="K53" i="34" s="1"/>
  <c r="D3" i="34" s="1"/>
  <c r="M53" i="33"/>
  <c r="D15" i="33" s="1"/>
  <c r="I53" i="33"/>
  <c r="J53" i="33" s="1"/>
  <c r="K53" i="33" s="1"/>
  <c r="D3" i="33" s="1"/>
  <c r="B43" i="31"/>
  <c r="F53" i="31"/>
  <c r="B49" i="31"/>
  <c r="F26" i="30"/>
  <c r="E53" i="27"/>
  <c r="O53" i="27"/>
  <c r="B35" i="28"/>
  <c r="B44" i="28" s="1"/>
  <c r="B28" i="26"/>
  <c r="B31" i="26" s="1"/>
  <c r="B32" i="26" s="1"/>
  <c r="B18" i="26"/>
  <c r="B19" i="26" s="1"/>
  <c r="Q9" i="51" l="1"/>
  <c r="Q8" i="51"/>
  <c r="Q29" i="51" s="1"/>
  <c r="E74" i="44"/>
  <c r="H73" i="44"/>
  <c r="I57" i="44"/>
  <c r="J57" i="44" s="1"/>
  <c r="K57" i="44" s="1"/>
  <c r="B41" i="27"/>
  <c r="B49" i="27" s="1"/>
  <c r="M53" i="34"/>
  <c r="D15" i="34" s="1"/>
  <c r="G54" i="31"/>
  <c r="I54" i="31" s="1"/>
  <c r="J54" i="31" s="1"/>
  <c r="K54" i="31" s="1"/>
  <c r="D9" i="31" s="1"/>
  <c r="G53" i="31"/>
  <c r="G27" i="30"/>
  <c r="I27" i="30" s="1"/>
  <c r="J27" i="30" s="1"/>
  <c r="K27" i="30" s="1"/>
  <c r="D9" i="30" s="1"/>
  <c r="G26" i="30"/>
  <c r="B22" i="30"/>
  <c r="B45" i="28"/>
  <c r="B42" i="28"/>
  <c r="B50" i="28" s="1"/>
  <c r="B34" i="26"/>
  <c r="B43" i="26" s="1"/>
  <c r="E75" i="44" l="1"/>
  <c r="H74" i="44"/>
  <c r="F53" i="27"/>
  <c r="G53" i="27" s="1"/>
  <c r="M53" i="31"/>
  <c r="D15" i="31" s="1"/>
  <c r="I53" i="31"/>
  <c r="J53" i="31" s="1"/>
  <c r="K53" i="31" s="1"/>
  <c r="D3" i="31" s="1"/>
  <c r="M26" i="30"/>
  <c r="D15" i="30" s="1"/>
  <c r="I26" i="30"/>
  <c r="J26" i="30" s="1"/>
  <c r="K26" i="30" s="1"/>
  <c r="D3" i="30" s="1"/>
  <c r="F54" i="28"/>
  <c r="G55" i="28" s="1"/>
  <c r="I55" i="28" s="1"/>
  <c r="J55" i="28" s="1"/>
  <c r="K55" i="28" s="1"/>
  <c r="D9" i="28" s="1"/>
  <c r="B41" i="26"/>
  <c r="B24" i="22"/>
  <c r="B25" i="22"/>
  <c r="C22" i="22"/>
  <c r="D22" i="22" s="1"/>
  <c r="E22" i="22" s="1"/>
  <c r="B18" i="22"/>
  <c r="I32" i="22"/>
  <c r="I31" i="22"/>
  <c r="I30" i="22"/>
  <c r="I29" i="22"/>
  <c r="I25" i="22"/>
  <c r="O3" i="22"/>
  <c r="I18" i="22" s="1"/>
  <c r="E76" i="44" l="1"/>
  <c r="H75" i="44"/>
  <c r="G54" i="27"/>
  <c r="I54" i="27" s="1"/>
  <c r="J54" i="27" s="1"/>
  <c r="K54" i="27" s="1"/>
  <c r="D9" i="27" s="1"/>
  <c r="G54" i="28"/>
  <c r="I54" i="28" s="1"/>
  <c r="J54" i="28" s="1"/>
  <c r="K54" i="28" s="1"/>
  <c r="D3" i="28" s="1"/>
  <c r="I53" i="27"/>
  <c r="J53" i="27" s="1"/>
  <c r="K53" i="27" s="1"/>
  <c r="D3" i="27" s="1"/>
  <c r="I36" i="22"/>
  <c r="E77" i="44" l="1"/>
  <c r="H76" i="44"/>
  <c r="M53" i="27"/>
  <c r="D15" i="27" s="1"/>
  <c r="M54" i="28"/>
  <c r="D15" i="28" s="1"/>
  <c r="E78" i="44" l="1"/>
  <c r="H77" i="44"/>
  <c r="E79" i="44" l="1"/>
  <c r="H78" i="44"/>
  <c r="C25" i="22"/>
  <c r="D25" i="22" s="1"/>
  <c r="E25" i="22" s="1"/>
  <c r="C24" i="22"/>
  <c r="D24" i="22" s="1"/>
  <c r="E24" i="22" s="1"/>
  <c r="C21" i="22"/>
  <c r="D21" i="22" s="1"/>
  <c r="E21" i="22" s="1"/>
  <c r="B20" i="22"/>
  <c r="C20" i="22" s="1"/>
  <c r="D20" i="22" s="1"/>
  <c r="E20" i="22" s="1"/>
  <c r="B19" i="22"/>
  <c r="C19" i="22" s="1"/>
  <c r="D19" i="22" s="1"/>
  <c r="E19" i="22" s="1"/>
  <c r="C18" i="22"/>
  <c r="I13" i="22"/>
  <c r="K7" i="22"/>
  <c r="L7" i="22" s="1"/>
  <c r="B12" i="22" s="1"/>
  <c r="B14" i="22" s="1"/>
  <c r="J7" i="22"/>
  <c r="I7" i="22"/>
  <c r="L6" i="22"/>
  <c r="L5" i="22"/>
  <c r="L4" i="22"/>
  <c r="R4" i="51" l="1"/>
  <c r="E80" i="44"/>
  <c r="H79" i="44"/>
  <c r="B23" i="22"/>
  <c r="C23" i="22" s="1"/>
  <c r="D23" i="22" s="1"/>
  <c r="E23" i="22" s="1"/>
  <c r="O10" i="22"/>
  <c r="B4" i="22"/>
  <c r="I17" i="22" s="1"/>
  <c r="D18" i="22"/>
  <c r="E18" i="22" s="1"/>
  <c r="C12" i="22"/>
  <c r="C14" i="22" s="1"/>
  <c r="B15" i="22"/>
  <c r="R5" i="51" l="1"/>
  <c r="E81" i="44"/>
  <c r="H80" i="44"/>
  <c r="B26" i="22"/>
  <c r="B28" i="22" s="1"/>
  <c r="C31" i="22" s="1"/>
  <c r="C33" i="22" s="1"/>
  <c r="C34" i="22" s="1"/>
  <c r="C26" i="22"/>
  <c r="E26" i="22"/>
  <c r="I22" i="22"/>
  <c r="I38" i="22" s="1"/>
  <c r="B31" i="22" s="1"/>
  <c r="B33" i="22" s="1"/>
  <c r="B34" i="22" s="1"/>
  <c r="D26" i="22"/>
  <c r="C15" i="22"/>
  <c r="D12" i="22"/>
  <c r="D14" i="22" s="1"/>
  <c r="R6" i="51" l="1"/>
  <c r="E82" i="44"/>
  <c r="H81" i="44"/>
  <c r="C28" i="22"/>
  <c r="D31" i="22" s="1"/>
  <c r="E12" i="22"/>
  <c r="C35" i="22"/>
  <c r="D15" i="22"/>
  <c r="D28" i="22" s="1"/>
  <c r="R7" i="51" l="1"/>
  <c r="E83" i="44"/>
  <c r="H82" i="44"/>
  <c r="E14" i="22"/>
  <c r="E15" i="22" s="1"/>
  <c r="E28" i="22" s="1"/>
  <c r="E32" i="22" s="1"/>
  <c r="D33" i="22"/>
  <c r="D34" i="22" s="1"/>
  <c r="E31" i="22"/>
  <c r="C29" i="11"/>
  <c r="D29" i="11" s="1"/>
  <c r="C28" i="11"/>
  <c r="D28" i="11" s="1"/>
  <c r="C27" i="11"/>
  <c r="D27" i="11" s="1"/>
  <c r="C26" i="11"/>
  <c r="D26" i="11" s="1"/>
  <c r="C25" i="11"/>
  <c r="D25" i="11" s="1"/>
  <c r="C21" i="11"/>
  <c r="D21" i="11" s="1"/>
  <c r="C17" i="11"/>
  <c r="D17" i="11"/>
  <c r="B17" i="11"/>
  <c r="J42" i="11"/>
  <c r="I42" i="11"/>
  <c r="B4" i="11" s="1"/>
  <c r="H19" i="11" s="1"/>
  <c r="H42" i="11"/>
  <c r="B23" i="11"/>
  <c r="C23" i="11" s="1"/>
  <c r="D23" i="11" s="1"/>
  <c r="H22" i="11"/>
  <c r="B22" i="11"/>
  <c r="C22" i="11" s="1"/>
  <c r="D22" i="11" s="1"/>
  <c r="B16" i="11"/>
  <c r="H6" i="1"/>
  <c r="H5" i="1"/>
  <c r="H4" i="1"/>
  <c r="H3" i="1"/>
  <c r="Q10" i="51" l="1"/>
  <c r="Q12" i="51" s="1"/>
  <c r="Q19" i="51" s="1"/>
  <c r="Q32" i="51" s="1"/>
  <c r="Q33" i="51" s="1"/>
  <c r="Q35" i="51" s="1"/>
  <c r="R9" i="51"/>
  <c r="R8" i="51"/>
  <c r="E84" i="44"/>
  <c r="H83" i="44"/>
  <c r="D35" i="22"/>
  <c r="E33" i="22"/>
  <c r="E34" i="22" s="1"/>
  <c r="B37" i="22" s="1"/>
  <c r="A42" i="22" s="1"/>
  <c r="D15" i="11"/>
  <c r="C15" i="11"/>
  <c r="B15" i="11"/>
  <c r="B18" i="11" s="1"/>
  <c r="C14" i="11"/>
  <c r="H27" i="11"/>
  <c r="C16" i="11"/>
  <c r="H20" i="11"/>
  <c r="B24" i="11"/>
  <c r="D16" i="11"/>
  <c r="H14" i="11"/>
  <c r="H29" i="11"/>
  <c r="E85" i="44" l="1"/>
  <c r="H85" i="44" s="1"/>
  <c r="H84" i="44"/>
  <c r="E35" i="22"/>
  <c r="B30" i="11"/>
  <c r="B32" i="11" s="1"/>
  <c r="C35" i="11" s="1"/>
  <c r="C37" i="11" s="1"/>
  <c r="C39" i="11" s="1"/>
  <c r="E7" i="11" s="1"/>
  <c r="C24" i="11"/>
  <c r="D24" i="11" s="1"/>
  <c r="D30" i="11" s="1"/>
  <c r="C18" i="11"/>
  <c r="E2" i="22"/>
  <c r="H24" i="11"/>
  <c r="H28" i="11" s="1"/>
  <c r="H35" i="11" s="1"/>
  <c r="H15" i="11"/>
  <c r="H16" i="11" s="1"/>
  <c r="D14" i="11"/>
  <c r="H89" i="44" l="1"/>
  <c r="B39" i="22"/>
  <c r="E6" i="22" s="1"/>
  <c r="C30" i="11"/>
  <c r="C32" i="11" s="1"/>
  <c r="D35" i="11" s="1"/>
  <c r="D37" i="11" s="1"/>
  <c r="D18" i="11"/>
  <c r="D32" i="11" s="1"/>
  <c r="E35" i="11" s="1"/>
  <c r="E36" i="11" s="1"/>
  <c r="E37" i="11" s="1"/>
  <c r="H37" i="11"/>
  <c r="B37" i="11" s="1"/>
  <c r="B38" i="11" s="1"/>
  <c r="C38" i="11"/>
  <c r="D39" i="11" l="1"/>
  <c r="E8" i="11" s="1"/>
  <c r="E39" i="11"/>
  <c r="E9" i="11" s="1"/>
  <c r="E38" i="11" l="1"/>
  <c r="D38" i="11"/>
  <c r="B40" i="11" s="1"/>
  <c r="B41" i="11" l="1"/>
  <c r="B29" i="1" l="1"/>
  <c r="B23" i="1"/>
  <c r="B22" i="1"/>
  <c r="H13" i="1"/>
  <c r="H12" i="1"/>
  <c r="H11" i="1"/>
  <c r="H10" i="1"/>
  <c r="H9" i="1"/>
  <c r="G45" i="1" l="1"/>
  <c r="B47" i="1" l="1"/>
  <c r="B34" i="1"/>
  <c r="B31" i="1"/>
  <c r="B24" i="1" l="1"/>
  <c r="B16" i="1"/>
  <c r="B12" i="1"/>
  <c r="B13" i="1" s="1"/>
  <c r="B4" i="1"/>
  <c r="B21" i="1" s="1"/>
  <c r="B26" i="1" l="1"/>
  <c r="B17" i="1"/>
  <c r="B18" i="1" s="1"/>
  <c r="B30" i="1" l="1"/>
  <c r="B39" i="1" s="1"/>
  <c r="B48" i="1" l="1"/>
  <c r="B41" i="1"/>
  <c r="B42" i="1" s="1"/>
  <c r="B43" i="1" s="1"/>
  <c r="B44" i="1" l="1"/>
  <c r="B45" i="1" l="1"/>
  <c r="B49" i="1" s="1"/>
  <c r="E3" i="1" s="1"/>
  <c r="E6" i="1"/>
  <c r="P7" i="51" l="1"/>
  <c r="P9" i="51" l="1"/>
  <c r="P8" i="51"/>
  <c r="P12" i="51" l="1"/>
  <c r="P29" i="51"/>
  <c r="P33" i="51" s="1"/>
  <c r="L34" i="51" s="1"/>
  <c r="L13" i="51" l="1"/>
  <c r="P19" i="51"/>
  <c r="L20" i="51" l="1"/>
  <c r="P35" i="51"/>
  <c r="I29" i="54" l="1"/>
  <c r="B9" i="53" l="1"/>
  <c r="B10" i="53" s="1"/>
  <c r="B16" i="53" l="1"/>
  <c r="B26" i="53" s="1"/>
  <c r="B28" i="53" s="1"/>
  <c r="B29" i="53" s="1"/>
  <c r="B30" i="53" s="1"/>
  <c r="B31" i="53" s="1"/>
  <c r="H20" i="53" s="1"/>
  <c r="B12" i="53"/>
  <c r="I30" i="54" s="1"/>
  <c r="I31" i="54" s="1"/>
  <c r="B19" i="53" l="1"/>
  <c r="B21" i="53" s="1"/>
</calcChain>
</file>

<file path=xl/sharedStrings.xml><?xml version="1.0" encoding="utf-8"?>
<sst xmlns="http://schemas.openxmlformats.org/spreadsheetml/2006/main" count="1544" uniqueCount="603">
  <si>
    <t>Project Description</t>
  </si>
  <si>
    <t>Project Name</t>
  </si>
  <si>
    <t>4815 Garrett Road</t>
  </si>
  <si>
    <t>Number of Units</t>
  </si>
  <si>
    <t>average area/unit</t>
  </si>
  <si>
    <t>Construction Cost</t>
  </si>
  <si>
    <t>Sales Price/sf</t>
  </si>
  <si>
    <t>Land Acquisition</t>
  </si>
  <si>
    <t>Site Acquisition</t>
  </si>
  <si>
    <t>closing cost</t>
  </si>
  <si>
    <t>Total Acquisition Costs</t>
  </si>
  <si>
    <t>Construction Hard Costs</t>
  </si>
  <si>
    <t>Units For Sale</t>
  </si>
  <si>
    <t>Site Work</t>
  </si>
  <si>
    <t>Landscape</t>
  </si>
  <si>
    <t>Contingency</t>
  </si>
  <si>
    <t>Total Construction Hard Cost</t>
  </si>
  <si>
    <t>Architecture design</t>
  </si>
  <si>
    <t>Rendering Cost</t>
  </si>
  <si>
    <t xml:space="preserve">bonds </t>
  </si>
  <si>
    <t xml:space="preserve"> Site Survey fee</t>
  </si>
  <si>
    <t>Impact fee</t>
  </si>
  <si>
    <t>General insurance</t>
  </si>
  <si>
    <t>Legal fee</t>
  </si>
  <si>
    <t>Permits</t>
  </si>
  <si>
    <t>Sales commission/salary</t>
  </si>
  <si>
    <t>Development fee</t>
  </si>
  <si>
    <t>Construction management</t>
  </si>
  <si>
    <t>Total Soft Costs</t>
  </si>
  <si>
    <t>Total Acquisition Cost</t>
  </si>
  <si>
    <t>Revenue</t>
  </si>
  <si>
    <t>For Sale Revenue</t>
  </si>
  <si>
    <t>Total Revenue</t>
  </si>
  <si>
    <t>Profit before distribution</t>
  </si>
  <si>
    <t>Equity Needs</t>
  </si>
  <si>
    <t>Credit Investors Annualized Return</t>
  </si>
  <si>
    <t>Sophiscated Investors Annualized Return</t>
  </si>
  <si>
    <t>Company Profit</t>
  </si>
  <si>
    <t>Common Space</t>
  </si>
  <si>
    <t>Total Cost</t>
  </si>
  <si>
    <t>Equity Needs Maximum</t>
  </si>
  <si>
    <t>Equity Needs Minimum</t>
  </si>
  <si>
    <t xml:space="preserve">Equity Raise </t>
  </si>
  <si>
    <t>Return</t>
  </si>
  <si>
    <t>Project return</t>
  </si>
  <si>
    <t>Investment Amount</t>
  </si>
  <si>
    <t>Investment ratio</t>
  </si>
  <si>
    <t>Annualized Preferred Ratio</t>
  </si>
  <si>
    <t>Preferred Return</t>
  </si>
  <si>
    <t>Profit after Preferred Return</t>
  </si>
  <si>
    <t>Company Ratio</t>
  </si>
  <si>
    <t>Investor Total Return</t>
  </si>
  <si>
    <t>Investor Total Return Rate</t>
  </si>
  <si>
    <t>Investor Annual Return</t>
  </si>
  <si>
    <t>Investment Period (Year)</t>
  </si>
  <si>
    <t>Number of Investors</t>
  </si>
  <si>
    <t>Minimum Amount</t>
  </si>
  <si>
    <t>Credit Investors</t>
  </si>
  <si>
    <t>Sophicated Invstors</t>
  </si>
  <si>
    <t>1. rezoning density</t>
  </si>
  <si>
    <t>25 single family</t>
  </si>
  <si>
    <t>2. stormwater pond</t>
  </si>
  <si>
    <t>Density</t>
  </si>
  <si>
    <t>Capital</t>
  </si>
  <si>
    <t>10 Years Proforma</t>
  </si>
  <si>
    <t>2680 Apex Hwy</t>
  </si>
  <si>
    <t>Loan</t>
  </si>
  <si>
    <t>Time 0</t>
  </si>
  <si>
    <t>Year 1</t>
  </si>
  <si>
    <t>Year 2</t>
  </si>
  <si>
    <t>Year 3</t>
  </si>
  <si>
    <t>Year 4</t>
  </si>
  <si>
    <t>Year 5</t>
  </si>
  <si>
    <t>Year 6</t>
  </si>
  <si>
    <t>Leverage to Cost</t>
  </si>
  <si>
    <t>Investment</t>
  </si>
  <si>
    <t>Construction</t>
  </si>
  <si>
    <t>Operation</t>
  </si>
  <si>
    <t>Land Size</t>
  </si>
  <si>
    <t xml:space="preserve">Debt Amount </t>
  </si>
  <si>
    <t>Gross Rent</t>
  </si>
  <si>
    <t>Effective Rent</t>
  </si>
  <si>
    <t>Average heated area/unit</t>
  </si>
  <si>
    <t>Interest Only Rate</t>
  </si>
  <si>
    <t>Vacancy Rate</t>
  </si>
  <si>
    <t>Construction Cost per Heated SF</t>
  </si>
  <si>
    <t>Interest Only Term</t>
  </si>
  <si>
    <t>Years</t>
  </si>
  <si>
    <t>Operating Expense</t>
  </si>
  <si>
    <t>NOI</t>
  </si>
  <si>
    <t>Project Cost</t>
  </si>
  <si>
    <t>Debt Amount</t>
  </si>
  <si>
    <t>Interest Rate</t>
  </si>
  <si>
    <t>Dispostion Revenue</t>
  </si>
  <si>
    <t xml:space="preserve">Term </t>
  </si>
  <si>
    <t>Annual Payment</t>
  </si>
  <si>
    <t>Unlevered Cashflow</t>
  </si>
  <si>
    <t>Rentable Units</t>
  </si>
  <si>
    <t>Balloon payment</t>
  </si>
  <si>
    <t>Unlevered IRR</t>
  </si>
  <si>
    <t>Cash Reserve</t>
  </si>
  <si>
    <t>Debt Related Cashflow</t>
  </si>
  <si>
    <t>Levered Cashflow</t>
  </si>
  <si>
    <t>Stormwater related fee</t>
  </si>
  <si>
    <t>Rent Assumptions</t>
  </si>
  <si>
    <t>Levered IRR</t>
  </si>
  <si>
    <t>Rent per month per SF</t>
  </si>
  <si>
    <t>Annual Rent Increase</t>
  </si>
  <si>
    <t>Annual Expense Increase</t>
  </si>
  <si>
    <t>Profit Distribution between GP and LP</t>
  </si>
  <si>
    <t>Rentable Area</t>
  </si>
  <si>
    <t>During Operation</t>
  </si>
  <si>
    <t>LP ratio</t>
  </si>
  <si>
    <t>Exiting CAP rate</t>
  </si>
  <si>
    <t>At Disposition</t>
  </si>
  <si>
    <t xml:space="preserve">LP preferred </t>
  </si>
  <si>
    <t>LP thereafter</t>
  </si>
  <si>
    <t>CM Fee</t>
  </si>
  <si>
    <t>Units Breakdown</t>
  </si>
  <si>
    <t>Type</t>
  </si>
  <si>
    <t># of Units</t>
  </si>
  <si>
    <t>Size</t>
  </si>
  <si>
    <t>Monthly Rent per SF</t>
  </si>
  <si>
    <t>Monthly Rent</t>
  </si>
  <si>
    <t>Time</t>
  </si>
  <si>
    <t>1 Bed Market Rate</t>
  </si>
  <si>
    <t>LP investment and rental</t>
  </si>
  <si>
    <t>2 Bed Market Rate</t>
  </si>
  <si>
    <t>Cash reserve</t>
  </si>
  <si>
    <t>3 Bed Market Rate</t>
  </si>
  <si>
    <t>LP preferred return and Principle</t>
  </si>
  <si>
    <t>LP Thereafter</t>
  </si>
  <si>
    <t>LP Cashflow</t>
  </si>
  <si>
    <t>LP IRR</t>
  </si>
  <si>
    <t>Total</t>
  </si>
  <si>
    <t>GP cashflow</t>
  </si>
  <si>
    <t>Preferred return</t>
  </si>
  <si>
    <t>Thereafter</t>
  </si>
  <si>
    <t>IRR</t>
  </si>
  <si>
    <t>Multiple</t>
  </si>
  <si>
    <t>SF</t>
  </si>
  <si>
    <t>Unit</t>
  </si>
  <si>
    <t>Per Gross SF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</si>
  <si>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</si>
  <si>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</si>
  <si>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</si>
  <si>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</si>
  <si>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</si>
  <si>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</si>
  <si>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</si>
  <si>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</si>
  <si>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</si>
  <si>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</si>
  <si>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</si>
  <si>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</si>
  <si>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</si>
  <si>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</si>
  <si>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</si>
  <si>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</si>
  <si>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</si>
  <si>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</si>
  <si>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</si>
  <si>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</si>
  <si>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</si>
  <si>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</si>
  <si>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</si>
  <si>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</si>
  <si>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</si>
  <si>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</si>
  <si>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</si>
  <si>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Marketing</t>
  </si>
  <si>
    <t>Drywall</t>
  </si>
  <si>
    <t>Insurance</t>
  </si>
  <si>
    <t>0 Benson Rd, Garner</t>
  </si>
  <si>
    <t>Debt Amout</t>
  </si>
  <si>
    <t>Interest rate</t>
  </si>
  <si>
    <t>years</t>
  </si>
  <si>
    <t>Interest Cost</t>
  </si>
  <si>
    <t>Debt Ratio</t>
  </si>
  <si>
    <t>Investor multiple</t>
  </si>
  <si>
    <t>Cash Flow 3 phase （30+50+70 units/phase)</t>
  </si>
  <si>
    <t>Outflow</t>
  </si>
  <si>
    <t>Inflow from Debt</t>
  </si>
  <si>
    <t>Outflow for Debt</t>
  </si>
  <si>
    <t>Inflow from Sales</t>
  </si>
  <si>
    <t>Equity needs</t>
  </si>
  <si>
    <t>Suplus</t>
  </si>
  <si>
    <t>Land+site work+design+permiting</t>
  </si>
  <si>
    <t>site work</t>
  </si>
  <si>
    <t>Phase 1</t>
  </si>
  <si>
    <t>Phase 2</t>
  </si>
  <si>
    <t>Phase 3</t>
  </si>
  <si>
    <t>Number of Lots</t>
  </si>
  <si>
    <t>Unit/Acre</t>
  </si>
  <si>
    <t>Cost/Lot</t>
  </si>
  <si>
    <t>Cost</t>
  </si>
  <si>
    <t>Site Working</t>
  </si>
  <si>
    <t>Entilement fee</t>
  </si>
  <si>
    <t>Development Fees</t>
  </si>
  <si>
    <t>Zoning</t>
  </si>
  <si>
    <t>MF1</t>
  </si>
  <si>
    <t>https://www.garnernc.gov/home/showdocument?id=6079</t>
  </si>
  <si>
    <t>Adjacent property</t>
  </si>
  <si>
    <t>5.52 Acre</t>
  </si>
  <si>
    <t>sold on 07/31/2019</t>
  </si>
  <si>
    <t>Inflow</t>
  </si>
  <si>
    <t>Capital needs</t>
  </si>
  <si>
    <t>Cash Flow 3 phase （12+18+ 20 units/phase)</t>
  </si>
  <si>
    <t>Demo + Sitework</t>
  </si>
  <si>
    <t>Lot Price</t>
  </si>
  <si>
    <t>Site Work + Demo</t>
  </si>
  <si>
    <t>Total Costs</t>
  </si>
  <si>
    <t>Investor</t>
  </si>
  <si>
    <t>Units type</t>
  </si>
  <si>
    <t>area</t>
  </si>
  <si>
    <t>number</t>
  </si>
  <si>
    <t>Rent/month</t>
  </si>
  <si>
    <t>Rent/year</t>
  </si>
  <si>
    <t>Units Rental (Sq Ft)</t>
  </si>
  <si>
    <t>1BR</t>
  </si>
  <si>
    <t>leasing office</t>
  </si>
  <si>
    <t>Company - Proceeds</t>
  </si>
  <si>
    <t>2BR</t>
  </si>
  <si>
    <t>communal kitchen</t>
  </si>
  <si>
    <t>Category</t>
  </si>
  <si>
    <t>For Rental</t>
  </si>
  <si>
    <t>Proceeds</t>
  </si>
  <si>
    <t>3BR</t>
  </si>
  <si>
    <t>gym</t>
  </si>
  <si>
    <t>Holding Period</t>
  </si>
  <si>
    <t>5 years</t>
  </si>
  <si>
    <t>* without time value of the money</t>
  </si>
  <si>
    <t>group room</t>
  </si>
  <si>
    <t>Company profit rate</t>
  </si>
  <si>
    <t>pool + grill</t>
  </si>
  <si>
    <t>CAP rate at Disposition</t>
  </si>
  <si>
    <t>Total Area</t>
  </si>
  <si>
    <t>Revenues</t>
  </si>
  <si>
    <t>Rental revenue</t>
  </si>
  <si>
    <t>less vacancy</t>
  </si>
  <si>
    <t>Total Revenues</t>
  </si>
  <si>
    <t>Operation Expenses</t>
  </si>
  <si>
    <t>Units For Rental</t>
  </si>
  <si>
    <t xml:space="preserve"> Landscaping</t>
  </si>
  <si>
    <t>common space supplies</t>
  </si>
  <si>
    <t>Property Management fee</t>
  </si>
  <si>
    <t>On-Site Maintenance</t>
  </si>
  <si>
    <t>Property Taxes</t>
  </si>
  <si>
    <t>Turn Costs</t>
  </si>
  <si>
    <t>Soft Costs</t>
  </si>
  <si>
    <t>Utilities-leasing office</t>
  </si>
  <si>
    <t>Total operation Costs</t>
  </si>
  <si>
    <t>Operating Profit</t>
  </si>
  <si>
    <t>year 0</t>
  </si>
  <si>
    <t>year 1</t>
  </si>
  <si>
    <t>year 2</t>
  </si>
  <si>
    <t>year 3</t>
  </si>
  <si>
    <t>disposition</t>
  </si>
  <si>
    <t>Cash Flow</t>
  </si>
  <si>
    <t>Cash Flow for crowd-funding Investors</t>
  </si>
  <si>
    <t>Cash Flow for Company</t>
  </si>
  <si>
    <t>Total Construction Soft Cost</t>
  </si>
  <si>
    <t>IRR-Investor</t>
  </si>
  <si>
    <t>company proceeds</t>
  </si>
  <si>
    <t>Investor IRR</t>
  </si>
  <si>
    <t>Base Price - $135</t>
  </si>
  <si>
    <t>2801 Courtney Creek</t>
  </si>
  <si>
    <t xml:space="preserve">Investor </t>
  </si>
  <si>
    <t>Price Scenario</t>
  </si>
  <si>
    <t>$/sq ft</t>
  </si>
  <si>
    <t>return</t>
  </si>
  <si>
    <t>Base Case</t>
  </si>
  <si>
    <t>Base Case ($135/sf)</t>
  </si>
  <si>
    <t>Net Sellable (Sq Ft)</t>
  </si>
  <si>
    <t>Market Down</t>
  </si>
  <si>
    <t>Investor return</t>
  </si>
  <si>
    <t>Down Case ($130/sf)</t>
  </si>
  <si>
    <t>Average Sales Price</t>
  </si>
  <si>
    <t>Company</t>
  </si>
  <si>
    <t>Market Up 1</t>
  </si>
  <si>
    <t>Up Case 1 ($140/sf)</t>
  </si>
  <si>
    <t>Average Unit Size (Sq Ft)</t>
  </si>
  <si>
    <t>Profit</t>
  </si>
  <si>
    <t>Market Up 2</t>
  </si>
  <si>
    <t>Down Price - $130</t>
  </si>
  <si>
    <t>Up Case 2 ($145/sf)</t>
  </si>
  <si>
    <t>Land/ Unit (Sq Ft)</t>
  </si>
  <si>
    <t>Average landscape/Unit</t>
  </si>
  <si>
    <t>Land Price</t>
  </si>
  <si>
    <t>Total Price</t>
  </si>
  <si>
    <t>construction cost/sq ft</t>
  </si>
  <si>
    <t>case 1</t>
  </si>
  <si>
    <t>1.0M</t>
  </si>
  <si>
    <t>case 2</t>
  </si>
  <si>
    <t>1.1M</t>
  </si>
  <si>
    <t>case 3</t>
  </si>
  <si>
    <t>1.2M</t>
  </si>
  <si>
    <t>Up Price - $140</t>
  </si>
  <si>
    <t>Unit Sales</t>
  </si>
  <si>
    <t>case 4</t>
  </si>
  <si>
    <t>1.3M</t>
  </si>
  <si>
    <t>1.4M</t>
  </si>
  <si>
    <t>Up Price - $145</t>
  </si>
  <si>
    <t>Case 1</t>
  </si>
  <si>
    <t>5% save</t>
  </si>
  <si>
    <t>Case 2</t>
  </si>
  <si>
    <t>10% save</t>
  </si>
  <si>
    <t>Case 3</t>
  </si>
  <si>
    <t>5% more</t>
  </si>
  <si>
    <t>Case 4</t>
  </si>
  <si>
    <t>10% more</t>
  </si>
  <si>
    <t>7000 sf * $100/SqFt</t>
  </si>
  <si>
    <t>Investor Return</t>
  </si>
  <si>
    <t>Coworking</t>
  </si>
  <si>
    <t>10000sf * $90</t>
  </si>
  <si>
    <t>Construction Cost/sf</t>
  </si>
  <si>
    <t>Construction consulting</t>
  </si>
  <si>
    <t>Base Case $135/sf</t>
  </si>
  <si>
    <t>Save 10%</t>
  </si>
  <si>
    <t>Save 5%</t>
  </si>
  <si>
    <t>development fee</t>
  </si>
  <si>
    <t>General and Administration</t>
  </si>
  <si>
    <t>profit</t>
  </si>
  <si>
    <t>Project Return</t>
  </si>
  <si>
    <t>Profit for company</t>
  </si>
  <si>
    <t>profit-company</t>
  </si>
  <si>
    <t>profit-investor</t>
  </si>
  <si>
    <t>Down Payment</t>
  </si>
  <si>
    <t>Equity raised</t>
  </si>
  <si>
    <t>-</t>
  </si>
  <si>
    <t>Coworking Space (Sq Ft)</t>
  </si>
  <si>
    <t>HOA deductible-coworking</t>
  </si>
  <si>
    <t>Company - Profit</t>
  </si>
  <si>
    <t>HOA non-deductible</t>
  </si>
  <si>
    <t>3 years</t>
  </si>
  <si>
    <t>For-Rental-2020</t>
  </si>
  <si>
    <t>For-Rental-2021</t>
  </si>
  <si>
    <t>For-Rental-2022</t>
  </si>
  <si>
    <t>HOA-coworking (deductible)</t>
  </si>
  <si>
    <t>HOA- gardening and others (non)</t>
  </si>
  <si>
    <t>Coworking Space</t>
  </si>
  <si>
    <t>Furnitures</t>
  </si>
  <si>
    <t>fitness equipment</t>
  </si>
  <si>
    <t>Payroll</t>
  </si>
  <si>
    <t>Utilities-common space</t>
  </si>
  <si>
    <t>Utilities-coworking</t>
  </si>
  <si>
    <t>Cash Flow for Investors (40%</t>
  </si>
  <si>
    <t>Cash Flow for Company (60%</t>
  </si>
  <si>
    <t>NO. Unit</t>
  </si>
  <si>
    <t>Area</t>
  </si>
  <si>
    <t>Rent</t>
  </si>
  <si>
    <t>2BR-Unit</t>
  </si>
  <si>
    <t>Mutiple-Investor</t>
  </si>
  <si>
    <t>3BR-Unit</t>
  </si>
  <si>
    <t>Building breakdown</t>
  </si>
  <si>
    <t xml:space="preserve">Type </t>
  </si>
  <si>
    <t>Building</t>
  </si>
  <si>
    <t>Area (SF)</t>
  </si>
  <si>
    <t>Price</t>
  </si>
  <si>
    <t>Rentable Unit</t>
  </si>
  <si>
    <t>Gross SF</t>
  </si>
  <si>
    <t>Per Heated SF</t>
  </si>
  <si>
    <t>DIV. 1 - GENERAL REQUIREMENTS</t>
  </si>
  <si>
    <t>CSI #</t>
  </si>
  <si>
    <t>ITEM</t>
  </si>
  <si>
    <t>UNIT</t>
  </si>
  <si>
    <t>TOTAL</t>
  </si>
  <si>
    <t>DESCRIPTION</t>
  </si>
  <si>
    <t xml:space="preserve">   QUANTITY</t>
  </si>
  <si>
    <t xml:space="preserve"> PRICE</t>
  </si>
  <si>
    <t>PRICE</t>
  </si>
  <si>
    <t>01A</t>
  </si>
  <si>
    <t xml:space="preserve">General Trades </t>
  </si>
  <si>
    <t>EA</t>
  </si>
  <si>
    <t>01B</t>
  </si>
  <si>
    <t>Final Cleaning</t>
  </si>
  <si>
    <t>SUBTOTAL DIVISION 01000</t>
  </si>
  <si>
    <t>DIV. 3 - CONCRETE</t>
  </si>
  <si>
    <t>Cubic yard</t>
  </si>
  <si>
    <t>Foundation Labor</t>
  </si>
  <si>
    <t>Hour</t>
  </si>
  <si>
    <t>DIV. 5 - METALS</t>
  </si>
  <si>
    <t>Rebar</t>
  </si>
  <si>
    <t>DIV. 6 - CARPENTRY</t>
  </si>
  <si>
    <t>Interior trim</t>
  </si>
  <si>
    <t>Interior trim material</t>
  </si>
  <si>
    <t>Interior Trim labor</t>
  </si>
  <si>
    <t>DIV. 7 - THERMAL &amp; MOISTURE PROTECTION</t>
  </si>
  <si>
    <t>07A</t>
  </si>
  <si>
    <t>07B</t>
  </si>
  <si>
    <t>Air Barrier &amp; Spray Foam Insulation</t>
  </si>
  <si>
    <t>Set</t>
  </si>
  <si>
    <t>07C</t>
  </si>
  <si>
    <t>Roof</t>
  </si>
  <si>
    <t>set</t>
  </si>
  <si>
    <t>DIV. 8 - DOORS &amp; WINDOWS</t>
  </si>
  <si>
    <t>08A</t>
  </si>
  <si>
    <t>Doors, Frames &amp; Hardware</t>
  </si>
  <si>
    <t>Interior doors</t>
  </si>
  <si>
    <t>Hardware</t>
  </si>
  <si>
    <t>08B</t>
  </si>
  <si>
    <t>Exterior Doors &amp; Windows, Glazing, Louvers</t>
  </si>
  <si>
    <t>Type 1 window - 36"*60"</t>
  </si>
  <si>
    <t>Type 2 window - 72"*60"</t>
  </si>
  <si>
    <t>Patio sliding door</t>
  </si>
  <si>
    <t>Ocean shipping cost</t>
  </si>
  <si>
    <t>Tax+local shipping cost</t>
  </si>
  <si>
    <t>Front Door</t>
  </si>
  <si>
    <t>Swing door at Patio installation</t>
  </si>
  <si>
    <t>Window installation</t>
  </si>
  <si>
    <t>08C</t>
  </si>
  <si>
    <t>siding</t>
  </si>
  <si>
    <t>Siding Labor</t>
  </si>
  <si>
    <t>DIV. 9 - FINISHES</t>
  </si>
  <si>
    <t>09A</t>
  </si>
  <si>
    <t>Framing &amp; Gypsum Assemblies</t>
  </si>
  <si>
    <t>Framing lumber</t>
  </si>
  <si>
    <t>Framing Labor</t>
  </si>
  <si>
    <t>Sheet</t>
  </si>
  <si>
    <t>Drywall labor</t>
  </si>
  <si>
    <t>09D</t>
  </si>
  <si>
    <t>Wood Flooring</t>
  </si>
  <si>
    <t>LVP</t>
  </si>
  <si>
    <t>Corrider and other common</t>
  </si>
  <si>
    <t>09F</t>
  </si>
  <si>
    <t>Painting</t>
  </si>
  <si>
    <t>interior painting</t>
  </si>
  <si>
    <t>DIV.10 - SPECIALTIES</t>
  </si>
  <si>
    <t>10B</t>
  </si>
  <si>
    <t>Signage</t>
  </si>
  <si>
    <t>Apartment Number</t>
  </si>
  <si>
    <t>10C</t>
  </si>
  <si>
    <t>Toilet Accessories</t>
  </si>
  <si>
    <t>Mirror</t>
  </si>
  <si>
    <t>Ea</t>
  </si>
  <si>
    <t>10D</t>
  </si>
  <si>
    <t>Balcony Railing</t>
  </si>
  <si>
    <t>Railing</t>
  </si>
  <si>
    <t>DIV.11 - EQUIPMENT</t>
  </si>
  <si>
    <t>11A</t>
  </si>
  <si>
    <t>Appliances</t>
  </si>
  <si>
    <t>Electrical Range</t>
  </si>
  <si>
    <t>Microwave</t>
  </si>
  <si>
    <t>Dishwasher</t>
  </si>
  <si>
    <t xml:space="preserve">Washer </t>
  </si>
  <si>
    <t>Dryer</t>
  </si>
  <si>
    <t>Fridge</t>
  </si>
  <si>
    <t>Thermostats</t>
  </si>
  <si>
    <t>DIV.12 - FURNISHINGS</t>
  </si>
  <si>
    <t>12C</t>
  </si>
  <si>
    <t>Casework &amp; Cabinetry</t>
  </si>
  <si>
    <t>Quartz Counter Tops</t>
  </si>
  <si>
    <t>DIV.22 - Plumbing</t>
  </si>
  <si>
    <t>22A</t>
  </si>
  <si>
    <t>Plumbing</t>
  </si>
  <si>
    <t>Rough-in (including tub and water heater)</t>
  </si>
  <si>
    <t>Shower valves</t>
  </si>
  <si>
    <t>Shower sets</t>
  </si>
  <si>
    <t>Kitchen faucet</t>
  </si>
  <si>
    <t>Kitchen sink 27 inch</t>
  </si>
  <si>
    <t>Vanity faucets</t>
  </si>
  <si>
    <t>Toilet</t>
  </si>
  <si>
    <t>Ceramic bowl</t>
  </si>
  <si>
    <t>drain</t>
  </si>
  <si>
    <t>Custom tax+shipping</t>
  </si>
  <si>
    <t>Towel Bar</t>
  </si>
  <si>
    <t>Toilet paper holder</t>
  </si>
  <si>
    <t>DIV.23 - MECHANICAL</t>
  </si>
  <si>
    <t>rough in material</t>
  </si>
  <si>
    <t>HVAC heat pump and air handler</t>
  </si>
  <si>
    <t>HVAC rough in and labor cost</t>
  </si>
  <si>
    <t>DIV.26 - ELECTRICAL</t>
  </si>
  <si>
    <t>26A</t>
  </si>
  <si>
    <t>Electrical</t>
  </si>
  <si>
    <t>Rough in</t>
  </si>
  <si>
    <t>units</t>
  </si>
  <si>
    <t>Fitness+leasing office</t>
  </si>
  <si>
    <t>Fixtures</t>
  </si>
  <si>
    <t>Fire Alarm</t>
  </si>
  <si>
    <t>1BR unit</t>
  </si>
  <si>
    <t>2BR unit</t>
  </si>
  <si>
    <t>3BR unit</t>
  </si>
  <si>
    <t>Number of Unit</t>
  </si>
  <si>
    <t>Cleaning</t>
  </si>
  <si>
    <t>Foundation</t>
  </si>
  <si>
    <t>Lumber</t>
  </si>
  <si>
    <t>Insulation</t>
  </si>
  <si>
    <t>Shingle roof material</t>
  </si>
  <si>
    <t>Framing trusses</t>
  </si>
  <si>
    <t>Framing hardware</t>
  </si>
  <si>
    <t>staircase + hallway railing</t>
  </si>
  <si>
    <t>exterior painting</t>
  </si>
  <si>
    <t>Siding Material</t>
  </si>
  <si>
    <t>Cabinets Material</t>
  </si>
  <si>
    <t>Cabinets installation</t>
  </si>
  <si>
    <t>Sprinkler</t>
  </si>
  <si>
    <t>Acquisition Cost</t>
  </si>
  <si>
    <t>Site Work Cost</t>
  </si>
  <si>
    <t>Vertical Cost</t>
  </si>
  <si>
    <t>Soft Cost Breakdown</t>
  </si>
  <si>
    <t>Hard Cost Contingency</t>
  </si>
  <si>
    <t>Total Cost Breakdown</t>
  </si>
  <si>
    <t>Lender related fee</t>
  </si>
  <si>
    <t xml:space="preserve">Soft Cost </t>
  </si>
  <si>
    <t>Soft Cost Contingency</t>
  </si>
  <si>
    <t>Origination Fee</t>
  </si>
  <si>
    <t>Churchill</t>
  </si>
  <si>
    <t>Debt</t>
  </si>
  <si>
    <t>Equity</t>
  </si>
  <si>
    <t>Sales price</t>
  </si>
  <si>
    <t>Project level return</t>
  </si>
  <si>
    <t>Investment period</t>
  </si>
  <si>
    <t>Year</t>
  </si>
  <si>
    <t>Annualized return</t>
  </si>
  <si>
    <t>Equity Investor Return</t>
  </si>
  <si>
    <t>Preferred return rate</t>
  </si>
  <si>
    <t>Thereafter ratio</t>
  </si>
  <si>
    <t>Total distribution</t>
  </si>
  <si>
    <t>Total Annual Rent</t>
  </si>
  <si>
    <t>Architecture Design</t>
  </si>
  <si>
    <t>Site Clearance</t>
  </si>
  <si>
    <t>Amount</t>
  </si>
  <si>
    <t>Source</t>
  </si>
  <si>
    <t>Hard and Soft Spending Item</t>
  </si>
  <si>
    <t>Debt Fee</t>
  </si>
  <si>
    <t>Interest</t>
  </si>
  <si>
    <t>Building 1</t>
  </si>
  <si>
    <t>Building 2</t>
  </si>
  <si>
    <t>Framing</t>
  </si>
  <si>
    <t>Plumbing Rough in</t>
  </si>
  <si>
    <t>Mechanical Rough in</t>
  </si>
  <si>
    <t>Sprinkler Rough in</t>
  </si>
  <si>
    <t>Electrical Rough in</t>
  </si>
  <si>
    <t>Plumbing Trim out</t>
  </si>
  <si>
    <t>HVAC Trim out</t>
  </si>
  <si>
    <t>Electrical Trim out</t>
  </si>
  <si>
    <t>Hardware Installation</t>
  </si>
  <si>
    <t>Punch List Item</t>
  </si>
  <si>
    <t>Site Work+CM Fee</t>
  </si>
  <si>
    <t>Plumbing Rough in + CM Fee</t>
  </si>
  <si>
    <t>Building roof labor</t>
  </si>
  <si>
    <t>Roofing</t>
  </si>
  <si>
    <t>Window/Exterior Door+Siding</t>
  </si>
  <si>
    <t>Trim out</t>
  </si>
  <si>
    <t>Current Three Month CME Rate</t>
  </si>
  <si>
    <t xml:space="preserve">Debt Interest Rate </t>
  </si>
  <si>
    <t>1.5% origination fee</t>
  </si>
  <si>
    <t>Good Faith Deposit</t>
  </si>
  <si>
    <t>Administration fee</t>
  </si>
  <si>
    <t>Extension Fee</t>
  </si>
  <si>
    <t>Misc Financing cost</t>
  </si>
  <si>
    <t>SubTotal</t>
  </si>
  <si>
    <t>Total Interest</t>
  </si>
  <si>
    <t xml:space="preserve">Floor </t>
  </si>
  <si>
    <t>Interest Expense</t>
  </si>
  <si>
    <t>Total without Admin fee</t>
  </si>
  <si>
    <t>Punch List Item + CM Fee</t>
  </si>
  <si>
    <t>Drywall Installation + Flooring + CM fee</t>
  </si>
  <si>
    <t>Drywall Installation + Flooring</t>
  </si>
  <si>
    <t>Interior Trim + cabinest + tops</t>
  </si>
  <si>
    <t>Rent per SF</t>
  </si>
  <si>
    <t>$/SF</t>
  </si>
  <si>
    <t>Vacancy rate</t>
  </si>
  <si>
    <t>Vacancy loss</t>
  </si>
  <si>
    <t>Tenants Insurance</t>
  </si>
  <si>
    <t>Management fee</t>
  </si>
  <si>
    <t>Amenity Utility</t>
  </si>
  <si>
    <t>Property Tax</t>
  </si>
  <si>
    <t>Maintenance and Repairs</t>
  </si>
  <si>
    <t>Stormwater reserve</t>
  </si>
  <si>
    <t>Landscaping</t>
  </si>
  <si>
    <t>Trash Collection</t>
  </si>
  <si>
    <t>Total Expense</t>
  </si>
  <si>
    <t>CAP Rate</t>
  </si>
  <si>
    <t>Sales Price</t>
  </si>
  <si>
    <t>GP Proceeds</t>
  </si>
  <si>
    <t>Equity Investor return</t>
  </si>
  <si>
    <t>Land Acquisiton + Architecture Design</t>
  </si>
  <si>
    <t>Year 7</t>
  </si>
  <si>
    <t>Year 8</t>
  </si>
  <si>
    <t>Vacancy rate at Year 3</t>
  </si>
  <si>
    <t>Vacancy rate thereafter</t>
  </si>
  <si>
    <t>Cost Increase rate</t>
  </si>
  <si>
    <t>Rent Increase rate</t>
  </si>
  <si>
    <t>Refinance Amount</t>
  </si>
  <si>
    <t>year</t>
  </si>
  <si>
    <t>Origination fee</t>
  </si>
  <si>
    <t>Mortgage Term</t>
  </si>
  <si>
    <t>Mortgage Rate</t>
  </si>
  <si>
    <t>Mortgage Payment</t>
  </si>
  <si>
    <t>Interest Payment</t>
  </si>
  <si>
    <t>Balloon Payment</t>
  </si>
  <si>
    <t>Year 0</t>
  </si>
  <si>
    <t>Equity Investment</t>
  </si>
  <si>
    <t>Equity Investor Cashflow</t>
  </si>
  <si>
    <t>Project Cashflow</t>
  </si>
  <si>
    <t>Equity Multiple</t>
  </si>
  <si>
    <t>Equity IRR</t>
  </si>
  <si>
    <t>Refinance Interest Rate</t>
  </si>
  <si>
    <t>Effective Interest Rate</t>
  </si>
  <si>
    <t>Total Debt Draw</t>
  </si>
  <si>
    <t>General Trades</t>
  </si>
  <si>
    <t>Architecture &amp; Civil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</si>
</sst>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0.0%"/>
    <numFmt numFmtId="167" formatCode="_(\$* #,##0.00_);_(\$* \(#,##0.00\);_(\$* \-??_);_(@_)"/>
    <numFmt numFmtId="168" formatCode="&quot;$&quot;#,##0.0_);\(&quot;$&quot;#,##0.0\)"/>
    <numFmt numFmtId="169" formatCode="0.000"/>
    <numFmt numFmtId="170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64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double">
        <color indexed="64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8" fillId="0" borderId="0"/>
    <xf numFmtId="167" fontId="8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89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3" fontId="0" fillId="2" borderId="0" xfId="0" applyNumberFormat="1" applyFill="1"/>
    <xf numFmtId="9" fontId="0" fillId="0" borderId="0" xfId="0" applyNumberFormat="1"/>
    <xf numFmtId="10" fontId="0" fillId="2" borderId="0" xfId="0" applyNumberFormat="1" applyFill="1"/>
    <xf numFmtId="164" fontId="0" fillId="0" borderId="0" xfId="0" applyNumberFormat="1"/>
    <xf numFmtId="0" fontId="0" fillId="0" borderId="1" xfId="0" applyBorder="1" applyAlignment="1">
      <alignment horizontal="right"/>
    </xf>
    <xf numFmtId="6" fontId="0" fillId="0" borderId="1" xfId="0" applyNumberFormat="1" applyBorder="1"/>
    <xf numFmtId="10" fontId="0" fillId="0" borderId="0" xfId="0" applyNumberFormat="1"/>
    <xf numFmtId="10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6" fontId="0" fillId="3" borderId="1" xfId="0" applyNumberFormat="1" applyFill="1" applyBorder="1"/>
    <xf numFmtId="10" fontId="0" fillId="3" borderId="1" xfId="0" applyNumberFormat="1" applyFill="1" applyBorder="1"/>
    <xf numFmtId="165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6" fontId="0" fillId="0" borderId="3" xfId="0" applyNumberFormat="1" applyBorder="1"/>
    <xf numFmtId="6" fontId="0" fillId="3" borderId="3" xfId="0" applyNumberFormat="1" applyFill="1" applyBorder="1"/>
    <xf numFmtId="0" fontId="0" fillId="0" borderId="0" xfId="0" applyAlignment="1">
      <alignment wrapText="1"/>
    </xf>
    <xf numFmtId="6" fontId="0" fillId="0" borderId="5" xfId="0" applyNumberFormat="1" applyBorder="1"/>
    <xf numFmtId="10" fontId="0" fillId="0" borderId="5" xfId="0" applyNumberFormat="1" applyBorder="1"/>
    <xf numFmtId="10" fontId="0" fillId="3" borderId="5" xfId="0" applyNumberFormat="1" applyFill="1" applyBorder="1"/>
    <xf numFmtId="6" fontId="0" fillId="0" borderId="5" xfId="0" applyNumberFormat="1" applyBorder="1" applyAlignment="1">
      <alignment horizontal="center"/>
    </xf>
    <xf numFmtId="6" fontId="0" fillId="3" borderId="6" xfId="0" applyNumberFormat="1" applyFill="1" applyBorder="1" applyAlignment="1">
      <alignment horizontal="center" wrapText="1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10" fontId="0" fillId="0" borderId="9" xfId="0" applyNumberFormat="1" applyBorder="1"/>
    <xf numFmtId="10" fontId="0" fillId="3" borderId="10" xfId="0" applyNumberFormat="1" applyFill="1" applyBorder="1"/>
    <xf numFmtId="10" fontId="0" fillId="0" borderId="10" xfId="0" applyNumberFormat="1" applyBorder="1"/>
    <xf numFmtId="6" fontId="0" fillId="0" borderId="4" xfId="0" applyNumberFormat="1" applyBorder="1" applyAlignment="1">
      <alignment horizontal="center"/>
    </xf>
    <xf numFmtId="10" fontId="0" fillId="0" borderId="11" xfId="0" applyNumberFormat="1" applyBorder="1"/>
    <xf numFmtId="10" fontId="0" fillId="3" borderId="7" xfId="0" applyNumberFormat="1" applyFill="1" applyBorder="1"/>
    <xf numFmtId="10" fontId="0" fillId="0" borderId="7" xfId="0" applyNumberFormat="1" applyBorder="1"/>
    <xf numFmtId="6" fontId="0" fillId="0" borderId="2" xfId="0" applyNumberFormat="1" applyBorder="1" applyAlignment="1">
      <alignment horizontal="center"/>
    </xf>
    <xf numFmtId="10" fontId="0" fillId="0" borderId="12" xfId="0" applyNumberFormat="1" applyBorder="1"/>
    <xf numFmtId="10" fontId="0" fillId="3" borderId="0" xfId="0" applyNumberFormat="1" applyFill="1"/>
    <xf numFmtId="6" fontId="0" fillId="3" borderId="2" xfId="0" applyNumberFormat="1" applyFill="1" applyBorder="1" applyAlignment="1">
      <alignment horizontal="center"/>
    </xf>
    <xf numFmtId="10" fontId="0" fillId="3" borderId="12" xfId="0" applyNumberFormat="1" applyFill="1" applyBorder="1"/>
    <xf numFmtId="164" fontId="0" fillId="4" borderId="0" xfId="0" applyNumberFormat="1" applyFill="1"/>
    <xf numFmtId="164" fontId="0" fillId="4" borderId="0" xfId="0" applyNumberFormat="1" applyFill="1" applyAlignment="1">
      <alignment horizontal="right"/>
    </xf>
    <xf numFmtId="3" fontId="0" fillId="0" borderId="1" xfId="0" applyNumberFormat="1" applyBorder="1"/>
    <xf numFmtId="0" fontId="0" fillId="2" borderId="1" xfId="0" applyFill="1" applyBorder="1" applyAlignment="1">
      <alignment horizontal="right"/>
    </xf>
    <xf numFmtId="1" fontId="0" fillId="0" borderId="0" xfId="0" applyNumberFormat="1" applyAlignment="1">
      <alignment horizontal="center"/>
    </xf>
    <xf numFmtId="3" fontId="0" fillId="2" borderId="1" xfId="0" applyNumberFormat="1" applyFill="1" applyBorder="1"/>
    <xf numFmtId="2" fontId="0" fillId="0" borderId="1" xfId="0" applyNumberFormat="1" applyBorder="1"/>
    <xf numFmtId="0" fontId="0" fillId="0" borderId="13" xfId="0" applyBorder="1" applyAlignment="1">
      <alignment horizontal="right"/>
    </xf>
    <xf numFmtId="0" fontId="0" fillId="0" borderId="15" xfId="0" applyBorder="1"/>
    <xf numFmtId="0" fontId="0" fillId="0" borderId="17" xfId="0" applyBorder="1"/>
    <xf numFmtId="0" fontId="0" fillId="0" borderId="0" xfId="0" applyAlignment="1">
      <alignment horizontal="center"/>
    </xf>
    <xf numFmtId="3" fontId="0" fillId="0" borderId="16" xfId="0" applyNumberFormat="1" applyBorder="1"/>
    <xf numFmtId="0" fontId="0" fillId="0" borderId="19" xfId="0" applyBorder="1"/>
    <xf numFmtId="3" fontId="0" fillId="0" borderId="20" xfId="0" applyNumberFormat="1" applyBorder="1"/>
    <xf numFmtId="3" fontId="0" fillId="0" borderId="18" xfId="0" applyNumberFormat="1" applyBorder="1"/>
    <xf numFmtId="3" fontId="0" fillId="5" borderId="14" xfId="0" applyNumberFormat="1" applyFill="1" applyBorder="1"/>
    <xf numFmtId="0" fontId="0" fillId="0" borderId="21" xfId="0" applyBorder="1" applyAlignment="1">
      <alignment horizontal="right"/>
    </xf>
    <xf numFmtId="10" fontId="0" fillId="6" borderId="22" xfId="0" applyNumberFormat="1" applyFill="1" applyBorder="1"/>
    <xf numFmtId="3" fontId="0" fillId="6" borderId="22" xfId="0" applyNumberFormat="1" applyFill="1" applyBorder="1"/>
    <xf numFmtId="3" fontId="3" fillId="0" borderId="1" xfId="0" applyNumberFormat="1" applyFont="1" applyBorder="1"/>
    <xf numFmtId="10" fontId="0" fillId="0" borderId="13" xfId="0" applyNumberFormat="1" applyBorder="1"/>
    <xf numFmtId="9" fontId="0" fillId="5" borderId="14" xfId="0" applyNumberFormat="1" applyFill="1" applyBorder="1" applyAlignment="1">
      <alignment horizontal="right"/>
    </xf>
    <xf numFmtId="10" fontId="0" fillId="6" borderId="16" xfId="0" applyNumberFormat="1" applyFill="1" applyBorder="1" applyAlignment="1">
      <alignment horizontal="center"/>
    </xf>
    <xf numFmtId="2" fontId="0" fillId="6" borderId="18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5" xfId="0" applyNumberFormat="1" applyBorder="1"/>
    <xf numFmtId="0" fontId="3" fillId="2" borderId="1" xfId="0" applyFont="1" applyFill="1" applyBorder="1" applyAlignment="1">
      <alignment horizontal="right"/>
    </xf>
    <xf numFmtId="3" fontId="3" fillId="2" borderId="1" xfId="0" applyNumberFormat="1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/>
    <xf numFmtId="9" fontId="0" fillId="0" borderId="23" xfId="0" applyNumberFormat="1" applyBorder="1"/>
    <xf numFmtId="9" fontId="0" fillId="0" borderId="22" xfId="0" applyNumberFormat="1" applyBorder="1"/>
    <xf numFmtId="2" fontId="0" fillId="0" borderId="0" xfId="0" applyNumberFormat="1"/>
    <xf numFmtId="0" fontId="0" fillId="0" borderId="21" xfId="0" applyBorder="1"/>
    <xf numFmtId="10" fontId="0" fillId="0" borderId="22" xfId="0" applyNumberFormat="1" applyBorder="1"/>
    <xf numFmtId="3" fontId="0" fillId="0" borderId="22" xfId="0" applyNumberFormat="1" applyBorder="1"/>
    <xf numFmtId="10" fontId="3" fillId="2" borderId="1" xfId="0" applyNumberFormat="1" applyFont="1" applyFill="1" applyBorder="1"/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/>
    <xf numFmtId="10" fontId="4" fillId="7" borderId="1" xfId="0" applyNumberFormat="1" applyFont="1" applyFill="1" applyBorder="1"/>
    <xf numFmtId="166" fontId="0" fillId="0" borderId="1" xfId="0" applyNumberFormat="1" applyBorder="1"/>
    <xf numFmtId="0" fontId="0" fillId="0" borderId="0" xfId="0" applyAlignment="1">
      <alignment horizontal="left"/>
    </xf>
    <xf numFmtId="10" fontId="4" fillId="0" borderId="1" xfId="0" applyNumberFormat="1" applyFont="1" applyBorder="1"/>
    <xf numFmtId="10" fontId="0" fillId="5" borderId="14" xfId="0" applyNumberFormat="1" applyFill="1" applyBorder="1" applyAlignment="1">
      <alignment horizontal="right"/>
    </xf>
    <xf numFmtId="3" fontId="4" fillId="7" borderId="1" xfId="0" applyNumberFormat="1" applyFont="1" applyFill="1" applyBorder="1"/>
    <xf numFmtId="10" fontId="0" fillId="8" borderId="1" xfId="0" applyNumberFormat="1" applyFill="1" applyBorder="1"/>
    <xf numFmtId="164" fontId="4" fillId="0" borderId="1" xfId="0" applyNumberFormat="1" applyFont="1" applyBorder="1"/>
    <xf numFmtId="0" fontId="6" fillId="0" borderId="0" xfId="1"/>
    <xf numFmtId="0" fontId="0" fillId="8" borderId="1" xfId="0" applyFill="1" applyBorder="1"/>
    <xf numFmtId="3" fontId="0" fillId="8" borderId="1" xfId="0" applyNumberFormat="1" applyFill="1" applyBorder="1"/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15" xfId="0" applyBorder="1" applyAlignment="1">
      <alignment horizontal="right"/>
    </xf>
    <xf numFmtId="3" fontId="0" fillId="0" borderId="16" xfId="0" applyNumberFormat="1" applyBorder="1" applyAlignment="1">
      <alignment horizontal="right"/>
    </xf>
    <xf numFmtId="0" fontId="0" fillId="0" borderId="27" xfId="0" applyBorder="1" applyAlignment="1">
      <alignment horizontal="right"/>
    </xf>
    <xf numFmtId="3" fontId="0" fillId="0" borderId="28" xfId="0" applyNumberFormat="1" applyBorder="1"/>
    <xf numFmtId="0" fontId="0" fillId="0" borderId="31" xfId="0" applyBorder="1" applyAlignment="1">
      <alignment horizontal="right"/>
    </xf>
    <xf numFmtId="3" fontId="0" fillId="0" borderId="32" xfId="0" applyNumberFormat="1" applyBorder="1"/>
    <xf numFmtId="0" fontId="0" fillId="0" borderId="27" xfId="0" applyBorder="1"/>
    <xf numFmtId="0" fontId="0" fillId="0" borderId="28" xfId="0" applyBorder="1"/>
    <xf numFmtId="0" fontId="0" fillId="0" borderId="17" xfId="0" applyBorder="1" applyAlignment="1">
      <alignment horizontal="right"/>
    </xf>
    <xf numFmtId="0" fontId="3" fillId="9" borderId="27" xfId="0" applyFont="1" applyFill="1" applyBorder="1" applyAlignment="1">
      <alignment horizontal="right"/>
    </xf>
    <xf numFmtId="3" fontId="3" fillId="9" borderId="28" xfId="0" applyNumberFormat="1" applyFont="1" applyFill="1" applyBorder="1"/>
    <xf numFmtId="0" fontId="0" fillId="9" borderId="27" xfId="0" applyFill="1" applyBorder="1" applyAlignment="1">
      <alignment horizontal="right"/>
    </xf>
    <xf numFmtId="3" fontId="0" fillId="9" borderId="28" xfId="0" applyNumberFormat="1" applyFill="1" applyBorder="1"/>
    <xf numFmtId="0" fontId="3" fillId="9" borderId="29" xfId="0" applyFont="1" applyFill="1" applyBorder="1" applyAlignment="1">
      <alignment horizontal="right"/>
    </xf>
    <xf numFmtId="3" fontId="3" fillId="9" borderId="30" xfId="0" applyNumberFormat="1" applyFont="1" applyFill="1" applyBorder="1"/>
    <xf numFmtId="38" fontId="0" fillId="0" borderId="0" xfId="0" applyNumberFormat="1"/>
    <xf numFmtId="0" fontId="3" fillId="0" borderId="15" xfId="0" applyFont="1" applyBorder="1"/>
    <xf numFmtId="10" fontId="0" fillId="0" borderId="19" xfId="0" applyNumberFormat="1" applyBorder="1"/>
    <xf numFmtId="3" fontId="0" fillId="0" borderId="26" xfId="0" applyNumberFormat="1" applyBorder="1"/>
    <xf numFmtId="3" fontId="4" fillId="0" borderId="0" xfId="0" applyNumberFormat="1" applyFont="1"/>
    <xf numFmtId="0" fontId="0" fillId="0" borderId="25" xfId="0" applyBorder="1"/>
    <xf numFmtId="0" fontId="0" fillId="0" borderId="16" xfId="0" applyBorder="1"/>
    <xf numFmtId="0" fontId="0" fillId="0" borderId="20" xfId="0" applyBorder="1"/>
    <xf numFmtId="0" fontId="3" fillId="0" borderId="19" xfId="0" applyFont="1" applyBorder="1"/>
    <xf numFmtId="0" fontId="0" fillId="0" borderId="18" xfId="0" applyBorder="1"/>
    <xf numFmtId="0" fontId="0" fillId="0" borderId="19" xfId="0" applyBorder="1" applyAlignment="1">
      <alignment horizontal="right"/>
    </xf>
    <xf numFmtId="10" fontId="3" fillId="0" borderId="0" xfId="0" applyNumberFormat="1" applyFont="1"/>
    <xf numFmtId="0" fontId="3" fillId="0" borderId="17" xfId="0" applyFont="1" applyBorder="1"/>
    <xf numFmtId="10" fontId="3" fillId="0" borderId="26" xfId="0" applyNumberFormat="1" applyFont="1" applyBorder="1"/>
    <xf numFmtId="0" fontId="0" fillId="0" borderId="26" xfId="0" applyBorder="1"/>
    <xf numFmtId="3" fontId="3" fillId="0" borderId="26" xfId="0" applyNumberFormat="1" applyFont="1" applyBorder="1"/>
    <xf numFmtId="9" fontId="0" fillId="5" borderId="0" xfId="0" applyNumberFormat="1" applyFill="1"/>
    <xf numFmtId="9" fontId="4" fillId="0" borderId="0" xfId="0" applyNumberFormat="1" applyFont="1"/>
    <xf numFmtId="0" fontId="4" fillId="0" borderId="0" xfId="0" applyFont="1"/>
    <xf numFmtId="10" fontId="0" fillId="10" borderId="0" xfId="0" applyNumberFormat="1" applyFill="1"/>
    <xf numFmtId="10" fontId="0" fillId="10" borderId="26" xfId="0" applyNumberFormat="1" applyFill="1" applyBorder="1"/>
    <xf numFmtId="4" fontId="0" fillId="10" borderId="25" xfId="0" applyNumberFormat="1" applyFill="1" applyBorder="1"/>
    <xf numFmtId="9" fontId="0" fillId="10" borderId="0" xfId="0" applyNumberFormat="1" applyFill="1"/>
    <xf numFmtId="3" fontId="3" fillId="0" borderId="18" xfId="0" applyNumberFormat="1" applyFont="1" applyBorder="1"/>
    <xf numFmtId="3" fontId="3" fillId="0" borderId="0" xfId="0" applyNumberFormat="1" applyFont="1"/>
    <xf numFmtId="3" fontId="3" fillId="0" borderId="20" xfId="0" applyNumberFormat="1" applyFont="1" applyBorder="1"/>
    <xf numFmtId="9" fontId="0" fillId="0" borderId="20" xfId="0" applyNumberFormat="1" applyBorder="1"/>
    <xf numFmtId="4" fontId="0" fillId="0" borderId="20" xfId="0" applyNumberFormat="1" applyBorder="1"/>
    <xf numFmtId="0" fontId="3" fillId="0" borderId="0" xfId="0" applyFont="1"/>
    <xf numFmtId="0" fontId="0" fillId="0" borderId="24" xfId="0" applyBorder="1"/>
    <xf numFmtId="3" fontId="0" fillId="0" borderId="24" xfId="0" applyNumberFormat="1" applyBorder="1"/>
    <xf numFmtId="2" fontId="0" fillId="0" borderId="24" xfId="0" applyNumberFormat="1" applyBorder="1"/>
    <xf numFmtId="0" fontId="0" fillId="0" borderId="13" xfId="0" applyBorder="1"/>
    <xf numFmtId="3" fontId="0" fillId="0" borderId="13" xfId="0" applyNumberFormat="1" applyBorder="1"/>
    <xf numFmtId="0" fontId="0" fillId="0" borderId="33" xfId="0" applyBorder="1"/>
    <xf numFmtId="3" fontId="0" fillId="11" borderId="1" xfId="0" applyNumberFormat="1" applyFill="1" applyBorder="1"/>
    <xf numFmtId="0" fontId="0" fillId="0" borderId="1" xfId="0" applyBorder="1" applyAlignment="1">
      <alignment horizontal="center" vertical="center"/>
    </xf>
    <xf numFmtId="44" fontId="0" fillId="0" borderId="41" xfId="4" applyFont="1" applyFill="1" applyBorder="1" applyProtection="1"/>
    <xf numFmtId="44" fontId="0" fillId="0" borderId="42" xfId="4" applyFont="1" applyFill="1" applyBorder="1" applyProtection="1"/>
    <xf numFmtId="0" fontId="9" fillId="0" borderId="41" xfId="0" applyFont="1" applyBorder="1"/>
    <xf numFmtId="44" fontId="0" fillId="0" borderId="0" xfId="4" applyFont="1" applyFill="1"/>
    <xf numFmtId="44" fontId="0" fillId="0" borderId="0" xfId="4" applyFont="1" applyFill="1" applyProtection="1"/>
    <xf numFmtId="0" fontId="9" fillId="0" borderId="41" xfId="0" applyFont="1" applyBorder="1" applyAlignment="1">
      <alignment wrapText="1"/>
    </xf>
    <xf numFmtId="44" fontId="0" fillId="0" borderId="57" xfId="4" applyFont="1" applyFill="1" applyBorder="1" applyProtection="1"/>
    <xf numFmtId="44" fontId="0" fillId="0" borderId="58" xfId="4" applyFont="1" applyFill="1" applyBorder="1" applyProtection="1"/>
    <xf numFmtId="0" fontId="10" fillId="0" borderId="41" xfId="0" applyFont="1" applyBorder="1"/>
    <xf numFmtId="0" fontId="9" fillId="0" borderId="49" xfId="0" applyFont="1" applyBorder="1"/>
    <xf numFmtId="3" fontId="3" fillId="0" borderId="41" xfId="0" applyNumberFormat="1" applyFont="1" applyBorder="1"/>
    <xf numFmtId="44" fontId="3" fillId="0" borderId="41" xfId="4" applyFont="1" applyFill="1" applyBorder="1" applyProtection="1"/>
    <xf numFmtId="44" fontId="3" fillId="0" borderId="42" xfId="4" applyFont="1" applyFill="1" applyBorder="1" applyProtection="1"/>
    <xf numFmtId="5" fontId="3" fillId="0" borderId="43" xfId="0" applyNumberFormat="1" applyFont="1" applyBorder="1"/>
    <xf numFmtId="44" fontId="0" fillId="0" borderId="40" xfId="4" applyFont="1" applyFill="1" applyBorder="1" applyProtection="1"/>
    <xf numFmtId="0" fontId="9" fillId="0" borderId="55" xfId="0" applyFont="1" applyBorder="1"/>
    <xf numFmtId="44" fontId="0" fillId="0" borderId="55" xfId="4" applyFont="1" applyFill="1" applyBorder="1" applyProtection="1"/>
    <xf numFmtId="3" fontId="9" fillId="0" borderId="49" xfId="0" applyNumberFormat="1" applyFont="1" applyBorder="1"/>
    <xf numFmtId="0" fontId="0" fillId="11" borderId="1" xfId="0" applyFill="1" applyBorder="1"/>
    <xf numFmtId="37" fontId="0" fillId="0" borderId="1" xfId="0" applyNumberFormat="1" applyBorder="1"/>
    <xf numFmtId="2" fontId="0" fillId="10" borderId="1" xfId="0" applyNumberFormat="1" applyFill="1" applyBorder="1"/>
    <xf numFmtId="2" fontId="0" fillId="10" borderId="24" xfId="0" applyNumberFormat="1" applyFill="1" applyBorder="1"/>
    <xf numFmtId="4" fontId="0" fillId="11" borderId="1" xfId="0" applyNumberFormat="1" applyFill="1" applyBorder="1"/>
    <xf numFmtId="0" fontId="10" fillId="0" borderId="34" xfId="0" applyFont="1" applyBorder="1"/>
    <xf numFmtId="0" fontId="10" fillId="0" borderId="35" xfId="0" applyFont="1" applyBorder="1"/>
    <xf numFmtId="3" fontId="10" fillId="0" borderId="36" xfId="0" applyNumberFormat="1" applyFont="1" applyBorder="1"/>
    <xf numFmtId="0" fontId="10" fillId="0" borderId="36" xfId="0" applyFont="1" applyBorder="1"/>
    <xf numFmtId="44" fontId="10" fillId="0" borderId="36" xfId="4" applyFont="1" applyFill="1" applyBorder="1" applyProtection="1"/>
    <xf numFmtId="44" fontId="10" fillId="0" borderId="37" xfId="4" applyFont="1" applyFill="1" applyBorder="1" applyProtection="1"/>
    <xf numFmtId="5" fontId="10" fillId="0" borderId="38" xfId="0" applyNumberFormat="1" applyFont="1" applyBorder="1"/>
    <xf numFmtId="0" fontId="10" fillId="0" borderId="39" xfId="0" applyFont="1" applyBorder="1"/>
    <xf numFmtId="0" fontId="10" fillId="0" borderId="40" xfId="0" applyFont="1" applyBorder="1" applyAlignment="1">
      <alignment horizontal="center"/>
    </xf>
    <xf numFmtId="3" fontId="10" fillId="0" borderId="41" xfId="0" applyNumberFormat="1" applyFont="1" applyBorder="1" applyAlignment="1">
      <alignment horizontal="center"/>
    </xf>
    <xf numFmtId="44" fontId="10" fillId="0" borderId="41" xfId="4" applyFont="1" applyFill="1" applyBorder="1" applyAlignment="1">
      <alignment horizontal="center"/>
    </xf>
    <xf numFmtId="44" fontId="10" fillId="0" borderId="42" xfId="4" applyFont="1" applyFill="1" applyBorder="1" applyAlignment="1">
      <alignment horizontal="center"/>
    </xf>
    <xf numFmtId="5" fontId="10" fillId="0" borderId="43" xfId="0" applyNumberFormat="1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3" fontId="10" fillId="0" borderId="46" xfId="0" applyNumberFormat="1" applyFont="1" applyBorder="1" applyAlignment="1">
      <alignment horizontal="center"/>
    </xf>
    <xf numFmtId="0" fontId="10" fillId="0" borderId="46" xfId="0" applyFont="1" applyBorder="1"/>
    <xf numFmtId="44" fontId="10" fillId="0" borderId="46" xfId="4" applyFont="1" applyFill="1" applyBorder="1" applyAlignment="1">
      <alignment horizontal="center"/>
    </xf>
    <xf numFmtId="44" fontId="10" fillId="0" borderId="47" xfId="4" applyFont="1" applyFill="1" applyBorder="1" applyAlignment="1">
      <alignment horizontal="center"/>
    </xf>
    <xf numFmtId="5" fontId="10" fillId="0" borderId="48" xfId="0" applyNumberFormat="1" applyFont="1" applyBorder="1" applyAlignment="1">
      <alignment horizontal="center"/>
    </xf>
    <xf numFmtId="0" fontId="10" fillId="0" borderId="49" xfId="0" quotePrefix="1" applyFont="1" applyBorder="1"/>
    <xf numFmtId="3" fontId="0" fillId="0" borderId="41" xfId="0" applyNumberFormat="1" applyBorder="1"/>
    <xf numFmtId="5" fontId="0" fillId="0" borderId="43" xfId="0" applyNumberFormat="1" applyBorder="1"/>
    <xf numFmtId="0" fontId="10" fillId="0" borderId="49" xfId="0" applyFont="1" applyBorder="1"/>
    <xf numFmtId="0" fontId="10" fillId="0" borderId="41" xfId="0" applyFont="1" applyBorder="1" applyAlignment="1">
      <alignment wrapText="1"/>
    </xf>
    <xf numFmtId="0" fontId="0" fillId="0" borderId="49" xfId="0" applyBorder="1"/>
    <xf numFmtId="0" fontId="0" fillId="0" borderId="41" xfId="0" applyBorder="1"/>
    <xf numFmtId="0" fontId="10" fillId="0" borderId="50" xfId="0" applyFont="1" applyBorder="1"/>
    <xf numFmtId="0" fontId="10" fillId="0" borderId="51" xfId="0" applyFont="1" applyBorder="1" applyAlignment="1">
      <alignment horizontal="right"/>
    </xf>
    <xf numFmtId="3" fontId="10" fillId="0" borderId="51" xfId="0" applyNumberFormat="1" applyFont="1" applyBorder="1"/>
    <xf numFmtId="0" fontId="10" fillId="0" borderId="51" xfId="0" applyFont="1" applyBorder="1"/>
    <xf numFmtId="44" fontId="10" fillId="0" borderId="51" xfId="4" applyFont="1" applyFill="1" applyBorder="1"/>
    <xf numFmtId="44" fontId="10" fillId="0" borderId="52" xfId="4" applyFont="1" applyFill="1" applyBorder="1"/>
    <xf numFmtId="5" fontId="10" fillId="0" borderId="53" xfId="0" applyNumberFormat="1" applyFont="1" applyBorder="1"/>
    <xf numFmtId="0" fontId="9" fillId="0" borderId="0" xfId="0" applyFont="1"/>
    <xf numFmtId="5" fontId="0" fillId="0" borderId="0" xfId="0" applyNumberFormat="1"/>
    <xf numFmtId="5" fontId="0" fillId="0" borderId="54" xfId="0" applyNumberFormat="1" applyBorder="1"/>
    <xf numFmtId="5" fontId="10" fillId="0" borderId="52" xfId="0" applyNumberFormat="1" applyFont="1" applyBorder="1"/>
    <xf numFmtId="3" fontId="9" fillId="0" borderId="0" xfId="0" applyNumberFormat="1" applyFont="1"/>
    <xf numFmtId="5" fontId="10" fillId="0" borderId="37" xfId="0" applyNumberFormat="1" applyFont="1" applyBorder="1"/>
    <xf numFmtId="5" fontId="10" fillId="0" borderId="42" xfId="0" applyNumberFormat="1" applyFont="1" applyBorder="1" applyAlignment="1">
      <alignment horizontal="center"/>
    </xf>
    <xf numFmtId="5" fontId="10" fillId="0" borderId="47" xfId="0" applyNumberFormat="1" applyFont="1" applyBorder="1" applyAlignment="1">
      <alignment horizontal="center"/>
    </xf>
    <xf numFmtId="5" fontId="0" fillId="0" borderId="42" xfId="0" applyNumberFormat="1" applyBorder="1"/>
    <xf numFmtId="0" fontId="9" fillId="0" borderId="56" xfId="0" applyFont="1" applyBorder="1"/>
    <xf numFmtId="0" fontId="9" fillId="0" borderId="57" xfId="0" applyFont="1" applyBorder="1"/>
    <xf numFmtId="3" fontId="0" fillId="0" borderId="57" xfId="0" applyNumberFormat="1" applyBorder="1"/>
    <xf numFmtId="5" fontId="0" fillId="0" borderId="59" xfId="0" applyNumberFormat="1" applyBorder="1"/>
    <xf numFmtId="5" fontId="0" fillId="0" borderId="58" xfId="0" applyNumberFormat="1" applyBorder="1"/>
    <xf numFmtId="0" fontId="9" fillId="0" borderId="49" xfId="0" quotePrefix="1" applyFont="1" applyBorder="1"/>
    <xf numFmtId="5" fontId="0" fillId="0" borderId="43" xfId="0" applyNumberFormat="1" applyBorder="1" applyAlignment="1">
      <alignment horizontal="right" vertical="center"/>
    </xf>
    <xf numFmtId="7" fontId="0" fillId="0" borderId="0" xfId="0" applyNumberFormat="1"/>
    <xf numFmtId="3" fontId="10" fillId="0" borderId="49" xfId="0" applyNumberFormat="1" applyFont="1" applyBorder="1"/>
    <xf numFmtId="44" fontId="0" fillId="0" borderId="0" xfId="0" applyNumberFormat="1"/>
    <xf numFmtId="0" fontId="9" fillId="0" borderId="42" xfId="0" applyFont="1" applyBorder="1"/>
    <xf numFmtId="5" fontId="0" fillId="0" borderId="0" xfId="0" applyNumberFormat="1" applyAlignment="1">
      <alignment horizontal="right" vertical="center"/>
    </xf>
    <xf numFmtId="168" fontId="0" fillId="0" borderId="0" xfId="0" applyNumberFormat="1"/>
    <xf numFmtId="37" fontId="0" fillId="0" borderId="43" xfId="0" applyNumberFormat="1" applyBorder="1"/>
    <xf numFmtId="5" fontId="0" fillId="0" borderId="60" xfId="0" applyNumberFormat="1" applyBorder="1"/>
    <xf numFmtId="5" fontId="0" fillId="0" borderId="61" xfId="0" applyNumberFormat="1" applyBorder="1"/>
    <xf numFmtId="0" fontId="0" fillId="12" borderId="1" xfId="0" applyFill="1" applyBorder="1"/>
    <xf numFmtId="3" fontId="0" fillId="12" borderId="1" xfId="0" applyNumberFormat="1" applyFill="1" applyBorder="1"/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63" xfId="0" applyBorder="1" applyAlignment="1">
      <alignment horizontal="right"/>
    </xf>
    <xf numFmtId="0" fontId="0" fillId="0" borderId="62" xfId="0" applyBorder="1" applyAlignment="1">
      <alignment horizontal="left"/>
    </xf>
    <xf numFmtId="3" fontId="0" fillId="3" borderId="1" xfId="0" applyNumberFormat="1" applyFill="1" applyBorder="1"/>
    <xf numFmtId="10" fontId="3" fillId="0" borderId="1" xfId="0" applyNumberFormat="1" applyFont="1" applyBorder="1"/>
    <xf numFmtId="3" fontId="4" fillId="0" borderId="1" xfId="0" applyNumberFormat="1" applyFont="1" applyBorder="1"/>
    <xf numFmtId="10" fontId="0" fillId="13" borderId="1" xfId="0" applyNumberFormat="1" applyFill="1" applyBorder="1"/>
    <xf numFmtId="0" fontId="0" fillId="0" borderId="2" xfId="0" applyBorder="1" applyAlignment="1">
      <alignment vertical="center"/>
    </xf>
    <xf numFmtId="3" fontId="0" fillId="14" borderId="1" xfId="0" applyNumberFormat="1" applyFill="1" applyBorder="1"/>
    <xf numFmtId="3" fontId="3" fillId="0" borderId="13" xfId="0" applyNumberFormat="1" applyFont="1" applyBorder="1"/>
    <xf numFmtId="166" fontId="0" fillId="0" borderId="0" xfId="0" applyNumberFormat="1"/>
    <xf numFmtId="3" fontId="0" fillId="0" borderId="55" xfId="0" applyNumberFormat="1" applyBorder="1"/>
    <xf numFmtId="0" fontId="0" fillId="0" borderId="1" xfId="0" applyBorder="1" applyAlignment="1">
      <alignment horizontal="left"/>
    </xf>
    <xf numFmtId="3" fontId="3" fillId="0" borderId="3" xfId="0" applyNumberFormat="1" applyFont="1" applyBorder="1"/>
    <xf numFmtId="0" fontId="3" fillId="0" borderId="13" xfId="0" applyFont="1" applyBorder="1" applyAlignment="1">
      <alignment horizontal="right"/>
    </xf>
    <xf numFmtId="169" fontId="0" fillId="0" borderId="1" xfId="0" applyNumberFormat="1" applyBorder="1"/>
    <xf numFmtId="0" fontId="11" fillId="0" borderId="0" xfId="0" applyFont="1"/>
    <xf numFmtId="0" fontId="12" fillId="0" borderId="0" xfId="0" applyFont="1"/>
    <xf numFmtId="10" fontId="11" fillId="0" borderId="0" xfId="0" applyNumberFormat="1" applyFont="1"/>
    <xf numFmtId="3" fontId="11" fillId="0" borderId="0" xfId="0" applyNumberFormat="1" applyFont="1"/>
    <xf numFmtId="0" fontId="1" fillId="0" borderId="41" xfId="0" applyFont="1" applyBorder="1"/>
    <xf numFmtId="170" fontId="0" fillId="0" borderId="1" xfId="4" applyNumberFormat="1" applyFont="1" applyBorder="1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43" fontId="0" fillId="0" borderId="0" xfId="5" applyFont="1"/>
  </cellXfs>
  <cellStyles count="6">
    <cellStyle name="Comma" xfId="5" builtinId="3"/>
    <cellStyle name="Currency" xfId="4" builtinId="4"/>
    <cellStyle name="Currency 4" xfId="3" xr:uid="{10520B95-8458-4AEE-99EF-B9C2AE914F4A}"/>
    <cellStyle name="Excel Built-in Normal 2" xfId="2" xr:uid="{03A262A4-EFAA-4085-BE9F-DC2F0990DA9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Profit via Construction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'83Units For Sale'!$Y$3</c:f>
              <c:strCache>
                <c:ptCount val="1"/>
                <c:pt idx="0">
                  <c:v>Base Case ($135/sf)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'83Units For Sale'!$Z$2:$AD$2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Sale'!$Z$3:$AD$3</c:f>
              <c:numCache>
                <c:formatCode>"$"#,##0</c:formatCode>
                <c:ptCount val="5"/>
                <c:pt idx="0">
                  <c:v>343400</c:v>
                </c:pt>
                <c:pt idx="1">
                  <c:v>282920</c:v>
                </c:pt>
                <c:pt idx="2">
                  <c:v>222440</c:v>
                </c:pt>
                <c:pt idx="3">
                  <c:v>161960</c:v>
                </c:pt>
                <c:pt idx="4">
                  <c:v>101480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48-49C2-9C55-8A1F799A0055}"/>
            </c:ext>
          </c:extLst>
        </c:ser>
        <c:ser>
          <c:idx val="1"/>
          <c:order val="1"/>
          <c:tx>
            <c:strRef>
              <c:f>'83Units For Sale'!$Y$4</c:f>
              <c:strCache>
                <c:ptCount val="1"/>
                <c:pt idx="0">
                  <c:v>Down Case ($130/sf)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748-49C2-9C55-8A1F799A00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'83Units For Sale'!$Z$2:$AD$2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Sale'!$Z$4:$AD$4</c:f>
              <c:numCache>
                <c:formatCode>"$"#,##0</c:formatCode>
                <c:ptCount val="5"/>
                <c:pt idx="0">
                  <c:v>271400</c:v>
                </c:pt>
                <c:pt idx="1">
                  <c:v>210920</c:v>
                </c:pt>
                <c:pt idx="2">
                  <c:v>150440</c:v>
                </c:pt>
                <c:pt idx="3">
                  <c:v>89960</c:v>
                </c:pt>
                <c:pt idx="4">
                  <c:v>29480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48-49C2-9C55-8A1F799A0055}"/>
            </c:ext>
          </c:extLst>
        </c:ser>
        <c:ser>
          <c:idx val="2"/>
          <c:order val="2"/>
          <c:tx>
            <c:strRef>
              <c:f>'83Units For Sale'!$Y$5</c:f>
              <c:strCache>
                <c:ptCount val="1"/>
                <c:pt idx="0">
                  <c:v>Up Case 1 ($140/sf)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'83Units For Sale'!$Z$2:$AD$2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Sale'!$Z$5:$AD$5</c:f>
              <c:numCache>
                <c:formatCode>"$"#,##0</c:formatCode>
                <c:ptCount val="5"/>
                <c:pt idx="0">
                  <c:v>415400</c:v>
                </c:pt>
                <c:pt idx="1">
                  <c:v>354920</c:v>
                </c:pt>
                <c:pt idx="2">
                  <c:v>294440</c:v>
                </c:pt>
                <c:pt idx="3">
                  <c:v>233960</c:v>
                </c:pt>
                <c:pt idx="4">
                  <c:v>173480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48-49C2-9C55-8A1F799A0055}"/>
            </c:ext>
          </c:extLst>
        </c:ser>
        <c:ser>
          <c:idx val="3"/>
          <c:order val="3"/>
          <c:tx>
            <c:strRef>
              <c:f>'83Units For Sale'!$Y$6</c:f>
              <c:strCache>
                <c:ptCount val="1"/>
                <c:pt idx="0">
                  <c:v>Up Case 2 ($145/sf)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748-49C2-9C55-8A1F799A00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'83Units For Sale'!$Z$2:$AD$2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Sale'!$Z$6:$AD$6</c:f>
              <c:numCache>
                <c:formatCode>"$"#,##0</c:formatCode>
                <c:ptCount val="5"/>
                <c:pt idx="0">
                  <c:v>487400</c:v>
                </c:pt>
                <c:pt idx="1">
                  <c:v>426920</c:v>
                </c:pt>
                <c:pt idx="2">
                  <c:v>366440</c:v>
                </c:pt>
                <c:pt idx="3">
                  <c:v>305960</c:v>
                </c:pt>
                <c:pt idx="4">
                  <c:v>245480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48-49C2-9C55-8A1F799A0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140424"/>
        <c:axId val="385146328"/>
      </c:scatterChart>
      <c:valAx>
        <c:axId val="385140424"/>
        <c:scaling>
          <c:orientation val="minMax"/>
          <c:min val="70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146328"/>
        <c:crosses val="autoZero"/>
        <c:crossBetween val="midCat"/>
      </c:valAx>
      <c:valAx>
        <c:axId val="385146328"/>
        <c:scaling>
          <c:orientation val="minMax"/>
        </c:scaling>
        <c:delete val="0"/>
        <c:axPos val="l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140424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Investor Return</a:t>
            </a:r>
            <a:r>
              <a:rPr lang="en-US" baseline="0">
                <a:solidFill>
                  <a:sysClr val="windowText" lastClr="000000"/>
                </a:solidFill>
              </a:rPr>
              <a:t> via Construction Cost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'83Units For Sale'!$Y$9</c:f>
              <c:strCache>
                <c:ptCount val="1"/>
                <c:pt idx="0">
                  <c:v>Base Case ($135/sf)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2B-4B35-850D-7A24B6BC39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'83Units For Sale'!$Z$8:$AD$8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Sale'!$Z$9:$AD$9</c:f>
              <c:numCache>
                <c:formatCode>0.00%</c:formatCode>
                <c:ptCount val="5"/>
                <c:pt idx="0">
                  <c:v>0.12872672747719605</c:v>
                </c:pt>
                <c:pt idx="1">
                  <c:v>0.1021937534616033</c:v>
                </c:pt>
                <c:pt idx="2">
                  <c:v>7.7525035432979394E-2</c:v>
                </c:pt>
                <c:pt idx="3">
                  <c:v>5.4530762496913653E-2</c:v>
                </c:pt>
                <c:pt idx="4">
                  <c:v>3.3046045633154594E-2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5E-46DA-B2E7-FCD80A8B15AD}"/>
            </c:ext>
          </c:extLst>
        </c:ser>
        <c:ser>
          <c:idx val="1"/>
          <c:order val="1"/>
          <c:tx>
            <c:strRef>
              <c:f>'83Units For Sale'!$Y$10</c:f>
              <c:strCache>
                <c:ptCount val="1"/>
                <c:pt idx="0">
                  <c:v>Down Case ($130/sf)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B2B-4B35-850D-7A24B6BC39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'83Units For Sale'!$Z$8:$AD$8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Sale'!$Z$10:$AD$10</c:f>
              <c:numCache>
                <c:formatCode>0.00%</c:formatCode>
                <c:ptCount val="5"/>
                <c:pt idx="0">
                  <c:v>0.10173684868174435</c:v>
                </c:pt>
                <c:pt idx="1">
                  <c:v>7.6186577407469841E-2</c:v>
                </c:pt>
                <c:pt idx="2">
                  <c:v>5.2431515602128304E-2</c:v>
                </c:pt>
                <c:pt idx="3">
                  <c:v>3.0288882404435367E-2</c:v>
                </c:pt>
                <c:pt idx="4">
                  <c:v>9.5998957948896079E-3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5E-46DA-B2E7-FCD80A8B15AD}"/>
            </c:ext>
          </c:extLst>
        </c:ser>
        <c:ser>
          <c:idx val="2"/>
          <c:order val="2"/>
          <c:tx>
            <c:strRef>
              <c:f>'83Units For Sale'!$Y$11</c:f>
              <c:strCache>
                <c:ptCount val="1"/>
                <c:pt idx="0">
                  <c:v>Up Case 1 ($140/sf)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'83Units For Sale'!$Z$8:$AD$8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Sale'!$Z$11:$AD$11</c:f>
              <c:numCache>
                <c:formatCode>0.00%</c:formatCode>
                <c:ptCount val="5"/>
                <c:pt idx="0">
                  <c:v>0.15571660627264775</c:v>
                </c:pt>
                <c:pt idx="1">
                  <c:v>0.12820092951573675</c:v>
                </c:pt>
                <c:pt idx="2">
                  <c:v>0.10261855526383049</c:v>
                </c:pt>
                <c:pt idx="3">
                  <c:v>7.8772642589391928E-2</c:v>
                </c:pt>
                <c:pt idx="4">
                  <c:v>5.6492195471419579E-2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5E-46DA-B2E7-FCD80A8B15AD}"/>
            </c:ext>
          </c:extLst>
        </c:ser>
        <c:ser>
          <c:idx val="3"/>
          <c:order val="3"/>
          <c:tx>
            <c:strRef>
              <c:f>'83Units For Sale'!$Y$12</c:f>
              <c:strCache>
                <c:ptCount val="1"/>
                <c:pt idx="0">
                  <c:v>Up Case 2 ($145/sf)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2B-4B35-850D-7A24B6BC39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'83Units For Sale'!$Z$8:$AD$8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Sale'!$Z$12:$AD$12</c:f>
              <c:numCache>
                <c:formatCode>0.00%</c:formatCode>
                <c:ptCount val="5"/>
                <c:pt idx="0">
                  <c:v>0.18270648506809947</c:v>
                </c:pt>
                <c:pt idx="1">
                  <c:v>0.15420810556987022</c:v>
                </c:pt>
                <c:pt idx="2">
                  <c:v>0.12771207509468158</c:v>
                </c:pt>
                <c:pt idx="3">
                  <c:v>0.10301452268187021</c:v>
                </c:pt>
                <c:pt idx="4">
                  <c:v>7.9938345309684564E-2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5E-46DA-B2E7-FCD80A8B1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35512"/>
        <c:axId val="686936496"/>
      </c:scatterChart>
      <c:valAx>
        <c:axId val="686935512"/>
        <c:scaling>
          <c:orientation val="minMax"/>
          <c:min val="70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936496"/>
        <c:crosses val="autoZero"/>
        <c:crossBetween val="midCat"/>
      </c:valAx>
      <c:valAx>
        <c:axId val="6869364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935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9525</xdr:rowOff>
    </xdr:from>
    <xdr:to>
      <xdr:col>4</xdr:col>
      <xdr:colOff>0</xdr:colOff>
      <xdr:row>5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D011975-EE1B-AD05-CF65-A26EEC181809}"/>
            </a:ext>
          </a:extLst>
        </xdr:cNvPr>
        <xdr:cNvCxnSpPr/>
      </xdr:nvCxnSpPr>
      <xdr:spPr>
        <a:xfrm flipV="1">
          <a:off x="2024063" y="552450"/>
          <a:ext cx="1338262" cy="52387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681038</xdr:colOff>
      <xdr:row>6</xdr:row>
      <xdr:rowOff>157163</xdr:rowOff>
    </xdr:from>
    <xdr:to>
      <xdr:col>3</xdr:col>
      <xdr:colOff>638175</xdr:colOff>
      <xdr:row>6</xdr:row>
      <xdr:rowOff>176213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5287C86-46D1-48B7-B320-850BA2932BF9}"/>
            </a:ext>
          </a:extLst>
        </xdr:cNvPr>
        <xdr:cNvCxnSpPr/>
      </xdr:nvCxnSpPr>
      <xdr:spPr>
        <a:xfrm flipV="1">
          <a:off x="2014538" y="1243013"/>
          <a:ext cx="1338262" cy="1905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4763</xdr:colOff>
      <xdr:row>3</xdr:row>
      <xdr:rowOff>176213</xdr:rowOff>
    </xdr:from>
    <xdr:to>
      <xdr:col>7</xdr:col>
      <xdr:colOff>4763</xdr:colOff>
      <xdr:row>4</xdr:row>
      <xdr:rowOff>171450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8F3948B-79E1-4EE1-90B5-501F751D3288}"/>
            </a:ext>
          </a:extLst>
        </xdr:cNvPr>
        <xdr:cNvCxnSpPr/>
      </xdr:nvCxnSpPr>
      <xdr:spPr>
        <a:xfrm flipV="1">
          <a:off x="5243513" y="719138"/>
          <a:ext cx="647700" cy="176212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642938</xdr:colOff>
      <xdr:row>6</xdr:row>
      <xdr:rowOff>4763</xdr:rowOff>
    </xdr:from>
    <xdr:to>
      <xdr:col>7</xdr:col>
      <xdr:colOff>14288</xdr:colOff>
      <xdr:row>10</xdr:row>
      <xdr:rowOff>4763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076BE1E-8807-4E6E-819E-2ADA376EBC26}"/>
            </a:ext>
          </a:extLst>
        </xdr:cNvPr>
        <xdr:cNvCxnSpPr/>
      </xdr:nvCxnSpPr>
      <xdr:spPr>
        <a:xfrm>
          <a:off x="5233988" y="1090613"/>
          <a:ext cx="666750" cy="72390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535779</xdr:colOff>
      <xdr:row>0</xdr:row>
      <xdr:rowOff>178594</xdr:rowOff>
    </xdr:from>
    <xdr:to>
      <xdr:col>29</xdr:col>
      <xdr:colOff>576262</xdr:colOff>
      <xdr:row>16</xdr:row>
      <xdr:rowOff>16669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31BFCA-BEB8-4CE1-9404-83A467950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230980</xdr:colOff>
      <xdr:row>1</xdr:row>
      <xdr:rowOff>4763</xdr:rowOff>
    </xdr:from>
    <xdr:to>
      <xdr:col>23</xdr:col>
      <xdr:colOff>269080</xdr:colOff>
      <xdr:row>16</xdr:row>
      <xdr:rowOff>33338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72353A-BBA4-47BA-B91B-031CBED92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rnernc.gov/home/showdocument?id=607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C580-E506-4E19-A2F8-6B35A1C84144}">
  <dimension ref="A1:B51"/>
  <sheetViews>
    <sheetView topLeftCell="A25" workbookViewId="0">
      <selection activeCell="B10" sqref="B10"/>
    </sheetView>
  </sheetViews>
  <sheetFormatPr baseColWidth="10" defaultColWidth="8.83203125" defaultRowHeight="15" x14ac:dyDescent="0.2"/>
  <cols>
    <col min="1" max="1" width="26.33203125" bestFit="1" customWidth="1"/>
    <col min="2" max="2" width="16.6640625" bestFit="1" customWidth="1"/>
  </cols>
  <sheetData>
    <row r="1" spans="1:2" x14ac:dyDescent="0.2">
      <c r="A1" s="1" t="s">
        <v>0</v>
      </c>
      <c r="B1" s="2"/>
    </row>
    <row r="2" spans="1:2" x14ac:dyDescent="0.2">
      <c r="A2" s="3" t="s">
        <v>1</v>
      </c>
      <c r="B2" s="4" t="s">
        <v>2</v>
      </c>
    </row>
    <row r="3" spans="1:2" x14ac:dyDescent="0.2">
      <c r="A3" s="3" t="s">
        <v>3</v>
      </c>
      <c r="B3" s="2">
        <v>10</v>
      </c>
    </row>
    <row r="4" spans="1:2" ht="16" thickBot="1" x14ac:dyDescent="0.25">
      <c r="A4" s="3" t="s">
        <v>4</v>
      </c>
      <c r="B4" s="2">
        <v>2500</v>
      </c>
    </row>
    <row r="5" spans="1:2" ht="16" thickBot="1" x14ac:dyDescent="0.25">
      <c r="A5" s="3" t="s">
        <v>5</v>
      </c>
      <c r="B5" s="65">
        <v>76</v>
      </c>
    </row>
    <row r="6" spans="1:2" x14ac:dyDescent="0.2">
      <c r="A6" s="3" t="s">
        <v>6</v>
      </c>
      <c r="B6" s="4">
        <v>150</v>
      </c>
    </row>
    <row r="8" spans="1:2" x14ac:dyDescent="0.2">
      <c r="A8" s="1" t="s">
        <v>7</v>
      </c>
    </row>
    <row r="9" spans="1:2" x14ac:dyDescent="0.2">
      <c r="A9" s="14" t="s">
        <v>8</v>
      </c>
      <c r="B9" s="52">
        <v>800000</v>
      </c>
    </row>
    <row r="10" spans="1:2" x14ac:dyDescent="0.2">
      <c r="A10" s="14" t="s">
        <v>9</v>
      </c>
      <c r="B10" s="52">
        <v>0</v>
      </c>
    </row>
    <row r="11" spans="1:2" x14ac:dyDescent="0.2">
      <c r="A11" s="76" t="s">
        <v>10</v>
      </c>
      <c r="B11" s="77">
        <f>B9+B10</f>
        <v>800000</v>
      </c>
    </row>
    <row r="12" spans="1:2" x14ac:dyDescent="0.2">
      <c r="B12" s="2"/>
    </row>
    <row r="13" spans="1:2" x14ac:dyDescent="0.2">
      <c r="B13" s="2"/>
    </row>
    <row r="14" spans="1:2" x14ac:dyDescent="0.2">
      <c r="A14" s="1" t="s">
        <v>11</v>
      </c>
      <c r="B14" s="2"/>
    </row>
    <row r="15" spans="1:2" x14ac:dyDescent="0.2">
      <c r="A15" s="14" t="s">
        <v>12</v>
      </c>
      <c r="B15" s="52">
        <f>B5*B4*B3</f>
        <v>1900000</v>
      </c>
    </row>
    <row r="16" spans="1:2" x14ac:dyDescent="0.2">
      <c r="A16" s="14" t="s">
        <v>13</v>
      </c>
      <c r="B16" s="52">
        <v>300000</v>
      </c>
    </row>
    <row r="17" spans="1:2" x14ac:dyDescent="0.2">
      <c r="A17" s="14" t="s">
        <v>14</v>
      </c>
      <c r="B17" s="52">
        <f>2000*B3</f>
        <v>20000</v>
      </c>
    </row>
    <row r="18" spans="1:2" x14ac:dyDescent="0.2">
      <c r="A18" s="14" t="s">
        <v>15</v>
      </c>
      <c r="B18" s="52">
        <f>5%*SUM(B15:B17)</f>
        <v>111000</v>
      </c>
    </row>
    <row r="19" spans="1:2" x14ac:dyDescent="0.2">
      <c r="A19" s="53" t="s">
        <v>16</v>
      </c>
      <c r="B19" s="55">
        <f>SUM(B15:B18)</f>
        <v>2331000</v>
      </c>
    </row>
    <row r="20" spans="1:2" x14ac:dyDescent="0.2">
      <c r="A20" s="14" t="s">
        <v>17</v>
      </c>
      <c r="B20" s="52">
        <f>5000*B3</f>
        <v>50000</v>
      </c>
    </row>
    <row r="21" spans="1:2" x14ac:dyDescent="0.2">
      <c r="A21" s="14" t="s">
        <v>18</v>
      </c>
      <c r="B21" s="52">
        <v>2000</v>
      </c>
    </row>
    <row r="22" spans="1:2" x14ac:dyDescent="0.2">
      <c r="A22" s="14" t="s">
        <v>19</v>
      </c>
      <c r="B22" s="52">
        <v>50000</v>
      </c>
    </row>
    <row r="23" spans="1:2" x14ac:dyDescent="0.2">
      <c r="A23" s="14" t="s">
        <v>20</v>
      </c>
      <c r="B23" s="52">
        <v>8000</v>
      </c>
    </row>
    <row r="24" spans="1:2" x14ac:dyDescent="0.2">
      <c r="A24" s="14" t="s">
        <v>21</v>
      </c>
      <c r="B24" s="52">
        <f>800*B3</f>
        <v>8000</v>
      </c>
    </row>
    <row r="25" spans="1:2" x14ac:dyDescent="0.2">
      <c r="A25" s="14" t="s">
        <v>22</v>
      </c>
      <c r="B25" s="52">
        <f>20000</f>
        <v>20000</v>
      </c>
    </row>
    <row r="26" spans="1:2" x14ac:dyDescent="0.2">
      <c r="A26" s="14" t="s">
        <v>23</v>
      </c>
      <c r="B26" s="52">
        <v>20000</v>
      </c>
    </row>
    <row r="27" spans="1:2" x14ac:dyDescent="0.2">
      <c r="A27" s="14" t="s">
        <v>24</v>
      </c>
      <c r="B27" s="52">
        <f>600*B3</f>
        <v>6000</v>
      </c>
    </row>
    <row r="28" spans="1:2" x14ac:dyDescent="0.2">
      <c r="A28" s="14" t="s">
        <v>25</v>
      </c>
      <c r="B28" s="52">
        <f>B38*0.05*0.9</f>
        <v>168750</v>
      </c>
    </row>
    <row r="29" spans="1:2" x14ac:dyDescent="0.2">
      <c r="A29" s="14" t="s">
        <v>26</v>
      </c>
      <c r="B29" s="52">
        <v>100000</v>
      </c>
    </row>
    <row r="30" spans="1:2" x14ac:dyDescent="0.2">
      <c r="A30" s="14" t="s">
        <v>27</v>
      </c>
      <c r="B30" s="52">
        <v>100000</v>
      </c>
    </row>
    <row r="31" spans="1:2" x14ac:dyDescent="0.2">
      <c r="A31" s="14" t="s">
        <v>15</v>
      </c>
      <c r="B31" s="52">
        <f>5%*SUM(B20:B30)</f>
        <v>26637.5</v>
      </c>
    </row>
    <row r="32" spans="1:2" x14ac:dyDescent="0.2">
      <c r="A32" s="53" t="s">
        <v>28</v>
      </c>
      <c r="B32" s="55">
        <f>SUM(B20:B31)</f>
        <v>559387.5</v>
      </c>
    </row>
    <row r="34" spans="1:2" x14ac:dyDescent="0.2">
      <c r="A34" s="76" t="s">
        <v>29</v>
      </c>
      <c r="B34" s="77">
        <f>B19+B32+B11</f>
        <v>3690387.5</v>
      </c>
    </row>
    <row r="37" spans="1:2" x14ac:dyDescent="0.2">
      <c r="A37" s="1" t="s">
        <v>30</v>
      </c>
    </row>
    <row r="38" spans="1:2" x14ac:dyDescent="0.2">
      <c r="A38" s="14" t="s">
        <v>31</v>
      </c>
      <c r="B38" s="52">
        <f>B3*B4*B6</f>
        <v>3750000</v>
      </c>
    </row>
    <row r="39" spans="1:2" x14ac:dyDescent="0.2">
      <c r="A39" s="76" t="s">
        <v>32</v>
      </c>
      <c r="B39" s="77">
        <f>B38</f>
        <v>3750000</v>
      </c>
    </row>
    <row r="41" spans="1:2" x14ac:dyDescent="0.2">
      <c r="A41" s="79" t="s">
        <v>33</v>
      </c>
      <c r="B41" s="69">
        <f>B39-B34</f>
        <v>59612.5</v>
      </c>
    </row>
    <row r="43" spans="1:2" x14ac:dyDescent="0.2">
      <c r="A43" s="14" t="s">
        <v>34</v>
      </c>
      <c r="B43" s="52">
        <f>B34-B28-B29</f>
        <v>3421637.5</v>
      </c>
    </row>
    <row r="44" spans="1:2" x14ac:dyDescent="0.2">
      <c r="A44" s="14"/>
      <c r="B44" s="52"/>
    </row>
    <row r="46" spans="1:2" x14ac:dyDescent="0.2">
      <c r="A46" s="80"/>
    </row>
    <row r="48" spans="1:2" x14ac:dyDescent="0.2">
      <c r="A48" s="80"/>
      <c r="B48" s="11"/>
    </row>
    <row r="49" spans="1:2" x14ac:dyDescent="0.2">
      <c r="A49" s="80"/>
      <c r="B49" s="11"/>
    </row>
    <row r="51" spans="1:2" x14ac:dyDescent="0.2">
      <c r="A51" s="80"/>
      <c r="B51" s="16"/>
    </row>
  </sheetData>
  <dataValidations count="1">
    <dataValidation type="list" allowBlank="1" showInputMessage="1" showErrorMessage="1" sqref="B5" xr:uid="{290B9522-D39B-497F-880F-A56365085D66}">
      <formula1>"72,74,76,78,80"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8B71-E396-4CA1-9384-ABE78FD8F3F9}">
  <dimension ref="A1:O61"/>
  <sheetViews>
    <sheetView topLeftCell="A25" workbookViewId="0">
      <selection activeCell="B45" sqref="B45"/>
    </sheetView>
  </sheetViews>
  <sheetFormatPr baseColWidth="10" defaultColWidth="8.83203125" defaultRowHeight="15" x14ac:dyDescent="0.2"/>
  <cols>
    <col min="1" max="1" width="26.33203125" bestFit="1" customWidth="1"/>
    <col min="2" max="2" width="16.6640625" bestFit="1" customWidth="1"/>
    <col min="3" max="3" width="14.33203125" bestFit="1" customWidth="1"/>
    <col min="4" max="13" width="13.6640625" customWidth="1"/>
  </cols>
  <sheetData>
    <row r="1" spans="1:8" x14ac:dyDescent="0.2">
      <c r="A1" s="1" t="s">
        <v>0</v>
      </c>
      <c r="B1" s="2"/>
    </row>
    <row r="2" spans="1:8" x14ac:dyDescent="0.2">
      <c r="A2" s="3" t="s">
        <v>1</v>
      </c>
      <c r="B2" s="4" t="s">
        <v>2</v>
      </c>
      <c r="D2" s="1" t="s">
        <v>35</v>
      </c>
    </row>
    <row r="3" spans="1:8" x14ac:dyDescent="0.2">
      <c r="A3" s="3" t="s">
        <v>3</v>
      </c>
      <c r="B3" s="2">
        <v>20</v>
      </c>
      <c r="D3" s="93">
        <f>K54</f>
        <v>5.6763333333333277E-2</v>
      </c>
      <c r="E3" s="5">
        <v>130</v>
      </c>
      <c r="F3" s="5">
        <v>140</v>
      </c>
      <c r="G3" s="5">
        <v>150</v>
      </c>
      <c r="H3" s="5">
        <v>160</v>
      </c>
    </row>
    <row r="4" spans="1:8" ht="16" thickBot="1" x14ac:dyDescent="0.25">
      <c r="A4" s="3" t="s">
        <v>4</v>
      </c>
      <c r="B4" s="2">
        <v>2000</v>
      </c>
      <c r="D4" s="5">
        <v>76</v>
      </c>
      <c r="E4" s="17">
        <f t="dataTable" ref="E4:H6" dt2D="1" dtr="1" r1="B6" r2="B5"/>
        <v>1.7708333333333215E-2</v>
      </c>
      <c r="F4" s="17">
        <v>3.0726666666666569E-2</v>
      </c>
      <c r="G4" s="17">
        <v>4.3744999999999923E-2</v>
      </c>
      <c r="H4" s="17">
        <v>5.6763333333333277E-2</v>
      </c>
    </row>
    <row r="5" spans="1:8" ht="16" thickBot="1" x14ac:dyDescent="0.25">
      <c r="A5" s="3" t="s">
        <v>5</v>
      </c>
      <c r="B5" s="65">
        <v>76</v>
      </c>
      <c r="D5" s="5">
        <v>80</v>
      </c>
      <c r="E5" s="17">
        <v>1.2108333333333388E-2</v>
      </c>
      <c r="F5" s="17">
        <v>2.5126666666666742E-2</v>
      </c>
      <c r="G5" s="17">
        <v>3.8145000000000095E-2</v>
      </c>
      <c r="H5" s="17">
        <v>5.1163333333333227E-2</v>
      </c>
    </row>
    <row r="6" spans="1:8" x14ac:dyDescent="0.2">
      <c r="A6" s="3" t="s">
        <v>6</v>
      </c>
      <c r="B6" s="4">
        <v>160</v>
      </c>
      <c r="D6" s="5">
        <v>84</v>
      </c>
      <c r="E6" s="17">
        <v>6.5083333333333382E-3</v>
      </c>
      <c r="F6" s="17">
        <v>1.9526666666666692E-2</v>
      </c>
      <c r="G6" s="17">
        <v>3.2545000000000046E-2</v>
      </c>
      <c r="H6" s="17">
        <v>4.55633333333334E-2</v>
      </c>
    </row>
    <row r="8" spans="1:8" x14ac:dyDescent="0.2">
      <c r="A8" s="1" t="s">
        <v>7</v>
      </c>
      <c r="D8" s="1" t="s">
        <v>36</v>
      </c>
    </row>
    <row r="9" spans="1:8" x14ac:dyDescent="0.2">
      <c r="A9" s="14" t="s">
        <v>8</v>
      </c>
      <c r="B9" s="52">
        <v>950000</v>
      </c>
      <c r="D9" s="93">
        <f>K55</f>
        <v>2.4361119806120435E-2</v>
      </c>
      <c r="E9" s="5">
        <v>130</v>
      </c>
      <c r="F9" s="5">
        <v>140</v>
      </c>
      <c r="G9" s="5">
        <v>150</v>
      </c>
      <c r="H9" s="5">
        <v>160</v>
      </c>
    </row>
    <row r="10" spans="1:8" x14ac:dyDescent="0.2">
      <c r="A10" s="14" t="s">
        <v>9</v>
      </c>
      <c r="B10" s="52">
        <v>0</v>
      </c>
      <c r="D10" s="5">
        <v>76</v>
      </c>
      <c r="E10" s="17">
        <f t="dataTable" ref="E10:H12" dt2D="1" dtr="1" r1="B6" r2="B5" ca="1"/>
        <v>-1.5283618991404069E-3</v>
      </c>
      <c r="F10" s="17">
        <v>7.1383870842978148E-3</v>
      </c>
      <c r="G10" s="17">
        <v>1.5768004896995702E-2</v>
      </c>
      <c r="H10" s="17">
        <v>2.4361119806120435E-2</v>
      </c>
    </row>
    <row r="11" spans="1:8" x14ac:dyDescent="0.2">
      <c r="A11" s="76" t="s">
        <v>10</v>
      </c>
      <c r="B11" s="77">
        <f>B9+B10</f>
        <v>950000</v>
      </c>
      <c r="D11" s="5">
        <v>80</v>
      </c>
      <c r="E11" s="17">
        <v>-5.2680553165991295E-3</v>
      </c>
      <c r="F11" s="17">
        <v>3.4148641106723776E-3</v>
      </c>
      <c r="G11" s="17">
        <v>1.2060376261434191E-2</v>
      </c>
      <c r="H11" s="17">
        <v>2.0669117548876903E-2</v>
      </c>
    </row>
    <row r="12" spans="1:8" x14ac:dyDescent="0.2">
      <c r="B12" s="2"/>
      <c r="D12" s="5">
        <v>84</v>
      </c>
      <c r="E12" s="17">
        <v>-9.0147916904208536E-3</v>
      </c>
      <c r="F12" s="17">
        <v>-3.1558045462110051E-4</v>
      </c>
      <c r="G12" s="17">
        <v>8.3459437857063001E-3</v>
      </c>
      <c r="H12" s="17">
        <v>1.697042574151153E-2</v>
      </c>
    </row>
    <row r="13" spans="1:8" x14ac:dyDescent="0.2">
      <c r="B13" s="2"/>
    </row>
    <row r="14" spans="1:8" x14ac:dyDescent="0.2">
      <c r="A14" s="1" t="s">
        <v>11</v>
      </c>
      <c r="B14" s="2"/>
      <c r="D14" s="1" t="s">
        <v>37</v>
      </c>
    </row>
    <row r="15" spans="1:8" x14ac:dyDescent="0.2">
      <c r="A15" s="14" t="s">
        <v>12</v>
      </c>
      <c r="B15" s="52">
        <f>B5*B4*B3</f>
        <v>3040000</v>
      </c>
      <c r="D15" s="93">
        <f>M54</f>
        <v>-487970</v>
      </c>
      <c r="E15" s="5">
        <v>130</v>
      </c>
      <c r="F15" s="5">
        <v>140</v>
      </c>
      <c r="G15" s="5">
        <v>150</v>
      </c>
      <c r="H15" s="5">
        <v>160</v>
      </c>
    </row>
    <row r="16" spans="1:8" x14ac:dyDescent="0.2">
      <c r="A16" s="14" t="s">
        <v>38</v>
      </c>
      <c r="B16" s="52">
        <f>100*5000</f>
        <v>500000</v>
      </c>
      <c r="D16" s="5">
        <v>76</v>
      </c>
      <c r="E16" s="52">
        <f t="dataTable" ref="E16:H18" dt2D="1" dtr="1" r1="B6" r2="B5" ca="1"/>
        <v>-1308125</v>
      </c>
      <c r="F16" s="52">
        <v>-1034740</v>
      </c>
      <c r="G16" s="52">
        <v>-761355</v>
      </c>
      <c r="H16" s="52">
        <v>-487970</v>
      </c>
    </row>
    <row r="17" spans="1:8" x14ac:dyDescent="0.2">
      <c r="A17" s="14" t="s">
        <v>13</v>
      </c>
      <c r="B17" s="52">
        <v>300000</v>
      </c>
      <c r="D17" s="5">
        <v>80</v>
      </c>
      <c r="E17" s="52">
        <v>-1425725</v>
      </c>
      <c r="F17" s="52">
        <v>-1152340</v>
      </c>
      <c r="G17" s="52">
        <v>-878955</v>
      </c>
      <c r="H17" s="52">
        <v>-605570</v>
      </c>
    </row>
    <row r="18" spans="1:8" x14ac:dyDescent="0.2">
      <c r="A18" s="14" t="s">
        <v>14</v>
      </c>
      <c r="B18" s="52">
        <f>2000*B3</f>
        <v>40000</v>
      </c>
      <c r="D18" s="5">
        <v>84</v>
      </c>
      <c r="E18" s="52">
        <v>-1543325</v>
      </c>
      <c r="F18" s="52">
        <v>-1269940</v>
      </c>
      <c r="G18" s="52">
        <v>-996555</v>
      </c>
      <c r="H18" s="52">
        <v>-723170</v>
      </c>
    </row>
    <row r="19" spans="1:8" x14ac:dyDescent="0.2">
      <c r="A19" s="14" t="s">
        <v>15</v>
      </c>
      <c r="B19" s="52">
        <f>5%*SUM(B15:B18)</f>
        <v>194000</v>
      </c>
    </row>
    <row r="20" spans="1:8" x14ac:dyDescent="0.2">
      <c r="A20" s="53" t="s">
        <v>16</v>
      </c>
      <c r="B20" s="55">
        <f>SUM(B15:B19)</f>
        <v>4074000</v>
      </c>
    </row>
    <row r="21" spans="1:8" x14ac:dyDescent="0.2">
      <c r="A21" s="14" t="s">
        <v>17</v>
      </c>
      <c r="B21" s="52">
        <v>400000</v>
      </c>
    </row>
    <row r="22" spans="1:8" x14ac:dyDescent="0.2">
      <c r="A22" s="14" t="s">
        <v>18</v>
      </c>
      <c r="B22" s="52">
        <v>2000</v>
      </c>
    </row>
    <row r="23" spans="1:8" x14ac:dyDescent="0.2">
      <c r="A23" s="14" t="s">
        <v>19</v>
      </c>
      <c r="B23" s="52">
        <v>100000</v>
      </c>
    </row>
    <row r="24" spans="1:8" x14ac:dyDescent="0.2">
      <c r="A24" s="14" t="s">
        <v>20</v>
      </c>
      <c r="B24" s="52">
        <v>8000</v>
      </c>
    </row>
    <row r="25" spans="1:8" x14ac:dyDescent="0.2">
      <c r="A25" s="14" t="s">
        <v>21</v>
      </c>
      <c r="B25" s="52">
        <f>800*B3</f>
        <v>16000</v>
      </c>
    </row>
    <row r="26" spans="1:8" x14ac:dyDescent="0.2">
      <c r="A26" s="14" t="s">
        <v>22</v>
      </c>
      <c r="B26" s="52">
        <v>50000</v>
      </c>
    </row>
    <row r="27" spans="1:8" x14ac:dyDescent="0.2">
      <c r="A27" s="14" t="s">
        <v>23</v>
      </c>
      <c r="B27" s="52">
        <v>20000</v>
      </c>
    </row>
    <row r="28" spans="1:8" x14ac:dyDescent="0.2">
      <c r="A28" s="14" t="s">
        <v>24</v>
      </c>
      <c r="B28" s="52">
        <f>600*B3</f>
        <v>12000</v>
      </c>
    </row>
    <row r="29" spans="1:8" x14ac:dyDescent="0.2">
      <c r="A29" s="14" t="s">
        <v>25</v>
      </c>
      <c r="B29" s="52">
        <f>B39*0.025*0.9+50000</f>
        <v>194000</v>
      </c>
    </row>
    <row r="30" spans="1:8" x14ac:dyDescent="0.2">
      <c r="A30" s="14" t="s">
        <v>26</v>
      </c>
      <c r="B30" s="52">
        <v>300000</v>
      </c>
    </row>
    <row r="31" spans="1:8" x14ac:dyDescent="0.2">
      <c r="A31" s="14" t="s">
        <v>27</v>
      </c>
      <c r="B31" s="52">
        <v>200000</v>
      </c>
    </row>
    <row r="32" spans="1:8" x14ac:dyDescent="0.2">
      <c r="A32" s="14" t="s">
        <v>15</v>
      </c>
      <c r="B32" s="52">
        <f>5%*SUM(B21:B31)</f>
        <v>65100</v>
      </c>
    </row>
    <row r="33" spans="1:2" x14ac:dyDescent="0.2">
      <c r="A33" s="53" t="s">
        <v>28</v>
      </c>
      <c r="B33" s="55">
        <f>SUM(B21:B32)</f>
        <v>1367100</v>
      </c>
    </row>
    <row r="35" spans="1:2" x14ac:dyDescent="0.2">
      <c r="A35" s="76" t="s">
        <v>39</v>
      </c>
      <c r="B35" s="77">
        <f>B20+B33+B11</f>
        <v>6391100</v>
      </c>
    </row>
    <row r="38" spans="1:2" x14ac:dyDescent="0.2">
      <c r="A38" s="1" t="s">
        <v>30</v>
      </c>
    </row>
    <row r="39" spans="1:2" x14ac:dyDescent="0.2">
      <c r="A39" s="14" t="s">
        <v>31</v>
      </c>
      <c r="B39" s="52">
        <f>B3*B4*B6</f>
        <v>6400000</v>
      </c>
    </row>
    <row r="40" spans="1:2" x14ac:dyDescent="0.2">
      <c r="A40" s="76" t="s">
        <v>32</v>
      </c>
      <c r="B40" s="77">
        <f>B39</f>
        <v>6400000</v>
      </c>
    </row>
    <row r="42" spans="1:2" x14ac:dyDescent="0.2">
      <c r="A42" s="79" t="s">
        <v>33</v>
      </c>
      <c r="B42" s="69">
        <f>B40-B35</f>
        <v>8900</v>
      </c>
    </row>
    <row r="44" spans="1:2" x14ac:dyDescent="0.2">
      <c r="A44" s="14" t="s">
        <v>40</v>
      </c>
      <c r="B44" s="52">
        <f>B35-B29-B30</f>
        <v>5897100</v>
      </c>
    </row>
    <row r="45" spans="1:2" x14ac:dyDescent="0.2">
      <c r="A45" s="14" t="s">
        <v>41</v>
      </c>
      <c r="B45" s="52">
        <f>B44-1000000</f>
        <v>4897100</v>
      </c>
    </row>
    <row r="47" spans="1:2" x14ac:dyDescent="0.2">
      <c r="A47" s="79" t="s">
        <v>42</v>
      </c>
      <c r="B47" s="69">
        <v>9000000</v>
      </c>
    </row>
    <row r="49" spans="1:15" x14ac:dyDescent="0.2">
      <c r="A49" s="8" t="s">
        <v>43</v>
      </c>
      <c r="B49" s="11"/>
    </row>
    <row r="50" spans="1:15" x14ac:dyDescent="0.2">
      <c r="A50" s="76" t="s">
        <v>44</v>
      </c>
      <c r="B50" s="88">
        <f>B42/B47</f>
        <v>9.8888888888888898E-4</v>
      </c>
    </row>
    <row r="52" spans="1:15" x14ac:dyDescent="0.2">
      <c r="A52" s="80"/>
      <c r="B52" s="16"/>
    </row>
    <row r="53" spans="1:15" ht="48" x14ac:dyDescent="0.2">
      <c r="A53" s="89"/>
      <c r="B53" s="90" t="s">
        <v>45</v>
      </c>
      <c r="C53" s="91" t="s">
        <v>46</v>
      </c>
      <c r="D53" s="91" t="s">
        <v>47</v>
      </c>
      <c r="E53" s="91" t="s">
        <v>48</v>
      </c>
      <c r="F53" s="91" t="s">
        <v>49</v>
      </c>
      <c r="G53" s="91" t="s">
        <v>33</v>
      </c>
      <c r="H53" s="91" t="s">
        <v>50</v>
      </c>
      <c r="I53" s="91" t="s">
        <v>51</v>
      </c>
      <c r="J53" s="91" t="s">
        <v>52</v>
      </c>
      <c r="K53" s="91" t="s">
        <v>53</v>
      </c>
      <c r="L53" s="91" t="s">
        <v>54</v>
      </c>
      <c r="M53" s="91" t="s">
        <v>37</v>
      </c>
      <c r="N53" s="91" t="s">
        <v>55</v>
      </c>
      <c r="O53" s="91" t="s">
        <v>56</v>
      </c>
    </row>
    <row r="54" spans="1:15" x14ac:dyDescent="0.2">
      <c r="A54" s="5" t="s">
        <v>57</v>
      </c>
      <c r="B54" s="52">
        <f>B47-B55</f>
        <v>8300000</v>
      </c>
      <c r="C54" s="17">
        <f>B54/B47</f>
        <v>0.92222222222222228</v>
      </c>
      <c r="D54" s="94">
        <v>0.08</v>
      </c>
      <c r="E54" s="52">
        <f>B54*D54*L54</f>
        <v>664000</v>
      </c>
      <c r="F54" s="266">
        <f>B42-E54-E55</f>
        <v>-697100</v>
      </c>
      <c r="G54" s="52">
        <f>F54*C54</f>
        <v>-642881.11111111112</v>
      </c>
      <c r="H54" s="92">
        <v>0.7</v>
      </c>
      <c r="I54" s="52">
        <f>E54+G54*(1-H54)</f>
        <v>471135.66666666663</v>
      </c>
      <c r="J54" s="17">
        <f>I54/B54</f>
        <v>5.6763333333333325E-2</v>
      </c>
      <c r="K54" s="17">
        <f>(1+J54)^(1/L54)-1</f>
        <v>5.6763333333333277E-2</v>
      </c>
      <c r="L54" s="56">
        <v>1</v>
      </c>
      <c r="M54" s="266">
        <f>SUMPRODUCT(G54:G55,H54:H55)</f>
        <v>-487970</v>
      </c>
      <c r="N54" s="5">
        <v>8</v>
      </c>
      <c r="O54" s="7">
        <v>20000</v>
      </c>
    </row>
    <row r="55" spans="1:15" x14ac:dyDescent="0.2">
      <c r="A55" s="5" t="s">
        <v>58</v>
      </c>
      <c r="B55" s="52">
        <v>700000</v>
      </c>
      <c r="C55" s="17">
        <f>B55/B47</f>
        <v>7.7777777777777779E-2</v>
      </c>
      <c r="D55" s="94">
        <v>0.04</v>
      </c>
      <c r="E55" s="52">
        <f>B55*D55*L55</f>
        <v>42000</v>
      </c>
      <c r="F55" s="267"/>
      <c r="G55" s="52">
        <f>F54*C55</f>
        <v>-54218.888888888891</v>
      </c>
      <c r="H55" s="92">
        <v>0.7</v>
      </c>
      <c r="I55" s="52">
        <f>E55+G55*(1-H55)</f>
        <v>25734.333333333328</v>
      </c>
      <c r="J55" s="17">
        <f>I55/B55</f>
        <v>3.6763333333333328E-2</v>
      </c>
      <c r="K55" s="17">
        <f t="shared" ref="K55" si="0">(1+J55)^(1/L55)-1</f>
        <v>2.4361119806120435E-2</v>
      </c>
      <c r="L55" s="56">
        <v>1.5</v>
      </c>
      <c r="M55" s="266"/>
      <c r="N55" s="5">
        <v>35</v>
      </c>
      <c r="O55" s="7">
        <v>20000</v>
      </c>
    </row>
    <row r="61" spans="1:15" x14ac:dyDescent="0.2">
      <c r="K61">
        <f>5000*35</f>
        <v>175000</v>
      </c>
    </row>
  </sheetData>
  <mergeCells count="2">
    <mergeCell ref="F54:F55"/>
    <mergeCell ref="M54:M55"/>
  </mergeCells>
  <dataValidations count="1">
    <dataValidation type="list" allowBlank="1" showInputMessage="1" showErrorMessage="1" sqref="B5" xr:uid="{D2DA3C8B-5977-4E66-830A-F5224FD16374}">
      <formula1>"72,74,76,78,80"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487E-9A4A-4657-B07D-018A73D1F511}">
  <dimension ref="A1:O60"/>
  <sheetViews>
    <sheetView topLeftCell="A25" workbookViewId="0">
      <selection activeCell="B44" sqref="B44"/>
    </sheetView>
  </sheetViews>
  <sheetFormatPr baseColWidth="10" defaultColWidth="8.83203125" defaultRowHeight="15" x14ac:dyDescent="0.2"/>
  <cols>
    <col min="1" max="1" width="26.33203125" bestFit="1" customWidth="1"/>
    <col min="2" max="2" width="16.6640625" bestFit="1" customWidth="1"/>
    <col min="3" max="3" width="14.33203125" bestFit="1" customWidth="1"/>
    <col min="4" max="13" width="13.6640625" customWidth="1"/>
  </cols>
  <sheetData>
    <row r="1" spans="1:10" x14ac:dyDescent="0.2">
      <c r="A1" s="1" t="s">
        <v>0</v>
      </c>
      <c r="B1" s="2"/>
    </row>
    <row r="2" spans="1:10" x14ac:dyDescent="0.2">
      <c r="A2" s="3" t="s">
        <v>1</v>
      </c>
      <c r="B2" s="4" t="s">
        <v>2</v>
      </c>
      <c r="D2" s="1" t="s">
        <v>35</v>
      </c>
    </row>
    <row r="3" spans="1:10" x14ac:dyDescent="0.2">
      <c r="A3" s="3" t="s">
        <v>3</v>
      </c>
      <c r="B3" s="2">
        <v>11</v>
      </c>
      <c r="C3">
        <f>5.24/B3</f>
        <v>0.47636363636363638</v>
      </c>
      <c r="D3" s="93">
        <f>K53</f>
        <v>3.751216666666668E-2</v>
      </c>
      <c r="E3" s="5">
        <v>135</v>
      </c>
      <c r="F3" s="5">
        <v>140</v>
      </c>
      <c r="G3" s="5">
        <v>145</v>
      </c>
      <c r="H3" s="5">
        <v>150</v>
      </c>
      <c r="I3" s="5">
        <v>155</v>
      </c>
      <c r="J3" s="5">
        <v>160</v>
      </c>
    </row>
    <row r="4" spans="1:10" ht="16" thickBot="1" x14ac:dyDescent="0.25">
      <c r="A4" s="3" t="s">
        <v>4</v>
      </c>
      <c r="B4" s="2">
        <v>2800</v>
      </c>
      <c r="D4" s="5">
        <v>80</v>
      </c>
      <c r="E4" s="17">
        <f t="dataTable" ref="E4:J6" dt2D="1" dtr="1" r1="B6" r2="B5" ca="1"/>
        <v>7.4398166666667098E-3</v>
      </c>
      <c r="F4" s="17">
        <v>1.7463933333333292E-2</v>
      </c>
      <c r="G4" s="17">
        <v>2.7488050000000097E-2</v>
      </c>
      <c r="H4" s="17">
        <v>3.751216666666668E-2</v>
      </c>
      <c r="I4" s="17">
        <v>4.7536283333333262E-2</v>
      </c>
      <c r="J4" s="17">
        <v>5.7560400000000067E-2</v>
      </c>
    </row>
    <row r="5" spans="1:10" ht="16" thickBot="1" x14ac:dyDescent="0.25">
      <c r="A5" s="3" t="s">
        <v>5</v>
      </c>
      <c r="B5" s="65">
        <v>80</v>
      </c>
      <c r="D5" s="5">
        <v>85</v>
      </c>
      <c r="E5" s="17">
        <v>-2.8268500000000474E-3</v>
      </c>
      <c r="F5" s="17">
        <v>7.1972666666666463E-3</v>
      </c>
      <c r="G5" s="17">
        <v>1.7221383333333229E-2</v>
      </c>
      <c r="H5" s="17">
        <v>2.7245500000000034E-2</v>
      </c>
      <c r="I5" s="17">
        <v>3.7269616666666616E-2</v>
      </c>
      <c r="J5" s="17">
        <v>4.7293733333333421E-2</v>
      </c>
    </row>
    <row r="6" spans="1:10" x14ac:dyDescent="0.2">
      <c r="A6" s="3" t="s">
        <v>6</v>
      </c>
      <c r="B6" s="4">
        <v>150</v>
      </c>
      <c r="D6" s="5">
        <v>90</v>
      </c>
      <c r="E6" s="17">
        <v>-1.3093516666666694E-2</v>
      </c>
      <c r="F6" s="17">
        <v>-3.0693999999999999E-3</v>
      </c>
      <c r="G6" s="17">
        <v>6.9547166666665827E-3</v>
      </c>
      <c r="H6" s="17">
        <v>1.6978833333333387E-2</v>
      </c>
      <c r="I6" s="17">
        <v>2.700294999999997E-2</v>
      </c>
      <c r="J6" s="17">
        <v>3.7027066666666553E-2</v>
      </c>
    </row>
    <row r="8" spans="1:10" x14ac:dyDescent="0.2">
      <c r="A8" s="1" t="s">
        <v>7</v>
      </c>
      <c r="D8" s="1" t="s">
        <v>36</v>
      </c>
    </row>
    <row r="9" spans="1:10" x14ac:dyDescent="0.2">
      <c r="A9" s="14" t="s">
        <v>8</v>
      </c>
      <c r="B9" s="52">
        <v>950000</v>
      </c>
      <c r="D9" s="93">
        <f>K54</f>
        <v>1.1640965203592923E-2</v>
      </c>
      <c r="E9" s="5">
        <v>135</v>
      </c>
      <c r="F9" s="5">
        <v>140</v>
      </c>
      <c r="G9" s="5">
        <v>145</v>
      </c>
      <c r="H9" s="5">
        <v>150</v>
      </c>
      <c r="I9" s="5">
        <v>155</v>
      </c>
      <c r="J9" s="5">
        <v>160</v>
      </c>
    </row>
    <row r="10" spans="1:10" x14ac:dyDescent="0.2">
      <c r="A10" s="14" t="s">
        <v>9</v>
      </c>
      <c r="B10" s="52">
        <v>0</v>
      </c>
      <c r="D10" s="5">
        <v>80</v>
      </c>
      <c r="E10" s="17">
        <f t="dataTable" ref="E10:J12" dt2D="1" dtr="1" r1="B6" r2="B5"/>
        <v>-8.3910828184953212E-3</v>
      </c>
      <c r="F10" s="17">
        <v>-1.6914265438041642E-3</v>
      </c>
      <c r="G10" s="17">
        <v>4.9858238779250108E-3</v>
      </c>
      <c r="H10" s="17">
        <v>1.1640965203592923E-2</v>
      </c>
      <c r="I10" s="17">
        <v>1.827428737940795E-2</v>
      </c>
      <c r="J10" s="17">
        <v>2.4886073762010463E-2</v>
      </c>
    </row>
    <row r="11" spans="1:10" x14ac:dyDescent="0.2">
      <c r="A11" s="76" t="s">
        <v>10</v>
      </c>
      <c r="B11" s="77">
        <f>B9+B10</f>
        <v>950000</v>
      </c>
      <c r="D11" s="5">
        <v>85</v>
      </c>
      <c r="E11" s="17">
        <v>-1.5276391433941439E-2</v>
      </c>
      <c r="F11" s="17">
        <v>-8.5534721856648233E-3</v>
      </c>
      <c r="G11" s="17">
        <v>-1.8532700289648485E-3</v>
      </c>
      <c r="H11" s="17">
        <v>4.8245190079501121E-3</v>
      </c>
      <c r="I11" s="17">
        <v>1.1480191849597032E-2</v>
      </c>
      <c r="J11" s="17">
        <v>1.8114038604331473E-2</v>
      </c>
    </row>
    <row r="12" spans="1:10" x14ac:dyDescent="0.2">
      <c r="B12" s="2"/>
      <c r="D12" s="5">
        <v>90</v>
      </c>
      <c r="E12" s="17">
        <v>-2.2185856334055121E-2</v>
      </c>
      <c r="F12" s="17">
        <v>-1.5439347605488596E-2</v>
      </c>
      <c r="G12" s="17">
        <v>-8.7158748528286534E-3</v>
      </c>
      <c r="H12" s="17">
        <v>-2.0151266361629894E-3</v>
      </c>
      <c r="I12" s="17">
        <v>4.6632011897689285E-3</v>
      </c>
      <c r="J12" s="17">
        <v>1.131940571723633E-2</v>
      </c>
    </row>
    <row r="13" spans="1:10" x14ac:dyDescent="0.2">
      <c r="B13" s="2"/>
    </row>
    <row r="14" spans="1:10" x14ac:dyDescent="0.2">
      <c r="A14" s="1" t="s">
        <v>11</v>
      </c>
      <c r="B14" s="2"/>
      <c r="D14" s="1" t="s">
        <v>37</v>
      </c>
    </row>
    <row r="15" spans="1:10" x14ac:dyDescent="0.2">
      <c r="A15" s="14" t="s">
        <v>12</v>
      </c>
      <c r="B15" s="52">
        <f>B5*B4*B3</f>
        <v>2464000</v>
      </c>
      <c r="D15" s="93">
        <f>M53</f>
        <v>-382390.49999999994</v>
      </c>
      <c r="E15" s="5">
        <v>135</v>
      </c>
      <c r="F15" s="5">
        <v>140</v>
      </c>
      <c r="G15" s="5">
        <v>145</v>
      </c>
      <c r="H15" s="5">
        <v>150</v>
      </c>
      <c r="I15" s="5">
        <v>155</v>
      </c>
      <c r="J15" s="5">
        <v>160</v>
      </c>
    </row>
    <row r="16" spans="1:10" x14ac:dyDescent="0.2">
      <c r="A16" s="14" t="s">
        <v>13</v>
      </c>
      <c r="B16" s="52">
        <v>500000</v>
      </c>
      <c r="D16" s="5">
        <v>80</v>
      </c>
      <c r="E16" s="52">
        <f t="dataTable" ref="E16:J18" dt2D="1" dtr="1" r1="B6" r2="B5" ca="1"/>
        <v>-653041.64999999991</v>
      </c>
      <c r="F16" s="52">
        <v>-562824.6</v>
      </c>
      <c r="G16" s="52">
        <v>-472607.55</v>
      </c>
      <c r="H16" s="52">
        <v>-382390.49999999994</v>
      </c>
      <c r="I16" s="52">
        <v>-292173.44999999995</v>
      </c>
      <c r="J16" s="52">
        <v>-201956.40000000002</v>
      </c>
    </row>
    <row r="17" spans="1:10" x14ac:dyDescent="0.2">
      <c r="A17" s="14" t="s">
        <v>14</v>
      </c>
      <c r="B17" s="52">
        <f>2000*B3</f>
        <v>22000</v>
      </c>
      <c r="D17" s="5">
        <v>85</v>
      </c>
      <c r="E17" s="52">
        <v>-745441.64999999991</v>
      </c>
      <c r="F17" s="52">
        <v>-655224.6</v>
      </c>
      <c r="G17" s="52">
        <v>-565007.54999999993</v>
      </c>
      <c r="H17" s="52">
        <v>-474790.49999999994</v>
      </c>
      <c r="I17" s="52">
        <v>-384573.44999999995</v>
      </c>
      <c r="J17" s="52">
        <v>-294356.39999999997</v>
      </c>
    </row>
    <row r="18" spans="1:10" x14ac:dyDescent="0.2">
      <c r="A18" s="14" t="s">
        <v>15</v>
      </c>
      <c r="B18" s="52">
        <v>100000</v>
      </c>
      <c r="D18" s="5">
        <v>90</v>
      </c>
      <c r="E18" s="52">
        <v>-837841.64999999991</v>
      </c>
      <c r="F18" s="52">
        <v>-747624.6</v>
      </c>
      <c r="G18" s="52">
        <v>-657407.54999999993</v>
      </c>
      <c r="H18" s="52">
        <v>-567190.49999999988</v>
      </c>
      <c r="I18" s="52">
        <v>-476973.45</v>
      </c>
      <c r="J18" s="52">
        <v>-386756.4</v>
      </c>
    </row>
    <row r="19" spans="1:10" x14ac:dyDescent="0.2">
      <c r="A19" s="53" t="s">
        <v>16</v>
      </c>
      <c r="B19" s="55">
        <f>SUM(B15:B18)</f>
        <v>3086000</v>
      </c>
    </row>
    <row r="20" spans="1:10" x14ac:dyDescent="0.2">
      <c r="A20" s="14" t="s">
        <v>17</v>
      </c>
      <c r="B20" s="52">
        <v>200000</v>
      </c>
    </row>
    <row r="21" spans="1:10" x14ac:dyDescent="0.2">
      <c r="A21" s="14" t="s">
        <v>18</v>
      </c>
      <c r="B21" s="52">
        <v>2000</v>
      </c>
    </row>
    <row r="22" spans="1:10" x14ac:dyDescent="0.2">
      <c r="A22" s="14" t="s">
        <v>19</v>
      </c>
      <c r="B22" s="52">
        <v>100000</v>
      </c>
    </row>
    <row r="23" spans="1:10" x14ac:dyDescent="0.2">
      <c r="A23" s="14" t="s">
        <v>20</v>
      </c>
      <c r="B23" s="52">
        <v>8000</v>
      </c>
    </row>
    <row r="24" spans="1:10" x14ac:dyDescent="0.2">
      <c r="A24" s="14" t="s">
        <v>21</v>
      </c>
      <c r="B24" s="52">
        <f>800*B3</f>
        <v>8800</v>
      </c>
    </row>
    <row r="25" spans="1:10" x14ac:dyDescent="0.2">
      <c r="A25" s="14" t="s">
        <v>22</v>
      </c>
      <c r="B25" s="52">
        <f>20000</f>
        <v>20000</v>
      </c>
    </row>
    <row r="26" spans="1:10" x14ac:dyDescent="0.2">
      <c r="A26" s="14" t="s">
        <v>23</v>
      </c>
      <c r="B26" s="52">
        <v>20000</v>
      </c>
    </row>
    <row r="27" spans="1:10" x14ac:dyDescent="0.2">
      <c r="A27" s="14" t="s">
        <v>24</v>
      </c>
      <c r="B27" s="52">
        <f>600*B3</f>
        <v>6600</v>
      </c>
    </row>
    <row r="28" spans="1:10" x14ac:dyDescent="0.2">
      <c r="A28" s="14" t="s">
        <v>25</v>
      </c>
      <c r="B28" s="52">
        <f>B38*0.025*0.9+50000</f>
        <v>153950</v>
      </c>
    </row>
    <row r="29" spans="1:10" x14ac:dyDescent="0.2">
      <c r="A29" s="14" t="s">
        <v>26</v>
      </c>
      <c r="B29" s="52">
        <v>100000</v>
      </c>
    </row>
    <row r="30" spans="1:10" x14ac:dyDescent="0.2">
      <c r="A30" s="14" t="s">
        <v>27</v>
      </c>
      <c r="B30" s="52">
        <v>100000</v>
      </c>
    </row>
    <row r="31" spans="1:10" x14ac:dyDescent="0.2">
      <c r="A31" s="14" t="s">
        <v>15</v>
      </c>
      <c r="B31" s="52">
        <f>5%*SUM(B20:B30)</f>
        <v>35967.5</v>
      </c>
    </row>
    <row r="32" spans="1:10" x14ac:dyDescent="0.2">
      <c r="A32" s="53" t="s">
        <v>28</v>
      </c>
      <c r="B32" s="55">
        <f>SUM(B20:B31)</f>
        <v>755317.5</v>
      </c>
    </row>
    <row r="34" spans="1:2" x14ac:dyDescent="0.2">
      <c r="A34" s="76" t="s">
        <v>29</v>
      </c>
      <c r="B34" s="77">
        <f>B19+B32+B11</f>
        <v>4791317.5</v>
      </c>
    </row>
    <row r="37" spans="1:2" x14ac:dyDescent="0.2">
      <c r="A37" s="1" t="s">
        <v>30</v>
      </c>
    </row>
    <row r="38" spans="1:2" x14ac:dyDescent="0.2">
      <c r="A38" s="14" t="s">
        <v>31</v>
      </c>
      <c r="B38" s="52">
        <f>B3*B4*B6</f>
        <v>4620000</v>
      </c>
    </row>
    <row r="39" spans="1:2" x14ac:dyDescent="0.2">
      <c r="A39" s="76" t="s">
        <v>32</v>
      </c>
      <c r="B39" s="77">
        <f>B38</f>
        <v>4620000</v>
      </c>
    </row>
    <row r="41" spans="1:2" x14ac:dyDescent="0.2">
      <c r="A41" s="79" t="s">
        <v>33</v>
      </c>
      <c r="B41" s="69">
        <f>B39-B34</f>
        <v>-171317.5</v>
      </c>
    </row>
    <row r="43" spans="1:2" x14ac:dyDescent="0.2">
      <c r="A43" s="14" t="s">
        <v>40</v>
      </c>
      <c r="B43" s="52">
        <f>B34</f>
        <v>4791317.5</v>
      </c>
    </row>
    <row r="44" spans="1:2" x14ac:dyDescent="0.2">
      <c r="A44" s="14" t="s">
        <v>41</v>
      </c>
      <c r="B44" s="52"/>
    </row>
    <row r="46" spans="1:2" x14ac:dyDescent="0.2">
      <c r="A46" s="79" t="s">
        <v>42</v>
      </c>
      <c r="B46" s="69">
        <v>6000000</v>
      </c>
    </row>
    <row r="48" spans="1:2" x14ac:dyDescent="0.2">
      <c r="A48" s="8" t="s">
        <v>43</v>
      </c>
      <c r="B48" s="11"/>
    </row>
    <row r="49" spans="1:15" x14ac:dyDescent="0.2">
      <c r="A49" s="76" t="s">
        <v>44</v>
      </c>
      <c r="B49" s="88">
        <f>B41/B46</f>
        <v>-2.8552916666666667E-2</v>
      </c>
    </row>
    <row r="51" spans="1:15" x14ac:dyDescent="0.2">
      <c r="A51" s="80"/>
      <c r="B51" s="16"/>
    </row>
    <row r="52" spans="1:15" ht="48" x14ac:dyDescent="0.2">
      <c r="A52" s="89"/>
      <c r="B52" s="90" t="s">
        <v>45</v>
      </c>
      <c r="C52" s="91" t="s">
        <v>46</v>
      </c>
      <c r="D52" s="91" t="s">
        <v>47</v>
      </c>
      <c r="E52" s="91" t="s">
        <v>48</v>
      </c>
      <c r="F52" s="91" t="s">
        <v>49</v>
      </c>
      <c r="G52" s="91" t="s">
        <v>33</v>
      </c>
      <c r="H52" s="91" t="s">
        <v>50</v>
      </c>
      <c r="I52" s="91" t="s">
        <v>51</v>
      </c>
      <c r="J52" s="91" t="s">
        <v>52</v>
      </c>
      <c r="K52" s="91" t="s">
        <v>53</v>
      </c>
      <c r="L52" s="91" t="s">
        <v>54</v>
      </c>
      <c r="M52" s="91" t="s">
        <v>37</v>
      </c>
      <c r="N52" s="91" t="s">
        <v>55</v>
      </c>
      <c r="O52" s="91" t="s">
        <v>56</v>
      </c>
    </row>
    <row r="53" spans="1:15" x14ac:dyDescent="0.2">
      <c r="A53" s="5" t="s">
        <v>57</v>
      </c>
      <c r="B53" s="52">
        <f>B46-B54</f>
        <v>5300000</v>
      </c>
      <c r="C53" s="17">
        <f>B53/B46</f>
        <v>0.8833333333333333</v>
      </c>
      <c r="D53" s="94">
        <v>0.08</v>
      </c>
      <c r="E53" s="52">
        <f>B53*D53*L53</f>
        <v>424000</v>
      </c>
      <c r="F53" s="266">
        <f>B41-E53-E54</f>
        <v>-637317.5</v>
      </c>
      <c r="G53" s="52">
        <f>F53*C53</f>
        <v>-562963.79166666663</v>
      </c>
      <c r="H53" s="92">
        <v>0.6</v>
      </c>
      <c r="I53" s="52">
        <f>E53+G53*(1-H53)</f>
        <v>198814.48333333334</v>
      </c>
      <c r="J53" s="17">
        <f>I53/B53</f>
        <v>3.7512166666666666E-2</v>
      </c>
      <c r="K53" s="17">
        <f>(1+J53)^(1/L53)-1</f>
        <v>3.751216666666668E-2</v>
      </c>
      <c r="L53" s="56">
        <v>1</v>
      </c>
      <c r="M53" s="266">
        <f>SUMPRODUCT(G53:G54,H53:H54)</f>
        <v>-382390.49999999994</v>
      </c>
      <c r="N53" s="5">
        <v>63</v>
      </c>
      <c r="O53" s="7">
        <f>B53/N53</f>
        <v>84126.984126984127</v>
      </c>
    </row>
    <row r="54" spans="1:15" x14ac:dyDescent="0.2">
      <c r="A54" s="5" t="s">
        <v>58</v>
      </c>
      <c r="B54" s="52">
        <f>N54*O54</f>
        <v>700000</v>
      </c>
      <c r="C54" s="17">
        <f>B54/B46</f>
        <v>0.11666666666666667</v>
      </c>
      <c r="D54" s="94">
        <v>0.04</v>
      </c>
      <c r="E54" s="52">
        <f>B54*D54*L54</f>
        <v>42000</v>
      </c>
      <c r="F54" s="267"/>
      <c r="G54" s="52">
        <f>F53*C54</f>
        <v>-74353.708333333328</v>
      </c>
      <c r="H54" s="92">
        <v>0.6</v>
      </c>
      <c r="I54" s="52">
        <f>E54+G54*(1-H54)</f>
        <v>12258.516666666666</v>
      </c>
      <c r="J54" s="17">
        <f>I54/B54</f>
        <v>1.7512166666666665E-2</v>
      </c>
      <c r="K54" s="17">
        <f t="shared" ref="K54" si="0">(1+J54)^(1/L54)-1</f>
        <v>1.1640965203592923E-2</v>
      </c>
      <c r="L54" s="56">
        <v>1.5</v>
      </c>
      <c r="M54" s="266"/>
      <c r="N54" s="5">
        <v>35</v>
      </c>
      <c r="O54" s="7">
        <v>20000</v>
      </c>
    </row>
    <row r="60" spans="1:15" x14ac:dyDescent="0.2">
      <c r="J60" s="13"/>
    </row>
  </sheetData>
  <mergeCells count="2">
    <mergeCell ref="F53:F54"/>
    <mergeCell ref="M53:M54"/>
  </mergeCells>
  <dataValidations count="1">
    <dataValidation showDropDown="1" showInputMessage="1" showErrorMessage="1" sqref="B5" xr:uid="{D30CAA9A-29B2-421A-95C9-D8AFEF0740A5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0E78-C83F-439A-A03D-4CA7136A6DF5}">
  <dimension ref="A1:P60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26.33203125" bestFit="1" customWidth="1"/>
    <col min="2" max="2" width="16.6640625" bestFit="1" customWidth="1"/>
    <col min="3" max="3" width="14.33203125" bestFit="1" customWidth="1"/>
    <col min="4" max="13" width="13.6640625" customWidth="1"/>
  </cols>
  <sheetData>
    <row r="1" spans="1:16" x14ac:dyDescent="0.2">
      <c r="A1" s="1" t="s">
        <v>0</v>
      </c>
      <c r="B1" s="2"/>
    </row>
    <row r="2" spans="1:16" x14ac:dyDescent="0.2">
      <c r="A2" s="3" t="s">
        <v>1</v>
      </c>
      <c r="B2" s="4" t="s">
        <v>2</v>
      </c>
      <c r="D2" s="1" t="s">
        <v>35</v>
      </c>
    </row>
    <row r="3" spans="1:16" x14ac:dyDescent="0.2">
      <c r="A3" s="3" t="s">
        <v>3</v>
      </c>
      <c r="B3" s="2">
        <v>21</v>
      </c>
      <c r="C3">
        <f>5.24/B3</f>
        <v>0.24952380952380954</v>
      </c>
      <c r="D3" s="93">
        <f>K53</f>
        <v>0.18150060000000012</v>
      </c>
      <c r="E3" s="5">
        <v>135</v>
      </c>
      <c r="F3" s="5">
        <v>140</v>
      </c>
      <c r="G3" s="5">
        <v>145</v>
      </c>
      <c r="H3" s="5">
        <v>150</v>
      </c>
      <c r="I3" s="5">
        <v>155</v>
      </c>
      <c r="J3" s="5">
        <v>160</v>
      </c>
      <c r="L3" t="s">
        <v>59</v>
      </c>
      <c r="N3" t="s">
        <v>60</v>
      </c>
      <c r="P3">
        <f>25/5.24</f>
        <v>4.7709923664122131</v>
      </c>
    </row>
    <row r="4" spans="1:16" ht="16" thickBot="1" x14ac:dyDescent="0.25">
      <c r="A4" s="3" t="s">
        <v>4</v>
      </c>
      <c r="B4" s="2">
        <v>2800</v>
      </c>
      <c r="D4" s="5">
        <v>80</v>
      </c>
      <c r="E4" s="17">
        <f t="dataTable" ref="E4:J6" dt2D="1" dtr="1" r1="B6" r2="B5" ca="1"/>
        <v>0.11260757999999993</v>
      </c>
      <c r="F4" s="17">
        <v>0.13557192000000007</v>
      </c>
      <c r="G4" s="17">
        <v>0.15853625999999998</v>
      </c>
      <c r="H4" s="17">
        <v>0.18150060000000012</v>
      </c>
      <c r="I4" s="17">
        <v>0.20446494000000004</v>
      </c>
      <c r="J4" s="17">
        <v>0.22742927999999996</v>
      </c>
      <c r="L4" t="s">
        <v>61</v>
      </c>
    </row>
    <row r="5" spans="1:16" ht="16" thickBot="1" x14ac:dyDescent="0.25">
      <c r="A5" s="3" t="s">
        <v>5</v>
      </c>
      <c r="B5" s="65">
        <v>80</v>
      </c>
      <c r="D5" s="5">
        <v>85</v>
      </c>
      <c r="E5" s="17">
        <v>8.9087579999999944E-2</v>
      </c>
      <c r="F5" s="17">
        <v>0.11205192000000008</v>
      </c>
      <c r="G5" s="17">
        <v>0.13501626</v>
      </c>
      <c r="H5" s="17">
        <v>0.15798060000000014</v>
      </c>
      <c r="I5" s="17">
        <v>0.18094494000000005</v>
      </c>
      <c r="J5" s="17">
        <v>0.20390927999999997</v>
      </c>
    </row>
    <row r="6" spans="1:16" x14ac:dyDescent="0.2">
      <c r="A6" s="3" t="s">
        <v>6</v>
      </c>
      <c r="B6" s="4">
        <v>150</v>
      </c>
      <c r="D6" s="5">
        <v>90</v>
      </c>
      <c r="E6" s="17">
        <v>6.5567579999999959E-2</v>
      </c>
      <c r="F6" s="17">
        <v>8.8531920000000097E-2</v>
      </c>
      <c r="G6" s="17">
        <v>0.11149626000000001</v>
      </c>
      <c r="H6" s="17">
        <v>0.13446059999999993</v>
      </c>
      <c r="I6" s="17">
        <v>0.15742494000000007</v>
      </c>
      <c r="J6" s="17">
        <v>0.18038927999999999</v>
      </c>
    </row>
    <row r="8" spans="1:16" x14ac:dyDescent="0.2">
      <c r="A8" s="1" t="s">
        <v>7</v>
      </c>
      <c r="D8" s="1" t="s">
        <v>36</v>
      </c>
      <c r="L8" s="5" t="s">
        <v>62</v>
      </c>
      <c r="M8" s="5"/>
    </row>
    <row r="9" spans="1:16" x14ac:dyDescent="0.2">
      <c r="A9" s="14" t="s">
        <v>8</v>
      </c>
      <c r="B9" s="52">
        <v>950000</v>
      </c>
      <c r="D9" s="93">
        <f>K54</f>
        <v>0.10495932742751979</v>
      </c>
      <c r="E9" s="5">
        <v>135</v>
      </c>
      <c r="F9" s="5">
        <v>140</v>
      </c>
      <c r="G9" s="5">
        <v>145</v>
      </c>
      <c r="H9" s="5">
        <v>150</v>
      </c>
      <c r="I9" s="5">
        <v>155</v>
      </c>
      <c r="J9" s="5">
        <v>160</v>
      </c>
      <c r="L9" s="5">
        <v>4</v>
      </c>
      <c r="M9" s="5">
        <f>L9*5.24</f>
        <v>20.96</v>
      </c>
    </row>
    <row r="10" spans="1:16" x14ac:dyDescent="0.2">
      <c r="A10" s="14" t="s">
        <v>9</v>
      </c>
      <c r="B10" s="52">
        <v>0</v>
      </c>
      <c r="D10" s="5">
        <v>80</v>
      </c>
      <c r="E10" s="17">
        <f t="dataTable" ref="E10:J12" dt2D="1" dtr="1" r1="B6" r2="B5"/>
        <v>6.082270409367907E-2</v>
      </c>
      <c r="F10" s="17">
        <v>7.5635307524958728E-2</v>
      </c>
      <c r="G10" s="17">
        <v>9.0346610116996962E-2</v>
      </c>
      <c r="H10" s="17">
        <v>0.10495932742751979</v>
      </c>
      <c r="I10" s="17">
        <v>0.11947605012600437</v>
      </c>
      <c r="J10" s="17">
        <v>0.13389925204064168</v>
      </c>
      <c r="L10" s="5">
        <v>5</v>
      </c>
      <c r="M10" s="5">
        <f t="shared" ref="M10:M13" si="0">L10*5.24</f>
        <v>26.200000000000003</v>
      </c>
    </row>
    <row r="11" spans="1:16" x14ac:dyDescent="0.2">
      <c r="A11" s="76" t="s">
        <v>10</v>
      </c>
      <c r="B11" s="77">
        <f>B9+B10</f>
        <v>950000</v>
      </c>
      <c r="D11" s="5">
        <v>85</v>
      </c>
      <c r="E11" s="17">
        <v>4.5543699949887051E-2</v>
      </c>
      <c r="F11" s="17">
        <v>6.0463010013504404E-2</v>
      </c>
      <c r="G11" s="17">
        <v>7.5278099332636517E-2</v>
      </c>
      <c r="H11" s="17">
        <v>8.9991820485813001E-2</v>
      </c>
      <c r="I11" s="17">
        <v>0.10460689215833341</v>
      </c>
      <c r="J11" s="17">
        <v>0.11912590794374367</v>
      </c>
      <c r="L11" s="5">
        <v>6</v>
      </c>
      <c r="M11" s="5">
        <f t="shared" si="0"/>
        <v>31.44</v>
      </c>
    </row>
    <row r="12" spans="1:16" x14ac:dyDescent="0.2">
      <c r="B12" s="2"/>
      <c r="D12" s="5">
        <v>90</v>
      </c>
      <c r="E12" s="17">
        <v>3.0152226957870454E-2</v>
      </c>
      <c r="F12" s="17">
        <v>4.5181386539698609E-2</v>
      </c>
      <c r="G12" s="17">
        <v>6.0103254921403337E-2</v>
      </c>
      <c r="H12" s="17">
        <v>7.4920831798040766E-2</v>
      </c>
      <c r="I12" s="17">
        <v>8.9636973103656148E-2</v>
      </c>
      <c r="J12" s="17">
        <v>0.10425440065627289</v>
      </c>
      <c r="L12" s="5">
        <v>7</v>
      </c>
      <c r="M12" s="5">
        <f t="shared" si="0"/>
        <v>36.68</v>
      </c>
    </row>
    <row r="13" spans="1:16" x14ac:dyDescent="0.2">
      <c r="B13" s="2"/>
      <c r="L13" s="5">
        <v>8</v>
      </c>
      <c r="M13" s="5">
        <f t="shared" si="0"/>
        <v>41.92</v>
      </c>
    </row>
    <row r="14" spans="1:16" x14ac:dyDescent="0.2">
      <c r="A14" s="1" t="s">
        <v>11</v>
      </c>
      <c r="B14" s="2"/>
      <c r="D14" s="1" t="s">
        <v>37</v>
      </c>
    </row>
    <row r="15" spans="1:16" x14ac:dyDescent="0.2">
      <c r="A15" s="14" t="s">
        <v>12</v>
      </c>
      <c r="B15" s="52">
        <f>B5*B4*B3</f>
        <v>4704000</v>
      </c>
      <c r="D15" s="93">
        <f>M53</f>
        <v>761254.5</v>
      </c>
      <c r="E15" s="5">
        <v>135</v>
      </c>
      <c r="F15" s="5">
        <v>140</v>
      </c>
      <c r="G15" s="5">
        <v>145</v>
      </c>
      <c r="H15" s="5">
        <v>150</v>
      </c>
      <c r="I15" s="5">
        <v>155</v>
      </c>
      <c r="J15" s="5">
        <v>160</v>
      </c>
    </row>
    <row r="16" spans="1:16" x14ac:dyDescent="0.2">
      <c r="A16" s="14" t="s">
        <v>13</v>
      </c>
      <c r="B16" s="52">
        <v>500000</v>
      </c>
      <c r="D16" s="5">
        <v>80</v>
      </c>
      <c r="E16" s="52">
        <f t="dataTable" ref="E16:J18" dt2D="1" dtr="1" r1="B6" r2="B5" ca="1"/>
        <v>244556.84999999998</v>
      </c>
      <c r="F16" s="52">
        <v>416789.4</v>
      </c>
      <c r="G16" s="52">
        <v>589021.94999999995</v>
      </c>
      <c r="H16" s="52">
        <v>761254.5</v>
      </c>
      <c r="I16" s="52">
        <v>933487.05</v>
      </c>
      <c r="J16" s="52">
        <v>1105719.5999999999</v>
      </c>
    </row>
    <row r="17" spans="1:10" x14ac:dyDescent="0.2">
      <c r="A17" s="14" t="s">
        <v>14</v>
      </c>
      <c r="B17" s="52">
        <f>2000*B3</f>
        <v>42000</v>
      </c>
      <c r="D17" s="5">
        <v>85</v>
      </c>
      <c r="E17" s="52">
        <v>68156.849999999991</v>
      </c>
      <c r="F17" s="52">
        <v>240389.4</v>
      </c>
      <c r="G17" s="52">
        <v>412621.95000000007</v>
      </c>
      <c r="H17" s="52">
        <v>584854.5</v>
      </c>
      <c r="I17" s="52">
        <v>757087.05</v>
      </c>
      <c r="J17" s="52">
        <v>929319.60000000009</v>
      </c>
    </row>
    <row r="18" spans="1:10" x14ac:dyDescent="0.2">
      <c r="A18" s="14" t="s">
        <v>15</v>
      </c>
      <c r="B18" s="52">
        <v>100000</v>
      </c>
      <c r="D18" s="5">
        <v>90</v>
      </c>
      <c r="E18" s="52">
        <v>-108243.14999999998</v>
      </c>
      <c r="F18" s="52">
        <v>63989.399999999994</v>
      </c>
      <c r="G18" s="52">
        <v>236221.94999999998</v>
      </c>
      <c r="H18" s="52">
        <v>408454.49999999994</v>
      </c>
      <c r="I18" s="52">
        <v>580687.04999999993</v>
      </c>
      <c r="J18" s="52">
        <v>752919.60000000009</v>
      </c>
    </row>
    <row r="19" spans="1:10" x14ac:dyDescent="0.2">
      <c r="A19" s="53" t="s">
        <v>16</v>
      </c>
      <c r="B19" s="55">
        <f>SUM(B15:B18)</f>
        <v>5346000</v>
      </c>
    </row>
    <row r="20" spans="1:10" x14ac:dyDescent="0.2">
      <c r="A20" s="14" t="s">
        <v>17</v>
      </c>
      <c r="B20" s="52">
        <v>200000</v>
      </c>
    </row>
    <row r="21" spans="1:10" x14ac:dyDescent="0.2">
      <c r="A21" s="14" t="s">
        <v>18</v>
      </c>
      <c r="B21" s="52">
        <v>2000</v>
      </c>
    </row>
    <row r="22" spans="1:10" x14ac:dyDescent="0.2">
      <c r="A22" s="14" t="s">
        <v>19</v>
      </c>
      <c r="B22" s="52">
        <v>100000</v>
      </c>
    </row>
    <row r="23" spans="1:10" x14ac:dyDescent="0.2">
      <c r="A23" s="14" t="s">
        <v>20</v>
      </c>
      <c r="B23" s="52">
        <v>8000</v>
      </c>
    </row>
    <row r="24" spans="1:10" x14ac:dyDescent="0.2">
      <c r="A24" s="14" t="s">
        <v>21</v>
      </c>
      <c r="B24" s="52">
        <f>800*B3</f>
        <v>16800</v>
      </c>
    </row>
    <row r="25" spans="1:10" x14ac:dyDescent="0.2">
      <c r="A25" s="14" t="s">
        <v>22</v>
      </c>
      <c r="B25" s="52">
        <f>20000</f>
        <v>20000</v>
      </c>
    </row>
    <row r="26" spans="1:10" x14ac:dyDescent="0.2">
      <c r="A26" s="14" t="s">
        <v>23</v>
      </c>
      <c r="B26" s="52">
        <v>20000</v>
      </c>
    </row>
    <row r="27" spans="1:10" x14ac:dyDescent="0.2">
      <c r="A27" s="14" t="s">
        <v>24</v>
      </c>
      <c r="B27" s="52">
        <f>600*B3</f>
        <v>12600</v>
      </c>
    </row>
    <row r="28" spans="1:10" x14ac:dyDescent="0.2">
      <c r="A28" s="14" t="s">
        <v>25</v>
      </c>
      <c r="B28" s="52">
        <f>B38*0.025*0.9+50000</f>
        <v>248450</v>
      </c>
    </row>
    <row r="29" spans="1:10" x14ac:dyDescent="0.2">
      <c r="A29" s="14" t="s">
        <v>26</v>
      </c>
      <c r="B29" s="52">
        <v>100000</v>
      </c>
    </row>
    <row r="30" spans="1:10" x14ac:dyDescent="0.2">
      <c r="A30" s="14" t="s">
        <v>27</v>
      </c>
      <c r="B30" s="52">
        <v>100000</v>
      </c>
    </row>
    <row r="31" spans="1:10" x14ac:dyDescent="0.2">
      <c r="A31" s="14" t="s">
        <v>15</v>
      </c>
      <c r="B31" s="52">
        <f>5%*SUM(B20:B30)</f>
        <v>41392.5</v>
      </c>
    </row>
    <row r="32" spans="1:10" x14ac:dyDescent="0.2">
      <c r="A32" s="53" t="s">
        <v>28</v>
      </c>
      <c r="B32" s="55">
        <f>SUM(B20:B31)</f>
        <v>869242.5</v>
      </c>
    </row>
    <row r="34" spans="1:2" x14ac:dyDescent="0.2">
      <c r="A34" s="76" t="s">
        <v>29</v>
      </c>
      <c r="B34" s="77">
        <f>B19+B32+B11</f>
        <v>7165242.5</v>
      </c>
    </row>
    <row r="37" spans="1:2" x14ac:dyDescent="0.2">
      <c r="A37" s="1" t="s">
        <v>30</v>
      </c>
    </row>
    <row r="38" spans="1:2" x14ac:dyDescent="0.2">
      <c r="A38" s="14" t="s">
        <v>31</v>
      </c>
      <c r="B38" s="52">
        <f>B3*B4*B6</f>
        <v>8820000</v>
      </c>
    </row>
    <row r="39" spans="1:2" x14ac:dyDescent="0.2">
      <c r="A39" s="76" t="s">
        <v>32</v>
      </c>
      <c r="B39" s="77">
        <f>B38</f>
        <v>8820000</v>
      </c>
    </row>
    <row r="41" spans="1:2" x14ac:dyDescent="0.2">
      <c r="A41" s="79" t="s">
        <v>33</v>
      </c>
      <c r="B41" s="69">
        <f>B39-B34</f>
        <v>1654757.5</v>
      </c>
    </row>
    <row r="43" spans="1:2" x14ac:dyDescent="0.2">
      <c r="A43" s="14" t="s">
        <v>40</v>
      </c>
      <c r="B43" s="52">
        <f>B34-B28-B29</f>
        <v>6816792.5</v>
      </c>
    </row>
    <row r="44" spans="1:2" x14ac:dyDescent="0.2">
      <c r="A44" s="14" t="s">
        <v>41</v>
      </c>
      <c r="B44" s="52">
        <f>'20 Units - break even'!B43</f>
        <v>4791317.5</v>
      </c>
    </row>
    <row r="46" spans="1:2" x14ac:dyDescent="0.2">
      <c r="A46" s="79" t="s">
        <v>42</v>
      </c>
      <c r="B46" s="69">
        <v>5000000</v>
      </c>
    </row>
    <row r="48" spans="1:2" x14ac:dyDescent="0.2">
      <c r="A48" s="8" t="s">
        <v>43</v>
      </c>
      <c r="B48" s="11"/>
    </row>
    <row r="49" spans="1:15" x14ac:dyDescent="0.2">
      <c r="A49" s="76" t="s">
        <v>44</v>
      </c>
      <c r="B49" s="88">
        <f>B41/B46</f>
        <v>0.33095150000000001</v>
      </c>
    </row>
    <row r="51" spans="1:15" x14ac:dyDescent="0.2">
      <c r="A51" s="80"/>
      <c r="B51" s="16"/>
    </row>
    <row r="52" spans="1:15" ht="48" x14ac:dyDescent="0.2">
      <c r="A52" s="89"/>
      <c r="B52" s="90" t="s">
        <v>45</v>
      </c>
      <c r="C52" s="91" t="s">
        <v>46</v>
      </c>
      <c r="D52" s="91" t="s">
        <v>47</v>
      </c>
      <c r="E52" s="91" t="s">
        <v>48</v>
      </c>
      <c r="F52" s="91" t="s">
        <v>49</v>
      </c>
      <c r="G52" s="91" t="s">
        <v>33</v>
      </c>
      <c r="H52" s="91" t="s">
        <v>50</v>
      </c>
      <c r="I52" s="91" t="s">
        <v>51</v>
      </c>
      <c r="J52" s="91" t="s">
        <v>52</v>
      </c>
      <c r="K52" s="91" t="s">
        <v>53</v>
      </c>
      <c r="L52" s="91" t="s">
        <v>54</v>
      </c>
      <c r="M52" s="91" t="s">
        <v>37</v>
      </c>
      <c r="N52" s="91" t="s">
        <v>55</v>
      </c>
      <c r="O52" s="91" t="s">
        <v>56</v>
      </c>
    </row>
    <row r="53" spans="1:15" x14ac:dyDescent="0.2">
      <c r="A53" s="5" t="s">
        <v>57</v>
      </c>
      <c r="B53" s="52">
        <f>B46-B54</f>
        <v>4300000</v>
      </c>
      <c r="C53" s="17">
        <f>B53/B46</f>
        <v>0.86</v>
      </c>
      <c r="D53" s="94">
        <v>0.08</v>
      </c>
      <c r="E53" s="52">
        <f>B53*D53*L53</f>
        <v>344000</v>
      </c>
      <c r="F53" s="266">
        <f>B41-E53-E54</f>
        <v>1268757.5</v>
      </c>
      <c r="G53" s="52">
        <f>F53*C53</f>
        <v>1091131.45</v>
      </c>
      <c r="H53" s="92">
        <v>0.6</v>
      </c>
      <c r="I53" s="52">
        <f>E53+G53*(1-H53)</f>
        <v>780452.58000000007</v>
      </c>
      <c r="J53" s="17">
        <f>I53/B53</f>
        <v>0.18150060000000001</v>
      </c>
      <c r="K53" s="17">
        <f>(1+J53)^(1/L53)-1</f>
        <v>0.18150060000000012</v>
      </c>
      <c r="L53" s="56">
        <v>1</v>
      </c>
      <c r="M53" s="266">
        <f>SUMPRODUCT(G53:G54,H53:H54)</f>
        <v>761254.5</v>
      </c>
      <c r="N53" s="5">
        <v>63</v>
      </c>
      <c r="O53" s="7">
        <f>B53/N53</f>
        <v>68253.968253968254</v>
      </c>
    </row>
    <row r="54" spans="1:15" x14ac:dyDescent="0.2">
      <c r="A54" s="5" t="s">
        <v>58</v>
      </c>
      <c r="B54" s="52">
        <f>N54*O54</f>
        <v>700000</v>
      </c>
      <c r="C54" s="17">
        <f>B54/B46</f>
        <v>0.14000000000000001</v>
      </c>
      <c r="D54" s="94">
        <v>0.04</v>
      </c>
      <c r="E54" s="52">
        <f>B54*D54*L54</f>
        <v>42000</v>
      </c>
      <c r="F54" s="267"/>
      <c r="G54" s="52">
        <f>F53*C54</f>
        <v>177626.05000000002</v>
      </c>
      <c r="H54" s="92">
        <v>0.6</v>
      </c>
      <c r="I54" s="52">
        <f>E54+G54*(1-H54)</f>
        <v>113050.42000000001</v>
      </c>
      <c r="J54" s="17">
        <f>I54/B54</f>
        <v>0.16150060000000002</v>
      </c>
      <c r="K54" s="17">
        <f t="shared" ref="K54" si="1">(1+J54)^(1/L54)-1</f>
        <v>0.10495932742751979</v>
      </c>
      <c r="L54" s="56">
        <v>1.5</v>
      </c>
      <c r="M54" s="266"/>
      <c r="N54" s="5">
        <v>35</v>
      </c>
      <c r="O54" s="7">
        <v>20000</v>
      </c>
    </row>
    <row r="60" spans="1:15" x14ac:dyDescent="0.2">
      <c r="J60" s="13"/>
    </row>
  </sheetData>
  <mergeCells count="2">
    <mergeCell ref="F53:F54"/>
    <mergeCell ref="M53:M54"/>
  </mergeCells>
  <dataValidations disablePrompts="1" count="1">
    <dataValidation showDropDown="1" showInputMessage="1" showErrorMessage="1" sqref="B5" xr:uid="{3490CA37-B036-4924-810F-B886A0D70CD6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7715-0751-40C8-8CFF-99A19DC6BBC9}">
  <dimension ref="B1:S35"/>
  <sheetViews>
    <sheetView topLeftCell="A13" zoomScaleNormal="100" workbookViewId="0">
      <selection activeCell="K40" sqref="K40"/>
    </sheetView>
  </sheetViews>
  <sheetFormatPr baseColWidth="10" defaultColWidth="8.83203125" defaultRowHeight="15" x14ac:dyDescent="0.2"/>
  <cols>
    <col min="2" max="2" width="32.1640625" customWidth="1"/>
    <col min="3" max="3" width="23.33203125" customWidth="1"/>
    <col min="5" max="5" width="23.33203125" bestFit="1" customWidth="1"/>
    <col min="6" max="6" width="12" bestFit="1" customWidth="1"/>
    <col min="8" max="8" width="19.1640625" bestFit="1" customWidth="1"/>
    <col min="9" max="9" width="13.1640625" bestFit="1" customWidth="1"/>
    <col min="11" max="11" width="35.33203125" bestFit="1" customWidth="1"/>
    <col min="12" max="12" width="12.33203125" customWidth="1"/>
    <col min="13" max="14" width="12.33203125" bestFit="1" customWidth="1"/>
    <col min="15" max="16" width="10" bestFit="1" customWidth="1"/>
    <col min="17" max="17" width="10.6640625" bestFit="1" customWidth="1"/>
    <col min="18" max="21" width="10" bestFit="1" customWidth="1"/>
    <col min="22" max="22" width="11.33203125" bestFit="1" customWidth="1"/>
    <col min="23" max="23" width="10.1640625" bestFit="1" customWidth="1"/>
  </cols>
  <sheetData>
    <row r="1" spans="2:19" ht="16" thickBot="1" x14ac:dyDescent="0.25">
      <c r="B1" s="1" t="s">
        <v>0</v>
      </c>
      <c r="C1" s="2"/>
      <c r="E1" s="1" t="s">
        <v>63</v>
      </c>
      <c r="K1" s="1" t="s">
        <v>64</v>
      </c>
    </row>
    <row r="2" spans="2:19" x14ac:dyDescent="0.2">
      <c r="B2" s="107" t="s">
        <v>1</v>
      </c>
      <c r="C2" s="108" t="s">
        <v>65</v>
      </c>
      <c r="E2" s="123" t="s">
        <v>66</v>
      </c>
      <c r="F2" s="127"/>
      <c r="G2" s="128"/>
      <c r="K2" s="58"/>
      <c r="L2" s="127" t="s">
        <v>67</v>
      </c>
      <c r="M2" s="127" t="s">
        <v>68</v>
      </c>
      <c r="N2" s="127" t="s">
        <v>69</v>
      </c>
      <c r="O2" s="127" t="s">
        <v>70</v>
      </c>
      <c r="P2" s="127" t="s">
        <v>71</v>
      </c>
      <c r="Q2" s="127" t="s">
        <v>72</v>
      </c>
      <c r="R2" s="128" t="s">
        <v>73</v>
      </c>
    </row>
    <row r="3" spans="2:19" x14ac:dyDescent="0.2">
      <c r="B3" s="132" t="s">
        <v>3</v>
      </c>
      <c r="C3" s="63">
        <f>F35</f>
        <v>60</v>
      </c>
      <c r="E3" s="124" t="s">
        <v>74</v>
      </c>
      <c r="F3" s="138">
        <v>0.6</v>
      </c>
      <c r="G3" s="129"/>
      <c r="J3" s="129"/>
      <c r="K3" s="62"/>
      <c r="L3" t="s">
        <v>75</v>
      </c>
      <c r="M3" t="s">
        <v>76</v>
      </c>
      <c r="N3" t="s">
        <v>76</v>
      </c>
      <c r="O3" t="s">
        <v>77</v>
      </c>
      <c r="P3" t="s">
        <v>77</v>
      </c>
      <c r="Q3" t="s">
        <v>77</v>
      </c>
      <c r="R3" s="129" t="s">
        <v>77</v>
      </c>
    </row>
    <row r="4" spans="2:19" x14ac:dyDescent="0.2">
      <c r="B4" s="132" t="s">
        <v>78</v>
      </c>
      <c r="C4" s="63">
        <v>8</v>
      </c>
      <c r="D4" s="156"/>
      <c r="E4" t="s">
        <v>79</v>
      </c>
      <c r="F4" s="2" t="e">
        <f>ROUNDDOWN(C31*F3,-5)</f>
        <v>#REF!</v>
      </c>
      <c r="G4" s="129"/>
      <c r="J4" s="129"/>
      <c r="K4" s="62" t="s">
        <v>80</v>
      </c>
      <c r="O4" s="2" t="e">
        <f>#REF!</f>
        <v>#REF!</v>
      </c>
      <c r="P4" s="2" t="e">
        <f>#REF!</f>
        <v>#REF!</v>
      </c>
      <c r="Q4" s="2" t="e">
        <f>#REF!</f>
        <v>#REF!</v>
      </c>
      <c r="R4" s="63" t="e">
        <f>#REF!</f>
        <v>#REF!</v>
      </c>
      <c r="S4" s="126"/>
    </row>
    <row r="5" spans="2:19" x14ac:dyDescent="0.2">
      <c r="B5" s="132" t="s">
        <v>62</v>
      </c>
      <c r="C5" s="149">
        <f>C3/C4</f>
        <v>7.5</v>
      </c>
      <c r="D5" s="156"/>
      <c r="G5" s="129"/>
      <c r="J5" s="129"/>
      <c r="K5" s="62" t="s">
        <v>81</v>
      </c>
      <c r="O5" s="2" t="e">
        <f>#REF!</f>
        <v>#REF!</v>
      </c>
      <c r="P5" s="2" t="e">
        <f>#REF!</f>
        <v>#REF!</v>
      </c>
      <c r="Q5" s="2" t="e">
        <f>#REF!</f>
        <v>#REF!</v>
      </c>
      <c r="R5" s="63" t="e">
        <f>#REF!</f>
        <v>#REF!</v>
      </c>
      <c r="S5" s="139"/>
    </row>
    <row r="6" spans="2:19" x14ac:dyDescent="0.2">
      <c r="B6" s="132" t="s">
        <v>82</v>
      </c>
      <c r="C6" s="63">
        <f>G35/F35</f>
        <v>1090</v>
      </c>
      <c r="E6" s="62" t="s">
        <v>83</v>
      </c>
      <c r="F6" s="16">
        <v>4.4999999999999998E-2</v>
      </c>
      <c r="G6" s="129"/>
      <c r="J6" s="129"/>
      <c r="K6" s="62" t="s">
        <v>84</v>
      </c>
      <c r="O6" s="11" t="e">
        <f>1-O5/O4</f>
        <v>#REF!</v>
      </c>
      <c r="P6" s="11" t="e">
        <f t="shared" ref="P6:R6" si="0">1-P5/P4</f>
        <v>#REF!</v>
      </c>
      <c r="Q6" s="11" t="e">
        <f t="shared" si="0"/>
        <v>#REF!</v>
      </c>
      <c r="R6" s="148" t="e">
        <f t="shared" si="0"/>
        <v>#REF!</v>
      </c>
      <c r="S6" s="126"/>
    </row>
    <row r="7" spans="2:19" ht="16" thickBot="1" x14ac:dyDescent="0.25">
      <c r="B7" s="115" t="s">
        <v>85</v>
      </c>
      <c r="C7" s="64" t="e">
        <f>#REF!</f>
        <v>#REF!</v>
      </c>
      <c r="E7" s="62" t="s">
        <v>86</v>
      </c>
      <c r="F7">
        <v>2</v>
      </c>
      <c r="G7" s="129" t="s">
        <v>87</v>
      </c>
      <c r="J7" s="129"/>
      <c r="K7" s="62" t="s">
        <v>88</v>
      </c>
      <c r="O7" s="2" t="e">
        <f>#REF!</f>
        <v>#REF!</v>
      </c>
      <c r="P7" s="2" t="e">
        <f>#REF!</f>
        <v>#REF!</v>
      </c>
      <c r="Q7" s="2" t="e">
        <f>#REF!</f>
        <v>#REF!</v>
      </c>
      <c r="R7" s="63" t="e">
        <f>#REF!</f>
        <v>#REF!</v>
      </c>
      <c r="S7" s="140"/>
    </row>
    <row r="8" spans="2:19" x14ac:dyDescent="0.2">
      <c r="E8" s="62"/>
      <c r="G8" s="129"/>
      <c r="K8" s="62" t="s">
        <v>89</v>
      </c>
      <c r="O8" s="2" t="e">
        <f>O5-O7</f>
        <v>#REF!</v>
      </c>
      <c r="P8" s="2" t="e">
        <f t="shared" ref="P8:R8" si="1">P5-P7</f>
        <v>#REF!</v>
      </c>
      <c r="Q8" s="2" t="e">
        <f t="shared" si="1"/>
        <v>#REF!</v>
      </c>
      <c r="R8" s="63" t="e">
        <f t="shared" si="1"/>
        <v>#REF!</v>
      </c>
      <c r="S8" s="126"/>
    </row>
    <row r="9" spans="2:19" ht="16" thickBot="1" x14ac:dyDescent="0.25">
      <c r="B9" s="1" t="s">
        <v>90</v>
      </c>
      <c r="E9" s="62" t="s">
        <v>91</v>
      </c>
      <c r="F9" s="2" t="e">
        <f>N16</f>
        <v>#REF!</v>
      </c>
      <c r="G9" s="129"/>
      <c r="K9" s="62"/>
      <c r="O9" s="11" t="e">
        <f>O7/O5</f>
        <v>#REF!</v>
      </c>
      <c r="P9" s="11" t="e">
        <f t="shared" ref="P9:Q9" si="2">P7/P5</f>
        <v>#REF!</v>
      </c>
      <c r="Q9" s="11" t="e">
        <f t="shared" si="2"/>
        <v>#REF!</v>
      </c>
      <c r="R9" s="148" t="e">
        <f>R7/R5</f>
        <v>#REF!</v>
      </c>
      <c r="S9" s="140"/>
    </row>
    <row r="10" spans="2:19" x14ac:dyDescent="0.2">
      <c r="B10" s="111" t="s">
        <v>8</v>
      </c>
      <c r="C10" s="112">
        <v>800000</v>
      </c>
      <c r="E10" s="62" t="s">
        <v>92</v>
      </c>
      <c r="F10" s="16">
        <v>3.5000000000000003E-2</v>
      </c>
      <c r="G10" s="129"/>
      <c r="K10" s="62" t="s">
        <v>93</v>
      </c>
      <c r="Q10" s="2" t="e">
        <f>#REF!</f>
        <v>#REF!</v>
      </c>
      <c r="R10" s="129"/>
      <c r="S10" s="126"/>
    </row>
    <row r="11" spans="2:19" x14ac:dyDescent="0.2">
      <c r="B11" s="109" t="s">
        <v>9</v>
      </c>
      <c r="C11" s="110">
        <v>0</v>
      </c>
      <c r="E11" s="62" t="s">
        <v>94</v>
      </c>
      <c r="F11">
        <v>20</v>
      </c>
      <c r="G11" s="129" t="s">
        <v>87</v>
      </c>
      <c r="K11" s="62"/>
      <c r="R11" s="129"/>
    </row>
    <row r="12" spans="2:19" x14ac:dyDescent="0.2">
      <c r="B12" s="116" t="s">
        <v>10</v>
      </c>
      <c r="C12" s="117">
        <f>C10+C11</f>
        <v>800000</v>
      </c>
      <c r="E12" s="62" t="s">
        <v>95</v>
      </c>
      <c r="F12" s="122" t="e">
        <f>PMT(F10,F11,F9,0,0)</f>
        <v>#REF!</v>
      </c>
      <c r="G12" s="129"/>
      <c r="K12" s="62" t="s">
        <v>96</v>
      </c>
      <c r="L12" s="2" t="e">
        <f>SUM(#REF!)</f>
        <v>#REF!</v>
      </c>
      <c r="M12" s="2" t="e">
        <f>SUM(#REF!)</f>
        <v>#REF!</v>
      </c>
      <c r="N12" s="2" t="e">
        <f>SUM(#REF!)</f>
        <v>#REF!</v>
      </c>
      <c r="O12" s="2" t="e">
        <f>O8+O10</f>
        <v>#REF!</v>
      </c>
      <c r="P12" s="2" t="e">
        <f>P8+P10</f>
        <v>#REF!</v>
      </c>
      <c r="Q12" s="2" t="e">
        <f>Q8+Q10</f>
        <v>#REF!</v>
      </c>
      <c r="R12" s="63"/>
    </row>
    <row r="13" spans="2:19" x14ac:dyDescent="0.2">
      <c r="B13" s="109" t="s">
        <v>97</v>
      </c>
      <c r="C13" s="110" t="e">
        <f>C7*C6*C3</f>
        <v>#REF!</v>
      </c>
      <c r="E13" s="62" t="s">
        <v>98</v>
      </c>
      <c r="F13" s="122" t="e">
        <f>-PV(F10,(F11-2),F12,0,0)</f>
        <v>#REF!</v>
      </c>
      <c r="G13" s="129"/>
      <c r="K13" s="130" t="s">
        <v>99</v>
      </c>
      <c r="L13" s="133" t="e">
        <f>IRR(L12:R12)</f>
        <v>#VALUE!</v>
      </c>
      <c r="R13" s="129"/>
    </row>
    <row r="14" spans="2:19" x14ac:dyDescent="0.2">
      <c r="B14" s="109" t="s">
        <v>38</v>
      </c>
      <c r="C14" s="110">
        <v>300000</v>
      </c>
      <c r="E14" s="62" t="s">
        <v>100</v>
      </c>
      <c r="F14" s="2" t="e">
        <f>F9*F6*F7</f>
        <v>#REF!</v>
      </c>
      <c r="G14" s="129"/>
      <c r="K14" s="62"/>
      <c r="R14" s="129"/>
    </row>
    <row r="15" spans="2:19" x14ac:dyDescent="0.2">
      <c r="B15" s="109" t="s">
        <v>13</v>
      </c>
      <c r="C15" s="110">
        <v>600000</v>
      </c>
      <c r="E15" s="62"/>
      <c r="G15" s="129"/>
      <c r="I15" s="2"/>
      <c r="K15" s="62"/>
      <c r="R15" s="129"/>
    </row>
    <row r="16" spans="2:19" x14ac:dyDescent="0.2">
      <c r="B16" s="109" t="s">
        <v>15</v>
      </c>
      <c r="C16" s="110">
        <v>200000</v>
      </c>
      <c r="E16" s="130" t="s">
        <v>34</v>
      </c>
      <c r="G16" s="129"/>
      <c r="K16" s="62" t="s">
        <v>101</v>
      </c>
      <c r="L16" s="2">
        <v>0</v>
      </c>
      <c r="M16" s="2">
        <v>0</v>
      </c>
      <c r="N16" s="2" t="e">
        <f>IF(F4&gt;-N12,-N12,F4)-F4*F6</f>
        <v>#REF!</v>
      </c>
      <c r="O16" s="2" t="e">
        <f>-N16*F6</f>
        <v>#REF!</v>
      </c>
      <c r="P16" s="2" t="e">
        <f>F12</f>
        <v>#REF!</v>
      </c>
      <c r="Q16" s="2" t="e">
        <f>F12</f>
        <v>#REF!</v>
      </c>
      <c r="R16" s="63"/>
    </row>
    <row r="17" spans="2:18" ht="16" thickBot="1" x14ac:dyDescent="0.25">
      <c r="B17" s="118" t="s">
        <v>16</v>
      </c>
      <c r="C17" s="119" t="e">
        <f>SUM(C13:C16)</f>
        <v>#REF!</v>
      </c>
      <c r="E17" s="59" t="s">
        <v>34</v>
      </c>
      <c r="F17" s="125" t="e">
        <f>-L19-M19-N19</f>
        <v>#REF!</v>
      </c>
      <c r="G17" s="131"/>
      <c r="K17" s="62"/>
      <c r="L17" s="2"/>
      <c r="M17" s="2"/>
      <c r="N17" s="2"/>
      <c r="O17" s="2"/>
      <c r="P17" s="2"/>
      <c r="Q17" s="2" t="e">
        <f>F13</f>
        <v>#REF!</v>
      </c>
      <c r="R17" s="63"/>
    </row>
    <row r="18" spans="2:18" x14ac:dyDescent="0.2">
      <c r="B18" s="109" t="s">
        <v>17</v>
      </c>
      <c r="C18" s="110">
        <v>280000</v>
      </c>
      <c r="K18" s="62" t="s">
        <v>100</v>
      </c>
      <c r="L18" s="2"/>
      <c r="M18" s="2"/>
      <c r="N18" s="2" t="e">
        <f>-F14</f>
        <v>#REF!</v>
      </c>
      <c r="O18" s="2" t="e">
        <f>F14</f>
        <v>#REF!</v>
      </c>
      <c r="P18" s="2"/>
      <c r="Q18" s="2"/>
      <c r="R18" s="63"/>
    </row>
    <row r="19" spans="2:18" x14ac:dyDescent="0.2">
      <c r="B19" s="109" t="s">
        <v>18</v>
      </c>
      <c r="C19" s="110">
        <v>2000</v>
      </c>
      <c r="K19" s="62" t="s">
        <v>102</v>
      </c>
      <c r="L19" s="2" t="e">
        <f>L12+L16+L17</f>
        <v>#REF!</v>
      </c>
      <c r="M19" s="2" t="e">
        <f>M12+M16+M17</f>
        <v>#REF!</v>
      </c>
      <c r="N19" s="2" t="e">
        <f>N12+N16+N18</f>
        <v>#REF!</v>
      </c>
      <c r="O19" s="2" t="e">
        <f>O12+O16+O17+O18</f>
        <v>#REF!</v>
      </c>
      <c r="P19" s="2" t="e">
        <f>P12+P16+P17</f>
        <v>#REF!</v>
      </c>
      <c r="Q19" s="2" t="e">
        <f>Q12+Q16+Q17+F14</f>
        <v>#REF!</v>
      </c>
      <c r="R19" s="63"/>
    </row>
    <row r="20" spans="2:18" ht="16" thickBot="1" x14ac:dyDescent="0.25">
      <c r="B20" s="109" t="s">
        <v>103</v>
      </c>
      <c r="C20" s="110">
        <v>100000</v>
      </c>
      <c r="E20" s="1" t="s">
        <v>104</v>
      </c>
      <c r="K20" s="134" t="s">
        <v>105</v>
      </c>
      <c r="L20" s="135" t="e">
        <f>IRR(L19:R19)</f>
        <v>#VALUE!</v>
      </c>
      <c r="M20" s="136"/>
      <c r="N20" s="136"/>
      <c r="O20" s="136"/>
      <c r="P20" s="136"/>
      <c r="Q20" s="136"/>
      <c r="R20" s="131"/>
    </row>
    <row r="21" spans="2:18" x14ac:dyDescent="0.2">
      <c r="B21" s="109" t="s">
        <v>20</v>
      </c>
      <c r="C21" s="110">
        <v>20000</v>
      </c>
      <c r="E21" s="58" t="s">
        <v>106</v>
      </c>
      <c r="F21" s="143">
        <f>H35</f>
        <v>1.2732415902140672</v>
      </c>
      <c r="G21" s="128"/>
    </row>
    <row r="22" spans="2:18" x14ac:dyDescent="0.2">
      <c r="B22" s="109" t="s">
        <v>21</v>
      </c>
      <c r="C22" s="110">
        <f>1500*C3</f>
        <v>90000</v>
      </c>
      <c r="E22" s="62" t="s">
        <v>107</v>
      </c>
      <c r="F22" s="141">
        <v>0.03</v>
      </c>
      <c r="G22" s="129"/>
    </row>
    <row r="23" spans="2:18" x14ac:dyDescent="0.2">
      <c r="B23" s="109" t="s">
        <v>22</v>
      </c>
      <c r="C23" s="110">
        <v>50000</v>
      </c>
      <c r="E23" s="62" t="s">
        <v>108</v>
      </c>
      <c r="F23" s="141">
        <v>0.02</v>
      </c>
      <c r="G23" s="129"/>
      <c r="K23" s="1" t="s">
        <v>109</v>
      </c>
    </row>
    <row r="24" spans="2:18" x14ac:dyDescent="0.2">
      <c r="B24" s="109" t="s">
        <v>23</v>
      </c>
      <c r="C24" s="110">
        <v>20000</v>
      </c>
      <c r="E24" s="62" t="s">
        <v>110</v>
      </c>
      <c r="F24" s="2">
        <f>G35</f>
        <v>65400</v>
      </c>
      <c r="G24" s="129"/>
      <c r="K24" t="s">
        <v>111</v>
      </c>
      <c r="L24" t="s">
        <v>112</v>
      </c>
      <c r="M24" s="144">
        <v>0.8</v>
      </c>
    </row>
    <row r="25" spans="2:18" ht="16" thickBot="1" x14ac:dyDescent="0.25">
      <c r="B25" s="109" t="s">
        <v>24</v>
      </c>
      <c r="C25" s="110">
        <f>1500*C3</f>
        <v>90000</v>
      </c>
      <c r="E25" s="59" t="s">
        <v>113</v>
      </c>
      <c r="F25" s="142">
        <v>5.5E-2</v>
      </c>
      <c r="G25" s="131"/>
      <c r="K25" t="s">
        <v>114</v>
      </c>
      <c r="L25" t="s">
        <v>115</v>
      </c>
      <c r="M25" s="144">
        <v>0.1</v>
      </c>
    </row>
    <row r="26" spans="2:18" x14ac:dyDescent="0.2">
      <c r="B26" s="109" t="s">
        <v>26</v>
      </c>
      <c r="C26" s="110">
        <v>300000</v>
      </c>
      <c r="L26" t="s">
        <v>116</v>
      </c>
      <c r="M26" s="144">
        <v>0.5</v>
      </c>
    </row>
    <row r="27" spans="2:18" ht="16" thickBot="1" x14ac:dyDescent="0.25">
      <c r="B27" s="109" t="s">
        <v>117</v>
      </c>
      <c r="C27" s="110">
        <v>300000</v>
      </c>
      <c r="E27" s="1" t="s">
        <v>118</v>
      </c>
    </row>
    <row r="28" spans="2:18" x14ac:dyDescent="0.2">
      <c r="B28" s="109" t="s">
        <v>15</v>
      </c>
      <c r="C28" s="110">
        <v>100000</v>
      </c>
      <c r="E28" s="5" t="s">
        <v>119</v>
      </c>
      <c r="F28" s="5" t="s">
        <v>120</v>
      </c>
      <c r="G28" s="5" t="s">
        <v>121</v>
      </c>
      <c r="H28" s="5" t="s">
        <v>122</v>
      </c>
      <c r="I28" s="5" t="s">
        <v>123</v>
      </c>
      <c r="K28" s="58" t="s">
        <v>124</v>
      </c>
      <c r="L28" s="127" t="s">
        <v>67</v>
      </c>
      <c r="M28" s="127" t="s">
        <v>68</v>
      </c>
      <c r="N28" s="127" t="s">
        <v>69</v>
      </c>
      <c r="O28" s="127" t="s">
        <v>70</v>
      </c>
      <c r="P28" s="127" t="s">
        <v>71</v>
      </c>
      <c r="Q28" s="127" t="s">
        <v>72</v>
      </c>
      <c r="R28" s="128"/>
    </row>
    <row r="29" spans="2:18" x14ac:dyDescent="0.2">
      <c r="B29" s="118" t="s">
        <v>28</v>
      </c>
      <c r="C29" s="119">
        <f>SUM(C18:C28)</f>
        <v>1352000</v>
      </c>
      <c r="E29" s="5" t="s">
        <v>125</v>
      </c>
      <c r="F29" s="5">
        <v>16</v>
      </c>
      <c r="G29" s="52">
        <v>850</v>
      </c>
      <c r="H29" s="56">
        <v>1.4</v>
      </c>
      <c r="I29" s="52">
        <f>G29*H29</f>
        <v>1190</v>
      </c>
      <c r="K29" s="132" t="s">
        <v>126</v>
      </c>
      <c r="L29" s="2" t="e">
        <f>L19</f>
        <v>#REF!</v>
      </c>
      <c r="M29" s="2" t="e">
        <f>M19</f>
        <v>#REF!</v>
      </c>
      <c r="N29" s="2" t="e">
        <f>N19</f>
        <v>#REF!</v>
      </c>
      <c r="O29" s="2" t="e">
        <f>(O8+O16)*$M$24</f>
        <v>#REF!</v>
      </c>
      <c r="P29" s="2" t="e">
        <f>(P8+P16)*$M$24</f>
        <v>#REF!</v>
      </c>
      <c r="Q29" s="2" t="e">
        <f>(Q8+Q16)*$M$24</f>
        <v>#REF!</v>
      </c>
      <c r="R29" s="63"/>
    </row>
    <row r="30" spans="2:18" x14ac:dyDescent="0.2">
      <c r="B30" s="113"/>
      <c r="C30" s="114"/>
      <c r="E30" s="151" t="s">
        <v>127</v>
      </c>
      <c r="F30" s="5">
        <v>36</v>
      </c>
      <c r="G30" s="152">
        <v>1150</v>
      </c>
      <c r="H30" s="153">
        <v>1.25</v>
      </c>
      <c r="I30" s="152">
        <f>G30*H30</f>
        <v>1437.5</v>
      </c>
      <c r="K30" s="132" t="s">
        <v>128</v>
      </c>
      <c r="L30" s="2"/>
      <c r="M30" s="2"/>
      <c r="N30" s="2"/>
      <c r="O30" s="2" t="e">
        <f>O18</f>
        <v>#REF!</v>
      </c>
      <c r="P30" s="2"/>
      <c r="Q30" s="2"/>
      <c r="R30" s="63"/>
    </row>
    <row r="31" spans="2:18" ht="16" thickBot="1" x14ac:dyDescent="0.25">
      <c r="B31" s="120" t="s">
        <v>39</v>
      </c>
      <c r="C31" s="121" t="e">
        <f>C17+C29+C12</f>
        <v>#REF!</v>
      </c>
      <c r="E31" s="5" t="s">
        <v>129</v>
      </c>
      <c r="F31" s="5">
        <v>8</v>
      </c>
      <c r="G31" s="52">
        <v>1300</v>
      </c>
      <c r="H31" s="5">
        <v>1.2</v>
      </c>
      <c r="I31" s="52">
        <f>G31*H31</f>
        <v>1560</v>
      </c>
      <c r="K31" s="132" t="s">
        <v>130</v>
      </c>
      <c r="L31" s="2"/>
      <c r="M31" s="2"/>
      <c r="N31" s="2"/>
      <c r="O31" s="2"/>
      <c r="P31" s="2"/>
      <c r="Q31" s="2" t="e">
        <f>-L29*(1+M25)^5-M29*(1+M25)^4-N29*(1+M25)^3</f>
        <v>#REF!</v>
      </c>
      <c r="R31" s="63"/>
    </row>
    <row r="32" spans="2:18" x14ac:dyDescent="0.2">
      <c r="E32" s="154"/>
      <c r="F32" s="5"/>
      <c r="G32" s="52"/>
      <c r="H32" s="56"/>
      <c r="I32" s="52"/>
      <c r="K32" s="132" t="s">
        <v>131</v>
      </c>
      <c r="L32" s="2"/>
      <c r="M32" s="2"/>
      <c r="N32" s="2"/>
      <c r="O32" s="2"/>
      <c r="P32" s="2"/>
      <c r="Q32" s="2" t="e">
        <f>(Q19-Q29-Q31)*M26</f>
        <v>#REF!</v>
      </c>
      <c r="R32" s="63"/>
    </row>
    <row r="33" spans="3:18" x14ac:dyDescent="0.2">
      <c r="E33" s="154"/>
      <c r="F33" s="5"/>
      <c r="G33" s="152"/>
      <c r="H33" s="153"/>
      <c r="I33" s="155"/>
      <c r="K33" s="130" t="s">
        <v>132</v>
      </c>
      <c r="L33" s="146" t="e">
        <f t="shared" ref="L33:Q33" si="3">SUM(L29:L32)</f>
        <v>#REF!</v>
      </c>
      <c r="M33" s="146" t="e">
        <f t="shared" si="3"/>
        <v>#REF!</v>
      </c>
      <c r="N33" s="146" t="e">
        <f t="shared" si="3"/>
        <v>#REF!</v>
      </c>
      <c r="O33" s="146" t="e">
        <f t="shared" si="3"/>
        <v>#REF!</v>
      </c>
      <c r="P33" s="146" t="e">
        <f t="shared" si="3"/>
        <v>#REF!</v>
      </c>
      <c r="Q33" s="146" t="e">
        <f t="shared" si="3"/>
        <v>#REF!</v>
      </c>
      <c r="R33" s="147"/>
    </row>
    <row r="34" spans="3:18" x14ac:dyDescent="0.2">
      <c r="C34" s="2"/>
      <c r="E34" s="154"/>
      <c r="F34" s="5"/>
      <c r="G34" s="52"/>
      <c r="H34" s="5"/>
      <c r="I34" s="155"/>
      <c r="K34" s="130" t="s">
        <v>133</v>
      </c>
      <c r="L34" s="133" t="e">
        <f>IRR(L33:R33)</f>
        <v>#VALUE!</v>
      </c>
      <c r="M34" s="146"/>
      <c r="N34" s="146"/>
      <c r="O34" s="146"/>
      <c r="P34" s="146"/>
      <c r="Q34" s="146"/>
      <c r="R34" s="147"/>
    </row>
    <row r="35" spans="3:18" ht="16" thickBot="1" x14ac:dyDescent="0.25">
      <c r="E35" s="14" t="s">
        <v>134</v>
      </c>
      <c r="F35" s="52">
        <f>SUM(F29:F34)</f>
        <v>60</v>
      </c>
      <c r="G35" s="52">
        <f>SUMPRODUCT(F29:F34,G29:G34)</f>
        <v>65400</v>
      </c>
      <c r="H35" s="56">
        <f>SUMPRODUCT(F29:F34,G29:G34,H29:H34)/SUMPRODUCT(F29:F34,G29:G34)</f>
        <v>1.2732415902140672</v>
      </c>
      <c r="I35" s="52">
        <f>SUMPRODUCT(F29:F34,I29:I34)/F35</f>
        <v>1387.8333333333333</v>
      </c>
      <c r="K35" s="134" t="s">
        <v>135</v>
      </c>
      <c r="L35" s="137" t="e">
        <f t="shared" ref="L35:Q35" si="4">L19-L33</f>
        <v>#REF!</v>
      </c>
      <c r="M35" s="137" t="e">
        <f t="shared" si="4"/>
        <v>#REF!</v>
      </c>
      <c r="N35" s="137" t="e">
        <f t="shared" si="4"/>
        <v>#REF!</v>
      </c>
      <c r="O35" s="137" t="e">
        <f t="shared" si="4"/>
        <v>#REF!</v>
      </c>
      <c r="P35" s="137" t="e">
        <f t="shared" si="4"/>
        <v>#REF!</v>
      </c>
      <c r="Q35" s="137" t="e">
        <f t="shared" si="4"/>
        <v>#REF!</v>
      </c>
      <c r="R35" s="145"/>
    </row>
  </sheetData>
  <dataValidations count="1">
    <dataValidation showInputMessage="1" showErrorMessage="1" sqref="C7" xr:uid="{FD51DC95-67E8-418B-AB9C-DF74AF2CB2C6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DD73-629D-47C7-905C-A18EB63CFE2D}">
  <dimension ref="A2:S41"/>
  <sheetViews>
    <sheetView tabSelected="1" workbookViewId="0">
      <selection activeCell="I43" sqref="I43"/>
    </sheetView>
  </sheetViews>
  <sheetFormatPr baseColWidth="10" defaultColWidth="8.83203125" defaultRowHeight="15" x14ac:dyDescent="0.2"/>
  <cols>
    <col min="1" max="1" width="18.6640625" bestFit="1" customWidth="1"/>
    <col min="2" max="2" width="10.1640625" customWidth="1"/>
    <col min="3" max="3" width="13.6640625" bestFit="1" customWidth="1"/>
    <col min="5" max="5" width="23.33203125" customWidth="1"/>
    <col min="8" max="8" width="25.83203125" bestFit="1" customWidth="1"/>
  </cols>
  <sheetData>
    <row r="2" spans="1:10" x14ac:dyDescent="0.2">
      <c r="A2" s="269" t="s">
        <v>501</v>
      </c>
      <c r="B2" s="269"/>
    </row>
    <row r="3" spans="1:10" x14ac:dyDescent="0.2">
      <c r="A3" s="5" t="s">
        <v>496</v>
      </c>
      <c r="B3" s="52">
        <v>2500000</v>
      </c>
      <c r="E3" s="270" t="s">
        <v>499</v>
      </c>
      <c r="F3" s="270"/>
      <c r="H3" s="271" t="s">
        <v>506</v>
      </c>
      <c r="I3" s="271"/>
    </row>
    <row r="4" spans="1:10" x14ac:dyDescent="0.2">
      <c r="A4" s="5" t="s">
        <v>497</v>
      </c>
      <c r="B4" s="52">
        <v>2200000</v>
      </c>
      <c r="E4" s="5" t="s">
        <v>602</v>
      </c>
      <c r="F4" s="52">
        <v>200000</v>
      </c>
      <c r="H4" s="271" t="s">
        <v>502</v>
      </c>
      <c r="I4" s="271"/>
    </row>
    <row r="5" spans="1:10" x14ac:dyDescent="0.2">
      <c r="A5" s="5" t="s">
        <v>498</v>
      </c>
      <c r="B5" s="52">
        <f>'Vertical Cost Breakdown'!L2</f>
        <v>9881032.879999999</v>
      </c>
      <c r="E5" s="5" t="s">
        <v>26</v>
      </c>
      <c r="F5" s="52">
        <v>600000</v>
      </c>
      <c r="H5" s="52" t="s">
        <v>505</v>
      </c>
      <c r="I5" s="52">
        <f>13500000*0.015</f>
        <v>202500</v>
      </c>
      <c r="J5" t="s">
        <v>546</v>
      </c>
    </row>
    <row r="6" spans="1:10" x14ac:dyDescent="0.2">
      <c r="A6" s="5" t="s">
        <v>500</v>
      </c>
      <c r="B6" s="52">
        <v>1000000</v>
      </c>
      <c r="E6" s="5" t="s">
        <v>502</v>
      </c>
      <c r="F6" s="52">
        <f>I10</f>
        <v>318250</v>
      </c>
      <c r="H6" s="52" t="s">
        <v>549</v>
      </c>
      <c r="I6" s="52">
        <v>0</v>
      </c>
    </row>
    <row r="7" spans="1:10" x14ac:dyDescent="0.2">
      <c r="A7" s="5" t="s">
        <v>503</v>
      </c>
      <c r="B7" s="52">
        <f>F7</f>
        <v>1118250</v>
      </c>
      <c r="E7" s="20" t="s">
        <v>134</v>
      </c>
      <c r="F7" s="247">
        <f>SUM(F4:F6)</f>
        <v>1118250</v>
      </c>
      <c r="H7" s="52" t="s">
        <v>547</v>
      </c>
      <c r="I7" s="52">
        <v>50000</v>
      </c>
    </row>
    <row r="8" spans="1:10" x14ac:dyDescent="0.2">
      <c r="A8" s="5" t="s">
        <v>504</v>
      </c>
      <c r="B8" s="52">
        <v>200000</v>
      </c>
      <c r="F8" s="2"/>
      <c r="H8" s="52" t="s">
        <v>548</v>
      </c>
      <c r="I8" s="52">
        <f>2000*30</f>
        <v>60000</v>
      </c>
      <c r="J8" s="246"/>
    </row>
    <row r="9" spans="1:10" x14ac:dyDescent="0.2">
      <c r="A9" s="5" t="s">
        <v>554</v>
      </c>
      <c r="B9" s="52">
        <f>'Project Spending Schedule'!I29</f>
        <v>1121142.2247333333</v>
      </c>
      <c r="H9" s="52" t="s">
        <v>550</v>
      </c>
      <c r="I9" s="52">
        <v>65750</v>
      </c>
      <c r="J9" s="245"/>
    </row>
    <row r="10" spans="1:10" x14ac:dyDescent="0.2">
      <c r="A10" s="241" t="s">
        <v>134</v>
      </c>
      <c r="B10" s="242">
        <f>SUM(B3:B9)</f>
        <v>18020425.104733333</v>
      </c>
      <c r="H10" s="247" t="s">
        <v>555</v>
      </c>
      <c r="I10" s="247">
        <f>SUM(I5:I7,I9)</f>
        <v>318250</v>
      </c>
      <c r="J10" s="245"/>
    </row>
    <row r="12" spans="1:10" x14ac:dyDescent="0.2">
      <c r="A12" s="5" t="s">
        <v>507</v>
      </c>
      <c r="B12" s="52">
        <f>B10-B13</f>
        <v>13020425.104733333</v>
      </c>
      <c r="E12" s="2"/>
    </row>
    <row r="13" spans="1:10" x14ac:dyDescent="0.2">
      <c r="A13" s="5" t="s">
        <v>508</v>
      </c>
      <c r="B13" s="52">
        <v>5000000</v>
      </c>
      <c r="E13" s="2"/>
    </row>
    <row r="14" spans="1:10" x14ac:dyDescent="0.2">
      <c r="E14" s="2"/>
      <c r="H14" s="5" t="s">
        <v>544</v>
      </c>
      <c r="I14" s="17">
        <v>5.2999999999999999E-2</v>
      </c>
    </row>
    <row r="15" spans="1:10" x14ac:dyDescent="0.2">
      <c r="A15" s="5" t="s">
        <v>509</v>
      </c>
      <c r="B15" s="52">
        <f>'Sales Price Analysis'!B25</f>
        <v>26043813.038854804</v>
      </c>
      <c r="E15" s="2"/>
      <c r="H15" s="5" t="s">
        <v>545</v>
      </c>
      <c r="I15" s="17">
        <f>6.9%+I14</f>
        <v>0.122</v>
      </c>
    </row>
    <row r="16" spans="1:10" x14ac:dyDescent="0.2">
      <c r="A16" s="5" t="s">
        <v>282</v>
      </c>
      <c r="B16" s="52">
        <f>B15-B10</f>
        <v>8023387.9341214709</v>
      </c>
      <c r="C16" s="2"/>
      <c r="E16" s="16"/>
      <c r="F16" s="16"/>
      <c r="H16" s="5" t="s">
        <v>553</v>
      </c>
      <c r="I16" s="17">
        <v>0.114</v>
      </c>
    </row>
    <row r="18" spans="1:19" x14ac:dyDescent="0.2">
      <c r="A18" s="269" t="s">
        <v>510</v>
      </c>
      <c r="B18" s="269"/>
    </row>
    <row r="19" spans="1:19" x14ac:dyDescent="0.2">
      <c r="A19" s="5" t="s">
        <v>139</v>
      </c>
      <c r="B19" s="56">
        <f>B16/B13+1</f>
        <v>2.6046775868242942</v>
      </c>
      <c r="H19" s="150" t="s">
        <v>576</v>
      </c>
      <c r="I19" s="272" t="s">
        <v>92</v>
      </c>
      <c r="J19" s="272"/>
      <c r="K19" s="272"/>
      <c r="L19" s="272"/>
      <c r="M19" s="272"/>
      <c r="N19" s="272"/>
      <c r="O19" s="272"/>
      <c r="P19" s="272"/>
    </row>
    <row r="20" spans="1:19" x14ac:dyDescent="0.2">
      <c r="A20" s="5" t="s">
        <v>511</v>
      </c>
      <c r="B20" s="5">
        <v>2</v>
      </c>
      <c r="C20" t="s">
        <v>512</v>
      </c>
      <c r="H20" s="17">
        <f>B31</f>
        <v>0.38294406036539552</v>
      </c>
      <c r="I20" s="17">
        <f>I16</f>
        <v>0.114</v>
      </c>
      <c r="J20" s="17">
        <f>I20+0.002</f>
        <v>0.11600000000000001</v>
      </c>
      <c r="K20" s="17">
        <f t="shared" ref="K20:P20" si="0">J20+0.002</f>
        <v>0.11800000000000001</v>
      </c>
      <c r="L20" s="17">
        <f t="shared" si="0"/>
        <v>0.12000000000000001</v>
      </c>
      <c r="M20" s="17">
        <f t="shared" si="0"/>
        <v>0.12200000000000001</v>
      </c>
      <c r="N20" s="17">
        <f>M20+0.002</f>
        <v>0.12400000000000001</v>
      </c>
      <c r="O20" s="17">
        <f t="shared" si="0"/>
        <v>0.126</v>
      </c>
      <c r="P20" s="17">
        <f t="shared" si="0"/>
        <v>0.128</v>
      </c>
      <c r="S20" s="16"/>
    </row>
    <row r="21" spans="1:19" x14ac:dyDescent="0.2">
      <c r="A21" s="5" t="s">
        <v>513</v>
      </c>
      <c r="B21" s="17">
        <f>B19^(1/B20)-1</f>
        <v>0.61390135597696749</v>
      </c>
      <c r="G21" s="267" t="s">
        <v>574</v>
      </c>
      <c r="H21" s="5">
        <v>20000000</v>
      </c>
      <c r="I21" s="17">
        <f t="dataTable" ref="I21:P28" dt2D="1" dtr="1" r1="I15" r2="B15"/>
        <v>0.14695454247663164</v>
      </c>
      <c r="J21" s="17">
        <v>0.14615303709166438</v>
      </c>
      <c r="K21" s="17">
        <v>0.14535097082122084</v>
      </c>
      <c r="L21" s="17">
        <v>0.14454834248614401</v>
      </c>
      <c r="M21" s="250">
        <v>0.14374515090314</v>
      </c>
      <c r="N21" s="17">
        <v>0.14294139488475666</v>
      </c>
      <c r="O21" s="17">
        <v>0.14213707323936364</v>
      </c>
      <c r="P21" s="17">
        <v>0.14133218477113241</v>
      </c>
    </row>
    <row r="22" spans="1:19" x14ac:dyDescent="0.2">
      <c r="G22" s="267"/>
      <c r="H22" s="5">
        <f>H21+1000000</f>
        <v>21000000</v>
      </c>
      <c r="I22" s="17">
        <v>0.18974985711609982</v>
      </c>
      <c r="J22" s="17">
        <v>0.18897720097336035</v>
      </c>
      <c r="K22" s="17">
        <v>0.18820404239386135</v>
      </c>
      <c r="L22" s="17">
        <v>0.18743038039616433</v>
      </c>
      <c r="M22" s="250">
        <v>0.18665621399563159</v>
      </c>
      <c r="N22" s="17">
        <v>0.18588154220441133</v>
      </c>
      <c r="O22" s="17">
        <v>0.185106364031423</v>
      </c>
      <c r="P22" s="17">
        <v>0.18433067848234264</v>
      </c>
    </row>
    <row r="23" spans="1:19" x14ac:dyDescent="0.2">
      <c r="A23" s="269" t="s">
        <v>514</v>
      </c>
      <c r="B23" s="269"/>
      <c r="G23" s="267"/>
      <c r="H23" s="5">
        <f t="shared" ref="H23:H28" si="1">H22+1000000</f>
        <v>22000000</v>
      </c>
      <c r="I23" s="17">
        <v>0.23105837493913328</v>
      </c>
      <c r="J23" s="17">
        <v>0.23031166150469629</v>
      </c>
      <c r="K23" s="17">
        <v>0.22956449459193196</v>
      </c>
      <c r="L23" s="17">
        <v>0.22881687337364465</v>
      </c>
      <c r="M23" s="250">
        <v>0.22806879702012073</v>
      </c>
      <c r="N23" s="17">
        <v>0.22732026469911792</v>
      </c>
      <c r="O23" s="17">
        <v>0.22657127557585466</v>
      </c>
      <c r="P23" s="17">
        <v>0.22582182881299917</v>
      </c>
    </row>
    <row r="24" spans="1:19" x14ac:dyDescent="0.2">
      <c r="A24" s="5" t="s">
        <v>511</v>
      </c>
      <c r="B24" s="5">
        <f>B20</f>
        <v>2</v>
      </c>
      <c r="C24" t="s">
        <v>512</v>
      </c>
      <c r="G24" s="267"/>
      <c r="H24" s="5">
        <f t="shared" si="1"/>
        <v>23000000</v>
      </c>
      <c r="I24" s="17">
        <v>0.27102506761581213</v>
      </c>
      <c r="J24" s="17">
        <v>0.27030184776471389</v>
      </c>
      <c r="K24" s="17">
        <v>0.26957821592886244</v>
      </c>
      <c r="L24" s="17">
        <v>0.26885417140338852</v>
      </c>
      <c r="M24" s="250">
        <v>0.26812971348141112</v>
      </c>
      <c r="N24" s="17">
        <v>0.2674048414540291</v>
      </c>
      <c r="O24" s="17">
        <v>0.26667955461031245</v>
      </c>
      <c r="P24" s="17">
        <v>0.26595385223729462</v>
      </c>
    </row>
    <row r="25" spans="1:19" x14ac:dyDescent="0.2">
      <c r="A25" s="5" t="s">
        <v>515</v>
      </c>
      <c r="B25" s="92">
        <v>0.1</v>
      </c>
      <c r="G25" s="267"/>
      <c r="H25" s="5">
        <f t="shared" si="1"/>
        <v>24000000</v>
      </c>
      <c r="I25" s="17">
        <v>0.30977277514375734</v>
      </c>
      <c r="J25" s="17">
        <v>0.30907096233720122</v>
      </c>
      <c r="K25" s="17">
        <v>0.30836877307627342</v>
      </c>
      <c r="L25" s="17">
        <v>0.30766620675452927</v>
      </c>
      <c r="M25" s="250">
        <v>0.30696326276389496</v>
      </c>
      <c r="N25" s="17">
        <v>0.30625994049465999</v>
      </c>
      <c r="O25" s="17">
        <v>0.30555623933547182</v>
      </c>
      <c r="P25" s="17">
        <v>0.30485215867332882</v>
      </c>
    </row>
    <row r="26" spans="1:19" x14ac:dyDescent="0.2">
      <c r="A26" s="5" t="s">
        <v>136</v>
      </c>
      <c r="B26" s="52">
        <f>IF(B13*((1+B25/12)^(12*B24)-1)&gt;B16, B16, B13*((1+B25/12)^(12*B24)-1))</f>
        <v>1101954.8068777951</v>
      </c>
      <c r="G26" s="267"/>
      <c r="H26" s="5">
        <f t="shared" si="1"/>
        <v>25000000</v>
      </c>
      <c r="I26" s="17">
        <v>0.34740666560165856</v>
      </c>
      <c r="J26" s="17">
        <v>0.3467244649275687</v>
      </c>
      <c r="K26" s="17">
        <v>0.3460419185007253</v>
      </c>
      <c r="L26" s="17">
        <v>0.34535902579489153</v>
      </c>
      <c r="M26" s="250">
        <v>0.34467578628249496</v>
      </c>
      <c r="N26" s="17">
        <v>0.343992199434622</v>
      </c>
      <c r="O26" s="17">
        <v>0.34330826472101306</v>
      </c>
      <c r="P26" s="17">
        <v>0.34262398161005825</v>
      </c>
    </row>
    <row r="27" spans="1:19" x14ac:dyDescent="0.2">
      <c r="A27" s="5" t="s">
        <v>516</v>
      </c>
      <c r="B27" s="92">
        <v>0.5</v>
      </c>
      <c r="G27" s="267"/>
      <c r="H27" s="5">
        <f t="shared" si="1"/>
        <v>26000000</v>
      </c>
      <c r="I27" s="250">
        <v>0.38401760195012691</v>
      </c>
      <c r="J27" s="250">
        <v>0.38335345607492743</v>
      </c>
      <c r="K27" s="250">
        <v>0.38268899119111843</v>
      </c>
      <c r="L27" s="250">
        <v>0.38202420683857041</v>
      </c>
      <c r="M27" s="250">
        <v>0.38135910255604655</v>
      </c>
      <c r="N27" s="250">
        <v>0.38069367788119934</v>
      </c>
      <c r="O27" s="250">
        <v>0.38002793235056642</v>
      </c>
      <c r="P27" s="250">
        <v>0.37936186549956719</v>
      </c>
    </row>
    <row r="28" spans="1:19" x14ac:dyDescent="0.2">
      <c r="A28" s="5" t="s">
        <v>137</v>
      </c>
      <c r="B28" s="52">
        <f>(B16-B26)*B27</f>
        <v>3460716.5636218376</v>
      </c>
      <c r="G28" s="267"/>
      <c r="H28" s="5">
        <f t="shared" si="1"/>
        <v>27000000</v>
      </c>
      <c r="I28" s="17">
        <v>0.41968472644731225</v>
      </c>
      <c r="J28" s="17">
        <v>0.41903727380025013</v>
      </c>
      <c r="K28" s="17">
        <v>0.4183895256103356</v>
      </c>
      <c r="L28" s="17">
        <v>0.41774148147247891</v>
      </c>
      <c r="M28" s="250">
        <v>0.41709314098066486</v>
      </c>
      <c r="N28" s="17">
        <v>0.41644450372794783</v>
      </c>
      <c r="O28" s="17">
        <v>0.41579556930645167</v>
      </c>
      <c r="P28" s="17">
        <v>0.41514633730736339</v>
      </c>
    </row>
    <row r="29" spans="1:19" x14ac:dyDescent="0.2">
      <c r="A29" s="5" t="s">
        <v>517</v>
      </c>
      <c r="B29" s="52">
        <f>B26+B28</f>
        <v>4562671.3704996333</v>
      </c>
    </row>
    <row r="30" spans="1:19" x14ac:dyDescent="0.2">
      <c r="A30" s="5" t="s">
        <v>139</v>
      </c>
      <c r="B30" s="56">
        <f>B29/B13+1</f>
        <v>1.9125342740999267</v>
      </c>
      <c r="F30" s="260"/>
      <c r="G30" s="260"/>
      <c r="H30" s="260"/>
      <c r="I30" s="260"/>
      <c r="J30" s="260"/>
      <c r="K30" s="260"/>
      <c r="L30" s="260"/>
      <c r="M30" s="260"/>
      <c r="N30" s="260"/>
      <c r="O30" s="260"/>
      <c r="P30" s="260"/>
    </row>
    <row r="31" spans="1:19" x14ac:dyDescent="0.2">
      <c r="A31" s="5" t="s">
        <v>513</v>
      </c>
      <c r="B31" s="17">
        <f>B30^(1/B24)-1</f>
        <v>0.38294406036539552</v>
      </c>
      <c r="F31" s="260"/>
      <c r="G31" s="260"/>
      <c r="H31" s="261"/>
      <c r="I31" s="268"/>
      <c r="J31" s="268"/>
      <c r="K31" s="268"/>
      <c r="L31" s="268"/>
      <c r="M31" s="268"/>
      <c r="N31" s="268"/>
      <c r="O31" s="268"/>
      <c r="P31" s="268"/>
    </row>
    <row r="32" spans="1:19" x14ac:dyDescent="0.2">
      <c r="F32" s="260"/>
      <c r="G32" s="260"/>
      <c r="H32" s="262"/>
      <c r="I32" s="262"/>
      <c r="J32" s="262"/>
      <c r="K32" s="262"/>
      <c r="L32" s="262"/>
      <c r="M32" s="262"/>
      <c r="N32" s="262"/>
      <c r="O32" s="262"/>
      <c r="P32" s="262"/>
    </row>
    <row r="33" spans="3:16" x14ac:dyDescent="0.2">
      <c r="F33" s="260"/>
      <c r="G33" s="260"/>
      <c r="H33" s="260"/>
      <c r="I33" s="263"/>
      <c r="J33" s="263"/>
      <c r="K33" s="263"/>
      <c r="L33" s="263"/>
      <c r="M33" s="263"/>
      <c r="N33" s="263"/>
      <c r="O33" s="263"/>
      <c r="P33" s="263"/>
    </row>
    <row r="34" spans="3:16" x14ac:dyDescent="0.2">
      <c r="F34" s="260"/>
      <c r="H34" s="260"/>
      <c r="I34" s="263"/>
      <c r="J34" s="263"/>
      <c r="K34" s="263"/>
      <c r="L34" s="263"/>
      <c r="M34" s="263"/>
      <c r="N34" s="263"/>
      <c r="O34" s="263"/>
      <c r="P34" s="263"/>
    </row>
    <row r="35" spans="3:16" x14ac:dyDescent="0.2">
      <c r="C35" s="288"/>
      <c r="F35" s="260"/>
      <c r="H35" s="260"/>
      <c r="I35" s="263"/>
      <c r="J35" s="263"/>
      <c r="K35" s="263"/>
      <c r="L35" s="263"/>
      <c r="M35" s="263"/>
      <c r="N35" s="263"/>
      <c r="O35" s="263"/>
      <c r="P35" s="263"/>
    </row>
    <row r="36" spans="3:16" x14ac:dyDescent="0.2">
      <c r="F36" s="260"/>
      <c r="H36" s="260"/>
      <c r="I36" s="263"/>
      <c r="J36" s="263"/>
      <c r="K36" s="263"/>
      <c r="L36" s="263"/>
      <c r="M36" s="263"/>
      <c r="N36" s="263"/>
      <c r="O36" s="263"/>
      <c r="P36" s="263"/>
    </row>
    <row r="37" spans="3:16" x14ac:dyDescent="0.2">
      <c r="F37" s="260"/>
      <c r="H37" s="260"/>
      <c r="I37" s="263"/>
      <c r="J37" s="263"/>
      <c r="K37" s="263"/>
      <c r="L37" s="263"/>
      <c r="M37" s="263"/>
      <c r="N37" s="263"/>
      <c r="O37" s="263"/>
      <c r="P37" s="263"/>
    </row>
    <row r="38" spans="3:16" x14ac:dyDescent="0.2">
      <c r="F38" s="260"/>
      <c r="H38" s="260"/>
      <c r="I38" s="263"/>
      <c r="J38" s="263"/>
      <c r="K38" s="263"/>
      <c r="L38" s="263"/>
      <c r="M38" s="263"/>
      <c r="N38" s="263"/>
      <c r="O38" s="263"/>
      <c r="P38" s="263"/>
    </row>
    <row r="39" spans="3:16" x14ac:dyDescent="0.2">
      <c r="F39" s="260"/>
      <c r="H39" s="260"/>
      <c r="I39" s="263"/>
      <c r="J39" s="263"/>
      <c r="K39" s="263"/>
      <c r="L39" s="263"/>
      <c r="M39" s="263"/>
      <c r="N39" s="263"/>
      <c r="O39" s="263"/>
      <c r="P39" s="263"/>
    </row>
    <row r="40" spans="3:16" x14ac:dyDescent="0.2">
      <c r="F40" s="260"/>
      <c r="H40" s="260"/>
      <c r="I40" s="260"/>
      <c r="J40" s="260"/>
      <c r="K40" s="260"/>
      <c r="L40" s="260"/>
      <c r="M40" s="260"/>
      <c r="N40" s="260"/>
      <c r="O40" s="260"/>
      <c r="P40" s="260"/>
    </row>
    <row r="41" spans="3:16" x14ac:dyDescent="0.2">
      <c r="F41" s="260"/>
      <c r="H41" s="260"/>
      <c r="I41" s="260"/>
      <c r="J41" s="260"/>
      <c r="K41" s="260"/>
      <c r="L41" s="260"/>
      <c r="M41" s="260"/>
      <c r="N41" s="260"/>
      <c r="O41" s="260"/>
      <c r="P41" s="260"/>
    </row>
  </sheetData>
  <mergeCells count="9">
    <mergeCell ref="I31:P31"/>
    <mergeCell ref="A23:B23"/>
    <mergeCell ref="A2:B2"/>
    <mergeCell ref="E3:F3"/>
    <mergeCell ref="H4:I4"/>
    <mergeCell ref="H3:I3"/>
    <mergeCell ref="A18:B18"/>
    <mergeCell ref="I19:P19"/>
    <mergeCell ref="G21:G28"/>
  </mergeCells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E84B-712A-4BA6-ACD1-ACB23DB58DA7}">
  <dimension ref="A2:M25"/>
  <sheetViews>
    <sheetView zoomScale="125" workbookViewId="0">
      <selection activeCell="D21" sqref="D21"/>
    </sheetView>
  </sheetViews>
  <sheetFormatPr baseColWidth="10" defaultColWidth="8.83203125" defaultRowHeight="15" x14ac:dyDescent="0.2"/>
  <cols>
    <col min="1" max="1" width="21" bestFit="1" customWidth="1"/>
    <col min="2" max="2" width="14.83203125" bestFit="1" customWidth="1"/>
    <col min="5" max="5" width="10.1640625" bestFit="1" customWidth="1"/>
    <col min="6" max="6" width="10.5" customWidth="1"/>
    <col min="7" max="7" width="12.1640625" customWidth="1"/>
    <col min="8" max="8" width="10.33203125" customWidth="1"/>
    <col min="9" max="10" width="10.83203125" customWidth="1"/>
    <col min="11" max="11" width="12.33203125" customWidth="1"/>
    <col min="12" max="12" width="13" customWidth="1"/>
    <col min="13" max="13" width="11.6640625" customWidth="1"/>
  </cols>
  <sheetData>
    <row r="2" spans="1:13" x14ac:dyDescent="0.2">
      <c r="A2" s="5" t="s">
        <v>110</v>
      </c>
      <c r="B2" s="52">
        <f>'Vertical Cost Breakdown'!L3</f>
        <v>90056</v>
      </c>
      <c r="C2" s="5" t="s">
        <v>140</v>
      </c>
    </row>
    <row r="3" spans="1:13" x14ac:dyDescent="0.2">
      <c r="A3" s="5" t="s">
        <v>560</v>
      </c>
      <c r="B3" s="5">
        <v>1.7</v>
      </c>
      <c r="C3" s="5" t="s">
        <v>561</v>
      </c>
    </row>
    <row r="4" spans="1:13" x14ac:dyDescent="0.2">
      <c r="A4" s="5" t="s">
        <v>562</v>
      </c>
      <c r="B4" s="92">
        <v>0.05</v>
      </c>
      <c r="C4" s="5"/>
    </row>
    <row r="5" spans="1:13" x14ac:dyDescent="0.2">
      <c r="E5" s="150" t="s">
        <v>509</v>
      </c>
    </row>
    <row r="6" spans="1:13" x14ac:dyDescent="0.2">
      <c r="A6" s="79" t="s">
        <v>80</v>
      </c>
      <c r="B6" s="69">
        <f>B2*B3*12</f>
        <v>1837142.4</v>
      </c>
      <c r="F6" s="274" t="s">
        <v>573</v>
      </c>
      <c r="G6" s="274"/>
      <c r="H6" s="274"/>
      <c r="I6" s="274"/>
      <c r="J6" s="274"/>
      <c r="K6" s="274"/>
      <c r="L6" s="274"/>
      <c r="M6" s="274"/>
    </row>
    <row r="7" spans="1:13" x14ac:dyDescent="0.2">
      <c r="A7" s="14" t="s">
        <v>563</v>
      </c>
      <c r="B7" s="52">
        <f>B6*B4</f>
        <v>91857.12</v>
      </c>
      <c r="E7" s="249">
        <f>B25</f>
        <v>26043813.038854804</v>
      </c>
      <c r="F7" s="17">
        <v>4.4999999999999998E-2</v>
      </c>
      <c r="G7" s="17">
        <v>4.7500000000000001E-2</v>
      </c>
      <c r="H7" s="17">
        <v>0.05</v>
      </c>
      <c r="I7" s="17">
        <v>5.2499999999999998E-2</v>
      </c>
      <c r="J7" s="17">
        <v>5.5E-2</v>
      </c>
      <c r="K7" s="17">
        <v>5.7500000000000002E-2</v>
      </c>
      <c r="L7" s="17">
        <v>0.06</v>
      </c>
      <c r="M7" s="17">
        <v>6.25E-2</v>
      </c>
    </row>
    <row r="8" spans="1:13" x14ac:dyDescent="0.2">
      <c r="A8" s="79" t="s">
        <v>81</v>
      </c>
      <c r="B8" s="69">
        <f>B6-B7</f>
        <v>1745285.2799999998</v>
      </c>
      <c r="D8" s="273" t="s">
        <v>560</v>
      </c>
      <c r="E8" s="56">
        <v>1.4</v>
      </c>
      <c r="F8" s="52">
        <f t="dataTable" ref="F8:M16" dt2D="1" dtr="1" r1="B23" r2="B3"/>
        <v>22004227.982222218</v>
      </c>
      <c r="G8" s="52">
        <v>20846110.719999995</v>
      </c>
      <c r="H8" s="252">
        <v>19803805.183999993</v>
      </c>
      <c r="I8" s="52">
        <v>18860766.841904759</v>
      </c>
      <c r="J8" s="52">
        <v>18003459.258181814</v>
      </c>
      <c r="K8" s="52">
        <v>17220700.159999996</v>
      </c>
      <c r="L8" s="52">
        <v>16503170.986666663</v>
      </c>
      <c r="M8" s="52">
        <v>15843044.147199996</v>
      </c>
    </row>
    <row r="9" spans="1:13" x14ac:dyDescent="0.2">
      <c r="A9" s="14" t="s">
        <v>564</v>
      </c>
      <c r="B9" s="52">
        <f>30*12*83</f>
        <v>29880</v>
      </c>
      <c r="D9" s="273"/>
      <c r="E9" s="56">
        <v>1.45</v>
      </c>
      <c r="F9" s="52">
        <v>23053680.568888888</v>
      </c>
      <c r="G9" s="52">
        <v>21840328.959999997</v>
      </c>
      <c r="H9" s="252">
        <v>20748312.511999998</v>
      </c>
      <c r="I9" s="52">
        <v>19760297.630476188</v>
      </c>
      <c r="J9" s="52">
        <v>18862102.283636361</v>
      </c>
      <c r="K9" s="52">
        <v>18042010.879999999</v>
      </c>
      <c r="L9" s="52">
        <v>17290260.426666666</v>
      </c>
      <c r="M9" s="52">
        <v>16598650.009599999</v>
      </c>
    </row>
    <row r="10" spans="1:13" x14ac:dyDescent="0.2">
      <c r="A10" s="79" t="s">
        <v>32</v>
      </c>
      <c r="B10" s="69">
        <f>B8+B9</f>
        <v>1775165.2799999998</v>
      </c>
      <c r="D10" s="273"/>
      <c r="E10" s="56">
        <v>1.5</v>
      </c>
      <c r="F10" s="52">
        <v>24103133.155555557</v>
      </c>
      <c r="G10" s="52">
        <v>22834547.200000003</v>
      </c>
      <c r="H10" s="252">
        <v>21692819.84</v>
      </c>
      <c r="I10" s="52">
        <v>20659828.41904762</v>
      </c>
      <c r="J10" s="52">
        <v>19720745.309090912</v>
      </c>
      <c r="K10" s="52">
        <v>18863321.600000001</v>
      </c>
      <c r="L10" s="52">
        <v>18077349.866666667</v>
      </c>
      <c r="M10" s="52">
        <v>17354255.872000001</v>
      </c>
    </row>
    <row r="11" spans="1:13" x14ac:dyDescent="0.2">
      <c r="A11" s="14" t="s">
        <v>565</v>
      </c>
      <c r="B11" s="52">
        <f>B8*0.08</f>
        <v>139622.82239999998</v>
      </c>
      <c r="D11" s="273"/>
      <c r="E11" s="56">
        <v>1.55</v>
      </c>
      <c r="F11" s="52">
        <v>25152585.742222223</v>
      </c>
      <c r="G11" s="52">
        <v>23828765.440000001</v>
      </c>
      <c r="H11" s="252">
        <v>22637327.167999998</v>
      </c>
      <c r="I11" s="52">
        <v>21559359.207619049</v>
      </c>
      <c r="J11" s="52">
        <v>20579388.334545456</v>
      </c>
      <c r="K11" s="52">
        <v>19684632.32</v>
      </c>
      <c r="L11" s="52">
        <v>18864439.306666669</v>
      </c>
      <c r="M11" s="52">
        <v>18109861.7344</v>
      </c>
    </row>
    <row r="12" spans="1:13" x14ac:dyDescent="0.2">
      <c r="A12" s="14" t="s">
        <v>566</v>
      </c>
      <c r="B12" s="52">
        <f>2500*12</f>
        <v>30000</v>
      </c>
      <c r="D12" s="273"/>
      <c r="E12" s="56">
        <v>1.6</v>
      </c>
      <c r="F12" s="52">
        <v>26202038.328888893</v>
      </c>
      <c r="G12" s="52">
        <v>24822983.680000003</v>
      </c>
      <c r="H12" s="252">
        <v>23581834.496000003</v>
      </c>
      <c r="I12" s="52">
        <v>22458889.996190481</v>
      </c>
      <c r="J12" s="52">
        <v>21438031.360000003</v>
      </c>
      <c r="K12" s="52">
        <v>20505943.040000003</v>
      </c>
      <c r="L12" s="52">
        <v>19651528.74666667</v>
      </c>
      <c r="M12" s="52">
        <v>18865467.596800003</v>
      </c>
    </row>
    <row r="13" spans="1:13" x14ac:dyDescent="0.2">
      <c r="A13" s="14" t="s">
        <v>172</v>
      </c>
      <c r="B13" s="52">
        <v>35000</v>
      </c>
      <c r="D13" s="273"/>
      <c r="E13" s="56">
        <v>1.7</v>
      </c>
      <c r="F13" s="252">
        <v>28300943.502222221</v>
      </c>
      <c r="G13" s="252">
        <v>26811420.159999996</v>
      </c>
      <c r="H13" s="252">
        <v>25470849.151999995</v>
      </c>
      <c r="I13" s="252">
        <v>24257951.57333333</v>
      </c>
      <c r="J13" s="252">
        <v>23155317.410909086</v>
      </c>
      <c r="K13" s="252">
        <v>22148564.479999997</v>
      </c>
      <c r="L13" s="252">
        <v>21225707.626666665</v>
      </c>
      <c r="M13" s="252">
        <v>20376679.321599998</v>
      </c>
    </row>
    <row r="14" spans="1:13" x14ac:dyDescent="0.2">
      <c r="A14" s="14" t="s">
        <v>567</v>
      </c>
      <c r="B14" s="52">
        <f>150000</f>
        <v>150000</v>
      </c>
      <c r="D14" s="273"/>
      <c r="E14" s="56">
        <v>1.8</v>
      </c>
      <c r="F14" s="52">
        <v>30399848.675555561</v>
      </c>
      <c r="G14" s="52">
        <v>28799856.640000004</v>
      </c>
      <c r="H14" s="252">
        <v>27359863.808000002</v>
      </c>
      <c r="I14" s="52">
        <v>26057013.150476195</v>
      </c>
      <c r="J14" s="52">
        <v>24872603.461818185</v>
      </c>
      <c r="K14" s="52">
        <v>23791185.920000002</v>
      </c>
      <c r="L14" s="52">
        <v>22799886.506666671</v>
      </c>
      <c r="M14" s="52">
        <v>21887891.046400003</v>
      </c>
    </row>
    <row r="15" spans="1:13" x14ac:dyDescent="0.2">
      <c r="A15" s="14" t="s">
        <v>568</v>
      </c>
      <c r="B15" s="52">
        <v>70000</v>
      </c>
      <c r="D15" s="273"/>
      <c r="E15" s="56">
        <v>1.9</v>
      </c>
      <c r="F15" s="52">
        <v>32498753.848888882</v>
      </c>
      <c r="G15" s="52">
        <v>30788293.11999999</v>
      </c>
      <c r="H15" s="252">
        <v>29248878.46399999</v>
      </c>
      <c r="I15" s="52">
        <v>27856074.727619041</v>
      </c>
      <c r="J15" s="52">
        <v>26589889.512727264</v>
      </c>
      <c r="K15" s="52">
        <v>25433807.359999992</v>
      </c>
      <c r="L15" s="52">
        <v>24374065.386666659</v>
      </c>
      <c r="M15" s="52">
        <v>23399102.771199994</v>
      </c>
    </row>
    <row r="16" spans="1:13" x14ac:dyDescent="0.2">
      <c r="A16" s="14" t="s">
        <v>569</v>
      </c>
      <c r="B16" s="52">
        <v>5000</v>
      </c>
      <c r="D16" s="273"/>
      <c r="E16" s="56">
        <v>2</v>
      </c>
      <c r="F16" s="52">
        <v>34597659.022222221</v>
      </c>
      <c r="G16" s="52">
        <v>32776729.599999998</v>
      </c>
      <c r="H16" s="252">
        <v>31137893.119999997</v>
      </c>
      <c r="I16" s="52">
        <v>29655136.304761905</v>
      </c>
      <c r="J16" s="52">
        <v>28307175.563636363</v>
      </c>
      <c r="K16" s="52">
        <v>27076428.799999997</v>
      </c>
      <c r="L16" s="52">
        <v>25948244.266666666</v>
      </c>
      <c r="M16" s="52">
        <v>24910314.495999999</v>
      </c>
    </row>
    <row r="17" spans="1:2" x14ac:dyDescent="0.2">
      <c r="A17" s="14" t="s">
        <v>570</v>
      </c>
      <c r="B17" s="52">
        <v>12000</v>
      </c>
    </row>
    <row r="18" spans="1:2" x14ac:dyDescent="0.2">
      <c r="A18" s="14" t="s">
        <v>571</v>
      </c>
      <c r="B18" s="52">
        <v>24000</v>
      </c>
    </row>
    <row r="19" spans="1:2" x14ac:dyDescent="0.2">
      <c r="A19" s="14" t="s">
        <v>15</v>
      </c>
      <c r="B19" s="52">
        <v>36000</v>
      </c>
    </row>
    <row r="20" spans="1:2" x14ac:dyDescent="0.2">
      <c r="A20" s="79" t="s">
        <v>572</v>
      </c>
      <c r="B20" s="69">
        <f>SUM(B11:B19)</f>
        <v>501622.82239999995</v>
      </c>
    </row>
    <row r="21" spans="1:2" x14ac:dyDescent="0.2">
      <c r="A21" s="79" t="s">
        <v>89</v>
      </c>
      <c r="B21" s="69">
        <f>B10-B20</f>
        <v>1273542.4575999998</v>
      </c>
    </row>
    <row r="23" spans="1:2" x14ac:dyDescent="0.2">
      <c r="A23" s="79" t="s">
        <v>573</v>
      </c>
      <c r="B23" s="248">
        <v>4.8899999999999999E-2</v>
      </c>
    </row>
    <row r="25" spans="1:2" x14ac:dyDescent="0.2">
      <c r="A25" s="79" t="s">
        <v>574</v>
      </c>
      <c r="B25" s="69">
        <f>B21/B23</f>
        <v>26043813.038854804</v>
      </c>
    </row>
  </sheetData>
  <mergeCells count="2">
    <mergeCell ref="D8:D16"/>
    <mergeCell ref="F6:M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8C25-EDE1-4897-A519-615BD22EAE89}">
  <dimension ref="A2:V38"/>
  <sheetViews>
    <sheetView zoomScale="93" workbookViewId="0">
      <selection activeCell="D42" sqref="D42"/>
    </sheetView>
  </sheetViews>
  <sheetFormatPr baseColWidth="10" defaultColWidth="8.83203125" defaultRowHeight="15" x14ac:dyDescent="0.2"/>
  <cols>
    <col min="1" max="1" width="21" bestFit="1" customWidth="1"/>
    <col min="2" max="2" width="14.83203125" bestFit="1" customWidth="1"/>
    <col min="3" max="4" width="9.33203125" bestFit="1" customWidth="1"/>
    <col min="5" max="5" width="16.1640625" bestFit="1" customWidth="1"/>
    <col min="6" max="6" width="13.5" bestFit="1" customWidth="1"/>
    <col min="7" max="8" width="9.6640625" bestFit="1" customWidth="1"/>
    <col min="9" max="9" width="17.5" bestFit="1" customWidth="1"/>
    <col min="10" max="13" width="9.6640625" bestFit="1" customWidth="1"/>
    <col min="14" max="14" width="19" bestFit="1" customWidth="1"/>
    <col min="15" max="15" width="14.83203125" bestFit="1" customWidth="1"/>
    <col min="16" max="16" width="11.33203125" customWidth="1"/>
    <col min="17" max="17" width="10.6640625" customWidth="1"/>
    <col min="18" max="18" width="11" customWidth="1"/>
    <col min="19" max="19" width="11.1640625" customWidth="1"/>
    <col min="20" max="20" width="11.5" customWidth="1"/>
    <col min="21" max="22" width="10.83203125" customWidth="1"/>
  </cols>
  <sheetData>
    <row r="2" spans="1:22" x14ac:dyDescent="0.2">
      <c r="A2" s="5" t="s">
        <v>110</v>
      </c>
      <c r="B2" s="52">
        <f>'Vertical Cost Breakdown'!L3</f>
        <v>90056</v>
      </c>
      <c r="C2" s="5" t="s">
        <v>140</v>
      </c>
      <c r="E2" s="5" t="s">
        <v>584</v>
      </c>
      <c r="F2" s="52">
        <v>13131291.061899997</v>
      </c>
      <c r="G2" s="5"/>
      <c r="I2" s="5" t="s">
        <v>593</v>
      </c>
      <c r="J2" s="52">
        <f>'Sale at CO Summary'!B13</f>
        <v>5000000</v>
      </c>
    </row>
    <row r="3" spans="1:22" x14ac:dyDescent="0.2">
      <c r="A3" s="5" t="s">
        <v>560</v>
      </c>
      <c r="B3" s="5">
        <v>1.7</v>
      </c>
      <c r="C3" s="5" t="s">
        <v>561</v>
      </c>
      <c r="E3" s="5" t="s">
        <v>83</v>
      </c>
      <c r="F3" s="17">
        <f>'Sale at CO Summary'!I15-0.04</f>
        <v>8.199999999999999E-2</v>
      </c>
      <c r="G3" s="5"/>
      <c r="I3" s="5" t="s">
        <v>511</v>
      </c>
      <c r="J3" s="5">
        <v>5</v>
      </c>
    </row>
    <row r="4" spans="1:22" x14ac:dyDescent="0.2">
      <c r="A4" s="5" t="s">
        <v>580</v>
      </c>
      <c r="B4" s="92">
        <v>0.2</v>
      </c>
      <c r="C4" s="5"/>
      <c r="E4" s="5" t="s">
        <v>86</v>
      </c>
      <c r="F4" s="5">
        <v>3</v>
      </c>
      <c r="G4" s="5" t="s">
        <v>585</v>
      </c>
      <c r="I4" s="5" t="s">
        <v>515</v>
      </c>
      <c r="J4" s="92">
        <v>0.1</v>
      </c>
    </row>
    <row r="5" spans="1:22" x14ac:dyDescent="0.2">
      <c r="A5" s="5" t="s">
        <v>581</v>
      </c>
      <c r="B5" s="92">
        <v>0.05</v>
      </c>
      <c r="C5" s="5"/>
      <c r="E5" s="5" t="s">
        <v>588</v>
      </c>
      <c r="F5" s="94">
        <f>F3-3%</f>
        <v>5.1999999999999991E-2</v>
      </c>
      <c r="G5" s="5"/>
      <c r="I5" s="5" t="s">
        <v>136</v>
      </c>
      <c r="J5" s="52">
        <f>J2*((1+J4/12)^(12*J3)-1)</f>
        <v>3226544.6738929236</v>
      </c>
    </row>
    <row r="6" spans="1:22" x14ac:dyDescent="0.2">
      <c r="A6" s="5" t="s">
        <v>583</v>
      </c>
      <c r="B6" s="94">
        <v>2.5000000000000001E-2</v>
      </c>
      <c r="C6" s="5"/>
      <c r="E6" s="5" t="s">
        <v>587</v>
      </c>
      <c r="F6" s="5">
        <v>20</v>
      </c>
      <c r="G6" s="5" t="s">
        <v>512</v>
      </c>
      <c r="I6" s="5" t="s">
        <v>516</v>
      </c>
      <c r="J6" s="92">
        <v>0.5</v>
      </c>
    </row>
    <row r="7" spans="1:22" x14ac:dyDescent="0.2">
      <c r="A7" s="5" t="s">
        <v>582</v>
      </c>
      <c r="B7" s="94">
        <v>0.02</v>
      </c>
      <c r="C7" s="5"/>
      <c r="E7" s="5" t="s">
        <v>86</v>
      </c>
      <c r="F7" s="15">
        <f>F2*F3</f>
        <v>1076765.8670757997</v>
      </c>
      <c r="G7" s="5"/>
      <c r="I7" s="5" t="s">
        <v>137</v>
      </c>
      <c r="J7" s="52">
        <f>(I34-J2-J5)*J6</f>
        <v>5121860.9089600667</v>
      </c>
    </row>
    <row r="8" spans="1:22" x14ac:dyDescent="0.2">
      <c r="A8" s="256" t="s">
        <v>573</v>
      </c>
      <c r="B8" s="17">
        <v>0.05</v>
      </c>
      <c r="E8" s="5" t="s">
        <v>586</v>
      </c>
      <c r="F8" s="52">
        <f>F2*0.015</f>
        <v>196969.36592849996</v>
      </c>
      <c r="G8" s="5"/>
      <c r="I8" s="5" t="s">
        <v>517</v>
      </c>
      <c r="J8" s="52">
        <f>J5+J7</f>
        <v>8348405.5828529904</v>
      </c>
    </row>
    <row r="9" spans="1:22" x14ac:dyDescent="0.2">
      <c r="B9" s="254"/>
      <c r="E9" s="5" t="s">
        <v>589</v>
      </c>
      <c r="F9" s="52">
        <f>PMT(F5,F6,F2)</f>
        <v>-1071630.8577212212</v>
      </c>
      <c r="G9" s="5"/>
      <c r="I9" s="5" t="s">
        <v>139</v>
      </c>
      <c r="J9" s="56">
        <f>J8/J2+1</f>
        <v>2.6696811165705983</v>
      </c>
    </row>
    <row r="10" spans="1:22" x14ac:dyDescent="0.2">
      <c r="B10" s="254"/>
      <c r="E10" s="5" t="s">
        <v>591</v>
      </c>
      <c r="F10" s="52">
        <f>PV(F5,18,F9,0,0)</f>
        <v>12333465.823325044</v>
      </c>
      <c r="G10" s="5"/>
      <c r="I10" s="5" t="s">
        <v>513</v>
      </c>
      <c r="J10" s="17">
        <f>J9^(1/J3)-1</f>
        <v>0.2170036420621082</v>
      </c>
    </row>
    <row r="11" spans="1:22" x14ac:dyDescent="0.2">
      <c r="B11" s="11"/>
    </row>
    <row r="12" spans="1:22" x14ac:dyDescent="0.2">
      <c r="B12" s="6" t="s">
        <v>592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578</v>
      </c>
      <c r="J12" s="6" t="s">
        <v>579</v>
      </c>
      <c r="N12" s="150" t="s">
        <v>509</v>
      </c>
    </row>
    <row r="13" spans="1:22" x14ac:dyDescent="0.2">
      <c r="A13" s="79" t="s">
        <v>80</v>
      </c>
      <c r="B13" s="258"/>
      <c r="C13" s="258"/>
      <c r="D13" s="258"/>
      <c r="E13" s="253">
        <f>B2*B3*12</f>
        <v>1837142.4</v>
      </c>
      <c r="F13" s="69">
        <f>E13*(1+$B$6)</f>
        <v>1883070.9599999997</v>
      </c>
      <c r="G13" s="69">
        <f t="shared" ref="G13:J13" si="0">F13*(1+$B$6)</f>
        <v>1930147.7339999995</v>
      </c>
      <c r="H13" s="69">
        <f t="shared" si="0"/>
        <v>1978401.4273499993</v>
      </c>
      <c r="I13" s="69">
        <f t="shared" si="0"/>
        <v>2027861.463033749</v>
      </c>
      <c r="J13" s="69">
        <f t="shared" si="0"/>
        <v>2078557.9996095926</v>
      </c>
      <c r="O13" s="274" t="s">
        <v>573</v>
      </c>
      <c r="P13" s="274"/>
      <c r="Q13" s="274"/>
      <c r="R13" s="274"/>
      <c r="S13" s="274"/>
      <c r="T13" s="274"/>
      <c r="U13" s="274"/>
      <c r="V13" s="274"/>
    </row>
    <row r="14" spans="1:22" x14ac:dyDescent="0.2">
      <c r="A14" s="14" t="s">
        <v>563</v>
      </c>
      <c r="B14" s="14"/>
      <c r="C14" s="14"/>
      <c r="D14" s="14"/>
      <c r="E14" s="52">
        <f>E13*B4</f>
        <v>367428.48</v>
      </c>
      <c r="F14" s="52">
        <f>F13*$B$5</f>
        <v>94153.547999999995</v>
      </c>
      <c r="G14" s="52">
        <f t="shared" ref="G14:J14" si="1">G13*$B$5</f>
        <v>96507.386699999974</v>
      </c>
      <c r="H14" s="52">
        <f t="shared" si="1"/>
        <v>98920.071367499972</v>
      </c>
      <c r="I14" s="52">
        <f t="shared" si="1"/>
        <v>101393.07315168745</v>
      </c>
      <c r="J14" s="52">
        <f t="shared" si="1"/>
        <v>103927.89998047963</v>
      </c>
      <c r="N14" s="249">
        <f>I31</f>
        <v>29562562.984978061</v>
      </c>
      <c r="O14" s="17">
        <v>4.4999999999999998E-2</v>
      </c>
      <c r="P14" s="17">
        <v>4.7500000000000001E-2</v>
      </c>
      <c r="Q14" s="17">
        <v>0.05</v>
      </c>
      <c r="R14" s="17">
        <v>5.2499999999999998E-2</v>
      </c>
      <c r="S14" s="17">
        <v>5.5E-2</v>
      </c>
      <c r="T14" s="17">
        <v>5.7500000000000002E-2</v>
      </c>
      <c r="U14" s="17">
        <v>0.06</v>
      </c>
      <c r="V14" s="17">
        <v>6.25E-2</v>
      </c>
    </row>
    <row r="15" spans="1:22" x14ac:dyDescent="0.2">
      <c r="A15" s="79" t="s">
        <v>81</v>
      </c>
      <c r="B15" s="79"/>
      <c r="C15" s="79"/>
      <c r="D15" s="79"/>
      <c r="E15" s="69">
        <f>E13-E14</f>
        <v>1469713.92</v>
      </c>
      <c r="F15" s="69">
        <f t="shared" ref="F15:J15" si="2">F13-F14</f>
        <v>1788917.4119999998</v>
      </c>
      <c r="G15" s="69">
        <f t="shared" si="2"/>
        <v>1833640.3472999996</v>
      </c>
      <c r="H15" s="69">
        <f t="shared" si="2"/>
        <v>1879481.3559824994</v>
      </c>
      <c r="I15" s="69">
        <f t="shared" si="2"/>
        <v>1926468.3898820616</v>
      </c>
      <c r="J15" s="69">
        <f t="shared" si="2"/>
        <v>1974630.099629113</v>
      </c>
      <c r="M15" s="273" t="s">
        <v>560</v>
      </c>
      <c r="N15" s="56">
        <v>1.4</v>
      </c>
      <c r="O15" s="52">
        <f t="dataTable" ref="O15:V23" dt2D="1" dtr="1" r1="B8" r2="B3" ca="1"/>
        <v>25612721.752167705</v>
      </c>
      <c r="P15" s="52">
        <v>24264683.765211511</v>
      </c>
      <c r="Q15" s="252">
        <v>23051449.576950934</v>
      </c>
      <c r="R15" s="52">
        <v>21953761.501858033</v>
      </c>
      <c r="S15" s="52">
        <v>20955863.251773577</v>
      </c>
      <c r="T15" s="52">
        <v>20044738.76256603</v>
      </c>
      <c r="U15" s="52">
        <v>19209541.31412578</v>
      </c>
      <c r="V15" s="52">
        <v>18441159.661560748</v>
      </c>
    </row>
    <row r="16" spans="1:22" x14ac:dyDescent="0.2">
      <c r="A16" s="14" t="s">
        <v>564</v>
      </c>
      <c r="B16" s="14"/>
      <c r="C16" s="14"/>
      <c r="D16" s="14"/>
      <c r="E16" s="52">
        <f>30*12*83</f>
        <v>29880</v>
      </c>
      <c r="F16" s="52">
        <f>E16*(1+$B$7)</f>
        <v>30477.600000000002</v>
      </c>
      <c r="G16" s="52">
        <f t="shared" ref="G16:J16" si="3">F16*(1+$B$7)</f>
        <v>31087.152000000002</v>
      </c>
      <c r="H16" s="52">
        <f t="shared" si="3"/>
        <v>31708.895040000003</v>
      </c>
      <c r="I16" s="52">
        <f t="shared" si="3"/>
        <v>32343.072940800004</v>
      </c>
      <c r="J16" s="52">
        <f t="shared" si="3"/>
        <v>32989.934399616002</v>
      </c>
      <c r="M16" s="273"/>
      <c r="N16" s="56">
        <v>1.45</v>
      </c>
      <c r="O16" s="52">
        <v>26818483.494394939</v>
      </c>
      <c r="P16" s="52">
        <v>25406984.363110997</v>
      </c>
      <c r="Q16" s="252">
        <v>24136635.144955445</v>
      </c>
      <c r="R16" s="52">
        <v>22987271.566624235</v>
      </c>
      <c r="S16" s="52">
        <v>21942395.586323131</v>
      </c>
      <c r="T16" s="52">
        <v>20988378.386917777</v>
      </c>
      <c r="U16" s="52">
        <v>20113862.620796207</v>
      </c>
      <c r="V16" s="52">
        <v>19309308.115964357</v>
      </c>
    </row>
    <row r="17" spans="1:22" x14ac:dyDescent="0.2">
      <c r="A17" s="79" t="s">
        <v>32</v>
      </c>
      <c r="B17" s="79"/>
      <c r="C17" s="79"/>
      <c r="D17" s="79"/>
      <c r="E17" s="69">
        <f>E15+E16</f>
        <v>1499593.92</v>
      </c>
      <c r="F17" s="69">
        <f t="shared" ref="F17:J17" si="4">F15+F16</f>
        <v>1819395.0119999999</v>
      </c>
      <c r="G17" s="69">
        <f t="shared" si="4"/>
        <v>1864727.4992999996</v>
      </c>
      <c r="H17" s="69">
        <f t="shared" si="4"/>
        <v>1911190.2510224995</v>
      </c>
      <c r="I17" s="69">
        <f t="shared" si="4"/>
        <v>1958811.4628228617</v>
      </c>
      <c r="J17" s="69">
        <f t="shared" si="4"/>
        <v>2007620.034028729</v>
      </c>
      <c r="M17" s="273"/>
      <c r="N17" s="56">
        <v>1.5</v>
      </c>
      <c r="O17" s="52">
        <v>28024245.236622203</v>
      </c>
      <c r="P17" s="52">
        <v>26549284.961010505</v>
      </c>
      <c r="Q17" s="252">
        <v>25221820.712959979</v>
      </c>
      <c r="R17" s="52">
        <v>24020781.63139046</v>
      </c>
      <c r="S17" s="52">
        <v>22928927.920872711</v>
      </c>
      <c r="T17" s="52">
        <v>21932018.011269547</v>
      </c>
      <c r="U17" s="52">
        <v>21018183.92746665</v>
      </c>
      <c r="V17" s="52">
        <v>20177456.570367984</v>
      </c>
    </row>
    <row r="18" spans="1:22" x14ac:dyDescent="0.2">
      <c r="A18" s="14" t="s">
        <v>565</v>
      </c>
      <c r="B18" s="14"/>
      <c r="C18" s="14"/>
      <c r="D18" s="14"/>
      <c r="E18" s="52">
        <f>E15*0.08</f>
        <v>117577.1136</v>
      </c>
      <c r="F18" s="52">
        <f>E18*(1+$B$7)</f>
        <v>119928.655872</v>
      </c>
      <c r="G18" s="52">
        <f t="shared" ref="G18:J18" si="5">F18*(1+$B$7)</f>
        <v>122327.22898944</v>
      </c>
      <c r="H18" s="52">
        <f t="shared" si="5"/>
        <v>124773.7735692288</v>
      </c>
      <c r="I18" s="52">
        <f t="shared" si="5"/>
        <v>127269.24904061337</v>
      </c>
      <c r="J18" s="52">
        <f t="shared" si="5"/>
        <v>129814.63402142565</v>
      </c>
      <c r="M18" s="273"/>
      <c r="N18" s="56">
        <v>1.55</v>
      </c>
      <c r="O18" s="52">
        <v>29230006.978849452</v>
      </c>
      <c r="P18" s="52">
        <v>27691585.558910005</v>
      </c>
      <c r="Q18" s="252">
        <v>26307006.280964505</v>
      </c>
      <c r="R18" s="52">
        <v>25054291.696156673</v>
      </c>
      <c r="S18" s="52">
        <v>23915460.255422279</v>
      </c>
      <c r="T18" s="52">
        <v>22875657.635621309</v>
      </c>
      <c r="U18" s="52">
        <v>21922505.234137088</v>
      </c>
      <c r="V18" s="52">
        <v>21045605.024771605</v>
      </c>
    </row>
    <row r="19" spans="1:22" x14ac:dyDescent="0.2">
      <c r="A19" s="14" t="s">
        <v>566</v>
      </c>
      <c r="B19" s="14"/>
      <c r="C19" s="14"/>
      <c r="D19" s="14"/>
      <c r="E19" s="52">
        <f>2500*12</f>
        <v>30000</v>
      </c>
      <c r="F19" s="52">
        <f t="shared" ref="F19:J26" si="6">E19*(1+$B$7)</f>
        <v>30600</v>
      </c>
      <c r="G19" s="52">
        <f t="shared" si="6"/>
        <v>31212</v>
      </c>
      <c r="H19" s="52">
        <f t="shared" si="6"/>
        <v>31836.240000000002</v>
      </c>
      <c r="I19" s="52">
        <f t="shared" si="6"/>
        <v>32472.964800000002</v>
      </c>
      <c r="J19" s="52">
        <f t="shared" si="6"/>
        <v>33122.424096000002</v>
      </c>
      <c r="M19" s="273"/>
      <c r="N19" s="56">
        <v>1.6</v>
      </c>
      <c r="O19" s="52">
        <v>30435768.721076697</v>
      </c>
      <c r="P19" s="52">
        <v>28833886.156809501</v>
      </c>
      <c r="Q19" s="252">
        <v>27392191.848969024</v>
      </c>
      <c r="R19" s="52">
        <v>26087801.760922883</v>
      </c>
      <c r="S19" s="52">
        <v>24901992.58997184</v>
      </c>
      <c r="T19" s="52">
        <v>23819297.259973064</v>
      </c>
      <c r="U19" s="52">
        <v>22826826.540807523</v>
      </c>
      <c r="V19" s="52">
        <v>21913753.479175221</v>
      </c>
    </row>
    <row r="20" spans="1:22" x14ac:dyDescent="0.2">
      <c r="A20" s="14" t="s">
        <v>172</v>
      </c>
      <c r="B20" s="14"/>
      <c r="C20" s="14"/>
      <c r="D20" s="14"/>
      <c r="E20" s="52">
        <v>35000</v>
      </c>
      <c r="F20" s="52">
        <f t="shared" si="6"/>
        <v>35700</v>
      </c>
      <c r="G20" s="52">
        <f t="shared" si="6"/>
        <v>36414</v>
      </c>
      <c r="H20" s="52">
        <f t="shared" si="6"/>
        <v>37142.28</v>
      </c>
      <c r="I20" s="52">
        <f t="shared" si="6"/>
        <v>37885.125599999999</v>
      </c>
      <c r="J20" s="52">
        <f t="shared" si="6"/>
        <v>38642.828112000003</v>
      </c>
      <c r="M20" s="273"/>
      <c r="N20" s="56">
        <v>1.7</v>
      </c>
      <c r="O20" s="252">
        <v>32847292.205531184</v>
      </c>
      <c r="P20" s="252">
        <v>31118487.352608487</v>
      </c>
      <c r="Q20" s="252">
        <v>29562562.984978061</v>
      </c>
      <c r="R20" s="252">
        <v>28154821.890455298</v>
      </c>
      <c r="S20" s="252">
        <v>26875057.259070966</v>
      </c>
      <c r="T20" s="252">
        <v>25706576.508676574</v>
      </c>
      <c r="U20" s="252">
        <v>24635469.154148385</v>
      </c>
      <c r="V20" s="252">
        <v>23650050.38798245</v>
      </c>
    </row>
    <row r="21" spans="1:22" x14ac:dyDescent="0.2">
      <c r="A21" s="14" t="s">
        <v>567</v>
      </c>
      <c r="B21" s="14"/>
      <c r="C21" s="14"/>
      <c r="D21" s="14"/>
      <c r="E21" s="52">
        <f>150000</f>
        <v>150000</v>
      </c>
      <c r="F21" s="52">
        <f t="shared" si="6"/>
        <v>153000</v>
      </c>
      <c r="G21" s="52">
        <f t="shared" si="6"/>
        <v>156060</v>
      </c>
      <c r="H21" s="52">
        <f t="shared" si="6"/>
        <v>159181.20000000001</v>
      </c>
      <c r="I21" s="52">
        <f t="shared" si="6"/>
        <v>162364.82400000002</v>
      </c>
      <c r="J21" s="52">
        <f t="shared" si="6"/>
        <v>165612.12048000001</v>
      </c>
      <c r="M21" s="273"/>
      <c r="N21" s="56">
        <v>1.8</v>
      </c>
      <c r="O21" s="52">
        <v>35258815.689985693</v>
      </c>
      <c r="P21" s="52">
        <v>33403088.548407499</v>
      </c>
      <c r="Q21" s="252">
        <v>31732934.120987121</v>
      </c>
      <c r="R21" s="52">
        <v>30221842.019987736</v>
      </c>
      <c r="S21" s="52">
        <v>28848121.928170111</v>
      </c>
      <c r="T21" s="52">
        <v>27593855.757380106</v>
      </c>
      <c r="U21" s="52">
        <v>26444111.767489269</v>
      </c>
      <c r="V21" s="52">
        <v>25386347.296789698</v>
      </c>
    </row>
    <row r="22" spans="1:22" x14ac:dyDescent="0.2">
      <c r="A22" s="14" t="s">
        <v>568</v>
      </c>
      <c r="B22" s="14"/>
      <c r="C22" s="14"/>
      <c r="D22" s="14"/>
      <c r="E22" s="52">
        <v>70000</v>
      </c>
      <c r="F22" s="52">
        <f t="shared" si="6"/>
        <v>71400</v>
      </c>
      <c r="G22" s="52">
        <f t="shared" si="6"/>
        <v>72828</v>
      </c>
      <c r="H22" s="52">
        <f t="shared" si="6"/>
        <v>74284.56</v>
      </c>
      <c r="I22" s="52">
        <f t="shared" si="6"/>
        <v>75770.251199999999</v>
      </c>
      <c r="J22" s="52">
        <f t="shared" si="6"/>
        <v>77285.656224000006</v>
      </c>
      <c r="M22" s="273"/>
      <c r="N22" s="56">
        <v>1.9</v>
      </c>
      <c r="O22" s="52">
        <v>37670339.174440175</v>
      </c>
      <c r="P22" s="52">
        <v>35687689.744206481</v>
      </c>
      <c r="Q22" s="252">
        <v>33903305.256996155</v>
      </c>
      <c r="R22" s="52">
        <v>32288862.149520148</v>
      </c>
      <c r="S22" s="52">
        <v>30821186.597269233</v>
      </c>
      <c r="T22" s="52">
        <v>29481135.006083611</v>
      </c>
      <c r="U22" s="52">
        <v>28252754.380830131</v>
      </c>
      <c r="V22" s="52">
        <v>27122644.205596924</v>
      </c>
    </row>
    <row r="23" spans="1:22" x14ac:dyDescent="0.2">
      <c r="A23" s="14" t="s">
        <v>569</v>
      </c>
      <c r="B23" s="14"/>
      <c r="C23" s="14"/>
      <c r="D23" s="14"/>
      <c r="E23" s="52">
        <v>5000</v>
      </c>
      <c r="F23" s="52">
        <f t="shared" si="6"/>
        <v>5100</v>
      </c>
      <c r="G23" s="52">
        <f t="shared" si="6"/>
        <v>5202</v>
      </c>
      <c r="H23" s="52">
        <f t="shared" si="6"/>
        <v>5306.04</v>
      </c>
      <c r="I23" s="52">
        <f t="shared" si="6"/>
        <v>5412.1607999999997</v>
      </c>
      <c r="J23" s="52">
        <f t="shared" si="6"/>
        <v>5520.4040159999995</v>
      </c>
      <c r="M23" s="273"/>
      <c r="N23" s="56">
        <v>2</v>
      </c>
      <c r="O23" s="52">
        <v>40081862.658894673</v>
      </c>
      <c r="P23" s="52">
        <v>37972290.940005481</v>
      </c>
      <c r="Q23" s="252">
        <v>36073676.3930052</v>
      </c>
      <c r="R23" s="52">
        <v>34355882.279052578</v>
      </c>
      <c r="S23" s="52">
        <v>32794251.266368367</v>
      </c>
      <c r="T23" s="52">
        <v>31368414.254787132</v>
      </c>
      <c r="U23" s="52">
        <v>30061396.994171005</v>
      </c>
      <c r="V23" s="52">
        <v>28858941.114404164</v>
      </c>
    </row>
    <row r="24" spans="1:22" x14ac:dyDescent="0.2">
      <c r="A24" s="14" t="s">
        <v>570</v>
      </c>
      <c r="B24" s="14"/>
      <c r="C24" s="14"/>
      <c r="D24" s="14"/>
      <c r="E24" s="52">
        <v>12000</v>
      </c>
      <c r="F24" s="52">
        <f t="shared" si="6"/>
        <v>12240</v>
      </c>
      <c r="G24" s="52">
        <f t="shared" si="6"/>
        <v>12484.800000000001</v>
      </c>
      <c r="H24" s="52">
        <f t="shared" si="6"/>
        <v>12734.496000000001</v>
      </c>
      <c r="I24" s="52">
        <f t="shared" si="6"/>
        <v>12989.185920000002</v>
      </c>
      <c r="J24" s="52">
        <f t="shared" si="6"/>
        <v>13248.969638400002</v>
      </c>
    </row>
    <row r="25" spans="1:22" x14ac:dyDescent="0.2">
      <c r="A25" s="14" t="s">
        <v>571</v>
      </c>
      <c r="B25" s="14"/>
      <c r="C25" s="14"/>
      <c r="D25" s="14"/>
      <c r="E25" s="52">
        <v>24000</v>
      </c>
      <c r="F25" s="52">
        <f t="shared" si="6"/>
        <v>24480</v>
      </c>
      <c r="G25" s="52">
        <f t="shared" si="6"/>
        <v>24969.600000000002</v>
      </c>
      <c r="H25" s="52">
        <f t="shared" si="6"/>
        <v>25468.992000000002</v>
      </c>
      <c r="I25" s="52">
        <f t="shared" si="6"/>
        <v>25978.371840000003</v>
      </c>
      <c r="J25" s="52">
        <f t="shared" si="6"/>
        <v>26497.939276800003</v>
      </c>
    </row>
    <row r="26" spans="1:22" x14ac:dyDescent="0.2">
      <c r="A26" s="14" t="s">
        <v>15</v>
      </c>
      <c r="B26" s="14"/>
      <c r="C26" s="14"/>
      <c r="D26" s="14"/>
      <c r="E26" s="52">
        <v>36000</v>
      </c>
      <c r="F26" s="52">
        <f t="shared" si="6"/>
        <v>36720</v>
      </c>
      <c r="G26" s="52">
        <f t="shared" si="6"/>
        <v>37454.400000000001</v>
      </c>
      <c r="H26" s="52">
        <f t="shared" si="6"/>
        <v>38203.488000000005</v>
      </c>
      <c r="I26" s="52">
        <f t="shared" si="6"/>
        <v>38967.557760000003</v>
      </c>
      <c r="J26" s="52">
        <f t="shared" si="6"/>
        <v>39746.908915200002</v>
      </c>
      <c r="K26" s="255"/>
      <c r="N26" s="150" t="s">
        <v>576</v>
      </c>
      <c r="O26" s="272" t="s">
        <v>598</v>
      </c>
      <c r="P26" s="272"/>
      <c r="Q26" s="272"/>
      <c r="R26" s="272"/>
      <c r="S26" s="272"/>
      <c r="T26" s="272"/>
      <c r="U26" s="272"/>
      <c r="V26" s="272"/>
    </row>
    <row r="27" spans="1:22" x14ac:dyDescent="0.2">
      <c r="A27" s="79" t="s">
        <v>572</v>
      </c>
      <c r="B27" s="79"/>
      <c r="C27" s="79"/>
      <c r="D27" s="79"/>
      <c r="E27" s="69">
        <f>SUM(E18:E26)</f>
        <v>479577.11359999998</v>
      </c>
      <c r="F27" s="69">
        <f t="shared" ref="F27:J27" si="7">SUM(F18:F26)</f>
        <v>489168.65587200003</v>
      </c>
      <c r="G27" s="69">
        <f t="shared" si="7"/>
        <v>498952.02898944</v>
      </c>
      <c r="H27" s="69">
        <f t="shared" si="7"/>
        <v>508931.0695692288</v>
      </c>
      <c r="I27" s="69">
        <f t="shared" si="7"/>
        <v>519109.69096061343</v>
      </c>
      <c r="J27" s="69">
        <f t="shared" si="7"/>
        <v>529491.88477982581</v>
      </c>
      <c r="N27" s="96">
        <f>B37</f>
        <v>0.2170036420621082</v>
      </c>
      <c r="O27" s="17">
        <v>5.3999999999999999E-2</v>
      </c>
      <c r="P27" s="17">
        <f>O27+0.2%</f>
        <v>5.6000000000000001E-2</v>
      </c>
      <c r="Q27" s="17">
        <f t="shared" ref="Q27:V27" si="8">P27+0.2%</f>
        <v>5.8000000000000003E-2</v>
      </c>
      <c r="R27" s="17">
        <f t="shared" si="8"/>
        <v>6.0000000000000005E-2</v>
      </c>
      <c r="S27" s="17">
        <f t="shared" si="8"/>
        <v>6.2000000000000006E-2</v>
      </c>
      <c r="T27" s="17">
        <f t="shared" si="8"/>
        <v>6.4000000000000001E-2</v>
      </c>
      <c r="U27" s="17">
        <f t="shared" si="8"/>
        <v>6.6000000000000003E-2</v>
      </c>
      <c r="V27" s="17">
        <f t="shared" si="8"/>
        <v>6.8000000000000005E-2</v>
      </c>
    </row>
    <row r="28" spans="1:22" x14ac:dyDescent="0.2">
      <c r="A28" s="79" t="s">
        <v>89</v>
      </c>
      <c r="B28" s="79"/>
      <c r="C28" s="79"/>
      <c r="D28" s="79"/>
      <c r="E28" s="69">
        <f>E17-E27</f>
        <v>1020016.8063999999</v>
      </c>
      <c r="F28" s="69">
        <f t="shared" ref="F28:J28" si="9">F17-F27</f>
        <v>1330226.3561279997</v>
      </c>
      <c r="G28" s="69">
        <f t="shared" si="9"/>
        <v>1365775.4703105595</v>
      </c>
      <c r="H28" s="69">
        <f t="shared" si="9"/>
        <v>1402259.1814532708</v>
      </c>
      <c r="I28" s="69">
        <f t="shared" si="9"/>
        <v>1439701.7718622484</v>
      </c>
      <c r="J28" s="69">
        <f t="shared" si="9"/>
        <v>1478128.1492489032</v>
      </c>
      <c r="M28" s="267" t="s">
        <v>574</v>
      </c>
      <c r="N28" s="265">
        <v>25000000</v>
      </c>
      <c r="O28" s="17">
        <f t="dataTable" ref="O28:V35" dt2D="1" dtr="1" r1="F3" r2="I31" ca="1"/>
        <v>0.18733175573404415</v>
      </c>
      <c r="P28" s="17">
        <v>0.18628048270909003</v>
      </c>
      <c r="Q28" s="17">
        <v>0.18522509679941646</v>
      </c>
      <c r="R28" s="17">
        <v>0.18416557356660612</v>
      </c>
      <c r="S28" s="250">
        <v>0.1831018881608284</v>
      </c>
      <c r="T28" s="17">
        <v>0.18203401531057328</v>
      </c>
      <c r="U28" s="17">
        <v>0.18096192931232635</v>
      </c>
      <c r="V28" s="17">
        <v>0.17988560402018861</v>
      </c>
    </row>
    <row r="29" spans="1:22" x14ac:dyDescent="0.2">
      <c r="A29" s="80"/>
      <c r="B29" s="80"/>
      <c r="C29" s="80"/>
      <c r="D29" s="80"/>
      <c r="E29" s="146"/>
      <c r="F29" s="146"/>
      <c r="G29" s="146"/>
      <c r="H29" s="146"/>
      <c r="I29" s="146"/>
      <c r="J29" s="146"/>
      <c r="M29" s="267"/>
      <c r="N29" s="265">
        <f>N28+1000000</f>
        <v>26000000</v>
      </c>
      <c r="O29" s="17">
        <v>0.19722871213409943</v>
      </c>
      <c r="P29" s="17">
        <v>0.1962118453985171</v>
      </c>
      <c r="Q29" s="17">
        <v>0.19519114840839435</v>
      </c>
      <c r="R29" s="17">
        <v>0.1941666000173532</v>
      </c>
      <c r="S29" s="250">
        <v>0.19313817872386396</v>
      </c>
      <c r="T29" s="17">
        <v>0.19210586266229845</v>
      </c>
      <c r="U29" s="17">
        <v>0.19106962959395535</v>
      </c>
      <c r="V29" s="17">
        <v>0.19002945689806383</v>
      </c>
    </row>
    <row r="30" spans="1:22" x14ac:dyDescent="0.2">
      <c r="A30" s="79" t="s">
        <v>590</v>
      </c>
      <c r="B30" s="79"/>
      <c r="C30" s="79"/>
      <c r="D30" s="79"/>
      <c r="E30" s="69">
        <f>-$F$7</f>
        <v>-1076765.8670757997</v>
      </c>
      <c r="F30" s="257">
        <f t="shared" ref="F30:G30" si="10">-$F$7</f>
        <v>-1076765.8670757997</v>
      </c>
      <c r="G30" s="69">
        <f t="shared" si="10"/>
        <v>-1076765.8670757997</v>
      </c>
      <c r="H30" s="69">
        <f>$F$9</f>
        <v>-1071630.8577212212</v>
      </c>
      <c r="I30" s="69">
        <f t="shared" ref="I30:J30" si="11">$F$9</f>
        <v>-1071630.8577212212</v>
      </c>
      <c r="J30" s="69">
        <f t="shared" si="11"/>
        <v>-1071630.8577212212</v>
      </c>
      <c r="M30" s="267"/>
      <c r="N30" s="265">
        <f t="shared" ref="N30:N35" si="12">N29+1000000</f>
        <v>27000000</v>
      </c>
      <c r="O30" s="250">
        <v>0.2068088376193391</v>
      </c>
      <c r="P30" s="250">
        <v>0.20582394305775176</v>
      </c>
      <c r="Q30" s="250">
        <v>0.20483547077433739</v>
      </c>
      <c r="R30" s="250">
        <v>0.2038434024275142</v>
      </c>
      <c r="S30" s="250">
        <v>0.20284771936667134</v>
      </c>
      <c r="T30" s="250">
        <v>0.20184840262427883</v>
      </c>
      <c r="U30" s="250">
        <v>0.20084543290799006</v>
      </c>
      <c r="V30" s="250">
        <v>0.19983879059274789</v>
      </c>
    </row>
    <row r="31" spans="1:22" x14ac:dyDescent="0.2">
      <c r="A31" s="79" t="s">
        <v>574</v>
      </c>
      <c r="B31" s="79"/>
      <c r="C31" s="79"/>
      <c r="D31" s="79"/>
      <c r="E31" s="5"/>
      <c r="F31" s="146"/>
      <c r="G31" s="146"/>
      <c r="H31" s="146"/>
      <c r="I31" s="69">
        <f>J28/B8</f>
        <v>29562562.984978061</v>
      </c>
      <c r="J31" s="146"/>
      <c r="M31" s="267"/>
      <c r="N31" s="265">
        <f t="shared" si="12"/>
        <v>28000000</v>
      </c>
      <c r="O31" s="17">
        <v>0.21609407843058048</v>
      </c>
      <c r="P31" s="17">
        <v>0.21513897967752849</v>
      </c>
      <c r="Q31" s="17">
        <v>0.21418052985836389</v>
      </c>
      <c r="R31" s="17">
        <v>0.21321871303499385</v>
      </c>
      <c r="S31" s="250">
        <v>0.21225351299840733</v>
      </c>
      <c r="T31" s="17">
        <v>0.21128491326163656</v>
      </c>
      <c r="U31" s="17">
        <v>0.21031289705273171</v>
      </c>
      <c r="V31" s="17">
        <v>0.2093374473077545</v>
      </c>
    </row>
    <row r="32" spans="1:22" x14ac:dyDescent="0.2">
      <c r="A32" s="79" t="s">
        <v>591</v>
      </c>
      <c r="B32" s="79"/>
      <c r="C32" s="79"/>
      <c r="D32" s="79"/>
      <c r="E32" s="52">
        <f>-F8</f>
        <v>-196969.36592849996</v>
      </c>
      <c r="I32" s="52">
        <f>-F10</f>
        <v>-12333465.823325044</v>
      </c>
      <c r="M32" s="267"/>
      <c r="N32" s="265">
        <f t="shared" si="12"/>
        <v>29000000</v>
      </c>
      <c r="O32" s="17">
        <v>0.22510410341139453</v>
      </c>
      <c r="P32" s="17">
        <v>0.22417684615937894</v>
      </c>
      <c r="Q32" s="17">
        <v>0.22324644211757994</v>
      </c>
      <c r="R32" s="17">
        <v>0.22231287741844641</v>
      </c>
      <c r="S32" s="250">
        <v>0.2213761379552277</v>
      </c>
      <c r="T32" s="17">
        <v>0.22043620937563246</v>
      </c>
      <c r="U32" s="17">
        <v>0.21949307707551391</v>
      </c>
      <c r="V32" s="17">
        <v>0.21854672619258819</v>
      </c>
    </row>
    <row r="33" spans="1:22" x14ac:dyDescent="0.2">
      <c r="M33" s="267"/>
      <c r="N33" s="265">
        <f t="shared" si="12"/>
        <v>30000000</v>
      </c>
      <c r="O33" s="17">
        <v>0.2338566133181208</v>
      </c>
      <c r="P33" s="17">
        <v>0.23295543564936483</v>
      </c>
      <c r="Q33" s="17">
        <v>0.23205129600715235</v>
      </c>
      <c r="R33" s="17">
        <v>0.23114418231637113</v>
      </c>
      <c r="S33" s="250">
        <v>0.23023408228928899</v>
      </c>
      <c r="T33" s="17">
        <v>0.22932098341978757</v>
      </c>
      <c r="U33" s="17">
        <v>0.22840487297763357</v>
      </c>
      <c r="V33" s="17">
        <v>0.22748573800279415</v>
      </c>
    </row>
    <row r="34" spans="1:22" x14ac:dyDescent="0.2">
      <c r="A34" s="79" t="s">
        <v>595</v>
      </c>
      <c r="B34" s="79"/>
      <c r="C34" s="79"/>
      <c r="D34" s="79"/>
      <c r="E34" s="69">
        <f>SUM(E28:E32)</f>
        <v>-253718.42660429981</v>
      </c>
      <c r="F34" s="69"/>
      <c r="G34" s="69"/>
      <c r="H34" s="69"/>
      <c r="I34" s="69">
        <f>SUM(F28:I32)</f>
        <v>18470266.491813056</v>
      </c>
      <c r="M34" s="267"/>
      <c r="N34" s="265">
        <f t="shared" si="12"/>
        <v>31000000</v>
      </c>
      <c r="O34" s="17">
        <v>0.2423675988901195</v>
      </c>
      <c r="P34" s="17">
        <v>0.24149090644533455</v>
      </c>
      <c r="Q34" s="17">
        <v>0.24061141983637402</v>
      </c>
      <c r="R34" s="17">
        <v>0.23972912854681838</v>
      </c>
      <c r="S34" s="250">
        <v>0.23884402187004183</v>
      </c>
      <c r="T34" s="17">
        <v>0.23795608890392583</v>
      </c>
      <c r="U34" s="17">
        <v>0.23706531854561819</v>
      </c>
      <c r="V34" s="17">
        <v>0.23617169948634409</v>
      </c>
    </row>
    <row r="35" spans="1:22" x14ac:dyDescent="0.2">
      <c r="A35" s="79" t="s">
        <v>594</v>
      </c>
      <c r="B35" s="52">
        <f>-J2</f>
        <v>-5000000</v>
      </c>
      <c r="C35" s="5"/>
      <c r="D35" s="5"/>
      <c r="E35" s="5"/>
      <c r="F35" s="5"/>
      <c r="G35" s="5"/>
      <c r="H35" s="5"/>
      <c r="I35" s="52">
        <f>J2+J8</f>
        <v>13348405.582852989</v>
      </c>
      <c r="M35" s="267"/>
      <c r="N35" s="265">
        <f t="shared" si="12"/>
        <v>32000000</v>
      </c>
      <c r="O35" s="17">
        <v>0.25065155759587787</v>
      </c>
      <c r="P35" s="17">
        <v>0.24979790265841517</v>
      </c>
      <c r="Q35" s="17">
        <v>0.24894160643280583</v>
      </c>
      <c r="R35" s="17">
        <v>0.24808265976371491</v>
      </c>
      <c r="S35" s="250">
        <v>0.24722105332461464</v>
      </c>
      <c r="T35" s="17">
        <v>0.2463567776129012</v>
      </c>
      <c r="U35" s="17">
        <v>0.24548982294506505</v>
      </c>
      <c r="V35" s="17">
        <v>0.24462017945191716</v>
      </c>
    </row>
    <row r="36" spans="1:22" x14ac:dyDescent="0.2">
      <c r="A36" s="79" t="s">
        <v>596</v>
      </c>
      <c r="B36" s="259">
        <f>-I35/B35</f>
        <v>2.6696811165705978</v>
      </c>
    </row>
    <row r="37" spans="1:22" x14ac:dyDescent="0.2">
      <c r="A37" s="79" t="s">
        <v>597</v>
      </c>
      <c r="B37" s="17">
        <f>B36^(1/5)-1</f>
        <v>0.2170036420621082</v>
      </c>
    </row>
    <row r="38" spans="1:22" x14ac:dyDescent="0.2">
      <c r="A38" s="79" t="s">
        <v>575</v>
      </c>
      <c r="B38" s="52">
        <f>I34-I35</f>
        <v>5121860.9089600667</v>
      </c>
    </row>
  </sheetData>
  <mergeCells count="4">
    <mergeCell ref="O13:V13"/>
    <mergeCell ref="M15:M23"/>
    <mergeCell ref="O26:V26"/>
    <mergeCell ref="M28:M35"/>
  </mergeCells>
  <phoneticPr fontId="5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5A63-C3C7-4E20-8D1A-F7D1647EF2EC}">
  <dimension ref="A1:O31"/>
  <sheetViews>
    <sheetView zoomScale="119" workbookViewId="0">
      <selection activeCell="H32" sqref="H32"/>
    </sheetView>
  </sheetViews>
  <sheetFormatPr baseColWidth="10" defaultColWidth="8.83203125" defaultRowHeight="15" x14ac:dyDescent="0.2"/>
  <cols>
    <col min="3" max="3" width="32" bestFit="1" customWidth="1"/>
    <col min="4" max="4" width="24.5" bestFit="1" customWidth="1"/>
    <col min="5" max="5" width="10.6640625" bestFit="1" customWidth="1"/>
    <col min="6" max="6" width="9.6640625" bestFit="1" customWidth="1"/>
    <col min="7" max="7" width="10.5" customWidth="1"/>
    <col min="8" max="8" width="18.33203125" bestFit="1" customWidth="1"/>
    <col min="9" max="9" width="12.1640625" bestFit="1" customWidth="1"/>
    <col min="10" max="10" width="12.5" bestFit="1" customWidth="1"/>
    <col min="11" max="12" width="9.6640625" bestFit="1" customWidth="1"/>
    <col min="13" max="13" width="10.6640625" bestFit="1" customWidth="1"/>
  </cols>
  <sheetData>
    <row r="1" spans="1:15" x14ac:dyDescent="0.2">
      <c r="C1" s="275" t="s">
        <v>523</v>
      </c>
      <c r="D1" s="276"/>
    </row>
    <row r="2" spans="1:15" x14ac:dyDescent="0.2">
      <c r="C2" s="5" t="s">
        <v>526</v>
      </c>
      <c r="D2" s="5" t="s">
        <v>527</v>
      </c>
      <c r="E2" s="244" t="s">
        <v>521</v>
      </c>
      <c r="F2" s="5" t="s">
        <v>524</v>
      </c>
      <c r="G2" s="5" t="s">
        <v>551</v>
      </c>
      <c r="H2" s="5" t="s">
        <v>522</v>
      </c>
      <c r="I2" s="5" t="s">
        <v>525</v>
      </c>
      <c r="O2" s="16"/>
    </row>
    <row r="3" spans="1:15" x14ac:dyDescent="0.2">
      <c r="A3" s="277" t="s">
        <v>68</v>
      </c>
      <c r="B3" s="243" t="s">
        <v>143</v>
      </c>
      <c r="C3" s="5" t="s">
        <v>577</v>
      </c>
      <c r="D3" s="5"/>
      <c r="E3" s="7">
        <f>'Sale at CO Summary'!B3+'Sale at CO Summary'!F4/4</f>
        <v>2550000</v>
      </c>
      <c r="F3" s="5"/>
      <c r="G3" s="7">
        <f>E3+F3</f>
        <v>2550000</v>
      </c>
      <c r="H3" s="5" t="s">
        <v>508</v>
      </c>
      <c r="I3" s="5"/>
      <c r="O3" s="16"/>
    </row>
    <row r="4" spans="1:15" x14ac:dyDescent="0.2">
      <c r="A4" s="278"/>
      <c r="B4" s="243" t="s">
        <v>144</v>
      </c>
      <c r="C4" s="5" t="s">
        <v>519</v>
      </c>
      <c r="D4" s="5"/>
      <c r="E4" s="7">
        <f>'Sale at CO Summary'!F4/4*3</f>
        <v>150000</v>
      </c>
      <c r="F4" s="52"/>
      <c r="G4" s="7">
        <f t="shared" ref="G4:G8" si="0">E4+F4</f>
        <v>150000</v>
      </c>
      <c r="H4" s="5" t="s">
        <v>508</v>
      </c>
      <c r="I4" s="5"/>
      <c r="O4" s="16"/>
    </row>
    <row r="5" spans="1:15" x14ac:dyDescent="0.2">
      <c r="A5" s="278"/>
      <c r="B5" s="243" t="s">
        <v>145</v>
      </c>
      <c r="C5" s="5" t="s">
        <v>520</v>
      </c>
      <c r="D5" s="5"/>
      <c r="E5" s="7">
        <v>200000</v>
      </c>
      <c r="F5" s="5"/>
      <c r="G5" s="7">
        <f t="shared" si="0"/>
        <v>200000</v>
      </c>
      <c r="H5" s="5" t="s">
        <v>508</v>
      </c>
      <c r="I5" s="5"/>
    </row>
    <row r="6" spans="1:15" x14ac:dyDescent="0.2">
      <c r="A6" s="278"/>
      <c r="B6" s="243" t="s">
        <v>146</v>
      </c>
      <c r="C6" s="5" t="s">
        <v>13</v>
      </c>
      <c r="D6" s="5"/>
      <c r="E6" s="7">
        <v>300000</v>
      </c>
      <c r="F6" s="5"/>
      <c r="G6" s="7">
        <f t="shared" si="0"/>
        <v>300000</v>
      </c>
      <c r="H6" s="5" t="s">
        <v>508</v>
      </c>
      <c r="I6" s="5"/>
    </row>
    <row r="7" spans="1:15" x14ac:dyDescent="0.2">
      <c r="A7" s="278"/>
      <c r="B7" s="243" t="s">
        <v>147</v>
      </c>
      <c r="C7" s="5" t="s">
        <v>13</v>
      </c>
      <c r="D7" s="5"/>
      <c r="E7" s="7">
        <v>300000</v>
      </c>
      <c r="F7" s="5"/>
      <c r="G7" s="7">
        <f t="shared" si="0"/>
        <v>300000</v>
      </c>
      <c r="H7" s="5" t="s">
        <v>508</v>
      </c>
      <c r="I7" s="5"/>
      <c r="M7" s="13"/>
    </row>
    <row r="8" spans="1:15" x14ac:dyDescent="0.2">
      <c r="A8" s="278"/>
      <c r="B8" s="243" t="s">
        <v>148</v>
      </c>
      <c r="C8" s="5" t="s">
        <v>538</v>
      </c>
      <c r="D8" s="5"/>
      <c r="E8" s="7">
        <f>'Vertical Cost Breakdown'!O12/4 + 'Sale at CO Summary'!B4-SUM('Project Spending Schedule'!E6:E7)</f>
        <v>1625000</v>
      </c>
      <c r="F8" s="5"/>
      <c r="G8" s="7">
        <f t="shared" si="0"/>
        <v>1625000</v>
      </c>
      <c r="H8" s="5" t="s">
        <v>508</v>
      </c>
      <c r="I8" s="5"/>
      <c r="M8" s="2"/>
    </row>
    <row r="9" spans="1:15" x14ac:dyDescent="0.2">
      <c r="A9" s="278"/>
      <c r="B9" s="243" t="s">
        <v>149</v>
      </c>
      <c r="C9" s="5" t="s">
        <v>484</v>
      </c>
      <c r="D9" s="5" t="s">
        <v>484</v>
      </c>
      <c r="E9" s="7">
        <f>'Vertical Cost Breakdown'!O29+'Vertical Cost Breakdown'!O39</f>
        <v>168942.4</v>
      </c>
      <c r="F9" s="5">
        <v>2000</v>
      </c>
      <c r="G9" s="7">
        <f t="shared" ref="G9:G26" si="1">E9</f>
        <v>168942.4</v>
      </c>
      <c r="H9" s="5" t="s">
        <v>507</v>
      </c>
      <c r="I9" s="7">
        <f>SUM($G$9:G9)*'Sale at CO Summary'!$I$15/12</f>
        <v>1717.5810666666666</v>
      </c>
    </row>
    <row r="10" spans="1:15" x14ac:dyDescent="0.2">
      <c r="A10" s="278"/>
      <c r="B10" s="243" t="s">
        <v>150</v>
      </c>
      <c r="C10" s="5" t="s">
        <v>528</v>
      </c>
      <c r="D10" s="5" t="s">
        <v>528</v>
      </c>
      <c r="E10" s="7">
        <f>SUM('Vertical Cost Breakdown'!O100:O106)/2</f>
        <v>1490800</v>
      </c>
      <c r="F10" s="5">
        <v>2000</v>
      </c>
      <c r="G10" s="7">
        <f t="shared" si="1"/>
        <v>1490800</v>
      </c>
      <c r="H10" s="5" t="s">
        <v>507</v>
      </c>
      <c r="I10" s="7">
        <f>SUM($G$9:G10)*'Sale at CO Summary'!$I$15/12</f>
        <v>16874.047733333333</v>
      </c>
    </row>
    <row r="11" spans="1:15" x14ac:dyDescent="0.2">
      <c r="A11" s="278"/>
      <c r="B11" s="243" t="s">
        <v>151</v>
      </c>
      <c r="C11" s="5" t="s">
        <v>528</v>
      </c>
      <c r="D11" s="5" t="s">
        <v>528</v>
      </c>
      <c r="E11" s="7">
        <f>SUM('Vertical Cost Breakdown'!O100:O106)/2</f>
        <v>1490800</v>
      </c>
      <c r="F11" s="5">
        <v>2000</v>
      </c>
      <c r="G11" s="7">
        <f t="shared" si="1"/>
        <v>1490800</v>
      </c>
      <c r="H11" s="5" t="s">
        <v>507</v>
      </c>
      <c r="I11" s="7">
        <f>SUM($G$9:G11)*'Sale at CO Summary'!$I$15/12</f>
        <v>32030.5144</v>
      </c>
    </row>
    <row r="12" spans="1:15" x14ac:dyDescent="0.2">
      <c r="A12" s="278"/>
      <c r="B12" s="243" t="s">
        <v>152</v>
      </c>
      <c r="C12" s="5" t="s">
        <v>541</v>
      </c>
      <c r="D12" s="5" t="s">
        <v>541</v>
      </c>
      <c r="E12" s="7">
        <f>SUM('Vertical Cost Breakdown'!O63:O64)</f>
        <v>190548.47999999998</v>
      </c>
      <c r="F12" s="5">
        <v>2000</v>
      </c>
      <c r="G12" s="7">
        <f t="shared" si="1"/>
        <v>190548.47999999998</v>
      </c>
      <c r="H12" s="5" t="s">
        <v>507</v>
      </c>
      <c r="I12" s="7">
        <f>SUM($G$9:G12)*'Sale at CO Summary'!$I$15/12</f>
        <v>33967.757279999998</v>
      </c>
    </row>
    <row r="13" spans="1:15" x14ac:dyDescent="0.2">
      <c r="A13" s="278"/>
      <c r="B13" s="243" t="s">
        <v>153</v>
      </c>
      <c r="C13" s="5" t="s">
        <v>542</v>
      </c>
      <c r="D13" s="5" t="s">
        <v>542</v>
      </c>
      <c r="E13" s="7">
        <f>SUM('Vertical Cost Breakdown'!O76:O85)+SUM('Vertical Cost Breakdown'!O89:O90)</f>
        <v>1208200</v>
      </c>
      <c r="F13" s="5">
        <v>2000</v>
      </c>
      <c r="G13" s="7">
        <f t="shared" si="1"/>
        <v>1208200</v>
      </c>
      <c r="H13" s="5" t="s">
        <v>507</v>
      </c>
      <c r="I13" s="7">
        <f>SUM($G$9:G13)*'Sale at CO Summary'!$I$15/12</f>
        <v>46251.123946666667</v>
      </c>
    </row>
    <row r="14" spans="1:15" x14ac:dyDescent="0.2">
      <c r="A14" s="278"/>
      <c r="B14" s="243" t="s">
        <v>154</v>
      </c>
      <c r="C14" s="5" t="s">
        <v>539</v>
      </c>
      <c r="D14" s="5" t="s">
        <v>529</v>
      </c>
      <c r="E14" s="7">
        <f>'Vertical Cost Breakdown'!O176+'Vertical Cost Breakdown'!O12/4</f>
        <v>361000</v>
      </c>
      <c r="F14" s="5">
        <v>2000</v>
      </c>
      <c r="G14" s="7">
        <f t="shared" si="1"/>
        <v>361000</v>
      </c>
      <c r="H14" s="5" t="s">
        <v>507</v>
      </c>
      <c r="I14" s="7">
        <f>SUM($G$9:G14)*'Sale at CO Summary'!$I$15/12</f>
        <v>49921.290613333338</v>
      </c>
    </row>
    <row r="15" spans="1:15" x14ac:dyDescent="0.2">
      <c r="A15" s="251"/>
      <c r="B15" s="243" t="s">
        <v>155</v>
      </c>
      <c r="C15" s="5" t="s">
        <v>530</v>
      </c>
      <c r="D15" s="5" t="s">
        <v>530</v>
      </c>
      <c r="E15" s="7">
        <f>'Vertical Cost Breakdown'!O203/2</f>
        <v>294000</v>
      </c>
      <c r="F15" s="5">
        <v>2000</v>
      </c>
      <c r="G15" s="7">
        <f t="shared" si="1"/>
        <v>294000</v>
      </c>
      <c r="H15" s="5" t="s">
        <v>507</v>
      </c>
      <c r="I15" s="7">
        <f>SUM($G$9:G15)*'Sale at CO Summary'!$I$15/12</f>
        <v>52910.290613333338</v>
      </c>
    </row>
    <row r="16" spans="1:15" x14ac:dyDescent="0.2">
      <c r="A16" s="277" t="s">
        <v>69</v>
      </c>
      <c r="B16" s="243" t="s">
        <v>156</v>
      </c>
      <c r="C16" s="5" t="s">
        <v>531</v>
      </c>
      <c r="D16" s="5" t="s">
        <v>531</v>
      </c>
      <c r="E16" s="7">
        <f>'Vertical Cost Breakdown'!O190</f>
        <v>180000</v>
      </c>
      <c r="F16" s="5">
        <v>2000</v>
      </c>
      <c r="G16" s="7">
        <f t="shared" si="1"/>
        <v>180000</v>
      </c>
      <c r="H16" s="5" t="s">
        <v>507</v>
      </c>
      <c r="I16" s="7">
        <f>SUM($G$9:G16)*'Sale at CO Summary'!$I$15/12</f>
        <v>54740.290613333338</v>
      </c>
    </row>
    <row r="17" spans="1:11" x14ac:dyDescent="0.2">
      <c r="A17" s="278"/>
      <c r="B17" s="243" t="s">
        <v>157</v>
      </c>
      <c r="C17" s="5" t="s">
        <v>532</v>
      </c>
      <c r="D17" s="5" t="s">
        <v>532</v>
      </c>
      <c r="E17" s="7">
        <f>'Vertical Cost Breakdown'!O217/2</f>
        <v>412200</v>
      </c>
      <c r="F17" s="5">
        <v>2000</v>
      </c>
      <c r="G17" s="7">
        <f t="shared" si="1"/>
        <v>412200</v>
      </c>
      <c r="H17" s="5" t="s">
        <v>507</v>
      </c>
      <c r="I17" s="7">
        <f>SUM($G$9:G17)*'Sale at CO Summary'!$I$15/12</f>
        <v>58930.990613333328</v>
      </c>
    </row>
    <row r="18" spans="1:11" x14ac:dyDescent="0.2">
      <c r="A18" s="278"/>
      <c r="B18" s="243" t="s">
        <v>158</v>
      </c>
      <c r="C18" s="5" t="s">
        <v>486</v>
      </c>
      <c r="D18" s="5" t="s">
        <v>486</v>
      </c>
      <c r="E18" s="7">
        <f>'Vertical Cost Breakdown'!O59</f>
        <v>200000</v>
      </c>
      <c r="F18" s="5">
        <v>2000</v>
      </c>
      <c r="G18" s="7">
        <f t="shared" si="1"/>
        <v>200000</v>
      </c>
      <c r="H18" s="5" t="s">
        <v>507</v>
      </c>
      <c r="I18" s="7">
        <f>SUM($G$9:G18)*'Sale at CO Summary'!$I$15/12</f>
        <v>60964.323946666664</v>
      </c>
    </row>
    <row r="19" spans="1:11" x14ac:dyDescent="0.2">
      <c r="A19" s="278"/>
      <c r="B19" s="243" t="s">
        <v>159</v>
      </c>
      <c r="C19" s="5" t="s">
        <v>557</v>
      </c>
      <c r="D19" s="5" t="s">
        <v>558</v>
      </c>
      <c r="E19" s="7">
        <f>SUM('Vertical Cost Breakdown'!O108:O109)+'Vertical Cost Breakdown'!O12/4+SUM('Vertical Cost Breakdown'!O112:O113)</f>
        <v>952816</v>
      </c>
      <c r="F19" s="5">
        <v>2000</v>
      </c>
      <c r="G19" s="7">
        <f t="shared" si="1"/>
        <v>952816</v>
      </c>
      <c r="H19" s="5" t="s">
        <v>507</v>
      </c>
      <c r="I19" s="7">
        <f>SUM($G$9:G19)*'Sale at CO Summary'!$I$15/12</f>
        <v>70651.28661333333</v>
      </c>
    </row>
    <row r="20" spans="1:11" x14ac:dyDescent="0.2">
      <c r="A20" s="278"/>
      <c r="B20" s="243" t="s">
        <v>160</v>
      </c>
      <c r="C20" s="5" t="s">
        <v>559</v>
      </c>
      <c r="D20" s="5" t="s">
        <v>559</v>
      </c>
      <c r="E20" s="7">
        <f>'Vertical Cost Breakdown'!O50+'Vertical Cost Breakdown'!O72+'Vertical Cost Breakdown'!O166</f>
        <v>932800</v>
      </c>
      <c r="F20" s="5">
        <v>2000</v>
      </c>
      <c r="G20" s="7">
        <f t="shared" si="1"/>
        <v>932800</v>
      </c>
      <c r="H20" s="5" t="s">
        <v>507</v>
      </c>
      <c r="I20" s="7">
        <f>SUM($G$9:G20)*'Sale at CO Summary'!$I$15/12</f>
        <v>80134.75327999999</v>
      </c>
    </row>
    <row r="21" spans="1:11" x14ac:dyDescent="0.2">
      <c r="A21" s="278"/>
      <c r="B21" s="243" t="s">
        <v>161</v>
      </c>
      <c r="C21" s="5" t="s">
        <v>425</v>
      </c>
      <c r="D21" s="5" t="s">
        <v>425</v>
      </c>
      <c r="E21" s="7">
        <f>SUM('Vertical Cost Breakdown'!O117:O119)</f>
        <v>435196</v>
      </c>
      <c r="F21" s="5">
        <v>2000</v>
      </c>
      <c r="G21" s="7">
        <f t="shared" si="1"/>
        <v>435196</v>
      </c>
      <c r="H21" s="5" t="s">
        <v>507</v>
      </c>
      <c r="I21" s="7">
        <f>SUM($G$9:G21)*'Sale at CO Summary'!$I$15/12</f>
        <v>84559.245946666662</v>
      </c>
    </row>
    <row r="22" spans="1:11" x14ac:dyDescent="0.2">
      <c r="A22" s="278"/>
      <c r="B22" s="243" t="s">
        <v>162</v>
      </c>
      <c r="C22" s="5" t="s">
        <v>533</v>
      </c>
      <c r="D22" s="5" t="s">
        <v>533</v>
      </c>
      <c r="E22" s="7">
        <f>SUM('Vertical Cost Breakdown'!O177:O188)</f>
        <v>341230</v>
      </c>
      <c r="F22" s="5">
        <v>2000</v>
      </c>
      <c r="G22" s="7">
        <f t="shared" si="1"/>
        <v>341230</v>
      </c>
      <c r="H22" s="5" t="s">
        <v>507</v>
      </c>
      <c r="I22" s="7">
        <f>SUM($G$9:G22)*'Sale at CO Summary'!$I$15/12</f>
        <v>88028.417613333324</v>
      </c>
    </row>
    <row r="23" spans="1:11" x14ac:dyDescent="0.2">
      <c r="A23" s="278"/>
      <c r="B23" s="243" t="s">
        <v>163</v>
      </c>
      <c r="C23" s="5" t="s">
        <v>534</v>
      </c>
      <c r="D23" s="5" t="s">
        <v>534</v>
      </c>
      <c r="E23" s="7">
        <f>'Vertical Cost Breakdown'!O203/2</f>
        <v>294000</v>
      </c>
      <c r="F23" s="5">
        <v>2000</v>
      </c>
      <c r="G23" s="7">
        <f t="shared" si="1"/>
        <v>294000</v>
      </c>
      <c r="H23" s="5" t="s">
        <v>507</v>
      </c>
      <c r="I23" s="7">
        <f>SUM($G$9:G23)*'Sale at CO Summary'!$I$15/12</f>
        <v>91017.417613333324</v>
      </c>
    </row>
    <row r="24" spans="1:11" x14ac:dyDescent="0.2">
      <c r="A24" s="278"/>
      <c r="B24" s="243" t="s">
        <v>164</v>
      </c>
      <c r="C24" s="5" t="s">
        <v>535</v>
      </c>
      <c r="D24" s="5" t="s">
        <v>535</v>
      </c>
      <c r="E24" s="7">
        <f>'Vertical Cost Breakdown'!O217/2+'Vertical Cost Breakdown'!O153</f>
        <v>749040</v>
      </c>
      <c r="F24" s="5">
        <v>2000</v>
      </c>
      <c r="G24" s="7">
        <f t="shared" si="1"/>
        <v>749040</v>
      </c>
      <c r="H24" s="5" t="s">
        <v>507</v>
      </c>
      <c r="I24" s="7">
        <f>SUM($G$9:G24)*'Sale at CO Summary'!$I$15/12</f>
        <v>98632.657613333315</v>
      </c>
    </row>
    <row r="25" spans="1:11" x14ac:dyDescent="0.2">
      <c r="A25" s="278"/>
      <c r="B25" s="243" t="s">
        <v>165</v>
      </c>
      <c r="C25" s="5" t="s">
        <v>536</v>
      </c>
      <c r="D25" s="5" t="s">
        <v>536</v>
      </c>
      <c r="E25" s="7">
        <f>'Vertical Cost Breakdown'!O73+'Vertical Cost Breakdown'!O136</f>
        <v>95860</v>
      </c>
      <c r="F25" s="5">
        <v>2000</v>
      </c>
      <c r="G25" s="7">
        <f t="shared" si="1"/>
        <v>95860</v>
      </c>
      <c r="H25" s="5" t="s">
        <v>507</v>
      </c>
      <c r="I25" s="7">
        <f>SUM($G$9:G25)*'Sale at CO Summary'!$I$15/12</f>
        <v>99607.23427999999</v>
      </c>
    </row>
    <row r="26" spans="1:11" x14ac:dyDescent="0.2">
      <c r="A26" s="279"/>
      <c r="B26" s="243" t="s">
        <v>166</v>
      </c>
      <c r="C26" s="5" t="s">
        <v>556</v>
      </c>
      <c r="D26" s="5" t="s">
        <v>537</v>
      </c>
      <c r="E26" s="7">
        <f>'Vertical Cost Breakdown'!O15+'Vertical Cost Breakdown'!O12/4</f>
        <v>58600</v>
      </c>
      <c r="F26" s="5">
        <v>2000</v>
      </c>
      <c r="G26" s="7">
        <f t="shared" si="1"/>
        <v>58600</v>
      </c>
      <c r="H26" s="5" t="s">
        <v>507</v>
      </c>
      <c r="I26" s="7">
        <f>SUM($G$9:G26)*'Sale at CO Summary'!$I$15/12</f>
        <v>100203.00094666665</v>
      </c>
      <c r="K26" s="25"/>
    </row>
    <row r="28" spans="1:11" x14ac:dyDescent="0.2">
      <c r="E28" s="13"/>
      <c r="I28" s="2"/>
    </row>
    <row r="29" spans="1:11" x14ac:dyDescent="0.2">
      <c r="E29" s="13"/>
      <c r="H29" s="5" t="s">
        <v>552</v>
      </c>
      <c r="I29" s="52">
        <f>SUM(I9:I26)</f>
        <v>1121142.2247333333</v>
      </c>
      <c r="J29" s="13"/>
    </row>
    <row r="30" spans="1:11" x14ac:dyDescent="0.2">
      <c r="E30" s="13"/>
      <c r="H30" s="5" t="s">
        <v>600</v>
      </c>
      <c r="I30" s="52">
        <f>'Sale at CO Summary'!B12</f>
        <v>13020425.104733333</v>
      </c>
    </row>
    <row r="31" spans="1:11" x14ac:dyDescent="0.2">
      <c r="E31" s="13"/>
      <c r="H31" s="5" t="s">
        <v>599</v>
      </c>
      <c r="I31" s="17">
        <f>I29/I30</f>
        <v>8.6106422464329757E-2</v>
      </c>
    </row>
  </sheetData>
  <mergeCells count="3">
    <mergeCell ref="C1:D1"/>
    <mergeCell ref="A3:A14"/>
    <mergeCell ref="A16:A26"/>
  </mergeCells>
  <phoneticPr fontId="5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1D64-B501-4667-8037-AE10641CF94B}">
  <dimension ref="A1:Q218"/>
  <sheetViews>
    <sheetView zoomScale="75" workbookViewId="0">
      <selection activeCell="L12" sqref="L12"/>
    </sheetView>
  </sheetViews>
  <sheetFormatPr baseColWidth="10" defaultColWidth="8.83203125" defaultRowHeight="15" x14ac:dyDescent="0.2"/>
  <cols>
    <col min="1" max="1" width="11.33203125" customWidth="1"/>
    <col min="2" max="2" width="11.6640625" customWidth="1"/>
    <col min="3" max="3" width="15.33203125" customWidth="1"/>
    <col min="4" max="4" width="14.33203125" customWidth="1"/>
    <col min="5" max="5" width="17.5" hidden="1" customWidth="1"/>
    <col min="6" max="6" width="13.5" hidden="1" customWidth="1"/>
    <col min="9" max="9" width="43.1640625" bestFit="1" customWidth="1"/>
    <col min="11" max="12" width="14.33203125" bestFit="1" customWidth="1"/>
    <col min="14" max="14" width="13.33203125" bestFit="1" customWidth="1"/>
    <col min="15" max="15" width="12.6640625" bestFit="1" customWidth="1"/>
    <col min="17" max="17" width="11.6640625" bestFit="1" customWidth="1"/>
    <col min="18" max="18" width="9.33203125" bestFit="1" customWidth="1"/>
  </cols>
  <sheetData>
    <row r="1" spans="1:15" x14ac:dyDescent="0.2">
      <c r="A1" s="150" t="s">
        <v>354</v>
      </c>
    </row>
    <row r="2" spans="1:15" x14ac:dyDescent="0.2">
      <c r="B2" s="78" t="s">
        <v>355</v>
      </c>
      <c r="C2" s="78" t="s">
        <v>482</v>
      </c>
      <c r="D2" s="78" t="s">
        <v>357</v>
      </c>
      <c r="E2" s="78" t="s">
        <v>122</v>
      </c>
      <c r="F2" s="78" t="s">
        <v>123</v>
      </c>
      <c r="K2" s="177" t="s">
        <v>358</v>
      </c>
      <c r="L2" s="157">
        <f>O2</f>
        <v>9881032.879999999</v>
      </c>
      <c r="N2" s="5" t="s">
        <v>289</v>
      </c>
      <c r="O2" s="178">
        <f>O17+O29+O39+O50+O66+O93+O122+O136+O153+O166+O192+O203+O217</f>
        <v>9881032.879999999</v>
      </c>
    </row>
    <row r="3" spans="1:15" ht="14.25" customHeight="1" x14ac:dyDescent="0.2">
      <c r="A3" s="280" t="s">
        <v>359</v>
      </c>
      <c r="B3" s="5" t="s">
        <v>479</v>
      </c>
      <c r="C3" s="5">
        <v>18</v>
      </c>
      <c r="D3" s="52">
        <v>849</v>
      </c>
      <c r="E3" s="179">
        <v>1.5</v>
      </c>
      <c r="F3" s="52">
        <f>D3*E3</f>
        <v>1273.5</v>
      </c>
      <c r="K3" s="177" t="s">
        <v>110</v>
      </c>
      <c r="L3" s="157">
        <f>D6</f>
        <v>90056</v>
      </c>
      <c r="N3" s="5" t="s">
        <v>360</v>
      </c>
      <c r="O3" s="52">
        <f>55392*2</f>
        <v>110784</v>
      </c>
    </row>
    <row r="4" spans="1:15" x14ac:dyDescent="0.2">
      <c r="A4" s="281"/>
      <c r="B4" s="5" t="s">
        <v>480</v>
      </c>
      <c r="C4" s="5">
        <v>60</v>
      </c>
      <c r="D4" s="152">
        <v>1137.9000000000001</v>
      </c>
      <c r="E4" s="180">
        <v>1.45</v>
      </c>
      <c r="F4" s="152">
        <f>D4*E4</f>
        <v>1649.9550000000002</v>
      </c>
      <c r="K4" s="177" t="s">
        <v>361</v>
      </c>
      <c r="L4" s="181">
        <f>L2/L3</f>
        <v>109.72098338811405</v>
      </c>
      <c r="N4" s="5" t="s">
        <v>142</v>
      </c>
      <c r="O4" s="56">
        <f>O2/O3</f>
        <v>89.191876805314834</v>
      </c>
    </row>
    <row r="5" spans="1:15" x14ac:dyDescent="0.2">
      <c r="A5" s="282"/>
      <c r="B5" s="5" t="s">
        <v>481</v>
      </c>
      <c r="C5" s="5">
        <v>5</v>
      </c>
      <c r="D5" s="52">
        <v>1300</v>
      </c>
      <c r="E5" s="179">
        <v>1.4</v>
      </c>
      <c r="F5" s="52">
        <f>E5*D5</f>
        <v>1819.9999999999998</v>
      </c>
    </row>
    <row r="6" spans="1:15" ht="16" thickBot="1" x14ac:dyDescent="0.25">
      <c r="A6" s="158" t="s">
        <v>134</v>
      </c>
      <c r="B6" s="5"/>
      <c r="C6" s="5">
        <f>SUM(C3:C5)</f>
        <v>83</v>
      </c>
      <c r="D6" s="52">
        <f>SUMPRODUCT(D3:D5,C3:C5)</f>
        <v>90056</v>
      </c>
      <c r="E6" s="56">
        <f>SUMPRODUCT(C3:C5,D3:D5,E3:E5)/SUMPRODUCT(C3:C5,D3:D5)</f>
        <v>1.454875855023541</v>
      </c>
      <c r="F6" s="52"/>
    </row>
    <row r="7" spans="1:15" ht="17" thickTop="1" x14ac:dyDescent="0.2">
      <c r="E7" t="s">
        <v>518</v>
      </c>
      <c r="F7" s="2">
        <f>SUMPRODUCT(C3:C5,F3:F5)*12</f>
        <v>1572243.6</v>
      </c>
      <c r="H7" s="182" t="s">
        <v>362</v>
      </c>
      <c r="I7" s="183"/>
      <c r="J7" s="184"/>
      <c r="K7" s="185"/>
      <c r="L7" s="186"/>
      <c r="M7" s="187"/>
      <c r="N7" s="187"/>
      <c r="O7" s="188"/>
    </row>
    <row r="8" spans="1:15" ht="16" x14ac:dyDescent="0.2">
      <c r="H8" s="189" t="s">
        <v>363</v>
      </c>
      <c r="I8" s="190" t="s">
        <v>364</v>
      </c>
      <c r="J8" s="191" t="s">
        <v>364</v>
      </c>
      <c r="K8" s="167"/>
      <c r="L8" s="192" t="s">
        <v>365</v>
      </c>
      <c r="M8" s="193"/>
      <c r="N8" s="193"/>
      <c r="O8" s="194" t="s">
        <v>366</v>
      </c>
    </row>
    <row r="9" spans="1:15" ht="17" thickBot="1" x14ac:dyDescent="0.25">
      <c r="H9" s="195"/>
      <c r="I9" s="196" t="s">
        <v>367</v>
      </c>
      <c r="J9" s="197" t="s">
        <v>368</v>
      </c>
      <c r="K9" s="198"/>
      <c r="L9" s="199" t="s">
        <v>369</v>
      </c>
      <c r="M9" s="200"/>
      <c r="N9" s="200"/>
      <c r="O9" s="201" t="s">
        <v>370</v>
      </c>
    </row>
    <row r="10" spans="1:15" ht="17" thickTop="1" x14ac:dyDescent="0.2">
      <c r="H10" s="202" t="s">
        <v>371</v>
      </c>
      <c r="I10" s="167" t="s">
        <v>372</v>
      </c>
      <c r="J10" s="203"/>
      <c r="K10" s="161"/>
      <c r="L10" s="159"/>
      <c r="M10" s="160"/>
      <c r="N10" s="160"/>
      <c r="O10" s="204"/>
    </row>
    <row r="11" spans="1:15" ht="16" x14ac:dyDescent="0.2">
      <c r="H11" s="168"/>
      <c r="I11" s="161"/>
      <c r="J11" s="203"/>
      <c r="K11" s="161"/>
      <c r="L11" s="159"/>
      <c r="M11" s="160"/>
      <c r="N11" s="160"/>
      <c r="O11" s="204"/>
    </row>
    <row r="12" spans="1:15" ht="16" x14ac:dyDescent="0.2">
      <c r="H12" s="168"/>
      <c r="I12" s="264" t="s">
        <v>601</v>
      </c>
      <c r="J12" s="203">
        <v>1</v>
      </c>
      <c r="K12" s="161" t="s">
        <v>391</v>
      </c>
      <c r="L12" s="159">
        <v>100000</v>
      </c>
      <c r="M12" s="160"/>
      <c r="N12" s="160"/>
      <c r="O12" s="204">
        <f>J12*L12</f>
        <v>100000</v>
      </c>
    </row>
    <row r="13" spans="1:15" ht="17" x14ac:dyDescent="0.2">
      <c r="H13" s="205" t="s">
        <v>374</v>
      </c>
      <c r="I13" s="206" t="s">
        <v>375</v>
      </c>
      <c r="J13" s="203"/>
      <c r="K13" s="161"/>
      <c r="L13" s="159"/>
      <c r="M13" s="160"/>
      <c r="N13" s="160"/>
      <c r="O13" s="204"/>
    </row>
    <row r="14" spans="1:15" ht="16" x14ac:dyDescent="0.2">
      <c r="H14" s="205"/>
      <c r="I14" s="206"/>
      <c r="J14" s="203"/>
      <c r="K14" s="161"/>
      <c r="L14" s="159"/>
      <c r="M14" s="160"/>
      <c r="N14" s="160"/>
      <c r="O14" s="204"/>
    </row>
    <row r="15" spans="1:15" ht="16" x14ac:dyDescent="0.2">
      <c r="H15" s="176"/>
      <c r="I15" s="161" t="s">
        <v>483</v>
      </c>
      <c r="J15" s="203">
        <v>84</v>
      </c>
      <c r="K15" s="161"/>
      <c r="L15" s="159">
        <v>400</v>
      </c>
      <c r="M15" s="160"/>
      <c r="N15" s="160"/>
      <c r="O15" s="204">
        <f>J15*L15</f>
        <v>33600</v>
      </c>
    </row>
    <row r="16" spans="1:15" ht="16" x14ac:dyDescent="0.2">
      <c r="H16" s="207"/>
      <c r="I16" s="208"/>
      <c r="J16" s="203"/>
      <c r="K16" s="161"/>
      <c r="L16" s="159"/>
      <c r="M16" s="160"/>
      <c r="N16" s="160"/>
      <c r="O16" s="204"/>
    </row>
    <row r="17" spans="6:15" ht="17" thickBot="1" x14ac:dyDescent="0.25">
      <c r="H17" s="209"/>
      <c r="I17" s="210" t="s">
        <v>376</v>
      </c>
      <c r="J17" s="211"/>
      <c r="K17" s="212"/>
      <c r="L17" s="213"/>
      <c r="M17" s="214"/>
      <c r="N17" s="214"/>
      <c r="O17" s="215">
        <f>SUM(O10:O16)</f>
        <v>133600</v>
      </c>
    </row>
    <row r="18" spans="6:15" ht="17" thickTop="1" x14ac:dyDescent="0.2">
      <c r="J18" s="2"/>
      <c r="K18" s="216"/>
      <c r="L18" s="162"/>
      <c r="M18" s="162"/>
      <c r="N18" s="162"/>
      <c r="O18" s="217"/>
    </row>
    <row r="19" spans="6:15" ht="16" thickBot="1" x14ac:dyDescent="0.25">
      <c r="L19" s="163"/>
      <c r="M19" s="163"/>
      <c r="N19" s="163"/>
      <c r="O19" s="217"/>
    </row>
    <row r="20" spans="6:15" ht="17" thickTop="1" x14ac:dyDescent="0.2">
      <c r="H20" s="182" t="s">
        <v>377</v>
      </c>
      <c r="I20" s="183"/>
      <c r="J20" s="184"/>
      <c r="K20" s="185"/>
      <c r="L20" s="186"/>
      <c r="M20" s="187"/>
      <c r="N20" s="187"/>
      <c r="O20" s="188"/>
    </row>
    <row r="21" spans="6:15" ht="16" x14ac:dyDescent="0.2">
      <c r="H21" s="189" t="s">
        <v>363</v>
      </c>
      <c r="I21" s="190" t="s">
        <v>364</v>
      </c>
      <c r="J21" s="191" t="s">
        <v>364</v>
      </c>
      <c r="K21" s="167"/>
      <c r="L21" s="192" t="s">
        <v>365</v>
      </c>
      <c r="M21" s="193"/>
      <c r="N21" s="193"/>
      <c r="O21" s="194" t="s">
        <v>366</v>
      </c>
    </row>
    <row r="22" spans="6:15" ht="17" thickBot="1" x14ac:dyDescent="0.25">
      <c r="F22" t="e">
        <f>200615*2/#REF!</f>
        <v>#REF!</v>
      </c>
      <c r="H22" s="195"/>
      <c r="I22" s="196" t="s">
        <v>367</v>
      </c>
      <c r="J22" s="197" t="s">
        <v>368</v>
      </c>
      <c r="K22" s="198"/>
      <c r="L22" s="199" t="s">
        <v>369</v>
      </c>
      <c r="M22" s="200"/>
      <c r="N22" s="200"/>
      <c r="O22" s="201" t="s">
        <v>370</v>
      </c>
    </row>
    <row r="23" spans="6:15" ht="17" thickTop="1" x14ac:dyDescent="0.2">
      <c r="H23" s="202"/>
      <c r="I23" s="167"/>
      <c r="J23" s="203"/>
      <c r="K23" s="161"/>
      <c r="L23" s="159"/>
      <c r="M23" s="160"/>
      <c r="N23" s="160"/>
      <c r="O23" s="204"/>
    </row>
    <row r="24" spans="6:15" ht="16" x14ac:dyDescent="0.2">
      <c r="H24" s="202"/>
      <c r="I24" s="161" t="s">
        <v>485</v>
      </c>
      <c r="J24" s="203">
        <v>1</v>
      </c>
      <c r="K24" s="161" t="s">
        <v>373</v>
      </c>
      <c r="L24" s="159">
        <v>5000</v>
      </c>
      <c r="M24" s="160"/>
      <c r="N24" s="160"/>
      <c r="O24" s="204">
        <f>J24*L24</f>
        <v>5000</v>
      </c>
    </row>
    <row r="25" spans="6:15" ht="16" x14ac:dyDescent="0.2">
      <c r="H25" s="202"/>
      <c r="I25" s="161" t="s">
        <v>484</v>
      </c>
      <c r="J25" s="203">
        <v>820</v>
      </c>
      <c r="K25" s="161" t="s">
        <v>378</v>
      </c>
      <c r="L25" s="159">
        <v>120</v>
      </c>
      <c r="M25" s="160"/>
      <c r="N25" s="160"/>
      <c r="O25" s="204">
        <f>J25*L25</f>
        <v>98400</v>
      </c>
    </row>
    <row r="26" spans="6:15" ht="16" x14ac:dyDescent="0.2">
      <c r="H26" s="202"/>
      <c r="I26" s="161"/>
      <c r="J26" s="203"/>
      <c r="K26" s="161"/>
      <c r="L26" s="159"/>
      <c r="M26" s="160"/>
      <c r="N26" s="160"/>
      <c r="O26" s="204"/>
    </row>
    <row r="27" spans="6:15" ht="16" x14ac:dyDescent="0.2">
      <c r="H27" s="168"/>
      <c r="I27" s="161" t="s">
        <v>379</v>
      </c>
      <c r="J27" s="203">
        <f>25*8*6</f>
        <v>1200</v>
      </c>
      <c r="K27" s="161" t="s">
        <v>380</v>
      </c>
      <c r="L27" s="159">
        <v>30</v>
      </c>
      <c r="M27" s="160"/>
      <c r="N27" s="160"/>
      <c r="O27" s="204">
        <f>J27*L27</f>
        <v>36000</v>
      </c>
    </row>
    <row r="28" spans="6:15" ht="16" x14ac:dyDescent="0.2">
      <c r="H28" s="207"/>
      <c r="I28" s="208"/>
      <c r="J28" s="203"/>
      <c r="K28" s="161"/>
      <c r="L28" s="159"/>
      <c r="M28" s="160"/>
      <c r="N28" s="160"/>
      <c r="O28" s="218"/>
    </row>
    <row r="29" spans="6:15" ht="17" thickBot="1" x14ac:dyDescent="0.25">
      <c r="H29" s="209"/>
      <c r="I29" s="210" t="s">
        <v>376</v>
      </c>
      <c r="J29" s="211"/>
      <c r="K29" s="212"/>
      <c r="L29" s="213"/>
      <c r="M29" s="214"/>
      <c r="N29" s="214"/>
      <c r="O29" s="219">
        <f>SUM(O23:O28)</f>
        <v>139400</v>
      </c>
    </row>
    <row r="30" spans="6:15" ht="17" thickTop="1" x14ac:dyDescent="0.2">
      <c r="J30" s="220"/>
      <c r="K30" s="216"/>
      <c r="L30" s="162"/>
      <c r="M30" s="162"/>
      <c r="N30" s="162"/>
      <c r="O30" s="217"/>
    </row>
    <row r="31" spans="6:15" ht="17" thickBot="1" x14ac:dyDescent="0.25">
      <c r="J31" s="220"/>
      <c r="K31" s="216"/>
      <c r="L31" s="162"/>
      <c r="M31" s="162"/>
      <c r="N31" s="162"/>
      <c r="O31" s="217"/>
    </row>
    <row r="32" spans="6:15" ht="17" thickTop="1" x14ac:dyDescent="0.2">
      <c r="H32" s="182" t="s">
        <v>381</v>
      </c>
      <c r="I32" s="183"/>
      <c r="J32" s="184"/>
      <c r="K32" s="185"/>
      <c r="L32" s="186"/>
      <c r="M32" s="187"/>
      <c r="N32" s="187"/>
      <c r="O32" s="221"/>
    </row>
    <row r="33" spans="8:15" ht="16" x14ac:dyDescent="0.2">
      <c r="H33" s="189" t="s">
        <v>363</v>
      </c>
      <c r="I33" s="190" t="s">
        <v>364</v>
      </c>
      <c r="J33" s="191" t="s">
        <v>364</v>
      </c>
      <c r="K33" s="167"/>
      <c r="L33" s="192" t="s">
        <v>365</v>
      </c>
      <c r="M33" s="193"/>
      <c r="N33" s="193"/>
      <c r="O33" s="222" t="s">
        <v>366</v>
      </c>
    </row>
    <row r="34" spans="8:15" ht="17" thickBot="1" x14ac:dyDescent="0.25">
      <c r="H34" s="195"/>
      <c r="I34" s="196" t="s">
        <v>367</v>
      </c>
      <c r="J34" s="197" t="s">
        <v>368</v>
      </c>
      <c r="K34" s="198"/>
      <c r="L34" s="199" t="s">
        <v>369</v>
      </c>
      <c r="M34" s="200"/>
      <c r="N34" s="200"/>
      <c r="O34" s="223" t="s">
        <v>370</v>
      </c>
    </row>
    <row r="35" spans="8:15" ht="17" thickTop="1" x14ac:dyDescent="0.2">
      <c r="H35" s="202"/>
      <c r="I35" s="167"/>
      <c r="J35" s="203"/>
      <c r="K35" s="161"/>
      <c r="L35" s="159"/>
      <c r="M35" s="160"/>
      <c r="N35" s="160"/>
      <c r="O35" s="224"/>
    </row>
    <row r="36" spans="8:15" ht="17" x14ac:dyDescent="0.2">
      <c r="H36" s="168"/>
      <c r="I36" s="164" t="s">
        <v>382</v>
      </c>
      <c r="J36" s="203">
        <f>O3/3</f>
        <v>36928</v>
      </c>
      <c r="K36" s="161" t="s">
        <v>140</v>
      </c>
      <c r="L36" s="159">
        <v>0.8</v>
      </c>
      <c r="M36" s="160"/>
      <c r="N36" s="160"/>
      <c r="O36" s="224">
        <f>J36*L36</f>
        <v>29542.400000000001</v>
      </c>
    </row>
    <row r="37" spans="8:15" ht="16" x14ac:dyDescent="0.2">
      <c r="H37" s="225"/>
      <c r="I37" s="226"/>
      <c r="J37" s="227"/>
      <c r="K37" s="226"/>
      <c r="L37" s="165"/>
      <c r="M37" s="166"/>
      <c r="N37" s="166"/>
      <c r="O37" s="228"/>
    </row>
    <row r="38" spans="8:15" ht="16" x14ac:dyDescent="0.2">
      <c r="H38" s="207"/>
      <c r="I38" s="208"/>
      <c r="J38" s="203"/>
      <c r="K38" s="161"/>
      <c r="L38" s="159"/>
      <c r="M38" s="160"/>
      <c r="N38" s="160"/>
      <c r="O38" s="204"/>
    </row>
    <row r="39" spans="8:15" ht="17" thickBot="1" x14ac:dyDescent="0.25">
      <c r="H39" s="209"/>
      <c r="I39" s="210" t="s">
        <v>376</v>
      </c>
      <c r="J39" s="211"/>
      <c r="K39" s="212"/>
      <c r="L39" s="213"/>
      <c r="M39" s="214"/>
      <c r="N39" s="214"/>
      <c r="O39" s="215">
        <f>SUM(O36:O38)</f>
        <v>29542.400000000001</v>
      </c>
    </row>
    <row r="40" spans="8:15" ht="16" thickTop="1" x14ac:dyDescent="0.2">
      <c r="L40" s="163"/>
      <c r="M40" s="163"/>
      <c r="N40" s="163"/>
      <c r="O40" s="217"/>
    </row>
    <row r="41" spans="8:15" ht="16" thickBot="1" x14ac:dyDescent="0.25">
      <c r="L41" s="163"/>
      <c r="M41" s="163"/>
      <c r="N41" s="163"/>
      <c r="O41" s="217"/>
    </row>
    <row r="42" spans="8:15" ht="17" thickTop="1" x14ac:dyDescent="0.2">
      <c r="H42" s="182" t="s">
        <v>383</v>
      </c>
      <c r="I42" s="183"/>
      <c r="J42" s="184"/>
      <c r="K42" s="185"/>
      <c r="L42" s="186"/>
      <c r="M42" s="187"/>
      <c r="N42" s="187"/>
      <c r="O42" s="188"/>
    </row>
    <row r="43" spans="8:15" ht="16" x14ac:dyDescent="0.2">
      <c r="H43" s="189" t="s">
        <v>363</v>
      </c>
      <c r="I43" s="190" t="s">
        <v>364</v>
      </c>
      <c r="J43" s="191" t="s">
        <v>364</v>
      </c>
      <c r="K43" s="167"/>
      <c r="L43" s="192" t="s">
        <v>365</v>
      </c>
      <c r="M43" s="193"/>
      <c r="N43" s="193"/>
      <c r="O43" s="194" t="s">
        <v>366</v>
      </c>
    </row>
    <row r="44" spans="8:15" ht="17" thickBot="1" x14ac:dyDescent="0.25">
      <c r="H44" s="195"/>
      <c r="I44" s="196" t="s">
        <v>367</v>
      </c>
      <c r="J44" s="197" t="s">
        <v>368</v>
      </c>
      <c r="K44" s="198"/>
      <c r="L44" s="199" t="s">
        <v>369</v>
      </c>
      <c r="M44" s="200"/>
      <c r="N44" s="200"/>
      <c r="O44" s="201" t="s">
        <v>370</v>
      </c>
    </row>
    <row r="45" spans="8:15" ht="17" thickTop="1" x14ac:dyDescent="0.2">
      <c r="H45" s="202"/>
      <c r="I45" s="167" t="s">
        <v>384</v>
      </c>
      <c r="J45" s="203"/>
      <c r="K45" s="161"/>
      <c r="L45" s="159"/>
      <c r="M45" s="160"/>
      <c r="N45" s="160"/>
      <c r="O45" s="204"/>
    </row>
    <row r="46" spans="8:15" ht="16" x14ac:dyDescent="0.2">
      <c r="H46" s="202"/>
      <c r="I46" s="161" t="s">
        <v>385</v>
      </c>
      <c r="J46" s="203">
        <v>84</v>
      </c>
      <c r="K46" s="161" t="s">
        <v>141</v>
      </c>
      <c r="L46" s="159">
        <v>3000</v>
      </c>
      <c r="M46" s="160"/>
      <c r="N46" s="160"/>
      <c r="O46" s="224">
        <f>J46*L46</f>
        <v>252000</v>
      </c>
    </row>
    <row r="47" spans="8:15" ht="16" x14ac:dyDescent="0.2">
      <c r="H47" s="202"/>
      <c r="I47" s="161" t="s">
        <v>386</v>
      </c>
      <c r="J47" s="203">
        <f>20*25*8</f>
        <v>4000</v>
      </c>
      <c r="K47" s="161" t="s">
        <v>380</v>
      </c>
      <c r="L47" s="159">
        <v>40</v>
      </c>
      <c r="M47" s="160"/>
      <c r="N47" s="160"/>
      <c r="O47" s="224">
        <f>J47*L47</f>
        <v>160000</v>
      </c>
    </row>
    <row r="48" spans="8:15" ht="16" x14ac:dyDescent="0.2">
      <c r="H48" s="225"/>
      <c r="I48" s="226"/>
      <c r="J48" s="227"/>
      <c r="K48" s="226"/>
      <c r="L48" s="165"/>
      <c r="M48" s="166"/>
      <c r="N48" s="166"/>
      <c r="O48" s="229"/>
    </row>
    <row r="49" spans="8:15" ht="16" x14ac:dyDescent="0.2">
      <c r="H49" s="207"/>
      <c r="I49" s="208"/>
      <c r="J49" s="203"/>
      <c r="K49" s="161"/>
      <c r="L49" s="159"/>
      <c r="M49" s="160"/>
      <c r="N49" s="160"/>
      <c r="O49" s="224"/>
    </row>
    <row r="50" spans="8:15" ht="17" thickBot="1" x14ac:dyDescent="0.25">
      <c r="H50" s="209"/>
      <c r="I50" s="210" t="s">
        <v>376</v>
      </c>
      <c r="J50" s="211"/>
      <c r="K50" s="212"/>
      <c r="L50" s="213"/>
      <c r="M50" s="214"/>
      <c r="N50" s="214"/>
      <c r="O50" s="219">
        <f>SUM(O45:O48)</f>
        <v>412000</v>
      </c>
    </row>
    <row r="51" spans="8:15" ht="16" thickTop="1" x14ac:dyDescent="0.2">
      <c r="L51" s="162"/>
      <c r="M51" s="162"/>
      <c r="N51" s="162"/>
      <c r="O51" s="217"/>
    </row>
    <row r="52" spans="8:15" ht="16" thickBot="1" x14ac:dyDescent="0.25">
      <c r="L52" s="162"/>
      <c r="M52" s="162"/>
      <c r="N52" s="162"/>
      <c r="O52" s="217"/>
    </row>
    <row r="53" spans="8:15" ht="17" thickTop="1" x14ac:dyDescent="0.2">
      <c r="H53" s="182" t="s">
        <v>387</v>
      </c>
      <c r="I53" s="183"/>
      <c r="J53" s="184"/>
      <c r="K53" s="185"/>
      <c r="L53" s="186"/>
      <c r="M53" s="187"/>
      <c r="N53" s="187"/>
      <c r="O53" s="221"/>
    </row>
    <row r="54" spans="8:15" ht="16" x14ac:dyDescent="0.2">
      <c r="H54" s="189" t="s">
        <v>363</v>
      </c>
      <c r="I54" s="190" t="s">
        <v>364</v>
      </c>
      <c r="J54" s="191" t="s">
        <v>364</v>
      </c>
      <c r="K54" s="167"/>
      <c r="L54" s="192" t="s">
        <v>365</v>
      </c>
      <c r="M54" s="193"/>
      <c r="N54" s="193"/>
      <c r="O54" s="222" t="s">
        <v>366</v>
      </c>
    </row>
    <row r="55" spans="8:15" ht="17" thickBot="1" x14ac:dyDescent="0.25">
      <c r="H55" s="195"/>
      <c r="I55" s="196" t="s">
        <v>367</v>
      </c>
      <c r="J55" s="197" t="s">
        <v>368</v>
      </c>
      <c r="K55" s="198"/>
      <c r="L55" s="199" t="s">
        <v>369</v>
      </c>
      <c r="M55" s="200"/>
      <c r="N55" s="200"/>
      <c r="O55" s="223" t="s">
        <v>370</v>
      </c>
    </row>
    <row r="56" spans="8:15" ht="17" thickTop="1" x14ac:dyDescent="0.2">
      <c r="H56" s="230" t="s">
        <v>388</v>
      </c>
      <c r="I56" s="161"/>
      <c r="J56" s="203"/>
      <c r="K56" s="161"/>
      <c r="L56" s="159"/>
      <c r="M56" s="160"/>
      <c r="N56" s="160"/>
      <c r="O56" s="224"/>
    </row>
    <row r="57" spans="8:15" ht="16" x14ac:dyDescent="0.2">
      <c r="H57" s="230"/>
      <c r="I57" s="161"/>
      <c r="J57" s="203"/>
      <c r="K57" s="161"/>
      <c r="L57" s="159"/>
      <c r="M57" s="160"/>
      <c r="N57" s="160"/>
      <c r="O57" s="224"/>
    </row>
    <row r="58" spans="8:15" ht="17" x14ac:dyDescent="0.2">
      <c r="H58" s="168" t="s">
        <v>389</v>
      </c>
      <c r="I58" s="164" t="s">
        <v>390</v>
      </c>
      <c r="J58" s="203"/>
      <c r="K58" s="161"/>
      <c r="L58" s="159"/>
      <c r="M58" s="160"/>
      <c r="N58" s="160"/>
      <c r="O58" s="224"/>
    </row>
    <row r="59" spans="8:15" ht="17" x14ac:dyDescent="0.2">
      <c r="H59" s="168"/>
      <c r="I59" s="164" t="s">
        <v>486</v>
      </c>
      <c r="J59" s="203">
        <v>2</v>
      </c>
      <c r="K59" s="161" t="s">
        <v>356</v>
      </c>
      <c r="L59" s="159">
        <v>100000</v>
      </c>
      <c r="M59" s="160"/>
      <c r="N59" s="160"/>
      <c r="O59" s="224">
        <f>J59*L59</f>
        <v>200000</v>
      </c>
    </row>
    <row r="60" spans="8:15" ht="16" x14ac:dyDescent="0.2">
      <c r="H60" s="168"/>
      <c r="I60" s="164"/>
      <c r="J60" s="203"/>
      <c r="K60" s="161"/>
      <c r="L60" s="159"/>
      <c r="M60" s="160"/>
      <c r="N60" s="160"/>
      <c r="O60" s="224"/>
    </row>
    <row r="61" spans="8:15" ht="16" x14ac:dyDescent="0.2">
      <c r="H61" s="168"/>
      <c r="I61" s="164"/>
      <c r="J61" s="203"/>
      <c r="K61" s="161"/>
      <c r="L61" s="159"/>
      <c r="M61" s="160"/>
      <c r="N61" s="160"/>
      <c r="O61" s="224"/>
    </row>
    <row r="62" spans="8:15" ht="17" x14ac:dyDescent="0.2">
      <c r="H62" s="168" t="s">
        <v>392</v>
      </c>
      <c r="I62" s="164" t="s">
        <v>393</v>
      </c>
      <c r="J62" s="203"/>
      <c r="K62" s="161"/>
      <c r="L62" s="159"/>
      <c r="M62" s="160"/>
      <c r="N62" s="160"/>
      <c r="O62" s="224"/>
    </row>
    <row r="63" spans="8:15" ht="17" x14ac:dyDescent="0.2">
      <c r="H63" s="168"/>
      <c r="I63" s="164" t="s">
        <v>487</v>
      </c>
      <c r="J63" s="203">
        <f>O3/3*1.2*2</f>
        <v>88627.199999999997</v>
      </c>
      <c r="K63" s="161" t="s">
        <v>140</v>
      </c>
      <c r="L63" s="159">
        <v>1.5</v>
      </c>
      <c r="M63" s="160"/>
      <c r="N63" s="160"/>
      <c r="O63" s="224">
        <f>J63*L63</f>
        <v>132940.79999999999</v>
      </c>
    </row>
    <row r="64" spans="8:15" ht="17" x14ac:dyDescent="0.2">
      <c r="H64" s="168"/>
      <c r="I64" s="164" t="s">
        <v>540</v>
      </c>
      <c r="J64" s="203">
        <f>J63</f>
        <v>88627.199999999997</v>
      </c>
      <c r="K64" s="161" t="s">
        <v>140</v>
      </c>
      <c r="L64" s="159">
        <v>0.65</v>
      </c>
      <c r="M64" s="160"/>
      <c r="N64" s="160"/>
      <c r="O64" s="224">
        <f>J64*L64</f>
        <v>57607.68</v>
      </c>
    </row>
    <row r="65" spans="8:17" ht="17" thickBot="1" x14ac:dyDescent="0.25">
      <c r="H65" s="209"/>
      <c r="I65" s="164"/>
      <c r="J65" s="203"/>
      <c r="K65" s="161"/>
      <c r="L65" s="159"/>
      <c r="M65" s="160"/>
      <c r="N65" s="160"/>
      <c r="O65" s="224"/>
      <c r="Q65" s="217"/>
    </row>
    <row r="66" spans="8:17" ht="18" thickTop="1" thickBot="1" x14ac:dyDescent="0.25">
      <c r="H66" s="209"/>
      <c r="I66" s="210" t="s">
        <v>376</v>
      </c>
      <c r="J66" s="211"/>
      <c r="K66" s="212"/>
      <c r="L66" s="213"/>
      <c r="M66" s="214"/>
      <c r="N66" s="214"/>
      <c r="O66" s="215">
        <f>SUM(O57:O65)</f>
        <v>390548.47999999998</v>
      </c>
    </row>
    <row r="67" spans="8:17" ht="18" thickTop="1" thickBot="1" x14ac:dyDescent="0.25">
      <c r="J67" s="220"/>
      <c r="K67" s="216"/>
      <c r="L67" s="162"/>
      <c r="M67" s="162"/>
      <c r="N67" s="162"/>
      <c r="O67" s="217"/>
    </row>
    <row r="68" spans="8:17" ht="17" thickTop="1" x14ac:dyDescent="0.2">
      <c r="H68" s="182" t="s">
        <v>395</v>
      </c>
      <c r="I68" s="183"/>
      <c r="J68" s="184"/>
      <c r="K68" s="185"/>
      <c r="L68" s="186"/>
      <c r="M68" s="187"/>
      <c r="N68" s="187"/>
      <c r="O68" s="188"/>
    </row>
    <row r="69" spans="8:17" ht="16" x14ac:dyDescent="0.2">
      <c r="H69" s="189" t="s">
        <v>363</v>
      </c>
      <c r="I69" s="190" t="s">
        <v>364</v>
      </c>
      <c r="J69" s="191" t="s">
        <v>364</v>
      </c>
      <c r="K69" s="167"/>
      <c r="L69" s="192" t="s">
        <v>365</v>
      </c>
      <c r="M69" s="193"/>
      <c r="N69" s="193"/>
      <c r="O69" s="194" t="s">
        <v>366</v>
      </c>
    </row>
    <row r="70" spans="8:17" ht="17" thickBot="1" x14ac:dyDescent="0.25">
      <c r="H70" s="195"/>
      <c r="I70" s="196" t="s">
        <v>367</v>
      </c>
      <c r="J70" s="197" t="s">
        <v>368</v>
      </c>
      <c r="K70" s="198"/>
      <c r="L70" s="199" t="s">
        <v>369</v>
      </c>
      <c r="M70" s="200"/>
      <c r="N70" s="200"/>
      <c r="O70" s="201" t="s">
        <v>370</v>
      </c>
    </row>
    <row r="71" spans="8:17" ht="17" thickTop="1" x14ac:dyDescent="0.2">
      <c r="H71" s="202" t="s">
        <v>396</v>
      </c>
      <c r="I71" s="167" t="s">
        <v>397</v>
      </c>
      <c r="J71" s="203"/>
      <c r="K71" s="161"/>
      <c r="L71" s="159"/>
      <c r="M71" s="160"/>
      <c r="N71" s="160"/>
      <c r="O71" s="204"/>
    </row>
    <row r="72" spans="8:17" ht="17" x14ac:dyDescent="0.2">
      <c r="H72" s="168"/>
      <c r="I72" s="164" t="s">
        <v>398</v>
      </c>
      <c r="J72" s="203">
        <v>840</v>
      </c>
      <c r="K72" s="161"/>
      <c r="L72" s="159">
        <v>220</v>
      </c>
      <c r="M72" s="160"/>
      <c r="N72" s="160"/>
      <c r="O72" s="204">
        <f>J72*L72</f>
        <v>184800</v>
      </c>
    </row>
    <row r="73" spans="8:17" ht="17" x14ac:dyDescent="0.2">
      <c r="H73" s="168"/>
      <c r="I73" s="164" t="s">
        <v>399</v>
      </c>
      <c r="J73" s="203">
        <v>840</v>
      </c>
      <c r="K73" s="161"/>
      <c r="L73" s="159">
        <v>15</v>
      </c>
      <c r="M73" s="160"/>
      <c r="N73" s="160"/>
      <c r="O73" s="204">
        <f>J73*L73</f>
        <v>12600</v>
      </c>
    </row>
    <row r="74" spans="8:17" ht="16" x14ac:dyDescent="0.2">
      <c r="H74" s="168"/>
      <c r="I74" s="164"/>
      <c r="J74" s="203"/>
      <c r="K74" s="161"/>
      <c r="L74" s="159"/>
      <c r="M74" s="160"/>
      <c r="N74" s="160"/>
      <c r="O74" s="204"/>
    </row>
    <row r="75" spans="8:17" ht="17" x14ac:dyDescent="0.2">
      <c r="H75" s="205" t="s">
        <v>400</v>
      </c>
      <c r="I75" s="206" t="s">
        <v>401</v>
      </c>
      <c r="J75" s="203"/>
      <c r="K75" s="161"/>
      <c r="L75" s="159"/>
      <c r="M75" s="160"/>
      <c r="N75" s="160"/>
      <c r="O75" s="231"/>
    </row>
    <row r="76" spans="8:17" ht="17" x14ac:dyDescent="0.2">
      <c r="H76" s="205"/>
      <c r="I76" s="164" t="s">
        <v>402</v>
      </c>
      <c r="J76" s="203">
        <v>200</v>
      </c>
      <c r="K76" s="161" t="s">
        <v>373</v>
      </c>
      <c r="L76" s="159">
        <v>150</v>
      </c>
      <c r="M76" s="160"/>
      <c r="N76" s="160"/>
      <c r="O76" s="231">
        <f>J76*L76</f>
        <v>30000</v>
      </c>
    </row>
    <row r="77" spans="8:17" ht="17" x14ac:dyDescent="0.2">
      <c r="H77" s="205"/>
      <c r="I77" s="164" t="s">
        <v>403</v>
      </c>
      <c r="J77" s="203">
        <v>200</v>
      </c>
      <c r="K77" s="161" t="s">
        <v>373</v>
      </c>
      <c r="L77" s="159">
        <v>250</v>
      </c>
      <c r="M77" s="160"/>
      <c r="N77" s="160"/>
      <c r="O77" s="231">
        <f t="shared" ref="O77:O80" si="0">J77*L77</f>
        <v>50000</v>
      </c>
    </row>
    <row r="78" spans="8:17" ht="17" x14ac:dyDescent="0.2">
      <c r="H78" s="205"/>
      <c r="I78" s="164" t="s">
        <v>404</v>
      </c>
      <c r="J78" s="203">
        <v>84</v>
      </c>
      <c r="K78" s="161" t="s">
        <v>373</v>
      </c>
      <c r="L78" s="159">
        <v>700</v>
      </c>
      <c r="M78" s="160"/>
      <c r="N78" s="160"/>
      <c r="O78" s="231">
        <f t="shared" si="0"/>
        <v>58800</v>
      </c>
    </row>
    <row r="79" spans="8:17" ht="17" x14ac:dyDescent="0.2">
      <c r="H79" s="205"/>
      <c r="I79" s="164" t="s">
        <v>405</v>
      </c>
      <c r="J79" s="203">
        <v>2</v>
      </c>
      <c r="K79" s="161" t="s">
        <v>373</v>
      </c>
      <c r="L79" s="159">
        <v>7000</v>
      </c>
      <c r="M79" s="160"/>
      <c r="N79" s="160"/>
      <c r="O79" s="231">
        <f t="shared" si="0"/>
        <v>14000</v>
      </c>
    </row>
    <row r="80" spans="8:17" ht="17" x14ac:dyDescent="0.2">
      <c r="H80" s="205"/>
      <c r="I80" s="164" t="s">
        <v>406</v>
      </c>
      <c r="J80" s="203">
        <v>2</v>
      </c>
      <c r="K80" s="161" t="s">
        <v>373</v>
      </c>
      <c r="L80" s="159">
        <v>9000</v>
      </c>
      <c r="M80" s="160"/>
      <c r="N80" s="160"/>
      <c r="O80" s="231">
        <f t="shared" si="0"/>
        <v>18000</v>
      </c>
      <c r="Q80" s="217"/>
    </row>
    <row r="81" spans="6:17" ht="16" x14ac:dyDescent="0.2">
      <c r="H81" s="205"/>
      <c r="I81" s="206"/>
      <c r="J81" s="203"/>
      <c r="K81" s="161"/>
      <c r="L81" s="159"/>
      <c r="M81" s="160"/>
      <c r="N81" s="160"/>
      <c r="O81" s="231"/>
      <c r="Q81" s="232"/>
    </row>
    <row r="82" spans="6:17" ht="17" x14ac:dyDescent="0.2">
      <c r="H82" s="205"/>
      <c r="I82" s="164" t="s">
        <v>407</v>
      </c>
      <c r="J82" s="203">
        <v>100</v>
      </c>
      <c r="K82" s="161" t="s">
        <v>373</v>
      </c>
      <c r="L82" s="159">
        <v>500</v>
      </c>
      <c r="M82" s="160"/>
      <c r="N82" s="160"/>
      <c r="O82" s="231">
        <f t="shared" ref="O82:O85" si="1">J82*L82</f>
        <v>50000</v>
      </c>
    </row>
    <row r="83" spans="6:17" ht="17" x14ac:dyDescent="0.2">
      <c r="F83" s="217"/>
      <c r="H83" s="205"/>
      <c r="I83" s="164" t="s">
        <v>408</v>
      </c>
      <c r="J83" s="203">
        <f>J78</f>
        <v>84</v>
      </c>
      <c r="K83" s="161" t="s">
        <v>373</v>
      </c>
      <c r="L83" s="159">
        <v>100</v>
      </c>
      <c r="M83" s="160"/>
      <c r="N83" s="160"/>
      <c r="O83" s="231">
        <f t="shared" si="1"/>
        <v>8400</v>
      </c>
    </row>
    <row r="84" spans="6:17" ht="17" x14ac:dyDescent="0.2">
      <c r="H84" s="205"/>
      <c r="I84" s="164" t="s">
        <v>409</v>
      </c>
      <c r="J84" s="203">
        <f>J76</f>
        <v>200</v>
      </c>
      <c r="K84" s="161" t="s">
        <v>373</v>
      </c>
      <c r="L84" s="159">
        <v>60</v>
      </c>
      <c r="M84" s="160"/>
      <c r="N84" s="160"/>
      <c r="O84" s="231">
        <f t="shared" si="1"/>
        <v>12000</v>
      </c>
    </row>
    <row r="85" spans="6:17" ht="17" x14ac:dyDescent="0.2">
      <c r="H85" s="205"/>
      <c r="I85" s="164" t="s">
        <v>409</v>
      </c>
      <c r="J85" s="203">
        <f>J77</f>
        <v>200</v>
      </c>
      <c r="K85" s="161" t="s">
        <v>373</v>
      </c>
      <c r="L85" s="159">
        <v>35</v>
      </c>
      <c r="M85" s="160"/>
      <c r="N85" s="160"/>
      <c r="O85" s="231">
        <f t="shared" si="1"/>
        <v>7000</v>
      </c>
    </row>
    <row r="86" spans="6:17" ht="16" x14ac:dyDescent="0.2">
      <c r="H86" s="205"/>
      <c r="I86" s="164"/>
      <c r="J86" s="203"/>
      <c r="K86" s="161"/>
      <c r="L86" s="159"/>
      <c r="M86" s="160"/>
      <c r="N86" s="160"/>
      <c r="O86" s="231"/>
    </row>
    <row r="87" spans="6:17" ht="16" x14ac:dyDescent="0.2">
      <c r="H87" s="176"/>
      <c r="I87" s="161"/>
      <c r="J87" s="203"/>
      <c r="K87" s="161"/>
      <c r="L87" s="159"/>
      <c r="M87" s="160"/>
      <c r="N87" s="160"/>
      <c r="O87" s="204"/>
    </row>
    <row r="88" spans="6:17" ht="16" x14ac:dyDescent="0.2">
      <c r="H88" s="233" t="s">
        <v>410</v>
      </c>
      <c r="I88" s="167" t="s">
        <v>411</v>
      </c>
      <c r="J88" s="169"/>
      <c r="K88" s="167"/>
      <c r="L88" s="170"/>
      <c r="M88" s="171"/>
      <c r="N88" s="171"/>
      <c r="O88" s="172"/>
    </row>
    <row r="89" spans="6:17" ht="16" x14ac:dyDescent="0.2">
      <c r="H89" s="176"/>
      <c r="I89" s="161" t="s">
        <v>492</v>
      </c>
      <c r="J89" s="203">
        <v>80000</v>
      </c>
      <c r="K89" s="161" t="s">
        <v>140</v>
      </c>
      <c r="L89" s="159">
        <v>6</v>
      </c>
      <c r="M89" s="160"/>
      <c r="N89" s="160"/>
      <c r="O89" s="204">
        <f>J89*L89</f>
        <v>480000</v>
      </c>
    </row>
    <row r="90" spans="6:17" ht="16" x14ac:dyDescent="0.2">
      <c r="H90" s="176"/>
      <c r="I90" s="161" t="s">
        <v>412</v>
      </c>
      <c r="J90" s="203">
        <f>J89</f>
        <v>80000</v>
      </c>
      <c r="K90" s="161" t="s">
        <v>140</v>
      </c>
      <c r="L90" s="159">
        <v>6</v>
      </c>
      <c r="M90" s="160"/>
      <c r="N90" s="160"/>
      <c r="O90" s="204">
        <f>J90*L90</f>
        <v>480000</v>
      </c>
    </row>
    <row r="91" spans="6:17" ht="16" x14ac:dyDescent="0.2">
      <c r="H91" s="225"/>
      <c r="I91" s="226"/>
      <c r="J91" s="227"/>
      <c r="K91" s="226"/>
      <c r="L91" s="165"/>
      <c r="M91" s="166"/>
      <c r="N91" s="166"/>
      <c r="O91" s="228"/>
    </row>
    <row r="92" spans="6:17" ht="16" x14ac:dyDescent="0.2">
      <c r="H92" s="207"/>
      <c r="I92" s="208"/>
      <c r="J92" s="203"/>
      <c r="K92" s="161"/>
      <c r="L92" s="159"/>
      <c r="M92" s="160"/>
      <c r="N92" s="160"/>
      <c r="O92" s="204"/>
    </row>
    <row r="93" spans="6:17" ht="17" thickBot="1" x14ac:dyDescent="0.25">
      <c r="H93" s="209"/>
      <c r="I93" s="210" t="s">
        <v>376</v>
      </c>
      <c r="J93" s="211"/>
      <c r="K93" s="212"/>
      <c r="L93" s="213">
        <f>O93/46</f>
        <v>30556.521739130436</v>
      </c>
      <c r="M93" s="214"/>
      <c r="N93" s="214"/>
      <c r="O93" s="215">
        <f>SUM(O72:O92)</f>
        <v>1405600</v>
      </c>
    </row>
    <row r="94" spans="6:17" ht="16" thickTop="1" x14ac:dyDescent="0.2">
      <c r="L94" s="163"/>
      <c r="M94" s="163"/>
      <c r="N94" s="163"/>
      <c r="O94" s="217"/>
    </row>
    <row r="95" spans="6:17" ht="16" thickBot="1" x14ac:dyDescent="0.25">
      <c r="L95" s="163"/>
      <c r="M95" s="163"/>
      <c r="N95" s="163"/>
      <c r="O95" s="217"/>
    </row>
    <row r="96" spans="6:17" ht="17" thickTop="1" x14ac:dyDescent="0.2">
      <c r="H96" s="182" t="s">
        <v>413</v>
      </c>
      <c r="I96" s="183"/>
      <c r="J96" s="184"/>
      <c r="K96" s="185"/>
      <c r="L96" s="186"/>
      <c r="M96" s="187"/>
      <c r="N96" s="187"/>
      <c r="O96" s="221"/>
    </row>
    <row r="97" spans="8:17" ht="16" x14ac:dyDescent="0.2">
      <c r="H97" s="189" t="s">
        <v>363</v>
      </c>
      <c r="I97" s="190" t="s">
        <v>364</v>
      </c>
      <c r="J97" s="191" t="s">
        <v>364</v>
      </c>
      <c r="K97" s="167"/>
      <c r="L97" s="192" t="s">
        <v>365</v>
      </c>
      <c r="M97" s="193"/>
      <c r="N97" s="193"/>
      <c r="O97" s="222" t="s">
        <v>366</v>
      </c>
    </row>
    <row r="98" spans="8:17" ht="17" thickBot="1" x14ac:dyDescent="0.25">
      <c r="H98" s="195"/>
      <c r="I98" s="196" t="s">
        <v>367</v>
      </c>
      <c r="J98" s="197" t="s">
        <v>368</v>
      </c>
      <c r="K98" s="198"/>
      <c r="L98" s="199" t="s">
        <v>369</v>
      </c>
      <c r="M98" s="200"/>
      <c r="N98" s="200"/>
      <c r="O98" s="223" t="s">
        <v>370</v>
      </c>
    </row>
    <row r="99" spans="8:17" ht="17" thickTop="1" x14ac:dyDescent="0.2">
      <c r="H99" s="202" t="s">
        <v>414</v>
      </c>
      <c r="I99" s="167" t="s">
        <v>415</v>
      </c>
      <c r="J99" s="203"/>
      <c r="K99" s="161"/>
      <c r="L99" s="159"/>
      <c r="M99" s="160"/>
      <c r="N99" s="160"/>
      <c r="O99" s="224"/>
    </row>
    <row r="100" spans="8:17" ht="16" x14ac:dyDescent="0.2">
      <c r="H100" s="202"/>
      <c r="I100" s="161" t="s">
        <v>416</v>
      </c>
      <c r="J100" s="203">
        <f>O3</f>
        <v>110784</v>
      </c>
      <c r="K100" s="161" t="s">
        <v>140</v>
      </c>
      <c r="L100" s="159">
        <v>15</v>
      </c>
      <c r="M100" s="160"/>
      <c r="N100" s="160"/>
      <c r="O100" s="224">
        <f>J100*L100</f>
        <v>1661760</v>
      </c>
    </row>
    <row r="101" spans="8:17" ht="16" x14ac:dyDescent="0.2">
      <c r="H101" s="202"/>
      <c r="I101" s="161" t="s">
        <v>488</v>
      </c>
      <c r="J101" s="203">
        <f>J100</f>
        <v>110784</v>
      </c>
      <c r="K101" s="161" t="s">
        <v>140</v>
      </c>
      <c r="L101" s="159">
        <v>5</v>
      </c>
      <c r="M101" s="160"/>
      <c r="N101" s="160"/>
      <c r="O101" s="224">
        <f>J101*L101</f>
        <v>553920</v>
      </c>
    </row>
    <row r="102" spans="8:17" ht="16" x14ac:dyDescent="0.2">
      <c r="H102" s="202"/>
      <c r="I102" s="161" t="s">
        <v>489</v>
      </c>
      <c r="J102" s="203">
        <v>2</v>
      </c>
      <c r="K102" s="161" t="s">
        <v>391</v>
      </c>
      <c r="L102" s="159">
        <v>6000</v>
      </c>
      <c r="M102" s="160"/>
      <c r="N102" s="160"/>
      <c r="O102" s="224">
        <f>J102*L102</f>
        <v>12000</v>
      </c>
    </row>
    <row r="103" spans="8:17" ht="16" x14ac:dyDescent="0.2">
      <c r="H103" s="202"/>
      <c r="I103" s="161"/>
      <c r="J103" s="203"/>
      <c r="K103" s="161"/>
      <c r="L103" s="159"/>
      <c r="M103" s="160"/>
      <c r="N103" s="160"/>
      <c r="O103" s="224"/>
    </row>
    <row r="104" spans="8:17" ht="16" x14ac:dyDescent="0.2">
      <c r="H104" s="202"/>
      <c r="I104" s="161" t="s">
        <v>490</v>
      </c>
      <c r="J104" s="203">
        <v>4</v>
      </c>
      <c r="K104" s="161" t="s">
        <v>394</v>
      </c>
      <c r="L104" s="159">
        <v>50000</v>
      </c>
      <c r="M104" s="160"/>
      <c r="N104" s="160"/>
      <c r="O104" s="224">
        <f>J104*L104</f>
        <v>200000</v>
      </c>
    </row>
    <row r="105" spans="8:17" ht="16" x14ac:dyDescent="0.2">
      <c r="H105" s="202"/>
      <c r="I105" s="161"/>
      <c r="J105" s="203"/>
      <c r="K105" s="161"/>
      <c r="L105" s="159"/>
      <c r="M105" s="160"/>
      <c r="N105" s="160"/>
      <c r="O105" s="224"/>
      <c r="Q105" s="25"/>
    </row>
    <row r="106" spans="8:17" ht="17" x14ac:dyDescent="0.2">
      <c r="H106" s="168"/>
      <c r="I106" s="164" t="s">
        <v>417</v>
      </c>
      <c r="J106" s="203">
        <f>O3</f>
        <v>110784</v>
      </c>
      <c r="K106" s="161" t="s">
        <v>140</v>
      </c>
      <c r="L106" s="159">
        <v>5</v>
      </c>
      <c r="M106" s="160"/>
      <c r="N106" s="160"/>
      <c r="O106" s="224">
        <f>J106*L106</f>
        <v>553920</v>
      </c>
    </row>
    <row r="107" spans="8:17" ht="16" x14ac:dyDescent="0.2">
      <c r="H107" s="168"/>
      <c r="I107" s="164"/>
      <c r="J107" s="203"/>
      <c r="K107" s="161"/>
      <c r="L107" s="159"/>
      <c r="M107" s="160"/>
      <c r="N107" s="160"/>
      <c r="O107" s="224"/>
    </row>
    <row r="108" spans="8:17" ht="17" x14ac:dyDescent="0.2">
      <c r="H108" s="168"/>
      <c r="I108" s="164" t="s">
        <v>171</v>
      </c>
      <c r="J108" s="203">
        <f>O3*3/48</f>
        <v>6924</v>
      </c>
      <c r="K108" s="161" t="s">
        <v>418</v>
      </c>
      <c r="L108" s="159">
        <v>27</v>
      </c>
      <c r="M108" s="160"/>
      <c r="N108" s="160"/>
      <c r="O108" s="224">
        <f>J108*L108</f>
        <v>186948</v>
      </c>
    </row>
    <row r="109" spans="8:17" ht="17" x14ac:dyDescent="0.2">
      <c r="H109" s="168"/>
      <c r="I109" s="164" t="s">
        <v>419</v>
      </c>
      <c r="J109" s="203">
        <f>J108</f>
        <v>6924</v>
      </c>
      <c r="K109" s="161" t="s">
        <v>418</v>
      </c>
      <c r="L109" s="159">
        <v>27</v>
      </c>
      <c r="M109" s="160"/>
      <c r="N109" s="160"/>
      <c r="O109" s="224">
        <f>L109*J109</f>
        <v>186948</v>
      </c>
    </row>
    <row r="110" spans="8:17" ht="16" x14ac:dyDescent="0.2">
      <c r="H110" s="168"/>
      <c r="I110" s="164"/>
      <c r="J110" s="203"/>
      <c r="K110" s="235"/>
      <c r="L110" s="173"/>
      <c r="M110" s="160"/>
      <c r="N110" s="160"/>
      <c r="O110" s="236"/>
    </row>
    <row r="111" spans="8:17" ht="16" x14ac:dyDescent="0.2">
      <c r="H111" s="233" t="s">
        <v>420</v>
      </c>
      <c r="I111" s="167" t="s">
        <v>421</v>
      </c>
      <c r="J111" s="203"/>
      <c r="K111" s="161"/>
      <c r="L111" s="159"/>
      <c r="M111" s="160"/>
      <c r="N111" s="160"/>
      <c r="O111" s="224"/>
    </row>
    <row r="112" spans="8:17" ht="16" x14ac:dyDescent="0.2">
      <c r="H112" s="233"/>
      <c r="I112" s="161" t="s">
        <v>422</v>
      </c>
      <c r="J112" s="203">
        <f>L3</f>
        <v>90056</v>
      </c>
      <c r="K112" s="161" t="s">
        <v>140</v>
      </c>
      <c r="L112" s="159">
        <v>5</v>
      </c>
      <c r="M112" s="160"/>
      <c r="N112" s="160"/>
      <c r="O112" s="224">
        <f>J112*L112</f>
        <v>450280</v>
      </c>
      <c r="Q112" s="217"/>
    </row>
    <row r="113" spans="8:17" ht="16" x14ac:dyDescent="0.2">
      <c r="H113" s="176"/>
      <c r="I113" s="161" t="s">
        <v>423</v>
      </c>
      <c r="J113" s="203">
        <f>O3-L3</f>
        <v>20728</v>
      </c>
      <c r="K113" s="161" t="s">
        <v>140</v>
      </c>
      <c r="L113" s="159">
        <v>5</v>
      </c>
      <c r="M113" s="160"/>
      <c r="N113" s="160"/>
      <c r="O113" s="224">
        <f>J113*L113</f>
        <v>103640</v>
      </c>
      <c r="Q113" s="237"/>
    </row>
    <row r="114" spans="8:17" ht="16" x14ac:dyDescent="0.2">
      <c r="H114" s="176"/>
      <c r="I114" s="161"/>
      <c r="J114" s="203"/>
      <c r="K114" s="161"/>
      <c r="L114" s="159"/>
      <c r="M114" s="160"/>
      <c r="N114" s="160"/>
      <c r="O114" s="224"/>
    </row>
    <row r="115" spans="8:17" ht="16" x14ac:dyDescent="0.2">
      <c r="H115" s="176"/>
      <c r="I115" s="161"/>
      <c r="J115" s="203"/>
      <c r="K115" s="161"/>
      <c r="L115" s="159"/>
      <c r="M115" s="160"/>
      <c r="N115" s="160"/>
      <c r="O115" s="204"/>
    </row>
    <row r="116" spans="8:17" ht="16" x14ac:dyDescent="0.2">
      <c r="H116" s="233" t="s">
        <v>424</v>
      </c>
      <c r="I116" s="167" t="s">
        <v>425</v>
      </c>
      <c r="J116" s="203"/>
      <c r="K116" s="161"/>
      <c r="L116" s="159"/>
      <c r="M116" s="160"/>
      <c r="N116" s="160"/>
      <c r="O116" s="204"/>
    </row>
    <row r="117" spans="8:17" ht="16" x14ac:dyDescent="0.2">
      <c r="H117" s="176"/>
      <c r="I117" s="161" t="s">
        <v>491</v>
      </c>
      <c r="J117" s="203">
        <f>J89</f>
        <v>80000</v>
      </c>
      <c r="K117" s="161" t="s">
        <v>140</v>
      </c>
      <c r="L117" s="159">
        <v>1.5</v>
      </c>
      <c r="M117" s="160"/>
      <c r="N117" s="160"/>
      <c r="O117" s="204">
        <f>J117*L117</f>
        <v>120000</v>
      </c>
    </row>
    <row r="118" spans="8:17" ht="16" x14ac:dyDescent="0.2">
      <c r="H118" s="176"/>
      <c r="I118" s="161"/>
      <c r="J118" s="203"/>
      <c r="K118" s="161"/>
      <c r="L118" s="159"/>
      <c r="M118" s="160"/>
      <c r="N118" s="160"/>
      <c r="O118" s="204"/>
    </row>
    <row r="119" spans="8:17" ht="16" x14ac:dyDescent="0.2">
      <c r="H119" s="176"/>
      <c r="I119" s="161" t="s">
        <v>426</v>
      </c>
      <c r="J119" s="203">
        <f>L3</f>
        <v>90056</v>
      </c>
      <c r="K119" s="161" t="s">
        <v>140</v>
      </c>
      <c r="L119" s="159">
        <v>3.5</v>
      </c>
      <c r="M119" s="160"/>
      <c r="N119" s="160"/>
      <c r="O119" s="204">
        <f>J119*L119</f>
        <v>315196</v>
      </c>
    </row>
    <row r="120" spans="8:17" ht="16" x14ac:dyDescent="0.2">
      <c r="H120" s="176"/>
      <c r="I120" s="161"/>
      <c r="J120" s="203"/>
      <c r="K120" s="161"/>
      <c r="L120" s="159"/>
      <c r="M120" s="160"/>
      <c r="N120" s="160"/>
      <c r="O120" s="204"/>
      <c r="Q120" s="234"/>
    </row>
    <row r="121" spans="8:17" ht="16" x14ac:dyDescent="0.2">
      <c r="H121" s="207"/>
      <c r="I121" s="208"/>
      <c r="J121" s="203"/>
      <c r="K121" s="161"/>
      <c r="L121" s="159"/>
      <c r="M121" s="160"/>
      <c r="N121" s="160"/>
      <c r="O121" s="204"/>
    </row>
    <row r="122" spans="8:17" ht="17" thickBot="1" x14ac:dyDescent="0.25">
      <c r="H122" s="209"/>
      <c r="I122" s="210" t="s">
        <v>376</v>
      </c>
      <c r="J122" s="211"/>
      <c r="K122" s="212"/>
      <c r="L122" s="213">
        <f>O122/46</f>
        <v>94448.086956521744</v>
      </c>
      <c r="M122" s="214"/>
      <c r="N122" s="214"/>
      <c r="O122" s="215">
        <f>SUM(O99:O121)</f>
        <v>4344612</v>
      </c>
    </row>
    <row r="123" spans="8:17" ht="16" thickTop="1" x14ac:dyDescent="0.2">
      <c r="L123" s="163"/>
      <c r="M123" s="163"/>
      <c r="N123" s="163"/>
      <c r="O123" s="217"/>
    </row>
    <row r="124" spans="8:17" ht="16" thickBot="1" x14ac:dyDescent="0.25">
      <c r="L124" s="163"/>
      <c r="M124" s="163"/>
      <c r="N124" s="163"/>
      <c r="O124" s="217"/>
    </row>
    <row r="125" spans="8:17" ht="17" thickTop="1" x14ac:dyDescent="0.2">
      <c r="H125" s="182" t="s">
        <v>427</v>
      </c>
      <c r="I125" s="183"/>
      <c r="J125" s="184"/>
      <c r="K125" s="185"/>
      <c r="L125" s="186"/>
      <c r="M125" s="187"/>
      <c r="N125" s="187"/>
      <c r="O125" s="188"/>
    </row>
    <row r="126" spans="8:17" ht="16" x14ac:dyDescent="0.2">
      <c r="H126" s="189" t="s">
        <v>363</v>
      </c>
      <c r="I126" s="190" t="s">
        <v>364</v>
      </c>
      <c r="J126" s="191" t="s">
        <v>364</v>
      </c>
      <c r="K126" s="167"/>
      <c r="L126" s="192" t="s">
        <v>365</v>
      </c>
      <c r="M126" s="193"/>
      <c r="N126" s="193"/>
      <c r="O126" s="194" t="s">
        <v>366</v>
      </c>
    </row>
    <row r="127" spans="8:17" ht="17" thickBot="1" x14ac:dyDescent="0.25">
      <c r="H127" s="195"/>
      <c r="I127" s="196" t="s">
        <v>367</v>
      </c>
      <c r="J127" s="197" t="s">
        <v>368</v>
      </c>
      <c r="K127" s="198"/>
      <c r="L127" s="199" t="s">
        <v>369</v>
      </c>
      <c r="M127" s="200"/>
      <c r="N127" s="200"/>
      <c r="O127" s="201" t="s">
        <v>370</v>
      </c>
    </row>
    <row r="128" spans="8:17" ht="17" thickTop="1" x14ac:dyDescent="0.2">
      <c r="H128" s="202" t="s">
        <v>428</v>
      </c>
      <c r="I128" s="167" t="s">
        <v>429</v>
      </c>
      <c r="J128" s="203"/>
      <c r="K128" s="161"/>
      <c r="L128" s="159"/>
      <c r="M128" s="160"/>
      <c r="N128" s="160"/>
      <c r="O128" s="204"/>
    </row>
    <row r="129" spans="8:15" ht="17" x14ac:dyDescent="0.2">
      <c r="H129" s="168"/>
      <c r="I129" s="164" t="s">
        <v>430</v>
      </c>
      <c r="J129" s="203">
        <v>84</v>
      </c>
      <c r="K129" s="161" t="s">
        <v>373</v>
      </c>
      <c r="L129" s="159">
        <v>15</v>
      </c>
      <c r="M129" s="160"/>
      <c r="N129" s="160"/>
      <c r="O129" s="204">
        <f>J129*L129</f>
        <v>1260</v>
      </c>
    </row>
    <row r="130" spans="8:15" ht="17" x14ac:dyDescent="0.2">
      <c r="H130" s="205" t="s">
        <v>431</v>
      </c>
      <c r="I130" s="206" t="s">
        <v>432</v>
      </c>
      <c r="J130" s="203"/>
      <c r="K130" s="161"/>
      <c r="L130" s="159"/>
      <c r="M130" s="160"/>
      <c r="N130" s="160"/>
      <c r="O130" s="204"/>
    </row>
    <row r="131" spans="8:15" ht="17" x14ac:dyDescent="0.2">
      <c r="H131" s="176"/>
      <c r="I131" s="164" t="s">
        <v>433</v>
      </c>
      <c r="J131" s="203">
        <v>200</v>
      </c>
      <c r="K131" s="161" t="s">
        <v>434</v>
      </c>
      <c r="L131" s="159">
        <v>200</v>
      </c>
      <c r="M131" s="160"/>
      <c r="N131" s="160"/>
      <c r="O131" s="204">
        <f t="shared" ref="O131" si="2">J131*L131</f>
        <v>40000</v>
      </c>
    </row>
    <row r="132" spans="8:15" ht="17" x14ac:dyDescent="0.2">
      <c r="H132" s="233" t="s">
        <v>435</v>
      </c>
      <c r="I132" s="206" t="s">
        <v>436</v>
      </c>
      <c r="J132" s="203"/>
      <c r="K132" s="161"/>
      <c r="L132" s="159"/>
      <c r="M132" s="160"/>
      <c r="N132" s="160"/>
      <c r="O132" s="224"/>
    </row>
    <row r="133" spans="8:15" ht="17" x14ac:dyDescent="0.2">
      <c r="H133" s="176"/>
      <c r="I133" s="164" t="s">
        <v>437</v>
      </c>
      <c r="J133" s="203">
        <v>84</v>
      </c>
      <c r="K133" s="161" t="s">
        <v>373</v>
      </c>
      <c r="L133" s="159">
        <v>500</v>
      </c>
      <c r="M133" s="160"/>
      <c r="N133" s="160"/>
      <c r="O133" s="224">
        <f>J133*L133</f>
        <v>42000</v>
      </c>
    </row>
    <row r="134" spans="8:15" ht="16" x14ac:dyDescent="0.2">
      <c r="H134" s="176"/>
      <c r="I134" s="161"/>
      <c r="J134" s="203"/>
      <c r="K134" s="161"/>
      <c r="L134" s="159"/>
      <c r="M134" s="160"/>
      <c r="N134" s="160"/>
      <c r="O134" s="224"/>
    </row>
    <row r="135" spans="8:15" ht="16" x14ac:dyDescent="0.2">
      <c r="H135" s="207"/>
      <c r="I135" s="208"/>
      <c r="J135" s="203"/>
      <c r="K135" s="161"/>
      <c r="L135" s="159"/>
      <c r="M135" s="160"/>
      <c r="N135" s="160"/>
      <c r="O135" s="224"/>
    </row>
    <row r="136" spans="8:15" ht="17" thickBot="1" x14ac:dyDescent="0.25">
      <c r="H136" s="209"/>
      <c r="I136" s="210" t="s">
        <v>376</v>
      </c>
      <c r="J136" s="211"/>
      <c r="K136" s="212"/>
      <c r="L136" s="213">
        <f>O136/46</f>
        <v>1810</v>
      </c>
      <c r="M136" s="214"/>
      <c r="N136" s="214"/>
      <c r="O136" s="219">
        <f>SUM(O129:O135)</f>
        <v>83260</v>
      </c>
    </row>
    <row r="137" spans="8:15" ht="17" thickTop="1" x14ac:dyDescent="0.2">
      <c r="J137" s="220"/>
      <c r="K137" s="216"/>
      <c r="L137" s="162"/>
      <c r="M137" s="162"/>
      <c r="N137" s="162"/>
      <c r="O137" s="217"/>
    </row>
    <row r="138" spans="8:15" ht="16" thickBot="1" x14ac:dyDescent="0.25">
      <c r="L138" s="163"/>
      <c r="M138" s="163"/>
      <c r="N138" s="163"/>
      <c r="O138" s="217"/>
    </row>
    <row r="139" spans="8:15" ht="17" thickTop="1" x14ac:dyDescent="0.2">
      <c r="H139" s="182" t="s">
        <v>438</v>
      </c>
      <c r="I139" s="183"/>
      <c r="J139" s="184"/>
      <c r="K139" s="185"/>
      <c r="L139" s="186"/>
      <c r="M139" s="187"/>
      <c r="N139" s="187"/>
      <c r="O139" s="188"/>
    </row>
    <row r="140" spans="8:15" ht="16" x14ac:dyDescent="0.2">
      <c r="H140" s="189" t="s">
        <v>363</v>
      </c>
      <c r="I140" s="190" t="s">
        <v>364</v>
      </c>
      <c r="J140" s="191" t="s">
        <v>364</v>
      </c>
      <c r="K140" s="167"/>
      <c r="L140" s="192" t="s">
        <v>365</v>
      </c>
      <c r="M140" s="193"/>
      <c r="N140" s="193"/>
      <c r="O140" s="194" t="s">
        <v>366</v>
      </c>
    </row>
    <row r="141" spans="8:15" ht="17" thickBot="1" x14ac:dyDescent="0.25">
      <c r="H141" s="195"/>
      <c r="I141" s="196" t="s">
        <v>367</v>
      </c>
      <c r="J141" s="197" t="s">
        <v>368</v>
      </c>
      <c r="K141" s="198"/>
      <c r="L141" s="199" t="s">
        <v>369</v>
      </c>
      <c r="M141" s="200"/>
      <c r="N141" s="200"/>
      <c r="O141" s="201" t="s">
        <v>370</v>
      </c>
    </row>
    <row r="142" spans="8:15" ht="17" thickTop="1" x14ac:dyDescent="0.2">
      <c r="H142" s="202" t="s">
        <v>439</v>
      </c>
      <c r="I142" s="167" t="s">
        <v>440</v>
      </c>
      <c r="J142" s="203"/>
      <c r="K142" s="161"/>
      <c r="L142" s="159"/>
      <c r="M142" s="160"/>
      <c r="N142" s="160"/>
      <c r="O142" s="204"/>
    </row>
    <row r="143" spans="8:15" ht="17" x14ac:dyDescent="0.2">
      <c r="H143" s="168"/>
      <c r="I143" s="164" t="s">
        <v>441</v>
      </c>
      <c r="J143" s="203">
        <v>84</v>
      </c>
      <c r="K143" s="161"/>
      <c r="L143" s="159">
        <v>1000</v>
      </c>
      <c r="M143" s="160"/>
      <c r="N143" s="160"/>
      <c r="O143" s="204">
        <f>J143*L143</f>
        <v>84000</v>
      </c>
    </row>
    <row r="144" spans="8:15" ht="17" x14ac:dyDescent="0.2">
      <c r="H144" s="168"/>
      <c r="I144" s="164" t="s">
        <v>442</v>
      </c>
      <c r="J144" s="203">
        <v>84</v>
      </c>
      <c r="K144" s="161"/>
      <c r="L144" s="159">
        <v>300</v>
      </c>
      <c r="M144" s="160"/>
      <c r="N144" s="160"/>
      <c r="O144" s="204">
        <f t="shared" ref="O144:O149" si="3">J144*L144</f>
        <v>25200</v>
      </c>
    </row>
    <row r="145" spans="8:17" ht="17" x14ac:dyDescent="0.2">
      <c r="H145" s="168"/>
      <c r="I145" s="164" t="s">
        <v>443</v>
      </c>
      <c r="J145" s="203">
        <v>84</v>
      </c>
      <c r="K145" s="161"/>
      <c r="L145" s="159">
        <v>500</v>
      </c>
      <c r="M145" s="160"/>
      <c r="N145" s="160"/>
      <c r="O145" s="204">
        <f t="shared" si="3"/>
        <v>42000</v>
      </c>
    </row>
    <row r="146" spans="8:17" ht="17" x14ac:dyDescent="0.2">
      <c r="H146" s="168"/>
      <c r="I146" s="164" t="s">
        <v>444</v>
      </c>
      <c r="J146" s="203">
        <v>84</v>
      </c>
      <c r="K146" s="161"/>
      <c r="L146" s="159">
        <v>500</v>
      </c>
      <c r="M146" s="160"/>
      <c r="N146" s="160"/>
      <c r="O146" s="204">
        <f t="shared" si="3"/>
        <v>42000</v>
      </c>
    </row>
    <row r="147" spans="8:17" ht="17" x14ac:dyDescent="0.2">
      <c r="H147" s="168"/>
      <c r="I147" s="164" t="s">
        <v>445</v>
      </c>
      <c r="J147" s="203">
        <v>84</v>
      </c>
      <c r="K147" s="161"/>
      <c r="L147" s="159">
        <v>500</v>
      </c>
      <c r="M147" s="160"/>
      <c r="N147" s="160"/>
      <c r="O147" s="204">
        <f t="shared" si="3"/>
        <v>42000</v>
      </c>
    </row>
    <row r="148" spans="8:17" ht="16" x14ac:dyDescent="0.2">
      <c r="H148" s="168"/>
      <c r="I148" s="174" t="s">
        <v>446</v>
      </c>
      <c r="J148" s="203">
        <v>84</v>
      </c>
      <c r="K148" s="174"/>
      <c r="L148" s="175">
        <v>1000</v>
      </c>
      <c r="M148" s="175"/>
      <c r="N148" s="175"/>
      <c r="O148" s="204">
        <f t="shared" si="3"/>
        <v>84000</v>
      </c>
    </row>
    <row r="149" spans="8:17" ht="16" x14ac:dyDescent="0.2">
      <c r="H149" s="176"/>
      <c r="I149" s="161" t="s">
        <v>447</v>
      </c>
      <c r="J149" s="203">
        <v>84</v>
      </c>
      <c r="K149" s="161"/>
      <c r="L149" s="159">
        <v>210</v>
      </c>
      <c r="M149" s="160"/>
      <c r="N149" s="160"/>
      <c r="O149" s="204">
        <f t="shared" si="3"/>
        <v>17640</v>
      </c>
    </row>
    <row r="150" spans="8:17" ht="16" x14ac:dyDescent="0.2">
      <c r="H150" s="176"/>
      <c r="I150" s="161"/>
      <c r="J150" s="203"/>
      <c r="K150" s="161"/>
      <c r="L150" s="159"/>
      <c r="M150" s="160"/>
      <c r="N150" s="160"/>
      <c r="O150" s="204"/>
    </row>
    <row r="151" spans="8:17" ht="16" x14ac:dyDescent="0.2">
      <c r="H151" s="225"/>
      <c r="I151" s="226"/>
      <c r="J151" s="227"/>
      <c r="K151" s="226"/>
      <c r="L151" s="165"/>
      <c r="M151" s="166"/>
      <c r="N151" s="166"/>
      <c r="O151" s="229"/>
    </row>
    <row r="152" spans="8:17" ht="16" x14ac:dyDescent="0.2">
      <c r="H152" s="207"/>
      <c r="I152" s="208"/>
      <c r="J152" s="203"/>
      <c r="K152" s="161"/>
      <c r="L152" s="159"/>
      <c r="M152" s="160"/>
      <c r="N152" s="160"/>
      <c r="O152" s="224"/>
      <c r="Q152">
        <f>3800*84</f>
        <v>319200</v>
      </c>
    </row>
    <row r="153" spans="8:17" ht="17" thickBot="1" x14ac:dyDescent="0.25">
      <c r="H153" s="209"/>
      <c r="I153" s="210" t="s">
        <v>376</v>
      </c>
      <c r="J153" s="211"/>
      <c r="K153" s="212"/>
      <c r="L153" s="213">
        <f>O153/84</f>
        <v>4010</v>
      </c>
      <c r="M153" s="214"/>
      <c r="N153" s="214"/>
      <c r="O153" s="219">
        <f>SUM(O143:O152)</f>
        <v>336840</v>
      </c>
    </row>
    <row r="154" spans="8:17" ht="17" thickTop="1" x14ac:dyDescent="0.2">
      <c r="J154" s="220"/>
      <c r="K154" s="216"/>
      <c r="L154" s="162"/>
      <c r="M154" s="162"/>
      <c r="N154" s="162"/>
      <c r="O154" s="217"/>
    </row>
    <row r="155" spans="8:17" ht="16" thickBot="1" x14ac:dyDescent="0.25">
      <c r="L155" s="163"/>
      <c r="M155" s="163"/>
      <c r="N155" s="163"/>
      <c r="O155" s="217"/>
    </row>
    <row r="156" spans="8:17" ht="17" thickTop="1" x14ac:dyDescent="0.2">
      <c r="H156" s="182" t="s">
        <v>448</v>
      </c>
      <c r="I156" s="183"/>
      <c r="J156" s="184"/>
      <c r="K156" s="185"/>
      <c r="L156" s="186"/>
      <c r="M156" s="187"/>
      <c r="N156" s="187"/>
      <c r="O156" s="188"/>
    </row>
    <row r="157" spans="8:17" ht="16" x14ac:dyDescent="0.2">
      <c r="H157" s="189" t="s">
        <v>363</v>
      </c>
      <c r="I157" s="190" t="s">
        <v>364</v>
      </c>
      <c r="J157" s="191" t="s">
        <v>364</v>
      </c>
      <c r="K157" s="167"/>
      <c r="L157" s="192" t="s">
        <v>365</v>
      </c>
      <c r="M157" s="193"/>
      <c r="N157" s="193"/>
      <c r="O157" s="194" t="s">
        <v>366</v>
      </c>
    </row>
    <row r="158" spans="8:17" ht="17" thickBot="1" x14ac:dyDescent="0.25">
      <c r="H158" s="195"/>
      <c r="I158" s="196" t="s">
        <v>367</v>
      </c>
      <c r="J158" s="197" t="s">
        <v>368</v>
      </c>
      <c r="K158" s="198"/>
      <c r="L158" s="199" t="s">
        <v>369</v>
      </c>
      <c r="M158" s="200"/>
      <c r="N158" s="200"/>
      <c r="O158" s="201" t="s">
        <v>370</v>
      </c>
    </row>
    <row r="159" spans="8:17" ht="17" thickTop="1" x14ac:dyDescent="0.2">
      <c r="H159" s="202" t="s">
        <v>449</v>
      </c>
      <c r="I159" s="167" t="s">
        <v>450</v>
      </c>
      <c r="J159" s="203"/>
      <c r="K159" s="161"/>
      <c r="L159" s="159"/>
      <c r="M159" s="160"/>
      <c r="N159" s="160"/>
      <c r="O159" s="204"/>
    </row>
    <row r="160" spans="8:17" ht="17" x14ac:dyDescent="0.2">
      <c r="H160" s="168"/>
      <c r="I160" s="164" t="s">
        <v>493</v>
      </c>
      <c r="J160" s="203">
        <v>84</v>
      </c>
      <c r="K160" s="161" t="s">
        <v>141</v>
      </c>
      <c r="L160" s="159">
        <v>1500</v>
      </c>
      <c r="M160" s="160"/>
      <c r="N160" s="160"/>
      <c r="O160" s="204">
        <f>J160*L160</f>
        <v>126000</v>
      </c>
    </row>
    <row r="161" spans="8:15" ht="17" x14ac:dyDescent="0.2">
      <c r="H161" s="168"/>
      <c r="I161" s="164" t="s">
        <v>494</v>
      </c>
      <c r="J161" s="203">
        <v>84</v>
      </c>
      <c r="K161" s="161" t="s">
        <v>373</v>
      </c>
      <c r="L161" s="159">
        <v>1300</v>
      </c>
      <c r="M161" s="160"/>
      <c r="N161" s="160"/>
      <c r="O161" s="204">
        <f t="shared" ref="O161:O163" si="4">J161*L161</f>
        <v>109200</v>
      </c>
    </row>
    <row r="162" spans="8:15" ht="16" x14ac:dyDescent="0.2">
      <c r="H162" s="168"/>
      <c r="I162" s="164"/>
      <c r="J162" s="203"/>
      <c r="K162" s="161"/>
      <c r="L162" s="159"/>
      <c r="M162" s="160"/>
      <c r="N162" s="160"/>
      <c r="O162" s="204"/>
    </row>
    <row r="163" spans="8:15" ht="17" x14ac:dyDescent="0.2">
      <c r="H163" s="168"/>
      <c r="I163" s="164" t="s">
        <v>451</v>
      </c>
      <c r="J163" s="203">
        <v>84</v>
      </c>
      <c r="K163" s="161" t="s">
        <v>373</v>
      </c>
      <c r="L163" s="159">
        <v>1200</v>
      </c>
      <c r="M163" s="160"/>
      <c r="N163" s="160"/>
      <c r="O163" s="204">
        <f t="shared" si="4"/>
        <v>100800</v>
      </c>
    </row>
    <row r="164" spans="8:15" ht="16" x14ac:dyDescent="0.2">
      <c r="H164" s="168"/>
      <c r="I164" s="164"/>
      <c r="J164" s="203"/>
      <c r="K164" s="161"/>
      <c r="L164" s="159"/>
      <c r="M164" s="160"/>
      <c r="N164" s="160"/>
      <c r="O164" s="204"/>
    </row>
    <row r="165" spans="8:15" ht="16" x14ac:dyDescent="0.2">
      <c r="H165" s="207"/>
      <c r="I165" s="208"/>
      <c r="J165" s="203"/>
      <c r="K165" s="161"/>
      <c r="L165" s="159"/>
      <c r="M165" s="160"/>
      <c r="N165" s="160"/>
      <c r="O165" s="218"/>
    </row>
    <row r="166" spans="8:15" ht="17" thickBot="1" x14ac:dyDescent="0.25">
      <c r="H166" s="209"/>
      <c r="I166" s="210" t="s">
        <v>376</v>
      </c>
      <c r="J166" s="211"/>
      <c r="K166" s="212"/>
      <c r="L166" s="213">
        <f>O166/46</f>
        <v>7304.347826086957</v>
      </c>
      <c r="M166" s="214"/>
      <c r="N166" s="214"/>
      <c r="O166" s="219">
        <f>SUM(O160:O165)</f>
        <v>336000</v>
      </c>
    </row>
    <row r="167" spans="8:15" ht="16" thickTop="1" x14ac:dyDescent="0.2">
      <c r="L167" s="163"/>
      <c r="M167" s="163"/>
      <c r="N167" s="163"/>
      <c r="O167" s="217"/>
    </row>
    <row r="168" spans="8:15" x14ac:dyDescent="0.2">
      <c r="L168" s="163"/>
      <c r="M168" s="163"/>
      <c r="N168" s="163"/>
      <c r="O168" s="217"/>
    </row>
    <row r="169" spans="8:15" ht="16" x14ac:dyDescent="0.2">
      <c r="J169" s="220"/>
      <c r="K169" s="216"/>
      <c r="L169" s="162"/>
      <c r="M169" s="162"/>
      <c r="N169" s="162"/>
      <c r="O169" s="217"/>
    </row>
    <row r="170" spans="8:15" ht="17" thickBot="1" x14ac:dyDescent="0.25">
      <c r="J170" s="220"/>
      <c r="K170" s="216"/>
      <c r="L170" s="162"/>
      <c r="M170" s="162"/>
      <c r="N170" s="162"/>
      <c r="O170" s="217"/>
    </row>
    <row r="171" spans="8:15" ht="17" thickTop="1" x14ac:dyDescent="0.2">
      <c r="H171" s="182" t="s">
        <v>452</v>
      </c>
      <c r="I171" s="183"/>
      <c r="J171" s="184"/>
      <c r="K171" s="185"/>
      <c r="L171" s="186"/>
      <c r="M171" s="187"/>
      <c r="N171" s="187"/>
      <c r="O171" s="188"/>
    </row>
    <row r="172" spans="8:15" ht="16" x14ac:dyDescent="0.2">
      <c r="H172" s="189" t="s">
        <v>363</v>
      </c>
      <c r="I172" s="190" t="s">
        <v>364</v>
      </c>
      <c r="J172" s="191" t="s">
        <v>364</v>
      </c>
      <c r="K172" s="167"/>
      <c r="L172" s="192" t="s">
        <v>365</v>
      </c>
      <c r="M172" s="193"/>
      <c r="N172" s="193"/>
      <c r="O172" s="194" t="s">
        <v>366</v>
      </c>
    </row>
    <row r="173" spans="8:15" ht="17" thickBot="1" x14ac:dyDescent="0.25">
      <c r="H173" s="195"/>
      <c r="I173" s="196" t="s">
        <v>367</v>
      </c>
      <c r="J173" s="197" t="s">
        <v>368</v>
      </c>
      <c r="K173" s="198"/>
      <c r="L173" s="199" t="s">
        <v>369</v>
      </c>
      <c r="M173" s="200"/>
      <c r="N173" s="200"/>
      <c r="O173" s="201" t="s">
        <v>370</v>
      </c>
    </row>
    <row r="174" spans="8:15" ht="17" thickTop="1" x14ac:dyDescent="0.2">
      <c r="H174" s="202" t="s">
        <v>453</v>
      </c>
      <c r="I174" s="167" t="s">
        <v>454</v>
      </c>
      <c r="J174" s="203"/>
      <c r="K174" s="161"/>
      <c r="L174" s="159"/>
      <c r="M174" s="160"/>
      <c r="N174" s="160"/>
      <c r="O174" s="204"/>
    </row>
    <row r="175" spans="8:15" ht="16" x14ac:dyDescent="0.2">
      <c r="H175" s="168"/>
      <c r="I175" s="164"/>
      <c r="J175" s="203"/>
      <c r="K175" s="161"/>
      <c r="L175" s="159"/>
      <c r="M175" s="160"/>
      <c r="N175" s="160"/>
      <c r="O175" s="204"/>
    </row>
    <row r="176" spans="8:15" ht="17" x14ac:dyDescent="0.2">
      <c r="H176" s="168"/>
      <c r="I176" s="164" t="s">
        <v>455</v>
      </c>
      <c r="J176" s="203">
        <v>84</v>
      </c>
      <c r="K176" s="161" t="s">
        <v>373</v>
      </c>
      <c r="L176" s="159">
        <v>4000</v>
      </c>
      <c r="M176" s="160"/>
      <c r="N176" s="160"/>
      <c r="O176" s="204">
        <f>J176*L176</f>
        <v>336000</v>
      </c>
    </row>
    <row r="177" spans="8:17" ht="17" x14ac:dyDescent="0.2">
      <c r="H177" s="168"/>
      <c r="I177" s="164" t="s">
        <v>543</v>
      </c>
      <c r="J177" s="203">
        <v>84</v>
      </c>
      <c r="K177" s="161" t="s">
        <v>373</v>
      </c>
      <c r="L177" s="159">
        <v>3000</v>
      </c>
      <c r="M177" s="160"/>
      <c r="N177" s="160"/>
      <c r="O177" s="204">
        <f>J177*L177</f>
        <v>252000</v>
      </c>
    </row>
    <row r="178" spans="8:17" ht="17" x14ac:dyDescent="0.2">
      <c r="H178" s="168"/>
      <c r="I178" s="164" t="s">
        <v>456</v>
      </c>
      <c r="J178" s="203">
        <v>170</v>
      </c>
      <c r="K178" s="161" t="s">
        <v>373</v>
      </c>
      <c r="L178" s="159">
        <v>40</v>
      </c>
      <c r="M178" s="160"/>
      <c r="N178" s="160"/>
      <c r="O178" s="204">
        <f t="shared" ref="O178:O185" si="5">J178*L178</f>
        <v>6800</v>
      </c>
    </row>
    <row r="179" spans="8:17" ht="17" x14ac:dyDescent="0.2">
      <c r="H179" s="168"/>
      <c r="I179" s="164" t="s">
        <v>457</v>
      </c>
      <c r="J179" s="203">
        <v>170</v>
      </c>
      <c r="K179" s="161" t="s">
        <v>373</v>
      </c>
      <c r="L179" s="159">
        <v>30</v>
      </c>
      <c r="M179" s="160"/>
      <c r="N179" s="160"/>
      <c r="O179" s="204">
        <f t="shared" si="5"/>
        <v>5100</v>
      </c>
      <c r="Q179" s="217"/>
    </row>
    <row r="180" spans="8:17" ht="17" x14ac:dyDescent="0.2">
      <c r="H180" s="168"/>
      <c r="I180" s="164" t="s">
        <v>458</v>
      </c>
      <c r="J180" s="203">
        <v>84</v>
      </c>
      <c r="K180" s="161" t="s">
        <v>373</v>
      </c>
      <c r="L180" s="159">
        <v>120</v>
      </c>
      <c r="M180" s="160"/>
      <c r="N180" s="160"/>
      <c r="O180" s="204">
        <f t="shared" si="5"/>
        <v>10080</v>
      </c>
    </row>
    <row r="181" spans="8:17" ht="17" x14ac:dyDescent="0.2">
      <c r="H181" s="168"/>
      <c r="I181" s="164" t="s">
        <v>459</v>
      </c>
      <c r="J181" s="203">
        <v>84</v>
      </c>
      <c r="K181" s="161" t="s">
        <v>373</v>
      </c>
      <c r="L181" s="159">
        <v>100</v>
      </c>
      <c r="M181" s="160"/>
      <c r="N181" s="160"/>
      <c r="O181" s="204">
        <f t="shared" si="5"/>
        <v>8400</v>
      </c>
      <c r="Q181" s="217"/>
    </row>
    <row r="182" spans="8:17" ht="17" x14ac:dyDescent="0.2">
      <c r="H182" s="168"/>
      <c r="I182" s="164" t="s">
        <v>460</v>
      </c>
      <c r="J182" s="203">
        <v>170</v>
      </c>
      <c r="K182" s="161" t="s">
        <v>373</v>
      </c>
      <c r="L182" s="159">
        <v>70</v>
      </c>
      <c r="M182" s="160"/>
      <c r="N182" s="160"/>
      <c r="O182" s="204">
        <f t="shared" si="5"/>
        <v>11900</v>
      </c>
      <c r="Q182" s="217"/>
    </row>
    <row r="183" spans="8:17" ht="17" x14ac:dyDescent="0.2">
      <c r="H183" s="168"/>
      <c r="I183" s="164" t="s">
        <v>461</v>
      </c>
      <c r="J183" s="203">
        <v>170</v>
      </c>
      <c r="K183" s="161" t="s">
        <v>373</v>
      </c>
      <c r="L183" s="159">
        <v>80</v>
      </c>
      <c r="M183" s="160"/>
      <c r="N183" s="160"/>
      <c r="O183" s="204">
        <f t="shared" si="5"/>
        <v>13600</v>
      </c>
    </row>
    <row r="184" spans="8:17" ht="17" x14ac:dyDescent="0.2">
      <c r="H184" s="168"/>
      <c r="I184" s="164" t="s">
        <v>462</v>
      </c>
      <c r="J184" s="203">
        <v>260</v>
      </c>
      <c r="K184" s="161" t="s">
        <v>373</v>
      </c>
      <c r="L184" s="159">
        <v>20</v>
      </c>
      <c r="M184" s="160"/>
      <c r="N184" s="160"/>
      <c r="O184" s="204">
        <f t="shared" si="5"/>
        <v>5200</v>
      </c>
      <c r="Q184" s="217"/>
    </row>
    <row r="185" spans="8:17" ht="17" x14ac:dyDescent="0.2">
      <c r="H185" s="168"/>
      <c r="I185" s="164" t="s">
        <v>463</v>
      </c>
      <c r="J185" s="203">
        <v>260</v>
      </c>
      <c r="K185" s="161" t="s">
        <v>373</v>
      </c>
      <c r="L185" s="159">
        <v>15</v>
      </c>
      <c r="M185" s="160"/>
      <c r="N185" s="160"/>
      <c r="O185" s="204">
        <f t="shared" si="5"/>
        <v>3900</v>
      </c>
      <c r="Q185" s="217"/>
    </row>
    <row r="186" spans="8:17" ht="17" x14ac:dyDescent="0.2">
      <c r="H186" s="168"/>
      <c r="I186" s="164" t="s">
        <v>464</v>
      </c>
      <c r="J186" s="203">
        <v>1</v>
      </c>
      <c r="K186" s="161" t="s">
        <v>373</v>
      </c>
      <c r="L186" s="159">
        <v>20000</v>
      </c>
      <c r="M186" s="160"/>
      <c r="N186" s="160"/>
      <c r="O186" s="231">
        <f>J186*L186</f>
        <v>20000</v>
      </c>
      <c r="Q186" s="217"/>
    </row>
    <row r="187" spans="8:17" ht="17" x14ac:dyDescent="0.2">
      <c r="H187" s="168"/>
      <c r="I187" s="164" t="s">
        <v>465</v>
      </c>
      <c r="J187" s="203">
        <v>170</v>
      </c>
      <c r="K187" s="161" t="s">
        <v>373</v>
      </c>
      <c r="L187" s="159">
        <v>15</v>
      </c>
      <c r="M187" s="160"/>
      <c r="N187" s="160"/>
      <c r="O187" s="204">
        <f>J187*L187</f>
        <v>2550</v>
      </c>
      <c r="Q187" s="217"/>
    </row>
    <row r="188" spans="8:17" ht="17" x14ac:dyDescent="0.2">
      <c r="H188" s="168"/>
      <c r="I188" s="164" t="s">
        <v>466</v>
      </c>
      <c r="J188" s="203">
        <v>170</v>
      </c>
      <c r="K188" s="161" t="s">
        <v>373</v>
      </c>
      <c r="L188" s="159">
        <v>10</v>
      </c>
      <c r="M188" s="160"/>
      <c r="N188" s="160"/>
      <c r="O188" s="204">
        <f>J188*L188</f>
        <v>1700</v>
      </c>
      <c r="Q188" s="217"/>
    </row>
    <row r="189" spans="8:17" ht="16" x14ac:dyDescent="0.2">
      <c r="H189" s="168"/>
      <c r="I189" s="164"/>
      <c r="J189" s="203"/>
      <c r="K189" s="161"/>
      <c r="L189" s="159"/>
      <c r="M189" s="160"/>
      <c r="N189" s="160"/>
      <c r="O189" s="231"/>
      <c r="Q189" s="232"/>
    </row>
    <row r="190" spans="8:17" ht="16" x14ac:dyDescent="0.2">
      <c r="H190" s="176"/>
      <c r="I190" s="161" t="s">
        <v>495</v>
      </c>
      <c r="J190" s="203"/>
      <c r="K190" s="161"/>
      <c r="L190" s="159">
        <v>180000</v>
      </c>
      <c r="M190" s="160"/>
      <c r="N190" s="160"/>
      <c r="O190" s="238">
        <f>L190</f>
        <v>180000</v>
      </c>
    </row>
    <row r="191" spans="8:17" ht="16" x14ac:dyDescent="0.2">
      <c r="H191" s="207"/>
      <c r="I191" s="208"/>
      <c r="J191" s="203"/>
      <c r="K191" s="161"/>
      <c r="L191" s="159"/>
      <c r="M191" s="160"/>
      <c r="N191" s="160"/>
      <c r="O191" s="204"/>
    </row>
    <row r="192" spans="8:17" ht="17" thickBot="1" x14ac:dyDescent="0.25">
      <c r="H192" s="209"/>
      <c r="I192" s="210" t="s">
        <v>376</v>
      </c>
      <c r="J192" s="211"/>
      <c r="K192" s="212"/>
      <c r="L192" s="213">
        <f>O192/46</f>
        <v>18635.434782608696</v>
      </c>
      <c r="M192" s="214"/>
      <c r="N192" s="214"/>
      <c r="O192" s="215">
        <f>SUM(O175:O191)</f>
        <v>857230</v>
      </c>
    </row>
    <row r="193" spans="8:15" ht="17" thickTop="1" x14ac:dyDescent="0.2">
      <c r="J193" s="220"/>
      <c r="K193" s="216"/>
      <c r="L193" s="162"/>
      <c r="M193" s="162"/>
      <c r="N193" s="162"/>
      <c r="O193" s="217"/>
    </row>
    <row r="194" spans="8:15" ht="17" thickBot="1" x14ac:dyDescent="0.25">
      <c r="J194" s="220"/>
      <c r="K194" s="216"/>
      <c r="L194" s="162"/>
      <c r="M194" s="162"/>
      <c r="N194" s="162"/>
      <c r="O194" s="217"/>
    </row>
    <row r="195" spans="8:15" ht="17" thickTop="1" x14ac:dyDescent="0.2">
      <c r="H195" s="182" t="s">
        <v>467</v>
      </c>
      <c r="I195" s="183"/>
      <c r="J195" s="184"/>
      <c r="K195" s="185"/>
      <c r="L195" s="186"/>
      <c r="M195" s="187"/>
      <c r="N195" s="187"/>
      <c r="O195" s="188"/>
    </row>
    <row r="196" spans="8:15" ht="16" x14ac:dyDescent="0.2">
      <c r="H196" s="189" t="s">
        <v>363</v>
      </c>
      <c r="I196" s="190" t="s">
        <v>364</v>
      </c>
      <c r="J196" s="191" t="s">
        <v>364</v>
      </c>
      <c r="K196" s="167"/>
      <c r="L196" s="192" t="s">
        <v>365</v>
      </c>
      <c r="M196" s="193"/>
      <c r="N196" s="193"/>
      <c r="O196" s="194" t="s">
        <v>366</v>
      </c>
    </row>
    <row r="197" spans="8:15" ht="17" thickBot="1" x14ac:dyDescent="0.25">
      <c r="H197" s="195"/>
      <c r="I197" s="196" t="s">
        <v>367</v>
      </c>
      <c r="J197" s="197" t="s">
        <v>368</v>
      </c>
      <c r="K197" s="198"/>
      <c r="L197" s="199" t="s">
        <v>369</v>
      </c>
      <c r="M197" s="200"/>
      <c r="N197" s="200"/>
      <c r="O197" s="201" t="s">
        <v>370</v>
      </c>
    </row>
    <row r="198" spans="8:15" ht="17" thickTop="1" x14ac:dyDescent="0.2">
      <c r="H198" s="202"/>
      <c r="I198" s="167"/>
      <c r="J198" s="203"/>
      <c r="K198" s="161"/>
      <c r="L198" s="159"/>
      <c r="M198" s="160"/>
      <c r="N198" s="160"/>
      <c r="O198" s="204"/>
    </row>
    <row r="199" spans="8:15" ht="17" x14ac:dyDescent="0.2">
      <c r="H199" s="168"/>
      <c r="I199" s="164" t="s">
        <v>468</v>
      </c>
      <c r="J199" s="203">
        <v>84</v>
      </c>
      <c r="K199" s="161" t="s">
        <v>373</v>
      </c>
      <c r="L199" s="159">
        <v>4000</v>
      </c>
      <c r="M199" s="160"/>
      <c r="N199" s="160"/>
      <c r="O199" s="204">
        <f>J199*L199</f>
        <v>336000</v>
      </c>
    </row>
    <row r="200" spans="8:15" ht="17" x14ac:dyDescent="0.2">
      <c r="H200" s="168"/>
      <c r="I200" s="164" t="s">
        <v>469</v>
      </c>
      <c r="J200" s="203">
        <v>84</v>
      </c>
      <c r="K200" s="161" t="s">
        <v>373</v>
      </c>
      <c r="L200" s="159">
        <v>1500</v>
      </c>
      <c r="M200" s="160"/>
      <c r="N200" s="160"/>
      <c r="O200" s="204">
        <f>J200*L200</f>
        <v>126000</v>
      </c>
    </row>
    <row r="201" spans="8:15" ht="17" x14ac:dyDescent="0.2">
      <c r="H201" s="168"/>
      <c r="I201" s="164" t="s">
        <v>470</v>
      </c>
      <c r="J201" s="203">
        <v>84</v>
      </c>
      <c r="K201" s="161" t="s">
        <v>373</v>
      </c>
      <c r="L201" s="159">
        <v>3000</v>
      </c>
      <c r="M201" s="160"/>
      <c r="N201" s="160"/>
      <c r="O201" s="204">
        <f>J201*L201</f>
        <v>252000</v>
      </c>
    </row>
    <row r="202" spans="8:15" ht="16" x14ac:dyDescent="0.2">
      <c r="H202" s="207"/>
      <c r="I202" s="208"/>
      <c r="J202" s="203"/>
      <c r="K202" s="161"/>
      <c r="L202" s="159"/>
      <c r="M202" s="160"/>
      <c r="N202" s="160"/>
      <c r="O202" s="224"/>
    </row>
    <row r="203" spans="8:15" ht="17" thickBot="1" x14ac:dyDescent="0.25">
      <c r="H203" s="209"/>
      <c r="I203" s="210" t="s">
        <v>376</v>
      </c>
      <c r="J203" s="211"/>
      <c r="K203" s="212"/>
      <c r="L203" s="213"/>
      <c r="M203" s="214"/>
      <c r="N203" s="214"/>
      <c r="O203" s="219">
        <f>O199+O201</f>
        <v>588000</v>
      </c>
    </row>
    <row r="204" spans="8:15" ht="17" thickTop="1" x14ac:dyDescent="0.2">
      <c r="J204" s="220"/>
      <c r="K204" s="216"/>
      <c r="L204" s="162"/>
      <c r="M204" s="162"/>
      <c r="N204" s="162"/>
      <c r="O204" s="217"/>
    </row>
    <row r="205" spans="8:15" ht="17" thickBot="1" x14ac:dyDescent="0.25">
      <c r="J205" s="220"/>
      <c r="K205" s="216"/>
      <c r="L205" s="162"/>
      <c r="M205" s="162"/>
      <c r="N205" s="162"/>
      <c r="O205" s="217"/>
    </row>
    <row r="206" spans="8:15" ht="17" thickTop="1" x14ac:dyDescent="0.2">
      <c r="H206" s="182" t="s">
        <v>471</v>
      </c>
      <c r="I206" s="183"/>
      <c r="J206" s="184"/>
      <c r="K206" s="185"/>
      <c r="L206" s="186"/>
      <c r="M206" s="187"/>
      <c r="N206" s="187"/>
      <c r="O206" s="188"/>
    </row>
    <row r="207" spans="8:15" ht="16" x14ac:dyDescent="0.2">
      <c r="H207" s="189" t="s">
        <v>363</v>
      </c>
      <c r="I207" s="190" t="s">
        <v>364</v>
      </c>
      <c r="J207" s="191" t="s">
        <v>364</v>
      </c>
      <c r="K207" s="167"/>
      <c r="L207" s="192" t="s">
        <v>365</v>
      </c>
      <c r="M207" s="193"/>
      <c r="N207" s="193"/>
      <c r="O207" s="194" t="s">
        <v>366</v>
      </c>
    </row>
    <row r="208" spans="8:15" ht="17" thickBot="1" x14ac:dyDescent="0.25">
      <c r="H208" s="195"/>
      <c r="I208" s="196" t="s">
        <v>367</v>
      </c>
      <c r="J208" s="197" t="s">
        <v>368</v>
      </c>
      <c r="K208" s="198"/>
      <c r="L208" s="199" t="s">
        <v>369</v>
      </c>
      <c r="M208" s="200"/>
      <c r="N208" s="200"/>
      <c r="O208" s="201" t="s">
        <v>370</v>
      </c>
    </row>
    <row r="209" spans="8:15" ht="17" thickTop="1" x14ac:dyDescent="0.2">
      <c r="H209" s="202" t="s">
        <v>472</v>
      </c>
      <c r="I209" s="167" t="s">
        <v>473</v>
      </c>
      <c r="J209" s="203"/>
      <c r="K209" s="161"/>
      <c r="L209" s="159"/>
      <c r="M209" s="160"/>
      <c r="N209" s="160"/>
      <c r="O209" s="204"/>
    </row>
    <row r="210" spans="8:15" ht="17" x14ac:dyDescent="0.2">
      <c r="H210" s="168"/>
      <c r="I210" s="164" t="s">
        <v>474</v>
      </c>
      <c r="J210" s="203">
        <v>83</v>
      </c>
      <c r="K210" s="161" t="s">
        <v>475</v>
      </c>
      <c r="L210" s="159">
        <v>8000</v>
      </c>
      <c r="M210" s="160"/>
      <c r="N210" s="160"/>
      <c r="O210" s="204">
        <f>J210*L210</f>
        <v>664000</v>
      </c>
    </row>
    <row r="211" spans="8:15" ht="17" x14ac:dyDescent="0.2">
      <c r="H211" s="168"/>
      <c r="I211" s="164" t="s">
        <v>476</v>
      </c>
      <c r="J211" s="203">
        <v>1</v>
      </c>
      <c r="K211" s="161" t="s">
        <v>373</v>
      </c>
      <c r="L211" s="159">
        <v>10000</v>
      </c>
      <c r="M211" s="160"/>
      <c r="N211" s="160"/>
      <c r="O211" s="204">
        <f>J211*L211</f>
        <v>10000</v>
      </c>
    </row>
    <row r="212" spans="8:15" ht="17" x14ac:dyDescent="0.2">
      <c r="H212" s="168"/>
      <c r="I212" s="164" t="s">
        <v>477</v>
      </c>
      <c r="J212" s="203">
        <v>84</v>
      </c>
      <c r="K212" s="161" t="s">
        <v>475</v>
      </c>
      <c r="L212" s="159">
        <v>600</v>
      </c>
      <c r="M212" s="160"/>
      <c r="N212" s="160"/>
      <c r="O212" s="204">
        <f>J212*L212</f>
        <v>50400</v>
      </c>
    </row>
    <row r="213" spans="8:15" ht="17" x14ac:dyDescent="0.2">
      <c r="H213" s="168"/>
      <c r="I213" s="164" t="s">
        <v>478</v>
      </c>
      <c r="J213" s="203"/>
      <c r="K213" s="161"/>
      <c r="L213" s="159"/>
      <c r="M213" s="160"/>
      <c r="N213" s="160"/>
      <c r="O213" s="239">
        <v>100000</v>
      </c>
    </row>
    <row r="214" spans="8:15" ht="16" x14ac:dyDescent="0.2">
      <c r="H214" s="168"/>
      <c r="I214" s="164"/>
      <c r="J214" s="203"/>
      <c r="K214" s="161"/>
      <c r="L214" s="159"/>
      <c r="M214" s="160"/>
      <c r="N214" s="160"/>
      <c r="O214" s="239"/>
    </row>
    <row r="215" spans="8:15" ht="16" x14ac:dyDescent="0.2">
      <c r="H215" s="168"/>
      <c r="I215" s="164"/>
      <c r="J215" s="203"/>
      <c r="K215" s="161"/>
      <c r="L215" s="159"/>
      <c r="M215" s="160"/>
      <c r="N215" s="160"/>
      <c r="O215" s="239"/>
    </row>
    <row r="216" spans="8:15" ht="16" x14ac:dyDescent="0.2">
      <c r="H216" s="207"/>
      <c r="I216" s="208"/>
      <c r="J216" s="203"/>
      <c r="K216" s="161"/>
      <c r="L216" s="159"/>
      <c r="M216" s="160"/>
      <c r="N216" s="160"/>
      <c r="O216" s="240"/>
    </row>
    <row r="217" spans="8:15" ht="17" thickBot="1" x14ac:dyDescent="0.25">
      <c r="H217" s="209"/>
      <c r="I217" s="210" t="s">
        <v>376</v>
      </c>
      <c r="J217" s="211"/>
      <c r="K217" s="212"/>
      <c r="L217" s="213"/>
      <c r="M217" s="214"/>
      <c r="N217" s="214"/>
      <c r="O217" s="219">
        <f>SUM(O210:O216)</f>
        <v>824400</v>
      </c>
    </row>
    <row r="218" spans="8:15" ht="16" thickTop="1" x14ac:dyDescent="0.2"/>
  </sheetData>
  <mergeCells count="1">
    <mergeCell ref="A3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F086-6E2D-4C3F-9385-1C45363556C6}">
  <dimension ref="A1:P89"/>
  <sheetViews>
    <sheetView topLeftCell="A34" workbookViewId="0">
      <selection activeCell="I47" sqref="I47"/>
    </sheetView>
  </sheetViews>
  <sheetFormatPr baseColWidth="10" defaultColWidth="8.83203125" defaultRowHeight="15" x14ac:dyDescent="0.2"/>
  <cols>
    <col min="1" max="1" width="40.33203125" bestFit="1" customWidth="1"/>
    <col min="2" max="2" width="19" bestFit="1" customWidth="1"/>
    <col min="3" max="3" width="16.33203125" customWidth="1"/>
    <col min="4" max="4" width="16.33203125" bestFit="1" customWidth="1"/>
    <col min="5" max="5" width="16.1640625" bestFit="1" customWidth="1"/>
    <col min="6" max="6" width="16.33203125" bestFit="1" customWidth="1"/>
    <col min="7" max="13" width="13.6640625" customWidth="1"/>
    <col min="14" max="14" width="10.1640625" bestFit="1" customWidth="1"/>
  </cols>
  <sheetData>
    <row r="1" spans="1:4" x14ac:dyDescent="0.2">
      <c r="A1" s="1" t="s">
        <v>0</v>
      </c>
      <c r="B1" s="2"/>
    </row>
    <row r="2" spans="1:4" x14ac:dyDescent="0.2">
      <c r="A2" s="3" t="s">
        <v>1</v>
      </c>
      <c r="B2" s="4" t="s">
        <v>173</v>
      </c>
    </row>
    <row r="3" spans="1:4" x14ac:dyDescent="0.2">
      <c r="A3" s="3" t="s">
        <v>3</v>
      </c>
      <c r="B3" s="2">
        <v>150</v>
      </c>
      <c r="D3" s="16"/>
    </row>
    <row r="4" spans="1:4" x14ac:dyDescent="0.2">
      <c r="A4" s="3" t="s">
        <v>78</v>
      </c>
      <c r="B4" s="2">
        <v>24.34</v>
      </c>
    </row>
    <row r="5" spans="1:4" x14ac:dyDescent="0.2">
      <c r="A5" s="3" t="s">
        <v>62</v>
      </c>
      <c r="B5" s="2">
        <v>6</v>
      </c>
    </row>
    <row r="6" spans="1:4" ht="16" thickBot="1" x14ac:dyDescent="0.25">
      <c r="A6" s="3" t="s">
        <v>4</v>
      </c>
      <c r="B6" s="2">
        <v>1500</v>
      </c>
    </row>
    <row r="7" spans="1:4" ht="16" thickBot="1" x14ac:dyDescent="0.25">
      <c r="A7" s="3" t="s">
        <v>5</v>
      </c>
      <c r="B7" s="65">
        <v>90</v>
      </c>
    </row>
    <row r="8" spans="1:4" x14ac:dyDescent="0.2">
      <c r="A8" s="3" t="s">
        <v>6</v>
      </c>
      <c r="B8" s="4">
        <v>170</v>
      </c>
      <c r="C8">
        <f>B6*B8</f>
        <v>255000</v>
      </c>
    </row>
    <row r="10" spans="1:4" x14ac:dyDescent="0.2">
      <c r="A10" s="1" t="s">
        <v>7</v>
      </c>
    </row>
    <row r="11" spans="1:4" x14ac:dyDescent="0.2">
      <c r="A11" s="14" t="s">
        <v>8</v>
      </c>
      <c r="B11" s="52">
        <v>3900000</v>
      </c>
    </row>
    <row r="12" spans="1:4" x14ac:dyDescent="0.2">
      <c r="A12" s="14" t="s">
        <v>9</v>
      </c>
      <c r="B12" s="52">
        <v>0</v>
      </c>
    </row>
    <row r="13" spans="1:4" x14ac:dyDescent="0.2">
      <c r="A13" s="76" t="s">
        <v>10</v>
      </c>
      <c r="B13" s="77">
        <f>B11+B12</f>
        <v>3900000</v>
      </c>
    </row>
    <row r="14" spans="1:4" x14ac:dyDescent="0.2">
      <c r="B14" s="2"/>
    </row>
    <row r="15" spans="1:4" x14ac:dyDescent="0.2">
      <c r="B15" s="2"/>
    </row>
    <row r="16" spans="1:4" x14ac:dyDescent="0.2">
      <c r="A16" s="1" t="s">
        <v>11</v>
      </c>
      <c r="B16" s="2"/>
    </row>
    <row r="17" spans="1:2" x14ac:dyDescent="0.2">
      <c r="A17" s="14" t="s">
        <v>12</v>
      </c>
      <c r="B17" s="52">
        <f>B7*B6*B3</f>
        <v>20250000</v>
      </c>
    </row>
    <row r="18" spans="1:2" x14ac:dyDescent="0.2">
      <c r="A18" s="14" t="s">
        <v>38</v>
      </c>
      <c r="B18" s="52">
        <v>400000</v>
      </c>
    </row>
    <row r="19" spans="1:2" x14ac:dyDescent="0.2">
      <c r="A19" s="14" t="s">
        <v>13</v>
      </c>
      <c r="B19" s="52">
        <v>3000000</v>
      </c>
    </row>
    <row r="20" spans="1:2" x14ac:dyDescent="0.2">
      <c r="A20" s="14" t="s">
        <v>15</v>
      </c>
      <c r="B20" s="52">
        <v>300000</v>
      </c>
    </row>
    <row r="21" spans="1:2" x14ac:dyDescent="0.2">
      <c r="A21" s="53" t="s">
        <v>16</v>
      </c>
      <c r="B21" s="55">
        <f>SUM(B17:B20)</f>
        <v>23950000</v>
      </c>
    </row>
    <row r="22" spans="1:2" x14ac:dyDescent="0.2">
      <c r="A22" s="14" t="s">
        <v>17</v>
      </c>
      <c r="B22" s="52">
        <v>300000</v>
      </c>
    </row>
    <row r="23" spans="1:2" x14ac:dyDescent="0.2">
      <c r="A23" s="14" t="s">
        <v>18</v>
      </c>
      <c r="B23" s="52">
        <v>2000</v>
      </c>
    </row>
    <row r="24" spans="1:2" x14ac:dyDescent="0.2">
      <c r="A24" s="14" t="s">
        <v>19</v>
      </c>
      <c r="B24" s="52">
        <v>400000</v>
      </c>
    </row>
    <row r="25" spans="1:2" x14ac:dyDescent="0.2">
      <c r="A25" s="14" t="s">
        <v>20</v>
      </c>
      <c r="B25" s="52">
        <v>8000</v>
      </c>
    </row>
    <row r="26" spans="1:2" x14ac:dyDescent="0.2">
      <c r="A26" s="14" t="s">
        <v>21</v>
      </c>
      <c r="B26" s="52">
        <f>1300*B3</f>
        <v>195000</v>
      </c>
    </row>
    <row r="27" spans="1:2" x14ac:dyDescent="0.2">
      <c r="A27" s="14" t="s">
        <v>22</v>
      </c>
      <c r="B27" s="52">
        <v>100000</v>
      </c>
    </row>
    <row r="28" spans="1:2" x14ac:dyDescent="0.2">
      <c r="A28" s="14" t="s">
        <v>23</v>
      </c>
      <c r="B28" s="52">
        <v>50000</v>
      </c>
    </row>
    <row r="29" spans="1:2" x14ac:dyDescent="0.2">
      <c r="A29" s="14" t="s">
        <v>24</v>
      </c>
      <c r="B29" s="52">
        <f>600*B3</f>
        <v>90000</v>
      </c>
    </row>
    <row r="30" spans="1:2" x14ac:dyDescent="0.2">
      <c r="A30" s="14" t="s">
        <v>25</v>
      </c>
      <c r="B30" s="52">
        <f>B40*0.025*0.9+50000</f>
        <v>910625</v>
      </c>
    </row>
    <row r="31" spans="1:2" x14ac:dyDescent="0.2">
      <c r="A31" s="14" t="s">
        <v>26</v>
      </c>
      <c r="B31" s="52">
        <v>500000</v>
      </c>
    </row>
    <row r="32" spans="1:2" x14ac:dyDescent="0.2">
      <c r="A32" s="14" t="s">
        <v>27</v>
      </c>
      <c r="B32" s="52">
        <v>300000</v>
      </c>
    </row>
    <row r="33" spans="1:3" x14ac:dyDescent="0.2">
      <c r="A33" s="14" t="s">
        <v>15</v>
      </c>
      <c r="B33" s="52">
        <f>5%*SUM(B22:B32)</f>
        <v>142781.25</v>
      </c>
    </row>
    <row r="34" spans="1:3" x14ac:dyDescent="0.2">
      <c r="A34" s="53" t="s">
        <v>28</v>
      </c>
      <c r="B34" s="55">
        <f>SUM(B22:B33)</f>
        <v>2998406.25</v>
      </c>
    </row>
    <row r="36" spans="1:3" x14ac:dyDescent="0.2">
      <c r="A36" s="76" t="s">
        <v>39</v>
      </c>
      <c r="B36" s="77">
        <f>B21+B34+B13</f>
        <v>30848406.25</v>
      </c>
    </row>
    <row r="39" spans="1:3" x14ac:dyDescent="0.2">
      <c r="A39" s="1" t="s">
        <v>30</v>
      </c>
    </row>
    <row r="40" spans="1:3" x14ac:dyDescent="0.2">
      <c r="A40" s="14" t="s">
        <v>31</v>
      </c>
      <c r="B40" s="52">
        <f>B3*B6*B8</f>
        <v>38250000</v>
      </c>
    </row>
    <row r="41" spans="1:3" x14ac:dyDescent="0.2">
      <c r="A41" s="76" t="s">
        <v>32</v>
      </c>
      <c r="B41" s="77">
        <f>B40</f>
        <v>38250000</v>
      </c>
    </row>
    <row r="43" spans="1:3" x14ac:dyDescent="0.2">
      <c r="A43" s="79" t="s">
        <v>33</v>
      </c>
      <c r="B43" s="69">
        <f>B41-B36-B48*24</f>
        <v>6407993.75</v>
      </c>
    </row>
    <row r="45" spans="1:3" x14ac:dyDescent="0.2">
      <c r="A45" s="3" t="s">
        <v>174</v>
      </c>
      <c r="B45" s="2">
        <f>SUM(B62:B69)</f>
        <v>6210000</v>
      </c>
    </row>
    <row r="46" spans="1:3" x14ac:dyDescent="0.2">
      <c r="A46" s="3" t="s">
        <v>175</v>
      </c>
      <c r="B46" s="11">
        <v>0.08</v>
      </c>
    </row>
    <row r="47" spans="1:3" x14ac:dyDescent="0.2">
      <c r="A47" s="3" t="s">
        <v>86</v>
      </c>
      <c r="B47" s="2">
        <v>2</v>
      </c>
      <c r="C47" t="s">
        <v>176</v>
      </c>
    </row>
    <row r="48" spans="1:3" x14ac:dyDescent="0.2">
      <c r="A48" s="3" t="s">
        <v>177</v>
      </c>
      <c r="B48" s="2">
        <f>B45*B46/12</f>
        <v>41400</v>
      </c>
    </row>
    <row r="49" spans="1:16" x14ac:dyDescent="0.2">
      <c r="A49" s="3" t="s">
        <v>34</v>
      </c>
      <c r="B49" s="2">
        <f>B61+SUM(E62:E69)</f>
        <v>6276200</v>
      </c>
    </row>
    <row r="50" spans="1:16" x14ac:dyDescent="0.2">
      <c r="A50" s="3" t="s">
        <v>178</v>
      </c>
      <c r="B50" s="11">
        <f>B45/(B45+B49)</f>
        <v>0.49734907337700823</v>
      </c>
    </row>
    <row r="52" spans="1:16" x14ac:dyDescent="0.2">
      <c r="A52" s="8" t="s">
        <v>43</v>
      </c>
      <c r="B52" s="11"/>
    </row>
    <row r="53" spans="1:16" x14ac:dyDescent="0.2">
      <c r="A53" s="76" t="s">
        <v>44</v>
      </c>
      <c r="B53" s="88">
        <f>B43/B49</f>
        <v>1.0209989723080846</v>
      </c>
    </row>
    <row r="55" spans="1:16" x14ac:dyDescent="0.2">
      <c r="A55" s="80"/>
      <c r="B55" s="16"/>
    </row>
    <row r="56" spans="1:16" ht="32" x14ac:dyDescent="0.2">
      <c r="A56" s="89"/>
      <c r="B56" s="90" t="s">
        <v>45</v>
      </c>
      <c r="C56" s="91" t="s">
        <v>46</v>
      </c>
      <c r="D56" s="91" t="s">
        <v>47</v>
      </c>
      <c r="E56" s="91" t="s">
        <v>48</v>
      </c>
      <c r="F56" s="91" t="s">
        <v>49</v>
      </c>
      <c r="G56" s="91" t="s">
        <v>33</v>
      </c>
      <c r="H56" s="91" t="s">
        <v>50</v>
      </c>
      <c r="I56" s="91" t="s">
        <v>51</v>
      </c>
      <c r="J56" s="91" t="s">
        <v>179</v>
      </c>
      <c r="K56" s="91" t="s">
        <v>53</v>
      </c>
      <c r="L56" s="91" t="s">
        <v>54</v>
      </c>
      <c r="M56" s="91" t="s">
        <v>37</v>
      </c>
    </row>
    <row r="57" spans="1:16" x14ac:dyDescent="0.2">
      <c r="A57" s="5" t="s">
        <v>57</v>
      </c>
      <c r="B57" s="52">
        <f>B49</f>
        <v>6276200</v>
      </c>
      <c r="C57" s="17">
        <v>1</v>
      </c>
      <c r="D57" s="94">
        <v>0.1</v>
      </c>
      <c r="E57" s="52">
        <f>B57*D57*L57</f>
        <v>1412145</v>
      </c>
      <c r="F57" s="104">
        <f>B43-E57</f>
        <v>4995848.75</v>
      </c>
      <c r="G57" s="52">
        <f>F57*C57</f>
        <v>4995848.75</v>
      </c>
      <c r="H57" s="92">
        <v>0.5</v>
      </c>
      <c r="I57" s="52">
        <f>E57+G57*(1-H57)</f>
        <v>3910069.375</v>
      </c>
      <c r="J57" s="17">
        <f>I57/B57+1</f>
        <v>1.6229994861540422</v>
      </c>
      <c r="K57" s="17">
        <f>(J57)^(1/L57)-1</f>
        <v>0.24015176753655365</v>
      </c>
      <c r="L57" s="56">
        <f>27/12</f>
        <v>2.25</v>
      </c>
      <c r="M57" s="104">
        <f>SUMPRODUCT(G57:G57,H57:H57)</f>
        <v>2497924.375</v>
      </c>
    </row>
    <row r="60" spans="1:16" x14ac:dyDescent="0.2">
      <c r="A60" t="s">
        <v>180</v>
      </c>
      <c r="B60" s="3" t="s">
        <v>181</v>
      </c>
      <c r="D60" t="s">
        <v>182</v>
      </c>
      <c r="E60" t="s">
        <v>183</v>
      </c>
      <c r="F60" t="s">
        <v>184</v>
      </c>
      <c r="G60" t="s">
        <v>185</v>
      </c>
      <c r="H60" t="s">
        <v>186</v>
      </c>
      <c r="P60" s="13"/>
    </row>
    <row r="61" spans="1:16" x14ac:dyDescent="0.2">
      <c r="A61" t="s">
        <v>143</v>
      </c>
      <c r="B61" s="2">
        <f>B11+B19/3+B23+B25+B26+B28+B29+B22+B24</f>
        <v>5945000</v>
      </c>
      <c r="C61" t="s">
        <v>187</v>
      </c>
      <c r="D61" s="2">
        <v>0</v>
      </c>
      <c r="G61" s="2">
        <f>B61-F61</f>
        <v>5945000</v>
      </c>
      <c r="H61" s="283"/>
    </row>
    <row r="62" spans="1:16" x14ac:dyDescent="0.2">
      <c r="A62" t="s">
        <v>144</v>
      </c>
      <c r="B62" s="2">
        <f>B19/3</f>
        <v>1000000</v>
      </c>
      <c r="C62" t="s">
        <v>188</v>
      </c>
      <c r="D62" s="2">
        <f>B45-D61</f>
        <v>6210000</v>
      </c>
      <c r="E62" s="2">
        <f>B48</f>
        <v>41400</v>
      </c>
      <c r="G62" s="2">
        <f>E62</f>
        <v>41400</v>
      </c>
      <c r="H62" s="284"/>
    </row>
    <row r="63" spans="1:16" x14ac:dyDescent="0.2">
      <c r="A63" t="s">
        <v>145</v>
      </c>
      <c r="B63" s="2">
        <f>B19/3</f>
        <v>1000000</v>
      </c>
      <c r="C63" t="s">
        <v>188</v>
      </c>
      <c r="E63" s="2">
        <f>E62</f>
        <v>41400</v>
      </c>
      <c r="G63" s="2">
        <f t="shared" ref="G63:G69" si="0">E63</f>
        <v>41400</v>
      </c>
      <c r="H63" s="284"/>
    </row>
    <row r="64" spans="1:16" x14ac:dyDescent="0.2">
      <c r="A64" t="s">
        <v>146</v>
      </c>
      <c r="B64" s="2">
        <f>(B21-B20+B32-B19+B27)*30/150/6</f>
        <v>701666.66666666663</v>
      </c>
      <c r="C64" s="284" t="s">
        <v>189</v>
      </c>
      <c r="D64" s="105"/>
      <c r="E64" s="2">
        <f t="shared" ref="E64:E73" si="1">E63</f>
        <v>41400</v>
      </c>
      <c r="G64" s="2">
        <f t="shared" si="0"/>
        <v>41400</v>
      </c>
      <c r="H64" s="284"/>
    </row>
    <row r="65" spans="1:10" x14ac:dyDescent="0.2">
      <c r="A65" t="s">
        <v>147</v>
      </c>
      <c r="B65" s="2">
        <f>B64</f>
        <v>701666.66666666663</v>
      </c>
      <c r="C65" s="284"/>
      <c r="D65" s="105"/>
      <c r="E65" s="2">
        <f t="shared" si="1"/>
        <v>41400</v>
      </c>
      <c r="G65" s="2">
        <f t="shared" si="0"/>
        <v>41400</v>
      </c>
      <c r="H65" s="284"/>
      <c r="J65" s="2"/>
    </row>
    <row r="66" spans="1:10" x14ac:dyDescent="0.2">
      <c r="A66" t="s">
        <v>148</v>
      </c>
      <c r="B66" s="2">
        <f t="shared" ref="B66:B69" si="2">B65</f>
        <v>701666.66666666663</v>
      </c>
      <c r="C66" s="284"/>
      <c r="D66" s="105"/>
      <c r="E66" s="2">
        <f t="shared" si="1"/>
        <v>41400</v>
      </c>
      <c r="G66" s="2">
        <f t="shared" si="0"/>
        <v>41400</v>
      </c>
      <c r="H66" s="284"/>
    </row>
    <row r="67" spans="1:10" x14ac:dyDescent="0.2">
      <c r="A67" t="s">
        <v>149</v>
      </c>
      <c r="B67" s="2">
        <f t="shared" si="2"/>
        <v>701666.66666666663</v>
      </c>
      <c r="C67" s="284"/>
      <c r="D67" s="105"/>
      <c r="E67" s="2">
        <f t="shared" si="1"/>
        <v>41400</v>
      </c>
      <c r="G67" s="2">
        <f t="shared" si="0"/>
        <v>41400</v>
      </c>
      <c r="H67" s="284"/>
    </row>
    <row r="68" spans="1:10" x14ac:dyDescent="0.2">
      <c r="A68" t="s">
        <v>150</v>
      </c>
      <c r="B68" s="2">
        <f t="shared" si="2"/>
        <v>701666.66666666663</v>
      </c>
      <c r="C68" s="284"/>
      <c r="D68" s="105"/>
      <c r="E68" s="2">
        <f t="shared" si="1"/>
        <v>41400</v>
      </c>
      <c r="G68" s="2">
        <f t="shared" si="0"/>
        <v>41400</v>
      </c>
      <c r="H68" s="284"/>
    </row>
    <row r="69" spans="1:10" x14ac:dyDescent="0.2">
      <c r="A69" t="s">
        <v>151</v>
      </c>
      <c r="B69" s="2">
        <f t="shared" si="2"/>
        <v>701666.66666666663</v>
      </c>
      <c r="C69" s="284"/>
      <c r="D69" s="105"/>
      <c r="E69" s="2">
        <f t="shared" si="1"/>
        <v>41400</v>
      </c>
      <c r="G69" s="2">
        <f t="shared" si="0"/>
        <v>41400</v>
      </c>
      <c r="H69" s="284"/>
    </row>
    <row r="70" spans="1:10" x14ac:dyDescent="0.2">
      <c r="A70" t="s">
        <v>152</v>
      </c>
      <c r="B70" s="2">
        <f>(B21-B20+B32-B19+B27)*50/150/6</f>
        <v>1169444.4444444445</v>
      </c>
      <c r="C70" s="284" t="s">
        <v>190</v>
      </c>
      <c r="D70" s="105"/>
      <c r="E70" s="2">
        <f t="shared" si="1"/>
        <v>41400</v>
      </c>
      <c r="F70" s="2">
        <f>(B40-B30)*30/150/6</f>
        <v>1244645.8333333333</v>
      </c>
      <c r="G70" s="2"/>
      <c r="H70" s="2">
        <f>F70-B70-E70</f>
        <v>33801.38888888876</v>
      </c>
    </row>
    <row r="71" spans="1:10" x14ac:dyDescent="0.2">
      <c r="A71" t="s">
        <v>153</v>
      </c>
      <c r="B71" s="2">
        <f>B70</f>
        <v>1169444.4444444445</v>
      </c>
      <c r="C71" s="284"/>
      <c r="D71" s="105"/>
      <c r="E71" s="2">
        <f t="shared" si="1"/>
        <v>41400</v>
      </c>
      <c r="F71" s="2">
        <f>F70</f>
        <v>1244645.8333333333</v>
      </c>
      <c r="G71" s="2"/>
      <c r="H71" s="2">
        <f t="shared" ref="H71:H87" si="3">F71-B71-E71</f>
        <v>33801.38888888876</v>
      </c>
    </row>
    <row r="72" spans="1:10" x14ac:dyDescent="0.2">
      <c r="A72" t="s">
        <v>154</v>
      </c>
      <c r="B72" s="2">
        <f t="shared" ref="B72:B81" si="4">B71</f>
        <v>1169444.4444444445</v>
      </c>
      <c r="C72" s="284"/>
      <c r="D72" s="105"/>
      <c r="E72" s="2">
        <f t="shared" si="1"/>
        <v>41400</v>
      </c>
      <c r="F72" s="2">
        <f t="shared" ref="F72:F75" si="5">F71</f>
        <v>1244645.8333333333</v>
      </c>
      <c r="G72" s="2"/>
      <c r="H72" s="2">
        <f t="shared" si="3"/>
        <v>33801.38888888876</v>
      </c>
    </row>
    <row r="73" spans="1:10" x14ac:dyDescent="0.2">
      <c r="A73" t="s">
        <v>155</v>
      </c>
      <c r="B73" s="2">
        <f t="shared" si="4"/>
        <v>1169444.4444444445</v>
      </c>
      <c r="C73" s="284"/>
      <c r="D73" s="105"/>
      <c r="E73" s="2">
        <f t="shared" si="1"/>
        <v>41400</v>
      </c>
      <c r="F73" s="2">
        <f t="shared" si="5"/>
        <v>1244645.8333333333</v>
      </c>
      <c r="G73" s="2"/>
      <c r="H73" s="2">
        <f t="shared" si="3"/>
        <v>33801.38888888876</v>
      </c>
    </row>
    <row r="74" spans="1:10" x14ac:dyDescent="0.2">
      <c r="A74" t="s">
        <v>156</v>
      </c>
      <c r="B74" s="2">
        <f t="shared" si="4"/>
        <v>1169444.4444444445</v>
      </c>
      <c r="C74" s="284"/>
      <c r="D74" s="105"/>
      <c r="E74" s="106">
        <f>E73</f>
        <v>41400</v>
      </c>
      <c r="F74" s="2">
        <f t="shared" si="5"/>
        <v>1244645.8333333333</v>
      </c>
      <c r="G74" s="2"/>
      <c r="H74" s="2">
        <f t="shared" si="3"/>
        <v>33801.38888888876</v>
      </c>
    </row>
    <row r="75" spans="1:10" x14ac:dyDescent="0.2">
      <c r="A75" t="s">
        <v>157</v>
      </c>
      <c r="B75" s="2">
        <f t="shared" si="4"/>
        <v>1169444.4444444445</v>
      </c>
      <c r="C75" s="284"/>
      <c r="D75" s="105"/>
      <c r="E75" s="106">
        <f t="shared" ref="E75:E84" si="6">E74</f>
        <v>41400</v>
      </c>
      <c r="F75" s="2">
        <f t="shared" si="5"/>
        <v>1244645.8333333333</v>
      </c>
      <c r="G75" s="2"/>
      <c r="H75" s="2">
        <f t="shared" si="3"/>
        <v>33801.38888888876</v>
      </c>
    </row>
    <row r="76" spans="1:10" x14ac:dyDescent="0.2">
      <c r="A76" t="s">
        <v>158</v>
      </c>
      <c r="B76" s="2">
        <f>(B21-B20+B32-B19+B27)*70/150/6</f>
        <v>1637222.2222222222</v>
      </c>
      <c r="C76" s="284" t="s">
        <v>191</v>
      </c>
      <c r="D76" s="105"/>
      <c r="E76" s="106">
        <f t="shared" si="6"/>
        <v>41400</v>
      </c>
      <c r="F76" s="2">
        <f>(B40-B30)*50/150/6</f>
        <v>2074409.7222222222</v>
      </c>
      <c r="G76" s="2"/>
      <c r="H76" s="2">
        <f t="shared" si="3"/>
        <v>395787.5</v>
      </c>
    </row>
    <row r="77" spans="1:10" x14ac:dyDescent="0.2">
      <c r="A77" t="s">
        <v>159</v>
      </c>
      <c r="B77" s="2">
        <f t="shared" si="4"/>
        <v>1637222.2222222222</v>
      </c>
      <c r="C77" s="284"/>
      <c r="D77" s="105"/>
      <c r="E77" s="106">
        <f t="shared" si="6"/>
        <v>41400</v>
      </c>
      <c r="F77" s="2">
        <f>F76</f>
        <v>2074409.7222222222</v>
      </c>
      <c r="G77" s="2"/>
      <c r="H77" s="2">
        <f t="shared" si="3"/>
        <v>395787.5</v>
      </c>
    </row>
    <row r="78" spans="1:10" x14ac:dyDescent="0.2">
      <c r="A78" t="s">
        <v>160</v>
      </c>
      <c r="B78" s="2">
        <f t="shared" si="4"/>
        <v>1637222.2222222222</v>
      </c>
      <c r="C78" s="284"/>
      <c r="D78" s="105"/>
      <c r="E78" s="106">
        <f t="shared" si="6"/>
        <v>41400</v>
      </c>
      <c r="F78" s="2">
        <f t="shared" ref="F78:F87" si="7">F77</f>
        <v>2074409.7222222222</v>
      </c>
      <c r="G78" s="2"/>
      <c r="H78" s="2">
        <f t="shared" si="3"/>
        <v>395787.5</v>
      </c>
    </row>
    <row r="79" spans="1:10" x14ac:dyDescent="0.2">
      <c r="A79" t="s">
        <v>161</v>
      </c>
      <c r="B79" s="2">
        <f t="shared" si="4"/>
        <v>1637222.2222222222</v>
      </c>
      <c r="C79" s="284"/>
      <c r="D79" s="105"/>
      <c r="E79" s="106">
        <f t="shared" si="6"/>
        <v>41400</v>
      </c>
      <c r="F79" s="2">
        <f t="shared" si="7"/>
        <v>2074409.7222222222</v>
      </c>
      <c r="G79" s="2"/>
      <c r="H79" s="2">
        <f t="shared" si="3"/>
        <v>395787.5</v>
      </c>
    </row>
    <row r="80" spans="1:10" x14ac:dyDescent="0.2">
      <c r="A80" t="s">
        <v>162</v>
      </c>
      <c r="B80" s="2">
        <f t="shared" si="4"/>
        <v>1637222.2222222222</v>
      </c>
      <c r="C80" s="284"/>
      <c r="D80" s="105"/>
      <c r="E80" s="106">
        <f t="shared" si="6"/>
        <v>41400</v>
      </c>
      <c r="F80" s="2">
        <f t="shared" si="7"/>
        <v>2074409.7222222222</v>
      </c>
      <c r="G80" s="2"/>
      <c r="H80" s="2">
        <f t="shared" si="3"/>
        <v>395787.5</v>
      </c>
    </row>
    <row r="81" spans="1:10" x14ac:dyDescent="0.2">
      <c r="A81" t="s">
        <v>163</v>
      </c>
      <c r="B81" s="2">
        <f t="shared" si="4"/>
        <v>1637222.2222222222</v>
      </c>
      <c r="C81" s="284"/>
      <c r="D81" s="105"/>
      <c r="E81" s="106">
        <f t="shared" si="6"/>
        <v>41400</v>
      </c>
      <c r="F81" s="2">
        <f t="shared" si="7"/>
        <v>2074409.7222222222</v>
      </c>
      <c r="G81" s="2"/>
      <c r="H81" s="2">
        <f t="shared" si="3"/>
        <v>395787.5</v>
      </c>
    </row>
    <row r="82" spans="1:10" x14ac:dyDescent="0.2">
      <c r="A82" t="s">
        <v>164</v>
      </c>
      <c r="E82" s="106">
        <f>E81</f>
        <v>41400</v>
      </c>
      <c r="F82" s="2">
        <f>(B40-B30)*70/150/6</f>
        <v>2904173.6111111115</v>
      </c>
      <c r="H82" s="2">
        <f t="shared" si="3"/>
        <v>2862773.6111111115</v>
      </c>
    </row>
    <row r="83" spans="1:10" x14ac:dyDescent="0.2">
      <c r="A83" t="s">
        <v>165</v>
      </c>
      <c r="E83" s="106">
        <f t="shared" si="6"/>
        <v>41400</v>
      </c>
      <c r="F83" s="2">
        <f t="shared" si="7"/>
        <v>2904173.6111111115</v>
      </c>
      <c r="H83" s="2">
        <f t="shared" si="3"/>
        <v>2862773.6111111115</v>
      </c>
    </row>
    <row r="84" spans="1:10" x14ac:dyDescent="0.2">
      <c r="A84" t="s">
        <v>166</v>
      </c>
      <c r="E84" s="106">
        <f t="shared" si="6"/>
        <v>41400</v>
      </c>
      <c r="F84" s="2">
        <f t="shared" si="7"/>
        <v>2904173.6111111115</v>
      </c>
      <c r="H84" s="2">
        <f t="shared" si="3"/>
        <v>2862773.6111111115</v>
      </c>
    </row>
    <row r="85" spans="1:10" x14ac:dyDescent="0.2">
      <c r="A85" t="s">
        <v>167</v>
      </c>
      <c r="E85" s="106">
        <f>E84+B45</f>
        <v>6251400</v>
      </c>
      <c r="F85" s="2">
        <f t="shared" si="7"/>
        <v>2904173.6111111115</v>
      </c>
      <c r="H85" s="2">
        <f t="shared" si="3"/>
        <v>-3347226.3888888885</v>
      </c>
    </row>
    <row r="86" spans="1:10" x14ac:dyDescent="0.2">
      <c r="A86" t="s">
        <v>168</v>
      </c>
      <c r="F86" s="2">
        <f t="shared" si="7"/>
        <v>2904173.6111111115</v>
      </c>
      <c r="H86" s="2">
        <f t="shared" si="3"/>
        <v>2904173.6111111115</v>
      </c>
    </row>
    <row r="87" spans="1:10" x14ac:dyDescent="0.2">
      <c r="A87" t="s">
        <v>169</v>
      </c>
      <c r="F87" s="2">
        <f t="shared" si="7"/>
        <v>2904173.6111111115</v>
      </c>
      <c r="H87" s="2">
        <f t="shared" si="3"/>
        <v>2904173.6111111115</v>
      </c>
    </row>
    <row r="89" spans="1:10" x14ac:dyDescent="0.2">
      <c r="G89" s="2">
        <f>SUM(G61:G87)</f>
        <v>6276200</v>
      </c>
      <c r="H89" s="2">
        <f>SUM(H61:H87)</f>
        <v>13626975.000000004</v>
      </c>
      <c r="J89" s="2"/>
    </row>
  </sheetData>
  <mergeCells count="4">
    <mergeCell ref="H61:H69"/>
    <mergeCell ref="C64:C69"/>
    <mergeCell ref="C70:C75"/>
    <mergeCell ref="C76:C81"/>
  </mergeCells>
  <dataValidations count="1">
    <dataValidation showInputMessage="1" showErrorMessage="1" sqref="B7" xr:uid="{47BDEFCA-1B14-4C3D-A0CF-651C6BAAD171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4B6B-433B-4295-9547-1105940FAA7D}">
  <dimension ref="A1:N23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6.33203125" bestFit="1" customWidth="1"/>
    <col min="2" max="2" width="19" bestFit="1" customWidth="1"/>
    <col min="3" max="3" width="14.33203125" bestFit="1" customWidth="1"/>
    <col min="4" max="4" width="14.33203125" customWidth="1"/>
    <col min="5" max="5" width="13.6640625" customWidth="1"/>
    <col min="6" max="14" width="8.6640625" customWidth="1"/>
    <col min="15" max="15" width="10.1640625" bestFit="1" customWidth="1"/>
  </cols>
  <sheetData>
    <row r="1" spans="1:14" x14ac:dyDescent="0.2">
      <c r="A1" s="1" t="s">
        <v>0</v>
      </c>
      <c r="B1" s="2"/>
    </row>
    <row r="2" spans="1:14" x14ac:dyDescent="0.2">
      <c r="A2" s="3" t="s">
        <v>1</v>
      </c>
      <c r="B2" s="4" t="s">
        <v>173</v>
      </c>
    </row>
    <row r="3" spans="1:14" x14ac:dyDescent="0.2">
      <c r="A3" s="3" t="s">
        <v>192</v>
      </c>
      <c r="B3" s="2">
        <v>218</v>
      </c>
    </row>
    <row r="4" spans="1:14" x14ac:dyDescent="0.2">
      <c r="A4" s="3" t="s">
        <v>78</v>
      </c>
      <c r="B4" s="81">
        <v>24.34</v>
      </c>
      <c r="F4" t="s">
        <v>193</v>
      </c>
    </row>
    <row r="5" spans="1:14" x14ac:dyDescent="0.2">
      <c r="A5" s="3" t="s">
        <v>62</v>
      </c>
      <c r="B5" s="81">
        <v>9.35</v>
      </c>
      <c r="D5" s="284" t="s">
        <v>194</v>
      </c>
      <c r="E5" s="100">
        <f>B14</f>
        <v>40366.972477064221</v>
      </c>
      <c r="F5" s="5">
        <v>6</v>
      </c>
      <c r="G5" s="5">
        <v>7</v>
      </c>
      <c r="H5" s="5">
        <v>8</v>
      </c>
      <c r="I5" s="102">
        <v>9</v>
      </c>
      <c r="J5" s="102">
        <v>10</v>
      </c>
      <c r="K5" s="5">
        <v>11</v>
      </c>
      <c r="L5" s="5">
        <v>12</v>
      </c>
      <c r="M5" s="5">
        <v>13</v>
      </c>
      <c r="N5" s="5">
        <v>14</v>
      </c>
    </row>
    <row r="6" spans="1:14" x14ac:dyDescent="0.2">
      <c r="D6" s="284"/>
      <c r="E6" s="52">
        <v>2000000</v>
      </c>
      <c r="F6" s="52">
        <f t="dataTable" ref="F6:N9" dt2D="1" dtr="1" r1="B5" r2="B8"/>
        <v>35779.816513761471</v>
      </c>
      <c r="G6" s="52">
        <v>35779.816513761471</v>
      </c>
      <c r="H6" s="52">
        <v>35779.816513761471</v>
      </c>
      <c r="I6" s="103">
        <v>35779.816513761471</v>
      </c>
      <c r="J6" s="103">
        <v>35779.816513761471</v>
      </c>
      <c r="K6" s="52">
        <v>35779.816513761471</v>
      </c>
      <c r="L6" s="52">
        <v>35779.816513761471</v>
      </c>
      <c r="M6" s="52">
        <v>35779.816513761471</v>
      </c>
      <c r="N6" s="52">
        <v>35779.816513761471</v>
      </c>
    </row>
    <row r="7" spans="1:14" x14ac:dyDescent="0.2">
      <c r="A7" s="1" t="s">
        <v>195</v>
      </c>
      <c r="D7" s="284"/>
      <c r="E7" s="52">
        <v>2500000</v>
      </c>
      <c r="F7" s="52">
        <v>38073.394495412846</v>
      </c>
      <c r="G7" s="52">
        <v>38073.394495412846</v>
      </c>
      <c r="H7" s="52">
        <v>38073.394495412846</v>
      </c>
      <c r="I7" s="103">
        <v>38073.394495412846</v>
      </c>
      <c r="J7" s="103">
        <v>38073.394495412846</v>
      </c>
      <c r="K7" s="52">
        <v>38073.394495412846</v>
      </c>
      <c r="L7" s="52">
        <v>38073.394495412846</v>
      </c>
      <c r="M7" s="52">
        <v>38073.394495412846</v>
      </c>
      <c r="N7" s="52">
        <v>38073.394495412846</v>
      </c>
    </row>
    <row r="8" spans="1:14" x14ac:dyDescent="0.2">
      <c r="A8" s="14" t="s">
        <v>8</v>
      </c>
      <c r="B8" s="52">
        <v>3000000</v>
      </c>
      <c r="D8" s="284"/>
      <c r="E8" s="52">
        <v>3000000</v>
      </c>
      <c r="F8" s="52">
        <v>40366.972477064221</v>
      </c>
      <c r="G8" s="52">
        <v>40366.972477064221</v>
      </c>
      <c r="H8" s="52">
        <v>40366.972477064221</v>
      </c>
      <c r="I8" s="103">
        <v>40366.972477064221</v>
      </c>
      <c r="J8" s="103">
        <v>40366.972477064221</v>
      </c>
      <c r="K8" s="52">
        <v>40366.972477064221</v>
      </c>
      <c r="L8" s="52">
        <v>40366.972477064221</v>
      </c>
      <c r="M8" s="52">
        <v>40366.972477064221</v>
      </c>
      <c r="N8" s="52">
        <v>40366.972477064221</v>
      </c>
    </row>
    <row r="9" spans="1:14" x14ac:dyDescent="0.2">
      <c r="A9" s="14" t="s">
        <v>196</v>
      </c>
      <c r="B9" s="52">
        <v>5000000</v>
      </c>
      <c r="D9" s="284"/>
      <c r="E9" s="52">
        <v>3500000</v>
      </c>
      <c r="F9" s="52">
        <v>42660.550458715596</v>
      </c>
      <c r="G9" s="52">
        <v>42660.550458715596</v>
      </c>
      <c r="H9" s="52">
        <v>42660.550458715596</v>
      </c>
      <c r="I9" s="103">
        <v>42660.550458715596</v>
      </c>
      <c r="J9" s="103">
        <v>42660.550458715596</v>
      </c>
      <c r="K9" s="52">
        <v>42660.550458715596</v>
      </c>
      <c r="L9" s="52">
        <v>42660.550458715596</v>
      </c>
      <c r="M9" s="52">
        <v>42660.550458715596</v>
      </c>
      <c r="N9" s="52">
        <v>42660.550458715596</v>
      </c>
    </row>
    <row r="10" spans="1:14" x14ac:dyDescent="0.2">
      <c r="A10" s="14" t="s">
        <v>197</v>
      </c>
      <c r="B10" s="52">
        <v>300000</v>
      </c>
    </row>
    <row r="11" spans="1:14" x14ac:dyDescent="0.2">
      <c r="A11" s="14" t="s">
        <v>198</v>
      </c>
      <c r="B11" s="52">
        <v>500000</v>
      </c>
    </row>
    <row r="13" spans="1:14" x14ac:dyDescent="0.2">
      <c r="A13" s="3" t="s">
        <v>39</v>
      </c>
      <c r="B13" s="2">
        <f>SUM(B8:B11)</f>
        <v>8800000</v>
      </c>
    </row>
    <row r="14" spans="1:14" x14ac:dyDescent="0.2">
      <c r="A14" s="3" t="s">
        <v>194</v>
      </c>
      <c r="B14" s="13">
        <f>B13/B3</f>
        <v>40366.972477064221</v>
      </c>
    </row>
    <row r="16" spans="1:14" x14ac:dyDescent="0.2">
      <c r="A16" s="3" t="s">
        <v>199</v>
      </c>
      <c r="B16" t="s">
        <v>200</v>
      </c>
    </row>
    <row r="17" spans="1:10" x14ac:dyDescent="0.2">
      <c r="A17" s="101" t="s">
        <v>201</v>
      </c>
    </row>
    <row r="22" spans="1:10" x14ac:dyDescent="0.2">
      <c r="A22" t="s">
        <v>202</v>
      </c>
      <c r="J22">
        <f>2.17*18.45</f>
        <v>40.036499999999997</v>
      </c>
    </row>
    <row r="23" spans="1:10" x14ac:dyDescent="0.2">
      <c r="A23" t="s">
        <v>203</v>
      </c>
      <c r="B23" s="2">
        <v>400000</v>
      </c>
      <c r="C23" t="s">
        <v>204</v>
      </c>
    </row>
  </sheetData>
  <mergeCells count="1">
    <mergeCell ref="D5:D9"/>
  </mergeCells>
  <hyperlinks>
    <hyperlink ref="A17" r:id="rId1" xr:uid="{21D1CB2B-6A42-4B8C-A834-674A6DDB212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026D-3488-4F29-9AC7-09B2E032A67B}">
  <dimension ref="A1:O83"/>
  <sheetViews>
    <sheetView topLeftCell="A37" workbookViewId="0">
      <selection activeCell="C50" sqref="C50"/>
    </sheetView>
  </sheetViews>
  <sheetFormatPr baseColWidth="10" defaultColWidth="8.83203125" defaultRowHeight="15" x14ac:dyDescent="0.2"/>
  <cols>
    <col min="1" max="1" width="26.33203125" bestFit="1" customWidth="1"/>
    <col min="2" max="2" width="19" bestFit="1" customWidth="1"/>
    <col min="3" max="3" width="14.33203125" bestFit="1" customWidth="1"/>
    <col min="4" max="13" width="13.6640625" customWidth="1"/>
    <col min="14" max="14" width="10.1640625" bestFit="1" customWidth="1"/>
  </cols>
  <sheetData>
    <row r="1" spans="1:3" x14ac:dyDescent="0.2">
      <c r="A1" s="1" t="s">
        <v>0</v>
      </c>
      <c r="B1" s="2"/>
    </row>
    <row r="2" spans="1:3" x14ac:dyDescent="0.2">
      <c r="A2" s="3" t="s">
        <v>1</v>
      </c>
      <c r="B2" s="4" t="s">
        <v>173</v>
      </c>
    </row>
    <row r="3" spans="1:3" x14ac:dyDescent="0.2">
      <c r="A3" s="3" t="s">
        <v>3</v>
      </c>
      <c r="B3" s="2">
        <v>50</v>
      </c>
    </row>
    <row r="4" spans="1:3" x14ac:dyDescent="0.2">
      <c r="A4" s="3" t="s">
        <v>78</v>
      </c>
      <c r="B4" s="2">
        <v>24.34</v>
      </c>
    </row>
    <row r="5" spans="1:3" x14ac:dyDescent="0.2">
      <c r="A5" s="3" t="s">
        <v>62</v>
      </c>
      <c r="B5" s="2"/>
    </row>
    <row r="6" spans="1:3" ht="16" thickBot="1" x14ac:dyDescent="0.25">
      <c r="A6" s="3" t="s">
        <v>4</v>
      </c>
      <c r="B6" s="2">
        <v>1800</v>
      </c>
    </row>
    <row r="7" spans="1:3" ht="16" thickBot="1" x14ac:dyDescent="0.25">
      <c r="A7" s="3" t="s">
        <v>5</v>
      </c>
      <c r="B7" s="65">
        <v>80</v>
      </c>
    </row>
    <row r="8" spans="1:3" x14ac:dyDescent="0.2">
      <c r="A8" s="3" t="s">
        <v>6</v>
      </c>
      <c r="B8" s="4">
        <v>170</v>
      </c>
      <c r="C8">
        <f>B6*B8</f>
        <v>306000</v>
      </c>
    </row>
    <row r="10" spans="1:3" x14ac:dyDescent="0.2">
      <c r="A10" s="1" t="s">
        <v>7</v>
      </c>
    </row>
    <row r="11" spans="1:3" x14ac:dyDescent="0.2">
      <c r="A11" s="14" t="s">
        <v>8</v>
      </c>
      <c r="B11" s="52">
        <v>1500000</v>
      </c>
    </row>
    <row r="12" spans="1:3" x14ac:dyDescent="0.2">
      <c r="A12" s="14" t="s">
        <v>9</v>
      </c>
      <c r="B12" s="52">
        <v>0</v>
      </c>
    </row>
    <row r="13" spans="1:3" x14ac:dyDescent="0.2">
      <c r="A13" s="76" t="s">
        <v>10</v>
      </c>
      <c r="B13" s="77">
        <f>B11+B12</f>
        <v>1500000</v>
      </c>
    </row>
    <row r="14" spans="1:3" x14ac:dyDescent="0.2">
      <c r="B14" s="2"/>
    </row>
    <row r="15" spans="1:3" x14ac:dyDescent="0.2">
      <c r="B15" s="2"/>
    </row>
    <row r="16" spans="1:3" x14ac:dyDescent="0.2">
      <c r="A16" s="1" t="s">
        <v>11</v>
      </c>
      <c r="B16" s="2"/>
    </row>
    <row r="17" spans="1:2" x14ac:dyDescent="0.2">
      <c r="A17" s="14" t="s">
        <v>12</v>
      </c>
      <c r="B17" s="52">
        <f>B7*B6*B3</f>
        <v>7200000</v>
      </c>
    </row>
    <row r="18" spans="1:2" x14ac:dyDescent="0.2">
      <c r="A18" s="14" t="s">
        <v>38</v>
      </c>
      <c r="B18" s="52">
        <v>400000</v>
      </c>
    </row>
    <row r="19" spans="1:2" x14ac:dyDescent="0.2">
      <c r="A19" s="14" t="s">
        <v>13</v>
      </c>
      <c r="B19" s="52">
        <v>2000000</v>
      </c>
    </row>
    <row r="20" spans="1:2" x14ac:dyDescent="0.2">
      <c r="A20" s="14" t="s">
        <v>14</v>
      </c>
      <c r="B20" s="52">
        <f>2000*B3</f>
        <v>100000</v>
      </c>
    </row>
    <row r="21" spans="1:2" x14ac:dyDescent="0.2">
      <c r="A21" s="14" t="s">
        <v>15</v>
      </c>
      <c r="B21" s="52">
        <v>300000</v>
      </c>
    </row>
    <row r="22" spans="1:2" x14ac:dyDescent="0.2">
      <c r="A22" s="53" t="s">
        <v>16</v>
      </c>
      <c r="B22" s="55">
        <f>SUM(B17:B21)</f>
        <v>10000000</v>
      </c>
    </row>
    <row r="23" spans="1:2" x14ac:dyDescent="0.2">
      <c r="A23" s="14" t="s">
        <v>17</v>
      </c>
      <c r="B23" s="52">
        <v>300000</v>
      </c>
    </row>
    <row r="24" spans="1:2" x14ac:dyDescent="0.2">
      <c r="A24" s="14" t="s">
        <v>18</v>
      </c>
      <c r="B24" s="52">
        <v>2000</v>
      </c>
    </row>
    <row r="25" spans="1:2" x14ac:dyDescent="0.2">
      <c r="A25" s="14" t="s">
        <v>19</v>
      </c>
      <c r="B25" s="52">
        <v>100000</v>
      </c>
    </row>
    <row r="26" spans="1:2" x14ac:dyDescent="0.2">
      <c r="A26" s="14" t="s">
        <v>20</v>
      </c>
      <c r="B26" s="52">
        <v>8000</v>
      </c>
    </row>
    <row r="27" spans="1:2" x14ac:dyDescent="0.2">
      <c r="A27" s="14" t="s">
        <v>21</v>
      </c>
      <c r="B27" s="52">
        <f>800*B3</f>
        <v>40000</v>
      </c>
    </row>
    <row r="28" spans="1:2" x14ac:dyDescent="0.2">
      <c r="A28" s="14" t="s">
        <v>22</v>
      </c>
      <c r="B28" s="52">
        <v>50000</v>
      </c>
    </row>
    <row r="29" spans="1:2" x14ac:dyDescent="0.2">
      <c r="A29" s="14" t="s">
        <v>23</v>
      </c>
      <c r="B29" s="52">
        <v>20000</v>
      </c>
    </row>
    <row r="30" spans="1:2" x14ac:dyDescent="0.2">
      <c r="A30" s="14" t="s">
        <v>24</v>
      </c>
      <c r="B30" s="52">
        <f>600*B3</f>
        <v>30000</v>
      </c>
    </row>
    <row r="31" spans="1:2" x14ac:dyDescent="0.2">
      <c r="A31" s="14" t="s">
        <v>25</v>
      </c>
      <c r="B31" s="52">
        <f>B41*0.025*0.9+50000</f>
        <v>394250</v>
      </c>
    </row>
    <row r="32" spans="1:2" x14ac:dyDescent="0.2">
      <c r="A32" s="14" t="s">
        <v>26</v>
      </c>
      <c r="B32" s="52">
        <v>300000</v>
      </c>
    </row>
    <row r="33" spans="1:12" x14ac:dyDescent="0.2">
      <c r="A33" s="14" t="s">
        <v>27</v>
      </c>
      <c r="B33" s="52">
        <v>200000</v>
      </c>
    </row>
    <row r="34" spans="1:12" ht="32" x14ac:dyDescent="0.2">
      <c r="A34" s="14" t="s">
        <v>15</v>
      </c>
      <c r="B34" s="52">
        <f>5%*SUM(B23:B33)</f>
        <v>72212.5</v>
      </c>
      <c r="D34" s="91" t="s">
        <v>47</v>
      </c>
      <c r="E34" s="91" t="s">
        <v>48</v>
      </c>
      <c r="F34" s="91" t="s">
        <v>49</v>
      </c>
      <c r="G34" s="91" t="s">
        <v>33</v>
      </c>
      <c r="H34" s="91" t="s">
        <v>50</v>
      </c>
      <c r="I34" s="91" t="s">
        <v>51</v>
      </c>
      <c r="J34" s="91" t="s">
        <v>52</v>
      </c>
      <c r="K34" s="91" t="s">
        <v>53</v>
      </c>
      <c r="L34" s="91" t="s">
        <v>54</v>
      </c>
    </row>
    <row r="35" spans="1:12" x14ac:dyDescent="0.2">
      <c r="A35" s="53" t="s">
        <v>28</v>
      </c>
      <c r="B35" s="55">
        <f>SUM(B23:B34)</f>
        <v>1516462.5</v>
      </c>
      <c r="D35" s="94">
        <v>0.08</v>
      </c>
      <c r="E35" s="52">
        <f>B56*D35*L35</f>
        <v>768000</v>
      </c>
      <c r="F35" s="266">
        <f>B44-E35-E36</f>
        <v>1473537.5</v>
      </c>
      <c r="G35" s="52">
        <f>F35*C56</f>
        <v>1285996.3636363635</v>
      </c>
      <c r="H35" s="92">
        <v>0.5</v>
      </c>
      <c r="I35" s="52">
        <f>E35+G35*(1-H35)</f>
        <v>1410998.1818181816</v>
      </c>
      <c r="J35" s="17">
        <f>I35/B56</f>
        <v>0.29395795454545454</v>
      </c>
      <c r="K35" s="17">
        <f>(1+J35)^(1/L35)-1</f>
        <v>0.13752272704568602</v>
      </c>
      <c r="L35" s="56">
        <v>2</v>
      </c>
    </row>
    <row r="36" spans="1:12" x14ac:dyDescent="0.2">
      <c r="D36" s="94">
        <v>0.04</v>
      </c>
      <c r="E36" s="52">
        <f>B57*D36*L36</f>
        <v>42000</v>
      </c>
      <c r="F36" s="267"/>
      <c r="G36" s="52">
        <f>F35*C57</f>
        <v>187541.13636363635</v>
      </c>
      <c r="H36" s="92">
        <v>0.6</v>
      </c>
      <c r="I36" s="52">
        <f>E36+G36*(1-H36)</f>
        <v>117016.45454545454</v>
      </c>
      <c r="J36" s="17">
        <f>I36/B57</f>
        <v>0.16716636363636364</v>
      </c>
      <c r="K36" s="17">
        <f t="shared" ref="K36" si="0">(1+J36)^(1/L36)-1</f>
        <v>0.10854971712185724</v>
      </c>
      <c r="L36" s="56">
        <v>1.5</v>
      </c>
    </row>
    <row r="37" spans="1:12" x14ac:dyDescent="0.2">
      <c r="A37" s="76" t="s">
        <v>39</v>
      </c>
      <c r="B37" s="77">
        <f>B22+B35+B13</f>
        <v>13016462.5</v>
      </c>
    </row>
    <row r="39" spans="1:12" x14ac:dyDescent="0.2">
      <c r="D39" t="s">
        <v>205</v>
      </c>
      <c r="E39" t="s">
        <v>206</v>
      </c>
    </row>
    <row r="40" spans="1:12" x14ac:dyDescent="0.2">
      <c r="A40" s="1" t="s">
        <v>30</v>
      </c>
      <c r="E40" s="2">
        <f t="shared" ref="E40:E48" si="1">B61-D40</f>
        <v>2666666.6666666665</v>
      </c>
      <c r="F40" s="283">
        <f>SUM(E40:E48)</f>
        <v>5908000</v>
      </c>
    </row>
    <row r="41" spans="1:12" x14ac:dyDescent="0.2">
      <c r="A41" s="14" t="s">
        <v>31</v>
      </c>
      <c r="B41" s="52">
        <f>B3*B6*B8</f>
        <v>15300000</v>
      </c>
      <c r="E41" s="2">
        <f t="shared" si="1"/>
        <v>666666.66666666663</v>
      </c>
      <c r="F41" s="284"/>
    </row>
    <row r="42" spans="1:12" x14ac:dyDescent="0.2">
      <c r="A42" s="76" t="s">
        <v>32</v>
      </c>
      <c r="B42" s="77">
        <f>B41</f>
        <v>15300000</v>
      </c>
      <c r="E42" s="2">
        <f t="shared" si="1"/>
        <v>666666.66666666663</v>
      </c>
      <c r="F42" s="284"/>
    </row>
    <row r="43" spans="1:12" x14ac:dyDescent="0.2">
      <c r="E43" s="2">
        <f t="shared" si="1"/>
        <v>318000</v>
      </c>
      <c r="F43" s="284"/>
    </row>
    <row r="44" spans="1:12" x14ac:dyDescent="0.2">
      <c r="A44" s="79" t="s">
        <v>33</v>
      </c>
      <c r="B44" s="69">
        <f>B42-B37</f>
        <v>2283537.5</v>
      </c>
      <c r="E44" s="2">
        <f t="shared" si="1"/>
        <v>318000</v>
      </c>
      <c r="F44" s="284"/>
    </row>
    <row r="45" spans="1:12" x14ac:dyDescent="0.2">
      <c r="E45" s="2">
        <f t="shared" si="1"/>
        <v>318000</v>
      </c>
      <c r="F45" s="284"/>
    </row>
    <row r="46" spans="1:12" x14ac:dyDescent="0.2">
      <c r="A46" s="14" t="s">
        <v>40</v>
      </c>
      <c r="B46" s="52">
        <f>B37-B31-B32-B21-B34</f>
        <v>11950000</v>
      </c>
      <c r="E46" s="2">
        <f t="shared" si="1"/>
        <v>318000</v>
      </c>
      <c r="F46" s="284"/>
    </row>
    <row r="47" spans="1:12" x14ac:dyDescent="0.2">
      <c r="A47" s="14" t="s">
        <v>41</v>
      </c>
      <c r="B47" s="52">
        <f>F40</f>
        <v>5908000</v>
      </c>
      <c r="E47" s="2">
        <f t="shared" si="1"/>
        <v>318000</v>
      </c>
      <c r="F47" s="284"/>
    </row>
    <row r="48" spans="1:12" x14ac:dyDescent="0.2">
      <c r="E48" s="2">
        <f t="shared" si="1"/>
        <v>318000</v>
      </c>
      <c r="F48" s="284"/>
    </row>
    <row r="49" spans="1:15" x14ac:dyDescent="0.2">
      <c r="A49" s="79" t="s">
        <v>42</v>
      </c>
      <c r="B49" s="69">
        <v>5500000</v>
      </c>
      <c r="D49" s="2">
        <f>(B41-B31)*12/50/4</f>
        <v>894345</v>
      </c>
      <c r="E49" s="2"/>
    </row>
    <row r="50" spans="1:15" x14ac:dyDescent="0.2">
      <c r="D50" s="2">
        <f>D49</f>
        <v>894345</v>
      </c>
      <c r="E50" s="2"/>
      <c r="F50" s="2"/>
    </row>
    <row r="51" spans="1:15" x14ac:dyDescent="0.2">
      <c r="A51" s="8" t="s">
        <v>43</v>
      </c>
      <c r="B51" s="11"/>
      <c r="D51" s="2">
        <f t="shared" ref="D51:D52" si="2">D50</f>
        <v>894345</v>
      </c>
      <c r="E51" s="2"/>
      <c r="F51" s="2"/>
    </row>
    <row r="52" spans="1:15" x14ac:dyDescent="0.2">
      <c r="A52" s="76" t="s">
        <v>44</v>
      </c>
      <c r="B52" s="88">
        <f>B44/B49</f>
        <v>0.41518863636363634</v>
      </c>
      <c r="D52" s="2">
        <f t="shared" si="2"/>
        <v>894345</v>
      </c>
      <c r="E52" s="2"/>
      <c r="F52" s="2"/>
    </row>
    <row r="53" spans="1:15" x14ac:dyDescent="0.2">
      <c r="D53" s="2">
        <f>(B41-B31)*18/50/4</f>
        <v>1341517.5</v>
      </c>
      <c r="E53" s="2"/>
      <c r="F53" s="2"/>
    </row>
    <row r="54" spans="1:15" x14ac:dyDescent="0.2">
      <c r="A54" s="80"/>
      <c r="B54" s="16"/>
      <c r="D54" s="2">
        <f>D53</f>
        <v>1341517.5</v>
      </c>
      <c r="E54" s="2"/>
      <c r="F54" s="2"/>
    </row>
    <row r="55" spans="1:15" ht="32" x14ac:dyDescent="0.2">
      <c r="A55" s="89"/>
      <c r="B55" s="90" t="s">
        <v>45</v>
      </c>
      <c r="C55" s="91" t="s">
        <v>46</v>
      </c>
      <c r="D55" s="2">
        <f>D54</f>
        <v>1341517.5</v>
      </c>
      <c r="E55" s="2"/>
      <c r="F55" s="2"/>
      <c r="M55" s="91" t="s">
        <v>37</v>
      </c>
      <c r="N55" s="91" t="s">
        <v>55</v>
      </c>
      <c r="O55" s="91" t="s">
        <v>56</v>
      </c>
    </row>
    <row r="56" spans="1:15" x14ac:dyDescent="0.2">
      <c r="A56" s="5" t="s">
        <v>57</v>
      </c>
      <c r="B56" s="52">
        <f>B49-B57</f>
        <v>4800000</v>
      </c>
      <c r="C56" s="17">
        <f>B56/B49</f>
        <v>0.87272727272727268</v>
      </c>
      <c r="D56" s="2">
        <f>D55</f>
        <v>1341517.5</v>
      </c>
      <c r="E56" s="2"/>
      <c r="F56" s="2"/>
      <c r="M56" s="266">
        <f>SUMPRODUCT(G35:G36,H35:H36)</f>
        <v>755522.86363636353</v>
      </c>
      <c r="N56" s="5">
        <v>63</v>
      </c>
      <c r="O56" s="7">
        <v>50000</v>
      </c>
    </row>
    <row r="57" spans="1:15" x14ac:dyDescent="0.2">
      <c r="A57" s="5" t="s">
        <v>58</v>
      </c>
      <c r="B57" s="52">
        <v>700000</v>
      </c>
      <c r="C57" s="17">
        <f>B57/B49</f>
        <v>0.12727272727272726</v>
      </c>
      <c r="D57" s="2">
        <f>(B41-B31)*20/50/4</f>
        <v>1490575</v>
      </c>
      <c r="E57" s="2"/>
      <c r="F57" s="2"/>
      <c r="M57" s="266"/>
      <c r="N57" s="5">
        <v>35</v>
      </c>
      <c r="O57" s="7">
        <v>20000</v>
      </c>
    </row>
    <row r="58" spans="1:15" x14ac:dyDescent="0.2">
      <c r="D58" s="2">
        <f>D57</f>
        <v>1490575</v>
      </c>
      <c r="E58" s="2"/>
      <c r="F58" s="2"/>
    </row>
    <row r="59" spans="1:15" x14ac:dyDescent="0.2">
      <c r="D59" s="2">
        <f t="shared" ref="D59:D60" si="3">D58</f>
        <v>1490575</v>
      </c>
      <c r="E59" s="2"/>
      <c r="F59" s="2"/>
    </row>
    <row r="60" spans="1:15" x14ac:dyDescent="0.2">
      <c r="A60" t="s">
        <v>207</v>
      </c>
      <c r="B60" s="3" t="s">
        <v>181</v>
      </c>
      <c r="D60" s="2">
        <f t="shared" si="3"/>
        <v>1490575</v>
      </c>
      <c r="E60" s="2"/>
      <c r="F60" s="2"/>
      <c r="N60" s="13"/>
    </row>
    <row r="61" spans="1:15" x14ac:dyDescent="0.2">
      <c r="A61" t="s">
        <v>143</v>
      </c>
      <c r="B61" s="2">
        <f>B11+B19/3+B24+B26+B27+B29+B30+B23+B25</f>
        <v>2666666.6666666665</v>
      </c>
      <c r="C61" t="s">
        <v>187</v>
      </c>
      <c r="D61" s="2"/>
    </row>
    <row r="62" spans="1:15" x14ac:dyDescent="0.2">
      <c r="A62" t="s">
        <v>144</v>
      </c>
      <c r="B62" s="2">
        <f>B19/3</f>
        <v>666666.66666666663</v>
      </c>
      <c r="C62" t="s">
        <v>188</v>
      </c>
      <c r="D62" s="2"/>
    </row>
    <row r="63" spans="1:15" x14ac:dyDescent="0.2">
      <c r="A63" t="s">
        <v>145</v>
      </c>
      <c r="B63" s="2">
        <f>B19/3</f>
        <v>666666.66666666663</v>
      </c>
      <c r="C63" t="s">
        <v>188</v>
      </c>
      <c r="D63" s="2"/>
    </row>
    <row r="64" spans="1:15" x14ac:dyDescent="0.2">
      <c r="A64" t="s">
        <v>146</v>
      </c>
      <c r="B64" s="2">
        <f>(B22-B21+B33-B19+B28)*12/50/6</f>
        <v>318000</v>
      </c>
      <c r="C64" s="284" t="s">
        <v>189</v>
      </c>
      <c r="D64" s="2"/>
    </row>
    <row r="65" spans="1:4" x14ac:dyDescent="0.2">
      <c r="A65" t="s">
        <v>147</v>
      </c>
      <c r="B65" s="2">
        <f>B64</f>
        <v>318000</v>
      </c>
      <c r="C65" s="284"/>
      <c r="D65" s="2"/>
    </row>
    <row r="66" spans="1:4" x14ac:dyDescent="0.2">
      <c r="A66" t="s">
        <v>148</v>
      </c>
      <c r="B66" s="2">
        <f t="shared" ref="B66:B69" si="4">B65</f>
        <v>318000</v>
      </c>
      <c r="C66" s="284"/>
      <c r="D66" s="2"/>
    </row>
    <row r="67" spans="1:4" x14ac:dyDescent="0.2">
      <c r="A67" t="s">
        <v>149</v>
      </c>
      <c r="B67" s="2">
        <f t="shared" si="4"/>
        <v>318000</v>
      </c>
      <c r="C67" s="284"/>
    </row>
    <row r="68" spans="1:4" x14ac:dyDescent="0.2">
      <c r="A68" t="s">
        <v>150</v>
      </c>
      <c r="B68" s="2">
        <f t="shared" si="4"/>
        <v>318000</v>
      </c>
      <c r="C68" s="284"/>
    </row>
    <row r="69" spans="1:4" x14ac:dyDescent="0.2">
      <c r="A69" t="s">
        <v>151</v>
      </c>
      <c r="B69" s="2">
        <f t="shared" si="4"/>
        <v>318000</v>
      </c>
      <c r="C69" s="284"/>
    </row>
    <row r="70" spans="1:4" x14ac:dyDescent="0.2">
      <c r="A70" t="s">
        <v>152</v>
      </c>
      <c r="B70" s="2">
        <f>(B22-B21+B33-B19+B28)*18/50/6</f>
        <v>477000</v>
      </c>
      <c r="C70" s="284" t="s">
        <v>190</v>
      </c>
    </row>
    <row r="71" spans="1:4" x14ac:dyDescent="0.2">
      <c r="A71" t="s">
        <v>153</v>
      </c>
      <c r="B71" s="2">
        <f>B70</f>
        <v>477000</v>
      </c>
      <c r="C71" s="284"/>
    </row>
    <row r="72" spans="1:4" x14ac:dyDescent="0.2">
      <c r="A72" t="s">
        <v>154</v>
      </c>
      <c r="B72" s="2">
        <f t="shared" ref="B72:B81" si="5">B71</f>
        <v>477000</v>
      </c>
      <c r="C72" s="284"/>
    </row>
    <row r="73" spans="1:4" x14ac:dyDescent="0.2">
      <c r="A73" t="s">
        <v>155</v>
      </c>
      <c r="B73" s="2">
        <f t="shared" si="5"/>
        <v>477000</v>
      </c>
      <c r="C73" s="284"/>
    </row>
    <row r="74" spans="1:4" x14ac:dyDescent="0.2">
      <c r="A74" t="s">
        <v>156</v>
      </c>
      <c r="B74" s="2">
        <f t="shared" si="5"/>
        <v>477000</v>
      </c>
      <c r="C74" s="284"/>
    </row>
    <row r="75" spans="1:4" x14ac:dyDescent="0.2">
      <c r="A75" t="s">
        <v>157</v>
      </c>
      <c r="B75" s="2">
        <f t="shared" si="5"/>
        <v>477000</v>
      </c>
      <c r="C75" s="284"/>
    </row>
    <row r="76" spans="1:4" x14ac:dyDescent="0.2">
      <c r="A76" t="s">
        <v>158</v>
      </c>
      <c r="B76" s="2">
        <f>(B22-B21+B33-B19+B28)*20/50/6</f>
        <v>530000</v>
      </c>
      <c r="C76" s="284" t="s">
        <v>191</v>
      </c>
    </row>
    <row r="77" spans="1:4" x14ac:dyDescent="0.2">
      <c r="A77" t="s">
        <v>159</v>
      </c>
      <c r="B77" s="2">
        <f t="shared" si="5"/>
        <v>530000</v>
      </c>
      <c r="C77" s="284"/>
    </row>
    <row r="78" spans="1:4" x14ac:dyDescent="0.2">
      <c r="A78" t="s">
        <v>160</v>
      </c>
      <c r="B78" s="2">
        <f t="shared" si="5"/>
        <v>530000</v>
      </c>
      <c r="C78" s="284"/>
    </row>
    <row r="79" spans="1:4" x14ac:dyDescent="0.2">
      <c r="A79" t="s">
        <v>161</v>
      </c>
      <c r="B79" s="2">
        <f t="shared" si="5"/>
        <v>530000</v>
      </c>
      <c r="C79" s="284"/>
    </row>
    <row r="80" spans="1:4" x14ac:dyDescent="0.2">
      <c r="A80" t="s">
        <v>162</v>
      </c>
      <c r="B80" s="2">
        <f t="shared" si="5"/>
        <v>530000</v>
      </c>
      <c r="C80" s="284"/>
    </row>
    <row r="81" spans="1:3" x14ac:dyDescent="0.2">
      <c r="A81" t="s">
        <v>163</v>
      </c>
      <c r="B81" s="2">
        <f t="shared" si="5"/>
        <v>530000</v>
      </c>
      <c r="C81" s="284"/>
    </row>
    <row r="82" spans="1:3" x14ac:dyDescent="0.2">
      <c r="A82" t="s">
        <v>164</v>
      </c>
    </row>
    <row r="83" spans="1:3" x14ac:dyDescent="0.2">
      <c r="A83" t="s">
        <v>165</v>
      </c>
    </row>
  </sheetData>
  <mergeCells count="6">
    <mergeCell ref="C76:C81"/>
    <mergeCell ref="F35:F36"/>
    <mergeCell ref="M56:M57"/>
    <mergeCell ref="F40:F48"/>
    <mergeCell ref="C64:C69"/>
    <mergeCell ref="C70:C75"/>
  </mergeCells>
  <dataValidations count="1">
    <dataValidation type="list" allowBlank="1" showInputMessage="1" showErrorMessage="1" sqref="B7" xr:uid="{73C94411-1387-4E37-84B7-3DDDB21695F2}">
      <formula1>"72,74,76,78,80"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28D5-FECB-4CF8-AEB7-A2B00F8ED46C}">
  <dimension ref="A1:O3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33203125" bestFit="1" customWidth="1"/>
    <col min="2" max="2" width="16.6640625" bestFit="1" customWidth="1"/>
    <col min="3" max="3" width="14.33203125" bestFit="1" customWidth="1"/>
    <col min="4" max="13" width="13.6640625" customWidth="1"/>
  </cols>
  <sheetData>
    <row r="1" spans="1:9" x14ac:dyDescent="0.2">
      <c r="A1" s="1" t="s">
        <v>0</v>
      </c>
      <c r="B1" s="2"/>
    </row>
    <row r="2" spans="1:9" x14ac:dyDescent="0.2">
      <c r="A2" s="3" t="s">
        <v>1</v>
      </c>
      <c r="B2" s="4" t="s">
        <v>2</v>
      </c>
      <c r="D2" s="1" t="s">
        <v>35</v>
      </c>
    </row>
    <row r="3" spans="1:9" x14ac:dyDescent="0.2">
      <c r="A3" s="3" t="s">
        <v>3</v>
      </c>
      <c r="B3" s="2">
        <v>10</v>
      </c>
      <c r="D3" s="98">
        <f>K26</f>
        <v>0.11241379310344835</v>
      </c>
      <c r="E3" s="52">
        <v>400000</v>
      </c>
      <c r="F3" s="52">
        <v>500000</v>
      </c>
      <c r="G3" s="52">
        <v>600000</v>
      </c>
      <c r="H3" s="52">
        <v>700000</v>
      </c>
      <c r="I3" t="s">
        <v>208</v>
      </c>
    </row>
    <row r="4" spans="1:9" x14ac:dyDescent="0.2">
      <c r="A4" s="3" t="s">
        <v>209</v>
      </c>
      <c r="B4" s="2">
        <v>170000</v>
      </c>
      <c r="D4" s="52">
        <v>160000</v>
      </c>
      <c r="E4" s="17">
        <f t="dataTable" ref="E4:H6" dt2D="1" dtr="1" r1="B8" r2="B4"/>
        <v>0.11888888888888882</v>
      </c>
      <c r="F4" s="17">
        <v>7.7931034482758621E-2</v>
      </c>
      <c r="G4" s="17">
        <v>4.2258064516129012E-2</v>
      </c>
      <c r="H4" s="17">
        <v>1.0909090909090979E-2</v>
      </c>
    </row>
    <row r="5" spans="1:9" x14ac:dyDescent="0.2">
      <c r="D5" s="52">
        <v>170000</v>
      </c>
      <c r="E5" s="17">
        <v>0.15592592592592602</v>
      </c>
      <c r="F5" s="17">
        <v>0.11241379310344835</v>
      </c>
      <c r="G5" s="17">
        <v>7.4516129032258016E-2</v>
      </c>
      <c r="H5" s="17">
        <v>4.1212121212121255E-2</v>
      </c>
    </row>
    <row r="6" spans="1:9" x14ac:dyDescent="0.2">
      <c r="A6" s="1" t="s">
        <v>39</v>
      </c>
      <c r="D6" s="52">
        <v>180000</v>
      </c>
      <c r="E6" s="17">
        <v>0.192962962962963</v>
      </c>
      <c r="F6" s="17">
        <v>0.14689655172413785</v>
      </c>
      <c r="G6" s="17">
        <v>0.10677419354838702</v>
      </c>
      <c r="H6" s="17">
        <v>7.1515151515151532E-2</v>
      </c>
    </row>
    <row r="7" spans="1:9" x14ac:dyDescent="0.2">
      <c r="A7" s="14" t="s">
        <v>8</v>
      </c>
      <c r="B7" s="52">
        <v>950000</v>
      </c>
    </row>
    <row r="8" spans="1:9" x14ac:dyDescent="0.2">
      <c r="A8" s="14" t="s">
        <v>210</v>
      </c>
      <c r="B8" s="52">
        <v>500000</v>
      </c>
      <c r="D8" s="1" t="s">
        <v>36</v>
      </c>
    </row>
    <row r="9" spans="1:9" x14ac:dyDescent="0.2">
      <c r="A9" s="76" t="s">
        <v>211</v>
      </c>
      <c r="B9" s="77">
        <f>B7+B8</f>
        <v>1450000</v>
      </c>
      <c r="D9" s="93">
        <f>K27</f>
        <v>6.7448275862068918E-2</v>
      </c>
      <c r="E9" s="52">
        <v>400000</v>
      </c>
      <c r="F9" s="52">
        <v>500000</v>
      </c>
      <c r="G9" s="52">
        <v>600000</v>
      </c>
      <c r="H9" s="52">
        <v>700000</v>
      </c>
    </row>
    <row r="10" spans="1:9" x14ac:dyDescent="0.2">
      <c r="B10" s="2"/>
      <c r="D10" s="52">
        <v>160000</v>
      </c>
      <c r="E10" s="17">
        <f t="dataTable" ref="E10:H12" dt2D="1" dtr="1" r1="B8" r2="B4" ca="1"/>
        <v>7.1333333333333249E-2</v>
      </c>
      <c r="F10" s="17">
        <v>4.6758620689655084E-2</v>
      </c>
      <c r="G10" s="17">
        <v>2.5354838709677363E-2</v>
      </c>
      <c r="H10" s="17">
        <v>6.545454545454632E-3</v>
      </c>
    </row>
    <row r="11" spans="1:9" x14ac:dyDescent="0.2">
      <c r="D11" s="52">
        <v>170000</v>
      </c>
      <c r="E11" s="17">
        <v>9.3555555555555614E-2</v>
      </c>
      <c r="F11" s="17">
        <v>6.7448275862068918E-2</v>
      </c>
      <c r="G11" s="17">
        <v>4.4709677419354943E-2</v>
      </c>
      <c r="H11" s="17">
        <v>2.4727272727272709E-2</v>
      </c>
    </row>
    <row r="12" spans="1:9" x14ac:dyDescent="0.2">
      <c r="A12" s="1" t="s">
        <v>30</v>
      </c>
      <c r="D12" s="52">
        <v>180000</v>
      </c>
      <c r="E12" s="17">
        <v>0.11577777777777776</v>
      </c>
      <c r="F12" s="17">
        <v>8.8137931034482753E-2</v>
      </c>
      <c r="G12" s="17">
        <v>6.4064516129032301E-2</v>
      </c>
      <c r="H12" s="17">
        <v>4.2909090909091008E-2</v>
      </c>
    </row>
    <row r="13" spans="1:9" x14ac:dyDescent="0.2">
      <c r="A13" s="14" t="s">
        <v>31</v>
      </c>
      <c r="B13" s="52">
        <f>B4*B3</f>
        <v>1700000</v>
      </c>
    </row>
    <row r="14" spans="1:9" x14ac:dyDescent="0.2">
      <c r="A14" s="76" t="s">
        <v>32</v>
      </c>
      <c r="B14" s="77">
        <f>B13</f>
        <v>1700000</v>
      </c>
      <c r="D14" s="1" t="s">
        <v>37</v>
      </c>
    </row>
    <row r="15" spans="1:9" x14ac:dyDescent="0.2">
      <c r="D15" s="93">
        <f>M26</f>
        <v>94868.965517241377</v>
      </c>
      <c r="E15" s="52">
        <v>400000</v>
      </c>
      <c r="F15" s="52">
        <v>500000</v>
      </c>
      <c r="G15" s="52">
        <v>600000</v>
      </c>
      <c r="H15" s="52">
        <v>700000</v>
      </c>
    </row>
    <row r="16" spans="1:9" x14ac:dyDescent="0.2">
      <c r="A16" s="79" t="s">
        <v>33</v>
      </c>
      <c r="B16" s="69">
        <f>B14-B9</f>
        <v>250000</v>
      </c>
      <c r="D16" s="52">
        <v>160000</v>
      </c>
      <c r="E16" s="52">
        <f t="dataTable" ref="E16:H18" dt2D="1" dtr="1" r1="B8" r2="B4" ca="1"/>
        <v>97822.222222222219</v>
      </c>
      <c r="F16" s="52">
        <v>42455.172413793101</v>
      </c>
      <c r="G16" s="52">
        <v>-12541.935483870968</v>
      </c>
      <c r="H16" s="52">
        <v>-67236.363636363632</v>
      </c>
    </row>
    <row r="17" spans="1:15" x14ac:dyDescent="0.2">
      <c r="D17" s="52">
        <v>170000</v>
      </c>
      <c r="E17" s="52">
        <v>150414.8148148148</v>
      </c>
      <c r="F17" s="52">
        <v>94868.965517241377</v>
      </c>
      <c r="G17" s="52">
        <v>39716.129032258068</v>
      </c>
      <c r="H17" s="52">
        <v>-15115.151515151516</v>
      </c>
    </row>
    <row r="18" spans="1:15" x14ac:dyDescent="0.2">
      <c r="D18" s="52">
        <v>180000</v>
      </c>
      <c r="E18" s="52">
        <v>203007.40740740742</v>
      </c>
      <c r="F18" s="52">
        <v>147282.75862068965</v>
      </c>
      <c r="G18" s="52">
        <v>91974.193548387091</v>
      </c>
      <c r="H18" s="52">
        <v>37006.060606060608</v>
      </c>
    </row>
    <row r="19" spans="1:15" x14ac:dyDescent="0.2">
      <c r="A19" s="79" t="s">
        <v>42</v>
      </c>
      <c r="B19" s="69">
        <f>B9</f>
        <v>1450000</v>
      </c>
    </row>
    <row r="21" spans="1:15" x14ac:dyDescent="0.2">
      <c r="A21" s="8" t="s">
        <v>43</v>
      </c>
      <c r="B21" s="11"/>
    </row>
    <row r="22" spans="1:15" x14ac:dyDescent="0.2">
      <c r="A22" s="76" t="s">
        <v>44</v>
      </c>
      <c r="B22" s="88">
        <f>B16/B19</f>
        <v>0.17241379310344829</v>
      </c>
    </row>
    <row r="24" spans="1:15" x14ac:dyDescent="0.2">
      <c r="A24" s="80"/>
      <c r="B24" s="16"/>
    </row>
    <row r="25" spans="1:15" ht="48" x14ac:dyDescent="0.2">
      <c r="A25" s="89"/>
      <c r="B25" s="90" t="s">
        <v>45</v>
      </c>
      <c r="C25" s="91" t="s">
        <v>46</v>
      </c>
      <c r="D25" s="91" t="s">
        <v>47</v>
      </c>
      <c r="E25" s="91" t="s">
        <v>48</v>
      </c>
      <c r="F25" s="91" t="s">
        <v>49</v>
      </c>
      <c r="G25" s="91" t="s">
        <v>33</v>
      </c>
      <c r="H25" s="91" t="s">
        <v>50</v>
      </c>
      <c r="I25" s="91" t="s">
        <v>51</v>
      </c>
      <c r="J25" s="91" t="s">
        <v>52</v>
      </c>
      <c r="K25" s="91" t="s">
        <v>53</v>
      </c>
      <c r="L25" s="91" t="s">
        <v>54</v>
      </c>
      <c r="M25" s="91" t="s">
        <v>37</v>
      </c>
      <c r="N25" s="91" t="s">
        <v>55</v>
      </c>
      <c r="O25" s="91" t="s">
        <v>56</v>
      </c>
    </row>
    <row r="26" spans="1:15" x14ac:dyDescent="0.2">
      <c r="A26" s="5" t="s">
        <v>57</v>
      </c>
      <c r="B26" s="52">
        <f>B19-B27</f>
        <v>1275000</v>
      </c>
      <c r="C26" s="17">
        <f>B26/B19</f>
        <v>0.87931034482758619</v>
      </c>
      <c r="D26" s="94">
        <v>0.05</v>
      </c>
      <c r="E26" s="52">
        <f>B26*D26*L26</f>
        <v>63750</v>
      </c>
      <c r="F26" s="285">
        <f>B16-E26-E27</f>
        <v>181000</v>
      </c>
      <c r="G26" s="52">
        <f>F26*C26</f>
        <v>159155.1724137931</v>
      </c>
      <c r="H26" s="92">
        <v>0.5</v>
      </c>
      <c r="I26" s="52">
        <f>E26+G26*(1-H26)</f>
        <v>143327.58620689655</v>
      </c>
      <c r="J26" s="17">
        <f>I26/B26</f>
        <v>0.11241379310344828</v>
      </c>
      <c r="K26" s="17">
        <f>(1+J26)^(1/L26)-1</f>
        <v>0.11241379310344835</v>
      </c>
      <c r="L26" s="56">
        <v>1</v>
      </c>
      <c r="M26" s="285">
        <f>SUMPRODUCT(G26:G27,H26:H27)</f>
        <v>94868.965517241377</v>
      </c>
      <c r="N26" s="5">
        <v>63</v>
      </c>
      <c r="O26" s="7">
        <v>20000</v>
      </c>
    </row>
    <row r="27" spans="1:15" x14ac:dyDescent="0.2">
      <c r="A27" s="5" t="s">
        <v>58</v>
      </c>
      <c r="B27" s="52">
        <f>N27*O27</f>
        <v>175000</v>
      </c>
      <c r="C27" s="17">
        <f>B27/B19</f>
        <v>0.1206896551724138</v>
      </c>
      <c r="D27" s="94">
        <v>0.03</v>
      </c>
      <c r="E27" s="52">
        <f>B27*D27*L27</f>
        <v>5250</v>
      </c>
      <c r="F27" s="286"/>
      <c r="G27" s="52">
        <f>F26*C27</f>
        <v>21844.827586206899</v>
      </c>
      <c r="H27" s="92">
        <v>0.7</v>
      </c>
      <c r="I27" s="52">
        <f>E27+G27*(1-H27)</f>
        <v>11803.448275862071</v>
      </c>
      <c r="J27" s="17">
        <f>I27/B27</f>
        <v>6.7448275862068974E-2</v>
      </c>
      <c r="K27" s="17">
        <f t="shared" ref="K27" si="0">(1+J27)^(1/L27)-1</f>
        <v>6.7448275862068918E-2</v>
      </c>
      <c r="L27" s="56">
        <v>1</v>
      </c>
      <c r="M27" s="286"/>
      <c r="N27" s="5">
        <v>35</v>
      </c>
      <c r="O27" s="7">
        <v>5000</v>
      </c>
    </row>
    <row r="33" spans="10:10" x14ac:dyDescent="0.2">
      <c r="J33" s="13"/>
    </row>
  </sheetData>
  <mergeCells count="2">
    <mergeCell ref="F26:F27"/>
    <mergeCell ref="M26:M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D712-E152-4F45-8594-0CBB51B46418}">
  <dimension ref="A1:O60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26.33203125" bestFit="1" customWidth="1"/>
    <col min="2" max="2" width="16.6640625" bestFit="1" customWidth="1"/>
    <col min="3" max="3" width="14.33203125" bestFit="1" customWidth="1"/>
    <col min="4" max="13" width="13.6640625" customWidth="1"/>
  </cols>
  <sheetData>
    <row r="1" spans="1:8" x14ac:dyDescent="0.2">
      <c r="A1" s="1" t="s">
        <v>0</v>
      </c>
      <c r="B1" s="2"/>
    </row>
    <row r="2" spans="1:8" x14ac:dyDescent="0.2">
      <c r="A2" s="3" t="s">
        <v>1</v>
      </c>
      <c r="B2" s="4" t="s">
        <v>2</v>
      </c>
      <c r="D2" s="1" t="s">
        <v>35</v>
      </c>
    </row>
    <row r="3" spans="1:8" x14ac:dyDescent="0.2">
      <c r="A3" s="3" t="s">
        <v>3</v>
      </c>
      <c r="B3" s="2">
        <v>10</v>
      </c>
      <c r="C3">
        <f>5.24/B3</f>
        <v>0.52400000000000002</v>
      </c>
      <c r="D3" s="93">
        <f>K53</f>
        <v>0.10506458333333324</v>
      </c>
      <c r="E3" s="5">
        <v>160</v>
      </c>
      <c r="F3" s="5">
        <v>170</v>
      </c>
      <c r="G3" s="5">
        <v>175</v>
      </c>
      <c r="H3" s="5">
        <v>180</v>
      </c>
    </row>
    <row r="4" spans="1:8" ht="16" thickBot="1" x14ac:dyDescent="0.25">
      <c r="A4" s="3" t="s">
        <v>4</v>
      </c>
      <c r="B4" s="2">
        <v>4000</v>
      </c>
      <c r="D4" s="5">
        <v>95</v>
      </c>
      <c r="E4" s="17">
        <f t="dataTable" ref="E4:H6" dt2D="1" dtr="1" r1="B6" r2="B5" ca="1"/>
        <v>8.9185416666666573E-2</v>
      </c>
      <c r="F4" s="17">
        <v>0.12173125000000007</v>
      </c>
      <c r="G4" s="17">
        <v>0.13800416666666671</v>
      </c>
      <c r="H4" s="17">
        <v>0.15427708333333334</v>
      </c>
    </row>
    <row r="5" spans="1:8" ht="16" thickBot="1" x14ac:dyDescent="0.25">
      <c r="A5" s="3" t="s">
        <v>5</v>
      </c>
      <c r="B5" s="65">
        <v>100</v>
      </c>
      <c r="D5" s="5">
        <v>100</v>
      </c>
      <c r="E5" s="17">
        <v>7.2518749999999965E-2</v>
      </c>
      <c r="F5" s="17">
        <v>0.10506458333333324</v>
      </c>
      <c r="G5" s="17">
        <v>0.1213375000000001</v>
      </c>
      <c r="H5" s="17">
        <v>0.13761041666666673</v>
      </c>
    </row>
    <row r="6" spans="1:8" x14ac:dyDescent="0.2">
      <c r="A6" s="3" t="s">
        <v>6</v>
      </c>
      <c r="B6" s="4">
        <v>170</v>
      </c>
      <c r="D6" s="5">
        <v>105</v>
      </c>
      <c r="E6" s="17">
        <v>5.5852083333333358E-2</v>
      </c>
      <c r="F6" s="17">
        <v>8.8397916666666632E-2</v>
      </c>
      <c r="G6" s="17">
        <v>0.10467083333333327</v>
      </c>
      <c r="H6" s="17">
        <v>0.12094374999999991</v>
      </c>
    </row>
    <row r="8" spans="1:8" x14ac:dyDescent="0.2">
      <c r="A8" s="1" t="s">
        <v>7</v>
      </c>
      <c r="D8" s="1" t="s">
        <v>36</v>
      </c>
    </row>
    <row r="9" spans="1:8" x14ac:dyDescent="0.2">
      <c r="A9" s="14" t="s">
        <v>8</v>
      </c>
      <c r="B9" s="52">
        <v>950000</v>
      </c>
      <c r="D9" s="93">
        <f>K54</f>
        <v>4.8443786196822103E-2</v>
      </c>
      <c r="E9" s="5">
        <v>160</v>
      </c>
      <c r="F9" s="5">
        <v>170</v>
      </c>
      <c r="G9" s="5">
        <v>175</v>
      </c>
      <c r="H9" s="5">
        <v>180</v>
      </c>
    </row>
    <row r="10" spans="1:8" x14ac:dyDescent="0.2">
      <c r="A10" s="14" t="s">
        <v>9</v>
      </c>
      <c r="B10" s="52">
        <v>0</v>
      </c>
      <c r="D10" s="5">
        <v>95</v>
      </c>
      <c r="E10" s="17">
        <f t="dataTable" ref="E10:H12" dt2D="1" dtr="1" r1="B6" r2="B5"/>
        <v>4.2231383846726755E-2</v>
      </c>
      <c r="F10" s="17">
        <v>5.4944546923689774E-2</v>
      </c>
      <c r="G10" s="17">
        <v>6.1272459220688136E-2</v>
      </c>
      <c r="H10" s="17">
        <v>6.7581562072751122E-2</v>
      </c>
    </row>
    <row r="11" spans="1:8" x14ac:dyDescent="0.2">
      <c r="A11" s="76" t="s">
        <v>10</v>
      </c>
      <c r="B11" s="77">
        <f>B9+B10</f>
        <v>950000</v>
      </c>
      <c r="D11" s="5">
        <v>100</v>
      </c>
      <c r="E11" s="17">
        <v>3.5690909195197351E-2</v>
      </c>
      <c r="F11" s="17">
        <v>4.8443786196822103E-2</v>
      </c>
      <c r="G11" s="17">
        <v>5.4791197719860296E-2</v>
      </c>
      <c r="H11" s="17">
        <v>6.1119567927762963E-2</v>
      </c>
    </row>
    <row r="12" spans="1:8" x14ac:dyDescent="0.2">
      <c r="B12" s="2"/>
      <c r="D12" s="5">
        <v>105</v>
      </c>
      <c r="E12" s="17">
        <v>2.9129717046260106E-2</v>
      </c>
      <c r="F12" s="17">
        <v>4.1922808924060195E-2</v>
      </c>
      <c r="G12" s="17">
        <v>4.8289962263113662E-2</v>
      </c>
      <c r="H12" s="17">
        <v>5.4637837368000541E-2</v>
      </c>
    </row>
    <row r="13" spans="1:8" x14ac:dyDescent="0.2">
      <c r="B13" s="2"/>
    </row>
    <row r="14" spans="1:8" x14ac:dyDescent="0.2">
      <c r="A14" s="1" t="s">
        <v>11</v>
      </c>
      <c r="B14" s="2"/>
      <c r="D14" s="1" t="s">
        <v>37</v>
      </c>
    </row>
    <row r="15" spans="1:8" x14ac:dyDescent="0.2">
      <c r="A15" s="14" t="s">
        <v>12</v>
      </c>
      <c r="B15" s="52">
        <f>B5*B4*B3</f>
        <v>4000000</v>
      </c>
      <c r="D15" s="93">
        <f>M53</f>
        <v>215296.54166666666</v>
      </c>
      <c r="E15" s="5">
        <v>160</v>
      </c>
      <c r="F15" s="5">
        <v>170</v>
      </c>
      <c r="G15" s="5">
        <v>175</v>
      </c>
      <c r="H15" s="5">
        <v>180</v>
      </c>
    </row>
    <row r="16" spans="1:8" x14ac:dyDescent="0.2">
      <c r="A16" s="14" t="s">
        <v>13</v>
      </c>
      <c r="B16" s="52">
        <v>300000</v>
      </c>
      <c r="D16" s="5">
        <v>95</v>
      </c>
      <c r="E16" s="52">
        <f t="dataTable" ref="E16:H18" dt2D="1" dtr="1" r1="B6" r2="B5" ca="1"/>
        <v>117798.45833333331</v>
      </c>
      <c r="F16" s="52">
        <v>317629.875</v>
      </c>
      <c r="G16" s="52">
        <v>417545.58333333337</v>
      </c>
      <c r="H16" s="52">
        <v>517461.29166666663</v>
      </c>
    </row>
    <row r="17" spans="1:8" x14ac:dyDescent="0.2">
      <c r="A17" s="14" t="s">
        <v>14</v>
      </c>
      <c r="B17" s="52">
        <f>2000*B3</f>
        <v>20000</v>
      </c>
      <c r="D17" s="5">
        <v>100</v>
      </c>
      <c r="E17" s="52">
        <v>15465.124999999967</v>
      </c>
      <c r="F17" s="52">
        <v>215296.54166666666</v>
      </c>
      <c r="G17" s="52">
        <v>315212.25</v>
      </c>
      <c r="H17" s="52">
        <v>415127.95833333337</v>
      </c>
    </row>
    <row r="18" spans="1:8" x14ac:dyDescent="0.2">
      <c r="A18" s="14" t="s">
        <v>15</v>
      </c>
      <c r="B18" s="52">
        <v>100000</v>
      </c>
      <c r="D18" s="5">
        <v>105</v>
      </c>
      <c r="E18" s="52">
        <v>-86868.208333333358</v>
      </c>
      <c r="F18" s="52">
        <v>112963.20833333331</v>
      </c>
      <c r="G18" s="52">
        <v>212878.91666666666</v>
      </c>
      <c r="H18" s="52">
        <v>312794.625</v>
      </c>
    </row>
    <row r="19" spans="1:8" x14ac:dyDescent="0.2">
      <c r="A19" s="53" t="s">
        <v>16</v>
      </c>
      <c r="B19" s="55">
        <f>SUM(B15:B18)</f>
        <v>4420000</v>
      </c>
    </row>
    <row r="20" spans="1:8" x14ac:dyDescent="0.2">
      <c r="A20" s="14" t="s">
        <v>17</v>
      </c>
      <c r="B20" s="52">
        <f>5000*B3</f>
        <v>50000</v>
      </c>
    </row>
    <row r="21" spans="1:8" x14ac:dyDescent="0.2">
      <c r="A21" s="14" t="s">
        <v>18</v>
      </c>
      <c r="B21" s="52">
        <v>2000</v>
      </c>
    </row>
    <row r="22" spans="1:8" x14ac:dyDescent="0.2">
      <c r="A22" s="14" t="s">
        <v>19</v>
      </c>
      <c r="B22" s="52">
        <v>50000</v>
      </c>
    </row>
    <row r="23" spans="1:8" x14ac:dyDescent="0.2">
      <c r="A23" s="14" t="s">
        <v>20</v>
      </c>
      <c r="B23" s="52">
        <v>8000</v>
      </c>
    </row>
    <row r="24" spans="1:8" x14ac:dyDescent="0.2">
      <c r="A24" s="14" t="s">
        <v>21</v>
      </c>
      <c r="B24" s="52">
        <f>800*B3</f>
        <v>8000</v>
      </c>
    </row>
    <row r="25" spans="1:8" x14ac:dyDescent="0.2">
      <c r="A25" s="14" t="s">
        <v>22</v>
      </c>
      <c r="B25" s="52">
        <f>20000</f>
        <v>20000</v>
      </c>
    </row>
    <row r="26" spans="1:8" x14ac:dyDescent="0.2">
      <c r="A26" s="14" t="s">
        <v>23</v>
      </c>
      <c r="B26" s="52">
        <v>20000</v>
      </c>
    </row>
    <row r="27" spans="1:8" x14ac:dyDescent="0.2">
      <c r="A27" s="14" t="s">
        <v>24</v>
      </c>
      <c r="B27" s="52">
        <f>600*B3</f>
        <v>6000</v>
      </c>
    </row>
    <row r="28" spans="1:8" x14ac:dyDescent="0.2">
      <c r="A28" s="14" t="s">
        <v>25</v>
      </c>
      <c r="B28" s="52">
        <f>B38*0.025*0.9+50000</f>
        <v>203000</v>
      </c>
    </row>
    <row r="29" spans="1:8" x14ac:dyDescent="0.2">
      <c r="A29" s="14" t="s">
        <v>26</v>
      </c>
      <c r="B29" s="52">
        <v>100000</v>
      </c>
    </row>
    <row r="30" spans="1:8" x14ac:dyDescent="0.2">
      <c r="A30" s="14" t="s">
        <v>27</v>
      </c>
      <c r="B30" s="52">
        <v>100000</v>
      </c>
    </row>
    <row r="31" spans="1:8" x14ac:dyDescent="0.2">
      <c r="A31" s="14" t="s">
        <v>15</v>
      </c>
      <c r="B31" s="52">
        <f>5%*SUM(B20:B30)</f>
        <v>28350</v>
      </c>
    </row>
    <row r="32" spans="1:8" x14ac:dyDescent="0.2">
      <c r="A32" s="53" t="s">
        <v>28</v>
      </c>
      <c r="B32" s="55">
        <f>SUM(B20:B31)</f>
        <v>595350</v>
      </c>
    </row>
    <row r="34" spans="1:2" x14ac:dyDescent="0.2">
      <c r="A34" s="76" t="s">
        <v>29</v>
      </c>
      <c r="B34" s="77">
        <f>B19+B32+B11</f>
        <v>5965350</v>
      </c>
    </row>
    <row r="37" spans="1:2" x14ac:dyDescent="0.2">
      <c r="A37" s="1" t="s">
        <v>30</v>
      </c>
    </row>
    <row r="38" spans="1:2" x14ac:dyDescent="0.2">
      <c r="A38" s="14" t="s">
        <v>31</v>
      </c>
      <c r="B38" s="52">
        <f>B3*B4*B6</f>
        <v>6800000</v>
      </c>
    </row>
    <row r="39" spans="1:2" x14ac:dyDescent="0.2">
      <c r="A39" s="76" t="s">
        <v>32</v>
      </c>
      <c r="B39" s="77">
        <f>B38</f>
        <v>6800000</v>
      </c>
    </row>
    <row r="41" spans="1:2" x14ac:dyDescent="0.2">
      <c r="A41" s="79" t="s">
        <v>33</v>
      </c>
      <c r="B41" s="69">
        <f>B39-B34</f>
        <v>834650</v>
      </c>
    </row>
    <row r="43" spans="1:2" x14ac:dyDescent="0.2">
      <c r="A43" s="14" t="s">
        <v>40</v>
      </c>
      <c r="B43" s="52">
        <f>B34-B28-B29</f>
        <v>5662350</v>
      </c>
    </row>
    <row r="44" spans="1:2" x14ac:dyDescent="0.2">
      <c r="A44" s="14" t="s">
        <v>41</v>
      </c>
      <c r="B44" s="52">
        <f>B43-1000000</f>
        <v>4662350</v>
      </c>
    </row>
    <row r="46" spans="1:2" x14ac:dyDescent="0.2">
      <c r="A46" s="79" t="s">
        <v>42</v>
      </c>
      <c r="B46" s="69">
        <v>6000000</v>
      </c>
    </row>
    <row r="48" spans="1:2" x14ac:dyDescent="0.2">
      <c r="A48" s="8" t="s">
        <v>43</v>
      </c>
      <c r="B48" s="11"/>
    </row>
    <row r="49" spans="1:15" x14ac:dyDescent="0.2">
      <c r="A49" s="76" t="s">
        <v>44</v>
      </c>
      <c r="B49" s="88">
        <f>B41/B46</f>
        <v>0.13910833333333333</v>
      </c>
    </row>
    <row r="51" spans="1:15" x14ac:dyDescent="0.2">
      <c r="A51" s="80"/>
      <c r="B51" s="16"/>
    </row>
    <row r="52" spans="1:15" ht="48" x14ac:dyDescent="0.2">
      <c r="A52" s="89"/>
      <c r="B52" s="90" t="s">
        <v>45</v>
      </c>
      <c r="C52" s="91" t="s">
        <v>46</v>
      </c>
      <c r="D52" s="91" t="s">
        <v>47</v>
      </c>
      <c r="E52" s="91" t="s">
        <v>48</v>
      </c>
      <c r="F52" s="91" t="s">
        <v>49</v>
      </c>
      <c r="G52" s="91" t="s">
        <v>33</v>
      </c>
      <c r="H52" s="91" t="s">
        <v>50</v>
      </c>
      <c r="I52" s="91" t="s">
        <v>51</v>
      </c>
      <c r="J52" s="91" t="s">
        <v>52</v>
      </c>
      <c r="K52" s="91" t="s">
        <v>53</v>
      </c>
      <c r="L52" s="91" t="s">
        <v>54</v>
      </c>
      <c r="M52" s="91" t="s">
        <v>37</v>
      </c>
      <c r="N52" s="91" t="s">
        <v>55</v>
      </c>
      <c r="O52" s="91" t="s">
        <v>56</v>
      </c>
    </row>
    <row r="53" spans="1:15" x14ac:dyDescent="0.2">
      <c r="A53" s="5" t="s">
        <v>57</v>
      </c>
      <c r="B53" s="52">
        <f>B46-B54</f>
        <v>5650000</v>
      </c>
      <c r="C53" s="17">
        <f>B53/B46</f>
        <v>0.94166666666666665</v>
      </c>
      <c r="D53" s="94">
        <v>7.0000000000000007E-2</v>
      </c>
      <c r="E53" s="52">
        <f>B53*D53*L53</f>
        <v>395500.00000000006</v>
      </c>
      <c r="F53" s="266">
        <f>B41-E53-E54</f>
        <v>420774.99999999994</v>
      </c>
      <c r="G53" s="52">
        <f>F53*C53</f>
        <v>396229.79166666663</v>
      </c>
      <c r="H53" s="92">
        <v>0.5</v>
      </c>
      <c r="I53" s="52">
        <f>E53+G53*(1-H53)</f>
        <v>593614.89583333337</v>
      </c>
      <c r="J53" s="17">
        <f>I53/B53</f>
        <v>0.10506458333333334</v>
      </c>
      <c r="K53" s="17">
        <f>(1+J53)^(1/L53)-1</f>
        <v>0.10506458333333324</v>
      </c>
      <c r="L53" s="56">
        <v>1</v>
      </c>
      <c r="M53" s="266">
        <f>SUMPRODUCT(G53:G54,H53:H54)</f>
        <v>215296.54166666666</v>
      </c>
      <c r="N53" s="5">
        <v>63</v>
      </c>
      <c r="O53" s="7">
        <f>B53/N53</f>
        <v>89682.539682539689</v>
      </c>
    </row>
    <row r="54" spans="1:15" x14ac:dyDescent="0.2">
      <c r="A54" s="5" t="s">
        <v>58</v>
      </c>
      <c r="B54" s="52">
        <f>N54*O54</f>
        <v>350000</v>
      </c>
      <c r="C54" s="17">
        <f>B54/B46</f>
        <v>5.8333333333333334E-2</v>
      </c>
      <c r="D54" s="94">
        <v>3.5000000000000003E-2</v>
      </c>
      <c r="E54" s="52">
        <f>B54*D54*L54</f>
        <v>18375.000000000004</v>
      </c>
      <c r="F54" s="267"/>
      <c r="G54" s="52">
        <f>F53*C54</f>
        <v>24545.208333333332</v>
      </c>
      <c r="H54" s="92">
        <v>0.7</v>
      </c>
      <c r="I54" s="52">
        <f>E54+G54*(1-H54)</f>
        <v>25738.562500000004</v>
      </c>
      <c r="J54" s="17">
        <f>I54/B54</f>
        <v>7.3538750000000014E-2</v>
      </c>
      <c r="K54" s="17">
        <f t="shared" ref="K54" si="0">(1+J54)^(1/L54)-1</f>
        <v>4.8443786196822103E-2</v>
      </c>
      <c r="L54" s="56">
        <v>1.5</v>
      </c>
      <c r="M54" s="266"/>
      <c r="N54" s="5">
        <v>35</v>
      </c>
      <c r="O54" s="7">
        <v>10000</v>
      </c>
    </row>
    <row r="60" spans="1:15" x14ac:dyDescent="0.2">
      <c r="J60" s="13"/>
    </row>
  </sheetData>
  <mergeCells count="2">
    <mergeCell ref="F53:F54"/>
    <mergeCell ref="M53:M54"/>
  </mergeCells>
  <dataValidations count="1">
    <dataValidation showDropDown="1" showInputMessage="1" showErrorMessage="1" sqref="B5" xr:uid="{E36C4678-4C7D-41A9-8B3F-D62AFB49B364}"/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E964-BB10-49DD-94A2-D29447415509}">
  <dimension ref="A1:O60"/>
  <sheetViews>
    <sheetView workbookViewId="0">
      <selection activeCell="L7" sqref="L7"/>
    </sheetView>
  </sheetViews>
  <sheetFormatPr baseColWidth="10" defaultColWidth="8.83203125" defaultRowHeight="15" x14ac:dyDescent="0.2"/>
  <cols>
    <col min="1" max="1" width="26.33203125" bestFit="1" customWidth="1"/>
    <col min="2" max="2" width="16.6640625" bestFit="1" customWidth="1"/>
    <col min="3" max="3" width="14.33203125" bestFit="1" customWidth="1"/>
    <col min="4" max="13" width="13.6640625" customWidth="1"/>
  </cols>
  <sheetData>
    <row r="1" spans="1:10" x14ac:dyDescent="0.2">
      <c r="A1" s="1" t="s">
        <v>0</v>
      </c>
      <c r="B1" s="2"/>
    </row>
    <row r="2" spans="1:10" x14ac:dyDescent="0.2">
      <c r="A2" s="3" t="s">
        <v>1</v>
      </c>
      <c r="B2" s="4" t="s">
        <v>2</v>
      </c>
      <c r="D2" s="1" t="s">
        <v>35</v>
      </c>
    </row>
    <row r="3" spans="1:10" x14ac:dyDescent="0.2">
      <c r="A3" s="3" t="s">
        <v>3</v>
      </c>
      <c r="B3" s="2">
        <v>25</v>
      </c>
      <c r="C3">
        <f>5.24/B3</f>
        <v>0.20960000000000001</v>
      </c>
      <c r="D3" s="93">
        <f>K53</f>
        <v>0.17471770833333333</v>
      </c>
      <c r="E3" s="5">
        <v>135</v>
      </c>
      <c r="F3" s="5">
        <v>140</v>
      </c>
      <c r="G3" s="5">
        <v>145</v>
      </c>
      <c r="H3" s="5">
        <v>150</v>
      </c>
      <c r="I3" s="5">
        <v>155</v>
      </c>
      <c r="J3" s="5">
        <v>160</v>
      </c>
    </row>
    <row r="4" spans="1:10" ht="16" thickBot="1" x14ac:dyDescent="0.25">
      <c r="A4" s="3" t="s">
        <v>4</v>
      </c>
      <c r="B4" s="2">
        <v>2500</v>
      </c>
      <c r="D4" s="5">
        <v>80</v>
      </c>
      <c r="E4" s="17">
        <f t="dataTable" ref="E4:J6" dt2D="1" dtr="1" r1="B6" r2="B5" ca="1"/>
        <v>0.11369427083333328</v>
      </c>
      <c r="F4" s="17">
        <v>0.13403541666666663</v>
      </c>
      <c r="G4" s="17">
        <v>0.15437656249999998</v>
      </c>
      <c r="H4" s="17">
        <v>0.17471770833333333</v>
      </c>
      <c r="I4" s="17">
        <v>0.19505885416666668</v>
      </c>
      <c r="J4" s="17">
        <v>0.21540000000000004</v>
      </c>
    </row>
    <row r="5" spans="1:10" ht="16" thickBot="1" x14ac:dyDescent="0.25">
      <c r="A5" s="3" t="s">
        <v>5</v>
      </c>
      <c r="B5" s="65">
        <v>80</v>
      </c>
      <c r="D5" s="5">
        <v>85</v>
      </c>
      <c r="E5" s="17">
        <v>9.2860937500000018E-2</v>
      </c>
      <c r="F5" s="17">
        <v>0.11320208333333337</v>
      </c>
      <c r="G5" s="17">
        <v>0.13354322916666672</v>
      </c>
      <c r="H5" s="17">
        <v>0.15388437500000007</v>
      </c>
      <c r="I5" s="17">
        <v>0.1742255208333332</v>
      </c>
      <c r="J5" s="17">
        <v>0.19456666666666678</v>
      </c>
    </row>
    <row r="6" spans="1:10" x14ac:dyDescent="0.2">
      <c r="A6" s="3" t="s">
        <v>6</v>
      </c>
      <c r="B6" s="4">
        <v>150</v>
      </c>
      <c r="D6" s="5">
        <v>90</v>
      </c>
      <c r="E6" s="17">
        <v>7.2027604166666759E-2</v>
      </c>
      <c r="F6" s="17">
        <v>9.2368749999999888E-2</v>
      </c>
      <c r="G6" s="17">
        <v>0.11270989583333324</v>
      </c>
      <c r="H6" s="17">
        <v>0.13305104166666659</v>
      </c>
      <c r="I6" s="17">
        <v>0.15339218749999994</v>
      </c>
      <c r="J6" s="17">
        <v>0.1737333333333333</v>
      </c>
    </row>
    <row r="8" spans="1:10" x14ac:dyDescent="0.2">
      <c r="A8" s="1" t="s">
        <v>7</v>
      </c>
      <c r="D8" s="1" t="s">
        <v>36</v>
      </c>
    </row>
    <row r="9" spans="1:10" x14ac:dyDescent="0.2">
      <c r="A9" s="14" t="s">
        <v>8</v>
      </c>
      <c r="B9" s="52">
        <v>950000</v>
      </c>
      <c r="D9" s="93">
        <f>K54</f>
        <v>0.10065332702486418</v>
      </c>
      <c r="E9" s="5">
        <v>135</v>
      </c>
      <c r="F9" s="5">
        <v>140</v>
      </c>
      <c r="G9" s="5">
        <v>145</v>
      </c>
      <c r="H9" s="5">
        <v>150</v>
      </c>
      <c r="I9" s="5">
        <v>155</v>
      </c>
      <c r="J9" s="5">
        <v>160</v>
      </c>
    </row>
    <row r="10" spans="1:10" x14ac:dyDescent="0.2">
      <c r="A10" s="14" t="s">
        <v>9</v>
      </c>
      <c r="B10" s="52">
        <v>0</v>
      </c>
      <c r="D10" s="5">
        <v>80</v>
      </c>
      <c r="E10" s="17">
        <f t="dataTable" ref="E10:J12" dt2D="1" dtr="1" r1="B6" r2="B5"/>
        <v>6.1525972936177675E-2</v>
      </c>
      <c r="F10" s="17">
        <v>7.4647415529265126E-2</v>
      </c>
      <c r="G10" s="17">
        <v>8.7689234146677064E-2</v>
      </c>
      <c r="H10" s="17">
        <v>0.10065332702486418</v>
      </c>
      <c r="I10" s="17">
        <v>0.11354151459360629</v>
      </c>
      <c r="J10" s="17">
        <v>0.12635554395356174</v>
      </c>
    </row>
    <row r="11" spans="1:10" x14ac:dyDescent="0.2">
      <c r="A11" s="76" t="s">
        <v>10</v>
      </c>
      <c r="B11" s="77">
        <f>B9+B10</f>
        <v>950000</v>
      </c>
      <c r="D11" s="5">
        <v>85</v>
      </c>
      <c r="E11" s="17">
        <v>4.8002427741574927E-2</v>
      </c>
      <c r="F11" s="17">
        <v>6.1207475025740088E-2</v>
      </c>
      <c r="G11" s="17">
        <v>7.4330868453755361E-2</v>
      </c>
      <c r="H11" s="17">
        <v>8.7374590971352584E-2</v>
      </c>
      <c r="I11" s="17">
        <v>0.10034054275607995</v>
      </c>
      <c r="J11" s="17">
        <v>0.11323054606612692</v>
      </c>
    </row>
    <row r="12" spans="1:10" x14ac:dyDescent="0.2">
      <c r="B12" s="2"/>
      <c r="D12" s="5">
        <v>90</v>
      </c>
      <c r="E12" s="17">
        <v>3.4391056588783275E-2</v>
      </c>
      <c r="F12" s="17">
        <v>4.7681880984036473E-2</v>
      </c>
      <c r="G12" s="17">
        <v>6.0888929313082096E-2</v>
      </c>
      <c r="H12" s="17">
        <v>7.4014274736740049E-2</v>
      </c>
      <c r="I12" s="17">
        <v>8.7059902266797717E-2</v>
      </c>
      <c r="J12" s="17">
        <v>0.10002771402473876</v>
      </c>
    </row>
    <row r="13" spans="1:10" x14ac:dyDescent="0.2">
      <c r="B13" s="2"/>
    </row>
    <row r="14" spans="1:10" x14ac:dyDescent="0.2">
      <c r="A14" s="1" t="s">
        <v>11</v>
      </c>
      <c r="B14" s="2"/>
      <c r="D14" s="1" t="s">
        <v>37</v>
      </c>
    </row>
    <row r="15" spans="1:10" x14ac:dyDescent="0.2">
      <c r="A15" s="14" t="s">
        <v>12</v>
      </c>
      <c r="B15" s="52">
        <f>B5*B4*B3</f>
        <v>5000000</v>
      </c>
      <c r="D15" s="93">
        <f>M53</f>
        <v>852459.37499999988</v>
      </c>
      <c r="E15" s="5">
        <v>135</v>
      </c>
      <c r="F15" s="5">
        <v>140</v>
      </c>
      <c r="G15" s="5">
        <v>145</v>
      </c>
      <c r="H15" s="5">
        <v>150</v>
      </c>
      <c r="I15" s="5">
        <v>155</v>
      </c>
      <c r="J15" s="5">
        <v>160</v>
      </c>
    </row>
    <row r="16" spans="1:10" x14ac:dyDescent="0.2">
      <c r="A16" s="14" t="s">
        <v>13</v>
      </c>
      <c r="B16" s="52">
        <v>500000</v>
      </c>
      <c r="D16" s="5">
        <v>80</v>
      </c>
      <c r="E16" s="52">
        <f t="dataTable" ref="E16:J18" dt2D="1" dtr="1" r1="B6" r2="B5" ca="1"/>
        <v>303248.43749999994</v>
      </c>
      <c r="F16" s="52">
        <v>486318.74999999994</v>
      </c>
      <c r="G16" s="52">
        <v>669389.0625</v>
      </c>
      <c r="H16" s="52">
        <v>852459.37499999988</v>
      </c>
      <c r="I16" s="52">
        <v>1035529.6874999999</v>
      </c>
      <c r="J16" s="52">
        <v>1218600</v>
      </c>
    </row>
    <row r="17" spans="1:10" x14ac:dyDescent="0.2">
      <c r="A17" s="14" t="s">
        <v>14</v>
      </c>
      <c r="B17" s="52">
        <f>2000*B3</f>
        <v>50000</v>
      </c>
      <c r="D17" s="5">
        <v>85</v>
      </c>
      <c r="E17" s="52">
        <v>115748.4375</v>
      </c>
      <c r="F17" s="52">
        <v>298818.74999999994</v>
      </c>
      <c r="G17" s="52">
        <v>481889.06249999994</v>
      </c>
      <c r="H17" s="52">
        <v>664959.375</v>
      </c>
      <c r="I17" s="52">
        <v>848029.68749999988</v>
      </c>
      <c r="J17" s="52">
        <v>1031099.9999999999</v>
      </c>
    </row>
    <row r="18" spans="1:10" x14ac:dyDescent="0.2">
      <c r="A18" s="14" t="s">
        <v>15</v>
      </c>
      <c r="B18" s="52">
        <v>100000</v>
      </c>
      <c r="D18" s="5">
        <v>90</v>
      </c>
      <c r="E18" s="52">
        <v>-71751.5625</v>
      </c>
      <c r="F18" s="52">
        <v>111318.75</v>
      </c>
      <c r="G18" s="52">
        <v>294389.0625</v>
      </c>
      <c r="H18" s="52">
        <v>477459.37499999994</v>
      </c>
      <c r="I18" s="52">
        <v>660529.6875</v>
      </c>
      <c r="J18" s="52">
        <v>843599.99999999988</v>
      </c>
    </row>
    <row r="19" spans="1:10" x14ac:dyDescent="0.2">
      <c r="A19" s="53" t="s">
        <v>16</v>
      </c>
      <c r="B19" s="55">
        <f>SUM(B15:B18)</f>
        <v>5650000</v>
      </c>
    </row>
    <row r="20" spans="1:10" x14ac:dyDescent="0.2">
      <c r="A20" s="14" t="s">
        <v>17</v>
      </c>
      <c r="B20" s="52">
        <v>200000</v>
      </c>
    </row>
    <row r="21" spans="1:10" x14ac:dyDescent="0.2">
      <c r="A21" s="14" t="s">
        <v>18</v>
      </c>
      <c r="B21" s="52">
        <v>2000</v>
      </c>
    </row>
    <row r="22" spans="1:10" x14ac:dyDescent="0.2">
      <c r="A22" s="14" t="s">
        <v>19</v>
      </c>
      <c r="B22" s="52">
        <v>100000</v>
      </c>
    </row>
    <row r="23" spans="1:10" x14ac:dyDescent="0.2">
      <c r="A23" s="14" t="s">
        <v>20</v>
      </c>
      <c r="B23" s="52">
        <v>8000</v>
      </c>
    </row>
    <row r="24" spans="1:10" x14ac:dyDescent="0.2">
      <c r="A24" s="14" t="s">
        <v>21</v>
      </c>
      <c r="B24" s="52">
        <f>800*B3</f>
        <v>20000</v>
      </c>
    </row>
    <row r="25" spans="1:10" x14ac:dyDescent="0.2">
      <c r="A25" s="14" t="s">
        <v>22</v>
      </c>
      <c r="B25" s="52">
        <f>20000</f>
        <v>20000</v>
      </c>
    </row>
    <row r="26" spans="1:10" x14ac:dyDescent="0.2">
      <c r="A26" s="14" t="s">
        <v>23</v>
      </c>
      <c r="B26" s="52">
        <v>20000</v>
      </c>
    </row>
    <row r="27" spans="1:10" x14ac:dyDescent="0.2">
      <c r="A27" s="14" t="s">
        <v>24</v>
      </c>
      <c r="B27" s="52">
        <f>600*B3</f>
        <v>15000</v>
      </c>
    </row>
    <row r="28" spans="1:10" x14ac:dyDescent="0.2">
      <c r="A28" s="14" t="s">
        <v>25</v>
      </c>
      <c r="B28" s="52">
        <f>B38*0.025*0.9+50000</f>
        <v>260937.5</v>
      </c>
    </row>
    <row r="29" spans="1:10" x14ac:dyDescent="0.2">
      <c r="A29" s="14" t="s">
        <v>26</v>
      </c>
      <c r="B29" s="52">
        <v>100000</v>
      </c>
    </row>
    <row r="30" spans="1:10" x14ac:dyDescent="0.2">
      <c r="A30" s="14" t="s">
        <v>27</v>
      </c>
      <c r="B30" s="52">
        <v>100000</v>
      </c>
    </row>
    <row r="31" spans="1:10" x14ac:dyDescent="0.2">
      <c r="A31" s="14" t="s">
        <v>15</v>
      </c>
      <c r="B31" s="52">
        <f>5%*SUM(B20:B30)</f>
        <v>42296.875</v>
      </c>
    </row>
    <row r="32" spans="1:10" x14ac:dyDescent="0.2">
      <c r="A32" s="53" t="s">
        <v>28</v>
      </c>
      <c r="B32" s="55">
        <f>SUM(B20:B31)</f>
        <v>888234.375</v>
      </c>
    </row>
    <row r="34" spans="1:2" x14ac:dyDescent="0.2">
      <c r="A34" s="76" t="s">
        <v>29</v>
      </c>
      <c r="B34" s="77">
        <f>B19+B32+B11</f>
        <v>7488234.375</v>
      </c>
    </row>
    <row r="37" spans="1:2" x14ac:dyDescent="0.2">
      <c r="A37" s="1" t="s">
        <v>30</v>
      </c>
    </row>
    <row r="38" spans="1:2" x14ac:dyDescent="0.2">
      <c r="A38" s="14" t="s">
        <v>31</v>
      </c>
      <c r="B38" s="52">
        <f>B3*B4*B6</f>
        <v>9375000</v>
      </c>
    </row>
    <row r="39" spans="1:2" x14ac:dyDescent="0.2">
      <c r="A39" s="76" t="s">
        <v>32</v>
      </c>
      <c r="B39" s="77">
        <f>B38</f>
        <v>9375000</v>
      </c>
    </row>
    <row r="41" spans="1:2" x14ac:dyDescent="0.2">
      <c r="A41" s="79" t="s">
        <v>33</v>
      </c>
      <c r="B41" s="69">
        <f>B39-B34</f>
        <v>1886765.625</v>
      </c>
    </row>
    <row r="43" spans="1:2" x14ac:dyDescent="0.2">
      <c r="A43" s="14" t="s">
        <v>40</v>
      </c>
      <c r="B43" s="52">
        <f>B34-B28-B29</f>
        <v>7127296.875</v>
      </c>
    </row>
    <row r="44" spans="1:2" x14ac:dyDescent="0.2">
      <c r="A44" s="14" t="s">
        <v>41</v>
      </c>
      <c r="B44" s="52">
        <v>5088378.125</v>
      </c>
    </row>
    <row r="46" spans="1:2" x14ac:dyDescent="0.2">
      <c r="A46" s="79" t="s">
        <v>42</v>
      </c>
      <c r="B46" s="69">
        <v>6000000</v>
      </c>
    </row>
    <row r="48" spans="1:2" x14ac:dyDescent="0.2">
      <c r="A48" s="8" t="s">
        <v>43</v>
      </c>
      <c r="B48" s="11"/>
    </row>
    <row r="49" spans="1:15" x14ac:dyDescent="0.2">
      <c r="A49" s="76" t="s">
        <v>44</v>
      </c>
      <c r="B49" s="88">
        <f>B41/B46</f>
        <v>0.31446093749999998</v>
      </c>
    </row>
    <row r="51" spans="1:15" x14ac:dyDescent="0.2">
      <c r="A51" s="80"/>
      <c r="B51" s="16"/>
    </row>
    <row r="52" spans="1:15" ht="48" x14ac:dyDescent="0.2">
      <c r="A52" s="89"/>
      <c r="B52" s="90" t="s">
        <v>45</v>
      </c>
      <c r="C52" s="91" t="s">
        <v>46</v>
      </c>
      <c r="D52" s="91" t="s">
        <v>47</v>
      </c>
      <c r="E52" s="91" t="s">
        <v>48</v>
      </c>
      <c r="F52" s="91" t="s">
        <v>49</v>
      </c>
      <c r="G52" s="91" t="s">
        <v>33</v>
      </c>
      <c r="H52" s="91" t="s">
        <v>50</v>
      </c>
      <c r="I52" s="91" t="s">
        <v>51</v>
      </c>
      <c r="J52" s="91" t="s">
        <v>52</v>
      </c>
      <c r="K52" s="91" t="s">
        <v>53</v>
      </c>
      <c r="L52" s="91" t="s">
        <v>54</v>
      </c>
      <c r="M52" s="91" t="s">
        <v>37</v>
      </c>
      <c r="N52" s="91" t="s">
        <v>55</v>
      </c>
      <c r="O52" s="91" t="s">
        <v>56</v>
      </c>
    </row>
    <row r="53" spans="1:15" x14ac:dyDescent="0.2">
      <c r="A53" s="5" t="s">
        <v>57</v>
      </c>
      <c r="B53" s="52">
        <f>B46-B54</f>
        <v>5300000</v>
      </c>
      <c r="C53" s="17">
        <f>B53/B46</f>
        <v>0.8833333333333333</v>
      </c>
      <c r="D53" s="94">
        <v>0.08</v>
      </c>
      <c r="E53" s="52">
        <f>B53*D53*L53</f>
        <v>424000</v>
      </c>
      <c r="F53" s="266">
        <f>B41-E53-E54</f>
        <v>1420765.625</v>
      </c>
      <c r="G53" s="52">
        <f>F53*C53</f>
        <v>1255009.6354166665</v>
      </c>
      <c r="H53" s="92">
        <v>0.6</v>
      </c>
      <c r="I53" s="52">
        <f>E53+G53*(1-H53)</f>
        <v>926003.85416666663</v>
      </c>
      <c r="J53" s="17">
        <f>I53/B53</f>
        <v>0.17471770833333333</v>
      </c>
      <c r="K53" s="17">
        <f>(1+J53)^(1/L53)-1</f>
        <v>0.17471770833333333</v>
      </c>
      <c r="L53" s="56">
        <v>1</v>
      </c>
      <c r="M53" s="266">
        <f>SUMPRODUCT(G53:G54,H53:H54)</f>
        <v>852459.37499999988</v>
      </c>
      <c r="N53" s="5">
        <v>63</v>
      </c>
      <c r="O53" s="7">
        <f>B53/N53</f>
        <v>84126.984126984127</v>
      </c>
    </row>
    <row r="54" spans="1:15" x14ac:dyDescent="0.2">
      <c r="A54" s="5" t="s">
        <v>58</v>
      </c>
      <c r="B54" s="52">
        <f>N54*O54</f>
        <v>700000</v>
      </c>
      <c r="C54" s="17">
        <f>B54/B46</f>
        <v>0.11666666666666667</v>
      </c>
      <c r="D54" s="94">
        <v>0.04</v>
      </c>
      <c r="E54" s="52">
        <f>B54*D54*L54</f>
        <v>42000</v>
      </c>
      <c r="F54" s="267"/>
      <c r="G54" s="52">
        <f>F53*C54</f>
        <v>165755.98958333334</v>
      </c>
      <c r="H54" s="92">
        <v>0.6</v>
      </c>
      <c r="I54" s="52">
        <f>E54+G54*(1-H54)</f>
        <v>108302.39583333334</v>
      </c>
      <c r="J54" s="17">
        <f>I54/B54</f>
        <v>0.15471770833333334</v>
      </c>
      <c r="K54" s="17">
        <f t="shared" ref="K54" si="0">(1+J54)^(1/L54)-1</f>
        <v>0.10065332702486418</v>
      </c>
      <c r="L54" s="56">
        <v>1.5</v>
      </c>
      <c r="M54" s="266"/>
      <c r="N54" s="5">
        <v>35</v>
      </c>
      <c r="O54" s="7">
        <v>20000</v>
      </c>
    </row>
    <row r="60" spans="1:15" x14ac:dyDescent="0.2">
      <c r="J60" s="13"/>
    </row>
  </sheetData>
  <mergeCells count="2">
    <mergeCell ref="F53:F54"/>
    <mergeCell ref="M53:M54"/>
  </mergeCells>
  <dataValidations count="1">
    <dataValidation showDropDown="1" showInputMessage="1" showErrorMessage="1" sqref="B5" xr:uid="{B50C779A-EBC5-44A4-B3B4-88EA6024FDF3}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E125-ED88-45E6-A948-F3928A504D34}">
  <sheetPr>
    <tabColor rgb="FF92D050"/>
  </sheetPr>
  <dimension ref="A1:O71"/>
  <sheetViews>
    <sheetView topLeftCell="A16" zoomScale="87" workbookViewId="0">
      <selection activeCell="B3" sqref="B3"/>
    </sheetView>
  </sheetViews>
  <sheetFormatPr baseColWidth="10" defaultColWidth="8.83203125" defaultRowHeight="15" x14ac:dyDescent="0.2"/>
  <cols>
    <col min="1" max="1" width="35.6640625" bestFit="1" customWidth="1"/>
    <col min="2" max="2" width="19.33203125" style="2" bestFit="1" customWidth="1"/>
    <col min="3" max="3" width="19.33203125" customWidth="1"/>
    <col min="4" max="4" width="19.83203125" customWidth="1"/>
    <col min="5" max="5" width="18.33203125" customWidth="1"/>
    <col min="6" max="6" width="17.6640625" customWidth="1"/>
    <col min="7" max="7" width="20.33203125" bestFit="1" customWidth="1"/>
    <col min="8" max="8" width="26.33203125" bestFit="1" customWidth="1"/>
    <col min="9" max="9" width="11.83203125" bestFit="1" customWidth="1"/>
    <col min="10" max="10" width="9.83203125" bestFit="1" customWidth="1"/>
    <col min="11" max="11" width="10.33203125" bestFit="1" customWidth="1"/>
    <col min="12" max="12" width="11.33203125" bestFit="1" customWidth="1"/>
    <col min="14" max="14" width="17.83203125" bestFit="1" customWidth="1"/>
  </cols>
  <sheetData>
    <row r="1" spans="1:15" ht="16" thickBot="1" x14ac:dyDescent="0.25">
      <c r="A1" s="1" t="s">
        <v>0</v>
      </c>
      <c r="D1" s="1" t="s">
        <v>212</v>
      </c>
    </row>
    <row r="2" spans="1:15" ht="16" thickBot="1" x14ac:dyDescent="0.25">
      <c r="A2" s="3" t="s">
        <v>1</v>
      </c>
      <c r="B2" s="4" t="s">
        <v>2</v>
      </c>
      <c r="D2" s="85" t="s">
        <v>138</v>
      </c>
      <c r="E2" s="86">
        <f>B37</f>
        <v>8.6352000050775368E-2</v>
      </c>
    </row>
    <row r="3" spans="1:15" x14ac:dyDescent="0.2">
      <c r="A3" s="3" t="s">
        <v>3</v>
      </c>
      <c r="B3" s="2">
        <v>62</v>
      </c>
      <c r="C3">
        <f>5.24*14</f>
        <v>73.36</v>
      </c>
      <c r="E3" s="84"/>
      <c r="H3" s="5" t="s">
        <v>213</v>
      </c>
      <c r="I3" s="5" t="s">
        <v>214</v>
      </c>
      <c r="J3" s="5" t="s">
        <v>215</v>
      </c>
      <c r="K3" s="5" t="s">
        <v>216</v>
      </c>
      <c r="L3" s="5" t="s">
        <v>217</v>
      </c>
      <c r="N3" s="78" t="s">
        <v>38</v>
      </c>
      <c r="O3" s="78">
        <f>SUM(O4:O8)</f>
        <v>5500</v>
      </c>
    </row>
    <row r="4" spans="1:15" ht="16" thickBot="1" x14ac:dyDescent="0.25">
      <c r="A4" s="3" t="s">
        <v>218</v>
      </c>
      <c r="B4" s="2">
        <f>I7/0.8</f>
        <v>91500</v>
      </c>
      <c r="H4" s="5" t="s">
        <v>219</v>
      </c>
      <c r="I4" s="52">
        <v>900</v>
      </c>
      <c r="J4" s="52">
        <v>20</v>
      </c>
      <c r="K4" s="52">
        <v>1100</v>
      </c>
      <c r="L4" s="52">
        <f>K4*12</f>
        <v>13200</v>
      </c>
      <c r="N4" s="5" t="s">
        <v>220</v>
      </c>
      <c r="O4" s="5">
        <v>1000</v>
      </c>
    </row>
    <row r="5" spans="1:15" ht="16" thickBot="1" x14ac:dyDescent="0.25">
      <c r="A5" s="3" t="s">
        <v>5</v>
      </c>
      <c r="B5" s="65">
        <v>76</v>
      </c>
      <c r="D5" s="1" t="s">
        <v>221</v>
      </c>
      <c r="H5" s="5" t="s">
        <v>222</v>
      </c>
      <c r="I5" s="52">
        <v>1200</v>
      </c>
      <c r="J5" s="52">
        <v>30</v>
      </c>
      <c r="K5" s="52">
        <v>1500</v>
      </c>
      <c r="L5" s="52">
        <f t="shared" ref="L5:L6" si="0">K5*12</f>
        <v>18000</v>
      </c>
      <c r="N5" s="5" t="s">
        <v>223</v>
      </c>
      <c r="O5" s="5">
        <v>1000</v>
      </c>
    </row>
    <row r="6" spans="1:15" ht="16" thickBot="1" x14ac:dyDescent="0.25">
      <c r="A6" s="3" t="s">
        <v>224</v>
      </c>
      <c r="B6" s="4" t="s">
        <v>225</v>
      </c>
      <c r="D6" s="66" t="s">
        <v>226</v>
      </c>
      <c r="E6" s="87">
        <f>B39</f>
        <v>2301400.1260922728</v>
      </c>
      <c r="H6" s="5" t="s">
        <v>227</v>
      </c>
      <c r="I6" s="52">
        <v>1600</v>
      </c>
      <c r="J6" s="52">
        <v>12</v>
      </c>
      <c r="K6" s="52">
        <v>1800</v>
      </c>
      <c r="L6" s="52">
        <f t="shared" si="0"/>
        <v>21600</v>
      </c>
      <c r="N6" s="5" t="s">
        <v>228</v>
      </c>
      <c r="O6" s="5">
        <v>500</v>
      </c>
    </row>
    <row r="7" spans="1:15" ht="16" thickBot="1" x14ac:dyDescent="0.25">
      <c r="A7" s="3" t="s">
        <v>229</v>
      </c>
      <c r="B7" s="4" t="s">
        <v>230</v>
      </c>
      <c r="D7" s="95" t="s">
        <v>231</v>
      </c>
      <c r="E7" s="2"/>
      <c r="H7" s="5" t="s">
        <v>134</v>
      </c>
      <c r="I7" s="52">
        <f>SUMPRODUCT(I4:I6,J4:J6)</f>
        <v>73200</v>
      </c>
      <c r="J7" s="52">
        <f>SUM(J4:J6)</f>
        <v>62</v>
      </c>
      <c r="K7" s="52">
        <f>SUMPRODUCT(J4:J6,K4:K6)</f>
        <v>88600</v>
      </c>
      <c r="L7" s="52">
        <f>K7*12</f>
        <v>1063200</v>
      </c>
      <c r="N7" s="5" t="s">
        <v>232</v>
      </c>
      <c r="O7" s="5">
        <v>1000</v>
      </c>
    </row>
    <row r="8" spans="1:15" ht="16" thickBot="1" x14ac:dyDescent="0.25">
      <c r="A8" s="3" t="s">
        <v>233</v>
      </c>
      <c r="B8" s="71">
        <v>0.15</v>
      </c>
      <c r="E8" s="2"/>
      <c r="N8" s="5" t="s">
        <v>234</v>
      </c>
      <c r="O8" s="5">
        <v>2000</v>
      </c>
    </row>
    <row r="9" spans="1:15" ht="16" thickBot="1" x14ac:dyDescent="0.25">
      <c r="A9" s="3" t="s">
        <v>235</v>
      </c>
      <c r="B9" s="97">
        <v>5.5E-2</v>
      </c>
    </row>
    <row r="10" spans="1:15" x14ac:dyDescent="0.2">
      <c r="A10" s="3"/>
      <c r="H10" s="1" t="s">
        <v>7</v>
      </c>
      <c r="N10" s="78" t="s">
        <v>236</v>
      </c>
      <c r="O10" s="69">
        <f>I7+O3</f>
        <v>78700</v>
      </c>
    </row>
    <row r="11" spans="1:15" x14ac:dyDescent="0.2">
      <c r="A11" s="8" t="s">
        <v>237</v>
      </c>
      <c r="B11" s="54" t="s">
        <v>68</v>
      </c>
      <c r="C11" s="54" t="s">
        <v>69</v>
      </c>
      <c r="D11" s="54" t="s">
        <v>70</v>
      </c>
      <c r="E11" s="54" t="s">
        <v>71</v>
      </c>
      <c r="F11" s="54"/>
      <c r="H11" s="14" t="s">
        <v>8</v>
      </c>
      <c r="I11" s="52">
        <v>950000</v>
      </c>
    </row>
    <row r="12" spans="1:15" ht="16" thickBot="1" x14ac:dyDescent="0.25">
      <c r="A12" s="3" t="s">
        <v>238</v>
      </c>
      <c r="B12" s="2">
        <f>L7</f>
        <v>1063200</v>
      </c>
      <c r="C12" s="2">
        <f>B12*1.03</f>
        <v>1095096</v>
      </c>
      <c r="D12" s="2">
        <f>C12*1.03</f>
        <v>1127948.8800000001</v>
      </c>
      <c r="E12" s="2">
        <f>D12*1.03</f>
        <v>1161787.3464000002</v>
      </c>
      <c r="F12" s="2"/>
      <c r="H12" s="14" t="s">
        <v>9</v>
      </c>
      <c r="I12" s="52">
        <v>0</v>
      </c>
    </row>
    <row r="13" spans="1:15" ht="16" thickBot="1" x14ac:dyDescent="0.25">
      <c r="A13" s="66" t="s">
        <v>84</v>
      </c>
      <c r="B13" s="82">
        <v>0.3</v>
      </c>
      <c r="C13" s="82">
        <v>0.15</v>
      </c>
      <c r="D13" s="82">
        <v>0.1</v>
      </c>
      <c r="E13" s="83">
        <v>0.1</v>
      </c>
      <c r="F13" s="81"/>
      <c r="H13" s="76" t="s">
        <v>10</v>
      </c>
      <c r="I13" s="77">
        <f>I11+I12</f>
        <v>950000</v>
      </c>
    </row>
    <row r="14" spans="1:15" x14ac:dyDescent="0.2">
      <c r="A14" s="3" t="s">
        <v>239</v>
      </c>
      <c r="B14" s="2">
        <f>B13*B12</f>
        <v>318960</v>
      </c>
      <c r="C14" s="2">
        <f>C13*C12</f>
        <v>164264.4</v>
      </c>
      <c r="D14" s="2">
        <f>D13*D12</f>
        <v>112794.88800000002</v>
      </c>
      <c r="E14" s="2">
        <f>E13*E12</f>
        <v>116178.73464000002</v>
      </c>
      <c r="F14" s="81"/>
      <c r="I14" s="2"/>
    </row>
    <row r="15" spans="1:15" x14ac:dyDescent="0.2">
      <c r="A15" s="9" t="s">
        <v>240</v>
      </c>
      <c r="B15" s="10">
        <f>B12-B14</f>
        <v>744240</v>
      </c>
      <c r="C15" s="10">
        <f>C12-C14</f>
        <v>930831.6</v>
      </c>
      <c r="D15" s="10">
        <f>D12-D14</f>
        <v>1015153.9920000001</v>
      </c>
      <c r="E15" s="10">
        <f>E12-E14</f>
        <v>1045608.6117600001</v>
      </c>
      <c r="I15" s="2"/>
    </row>
    <row r="16" spans="1:15" x14ac:dyDescent="0.2">
      <c r="C16" s="2"/>
      <c r="D16" s="2"/>
      <c r="H16" s="1" t="s">
        <v>11</v>
      </c>
      <c r="I16" s="2"/>
    </row>
    <row r="17" spans="1:9" x14ac:dyDescent="0.2">
      <c r="A17" s="8" t="s">
        <v>241</v>
      </c>
      <c r="C17" s="2"/>
      <c r="D17" s="2"/>
      <c r="F17" s="2"/>
      <c r="H17" s="14" t="s">
        <v>242</v>
      </c>
      <c r="I17" s="52">
        <f>B4*B5</f>
        <v>6954000</v>
      </c>
    </row>
    <row r="18" spans="1:9" x14ac:dyDescent="0.2">
      <c r="A18" s="3" t="s">
        <v>243</v>
      </c>
      <c r="B18" s="2">
        <f>2000*12</f>
        <v>24000</v>
      </c>
      <c r="C18" s="2">
        <f t="shared" ref="C18:E24" si="1">B18*1.03</f>
        <v>24720</v>
      </c>
      <c r="D18" s="2">
        <f t="shared" si="1"/>
        <v>25461.600000000002</v>
      </c>
      <c r="E18" s="2">
        <f t="shared" si="1"/>
        <v>26225.448000000004</v>
      </c>
      <c r="F18" s="2"/>
      <c r="H18" s="14" t="s">
        <v>38</v>
      </c>
      <c r="I18" s="52">
        <f>100*O3</f>
        <v>550000</v>
      </c>
    </row>
    <row r="19" spans="1:9" x14ac:dyDescent="0.2">
      <c r="A19" s="3" t="s">
        <v>244</v>
      </c>
      <c r="B19" s="2">
        <f>100*B3</f>
        <v>6200</v>
      </c>
      <c r="C19" s="2">
        <f t="shared" si="1"/>
        <v>6386</v>
      </c>
      <c r="D19" s="2">
        <f t="shared" si="1"/>
        <v>6577.58</v>
      </c>
      <c r="E19" s="2">
        <f t="shared" si="1"/>
        <v>6774.9074000000001</v>
      </c>
      <c r="F19" s="2"/>
      <c r="H19" s="14" t="s">
        <v>13</v>
      </c>
      <c r="I19" s="52">
        <v>300000</v>
      </c>
    </row>
    <row r="20" spans="1:9" x14ac:dyDescent="0.2">
      <c r="A20" s="3" t="s">
        <v>170</v>
      </c>
      <c r="B20" s="2">
        <f>$B3*100</f>
        <v>6200</v>
      </c>
      <c r="C20" s="2">
        <f t="shared" si="1"/>
        <v>6386</v>
      </c>
      <c r="D20" s="2">
        <f t="shared" si="1"/>
        <v>6577.58</v>
      </c>
      <c r="E20" s="2">
        <f t="shared" si="1"/>
        <v>6774.9074000000001</v>
      </c>
      <c r="F20" s="2"/>
      <c r="H20" s="14" t="s">
        <v>14</v>
      </c>
      <c r="I20" s="52">
        <v>100000</v>
      </c>
    </row>
    <row r="21" spans="1:9" x14ac:dyDescent="0.2">
      <c r="A21" s="3" t="s">
        <v>245</v>
      </c>
      <c r="B21" s="2">
        <v>50000</v>
      </c>
      <c r="C21" s="2">
        <f t="shared" si="1"/>
        <v>51500</v>
      </c>
      <c r="D21" s="2">
        <f t="shared" si="1"/>
        <v>53045</v>
      </c>
      <c r="E21" s="2">
        <f t="shared" si="1"/>
        <v>54636.35</v>
      </c>
      <c r="F21" s="2"/>
      <c r="H21" s="14" t="s">
        <v>15</v>
      </c>
      <c r="I21" s="52">
        <v>200000</v>
      </c>
    </row>
    <row r="22" spans="1:9" x14ac:dyDescent="0.2">
      <c r="A22" s="3" t="s">
        <v>246</v>
      </c>
      <c r="B22" s="2">
        <v>30000</v>
      </c>
      <c r="C22" s="2">
        <f t="shared" ref="C22" si="2">B22*1.03</f>
        <v>30900</v>
      </c>
      <c r="D22" s="2">
        <f t="shared" ref="D22" si="3">C22*1.03</f>
        <v>31827</v>
      </c>
      <c r="E22" s="2">
        <f t="shared" ref="E22" si="4">D22*1.03</f>
        <v>32781.81</v>
      </c>
      <c r="F22" s="2"/>
      <c r="H22" s="76" t="s">
        <v>16</v>
      </c>
      <c r="I22" s="77">
        <f>SUM(I17:I21)</f>
        <v>8104000</v>
      </c>
    </row>
    <row r="23" spans="1:9" x14ac:dyDescent="0.2">
      <c r="A23" s="3" t="s">
        <v>247</v>
      </c>
      <c r="B23" s="2">
        <f>(I7+O3)*130/100</f>
        <v>102310</v>
      </c>
      <c r="C23" s="2">
        <f t="shared" si="1"/>
        <v>105379.3</v>
      </c>
      <c r="D23" s="2">
        <f t="shared" si="1"/>
        <v>108540.679</v>
      </c>
      <c r="E23" s="2">
        <f t="shared" si="1"/>
        <v>111796.89937000001</v>
      </c>
      <c r="F23" s="2"/>
    </row>
    <row r="24" spans="1:9" x14ac:dyDescent="0.2">
      <c r="A24" s="3" t="s">
        <v>248</v>
      </c>
      <c r="B24" s="2">
        <f>500*B3*0.5</f>
        <v>15500</v>
      </c>
      <c r="C24" s="2">
        <f t="shared" si="1"/>
        <v>15965</v>
      </c>
      <c r="D24" s="2">
        <f t="shared" si="1"/>
        <v>16443.95</v>
      </c>
      <c r="E24" s="2">
        <f t="shared" si="1"/>
        <v>16937.268500000002</v>
      </c>
      <c r="F24" s="2"/>
      <c r="H24" s="8" t="s">
        <v>249</v>
      </c>
    </row>
    <row r="25" spans="1:9" x14ac:dyDescent="0.2">
      <c r="A25" s="3" t="s">
        <v>250</v>
      </c>
      <c r="B25" s="2">
        <f>1000*12</f>
        <v>12000</v>
      </c>
      <c r="C25" s="2">
        <f>B25*1.03</f>
        <v>12360</v>
      </c>
      <c r="D25" s="2">
        <f t="shared" ref="D25:E25" si="5">C25*1.03</f>
        <v>12730.800000000001</v>
      </c>
      <c r="E25" s="2">
        <f t="shared" si="5"/>
        <v>13112.724000000002</v>
      </c>
      <c r="H25" s="14" t="s">
        <v>17</v>
      </c>
      <c r="I25" s="52">
        <f>400000</f>
        <v>400000</v>
      </c>
    </row>
    <row r="26" spans="1:9" x14ac:dyDescent="0.2">
      <c r="A26" s="9" t="s">
        <v>251</v>
      </c>
      <c r="B26" s="10">
        <f>SUM(B18:B25)</f>
        <v>246210</v>
      </c>
      <c r="C26" s="10">
        <f>SUM(C18:C25)</f>
        <v>253596.3</v>
      </c>
      <c r="D26" s="10">
        <f>SUM(D18:D25)</f>
        <v>261204.18900000001</v>
      </c>
      <c r="E26" s="10">
        <f>SUM(E18:E25)</f>
        <v>269040.31466999999</v>
      </c>
      <c r="F26" s="2"/>
      <c r="H26" s="14" t="s">
        <v>18</v>
      </c>
      <c r="I26" s="52">
        <v>1500</v>
      </c>
    </row>
    <row r="27" spans="1:9" x14ac:dyDescent="0.2">
      <c r="C27" s="2"/>
      <c r="D27" s="2"/>
      <c r="H27" s="14" t="s">
        <v>19</v>
      </c>
      <c r="I27" s="52">
        <v>100000</v>
      </c>
    </row>
    <row r="28" spans="1:9" x14ac:dyDescent="0.2">
      <c r="A28" s="3" t="s">
        <v>252</v>
      </c>
      <c r="B28" s="2">
        <f>B15-B26</f>
        <v>498030</v>
      </c>
      <c r="C28" s="2">
        <f>C15-C26</f>
        <v>677235.3</v>
      </c>
      <c r="D28" s="2">
        <f>D15-D26</f>
        <v>753949.80300000007</v>
      </c>
      <c r="E28" s="2">
        <f>E15-E26</f>
        <v>776568.29709000012</v>
      </c>
      <c r="F28" s="60"/>
      <c r="H28" s="14" t="s">
        <v>20</v>
      </c>
      <c r="I28" s="52">
        <v>8000</v>
      </c>
    </row>
    <row r="29" spans="1:9" x14ac:dyDescent="0.2">
      <c r="B29"/>
      <c r="F29" s="2"/>
      <c r="H29" s="14" t="s">
        <v>21</v>
      </c>
      <c r="I29" s="52">
        <f>800*B3</f>
        <v>49600</v>
      </c>
    </row>
    <row r="30" spans="1:9" x14ac:dyDescent="0.2">
      <c r="A30" s="5"/>
      <c r="B30" s="6" t="s">
        <v>253</v>
      </c>
      <c r="C30" s="6" t="s">
        <v>254</v>
      </c>
      <c r="D30" s="74" t="s">
        <v>255</v>
      </c>
      <c r="E30" s="6" t="s">
        <v>256</v>
      </c>
      <c r="H30" s="14" t="s">
        <v>22</v>
      </c>
      <c r="I30" s="52">
        <f>50000</f>
        <v>50000</v>
      </c>
    </row>
    <row r="31" spans="1:9" x14ac:dyDescent="0.2">
      <c r="A31" s="14"/>
      <c r="B31" s="52">
        <f>-I38</f>
        <v>-10270300</v>
      </c>
      <c r="C31" s="52">
        <f>B28</f>
        <v>498030</v>
      </c>
      <c r="D31" s="75">
        <f>C28</f>
        <v>677235.3</v>
      </c>
      <c r="E31" s="52">
        <f>D28</f>
        <v>753949.80300000007</v>
      </c>
      <c r="H31" s="14" t="s">
        <v>23</v>
      </c>
      <c r="I31" s="52">
        <f>20000</f>
        <v>20000</v>
      </c>
    </row>
    <row r="32" spans="1:9" x14ac:dyDescent="0.2">
      <c r="A32" s="14" t="s">
        <v>257</v>
      </c>
      <c r="B32" s="5"/>
      <c r="C32" s="52"/>
      <c r="D32" s="75"/>
      <c r="E32" s="52">
        <f>E28/B9*0.95</f>
        <v>13413452.404281819</v>
      </c>
      <c r="F32" s="2"/>
      <c r="H32" s="14" t="s">
        <v>24</v>
      </c>
      <c r="I32" s="52">
        <f>600*B3</f>
        <v>37200</v>
      </c>
    </row>
    <row r="33" spans="1:9" x14ac:dyDescent="0.2">
      <c r="A33" s="14" t="s">
        <v>258</v>
      </c>
      <c r="B33" s="52">
        <f>SUM(B31:B32)</f>
        <v>-10270300</v>
      </c>
      <c r="C33" s="52">
        <f t="shared" ref="C33:D33" si="6">SUM(C31:C32)</f>
        <v>498030</v>
      </c>
      <c r="D33" s="75">
        <f t="shared" si="6"/>
        <v>677235.3</v>
      </c>
      <c r="E33" s="52">
        <f t="shared" ref="E33" si="7">SUM(E31:E32)</f>
        <v>14167402.207281819</v>
      </c>
      <c r="H33" s="14" t="s">
        <v>26</v>
      </c>
      <c r="I33" s="52">
        <v>300000</v>
      </c>
    </row>
    <row r="34" spans="1:9" x14ac:dyDescent="0.2">
      <c r="A34" s="53" t="s">
        <v>259</v>
      </c>
      <c r="B34" s="55">
        <f>B33</f>
        <v>-10270300</v>
      </c>
      <c r="C34" s="55">
        <f>C33*(1-$B$8)</f>
        <v>423325.5</v>
      </c>
      <c r="D34" s="55">
        <f t="shared" ref="D34:E34" si="8">D33*(1-$B$8)</f>
        <v>575650.005</v>
      </c>
      <c r="E34" s="55">
        <f t="shared" si="8"/>
        <v>12042291.876189545</v>
      </c>
      <c r="H34" s="14" t="s">
        <v>27</v>
      </c>
      <c r="I34" s="52">
        <v>200000</v>
      </c>
    </row>
    <row r="35" spans="1:9" x14ac:dyDescent="0.2">
      <c r="A35" s="14" t="s">
        <v>260</v>
      </c>
      <c r="B35" s="5">
        <v>0</v>
      </c>
      <c r="C35" s="52">
        <f>C33*$B$8</f>
        <v>74704.5</v>
      </c>
      <c r="D35" s="75">
        <f>D33*$B$8</f>
        <v>101585.295</v>
      </c>
      <c r="E35" s="52">
        <f>E33*$B$8</f>
        <v>2125110.3310922729</v>
      </c>
      <c r="H35" s="14" t="s">
        <v>15</v>
      </c>
      <c r="I35" s="52">
        <v>50000</v>
      </c>
    </row>
    <row r="36" spans="1:9" x14ac:dyDescent="0.2">
      <c r="H36" s="76" t="s">
        <v>261</v>
      </c>
      <c r="I36" s="77">
        <f>SUM(I25:I35)</f>
        <v>1216300</v>
      </c>
    </row>
    <row r="37" spans="1:9" x14ac:dyDescent="0.2">
      <c r="A37" s="14" t="s">
        <v>262</v>
      </c>
      <c r="B37" s="17">
        <f>IRR(B34:E34)</f>
        <v>8.6352000050775368E-2</v>
      </c>
      <c r="D37" s="11"/>
    </row>
    <row r="38" spans="1:9" x14ac:dyDescent="0.2">
      <c r="B38"/>
      <c r="H38" s="79" t="s">
        <v>39</v>
      </c>
      <c r="I38" s="69">
        <f>I13+I22+I36</f>
        <v>10270300</v>
      </c>
    </row>
    <row r="39" spans="1:9" x14ac:dyDescent="0.2">
      <c r="A39" s="14" t="s">
        <v>263</v>
      </c>
      <c r="B39" s="52">
        <f>SUM(B35:E35)</f>
        <v>2301400.1260922728</v>
      </c>
      <c r="C39" s="2"/>
      <c r="D39" s="2"/>
    </row>
    <row r="40" spans="1:9" x14ac:dyDescent="0.2">
      <c r="C40" s="2"/>
    </row>
    <row r="41" spans="1:9" x14ac:dyDescent="0.2">
      <c r="A41" s="1" t="s">
        <v>264</v>
      </c>
      <c r="C41" s="2"/>
    </row>
    <row r="42" spans="1:9" x14ac:dyDescent="0.2">
      <c r="A42" s="96">
        <f>B37</f>
        <v>8.6352000050775368E-2</v>
      </c>
      <c r="B42" s="17">
        <v>4.5999999999999999E-2</v>
      </c>
      <c r="C42" s="17">
        <v>4.8000000000000001E-2</v>
      </c>
      <c r="D42" s="17">
        <v>0.05</v>
      </c>
      <c r="E42" s="99">
        <v>5.5E-2</v>
      </c>
      <c r="F42" s="17">
        <v>0.06</v>
      </c>
    </row>
    <row r="43" spans="1:9" x14ac:dyDescent="0.2">
      <c r="A43" s="5">
        <v>72</v>
      </c>
      <c r="B43" s="17">
        <f t="dataTable" ref="B43:F46" dt2D="1" dtr="1" r1="B9" r2="B5"/>
        <v>0.16132070028044065</v>
      </c>
      <c r="C43" s="17">
        <v>0.14637581625659246</v>
      </c>
      <c r="D43" s="17">
        <v>0.13226349593922615</v>
      </c>
      <c r="E43" s="99">
        <v>0.1001482546746717</v>
      </c>
      <c r="F43" s="17">
        <v>7.1828238420272639E-2</v>
      </c>
    </row>
    <row r="44" spans="1:9" x14ac:dyDescent="0.2">
      <c r="A44" s="5">
        <v>76</v>
      </c>
      <c r="B44" s="17">
        <v>0.14680220946582101</v>
      </c>
      <c r="C44" s="17">
        <v>0.13203391554061672</v>
      </c>
      <c r="D44" s="17">
        <v>0.11808826579074427</v>
      </c>
      <c r="E44" s="99">
        <v>8.6352000050775368E-2</v>
      </c>
      <c r="F44" s="17">
        <v>5.8365782907040087E-2</v>
      </c>
    </row>
    <row r="45" spans="1:9" x14ac:dyDescent="0.2">
      <c r="A45" s="5">
        <v>80</v>
      </c>
      <c r="B45" s="17">
        <v>0.13297447041465249</v>
      </c>
      <c r="C45" s="17">
        <v>0.11837464742727311</v>
      </c>
      <c r="D45" s="17">
        <v>0.10458800730745099</v>
      </c>
      <c r="E45" s="99">
        <v>7.3213305921776772E-2</v>
      </c>
      <c r="F45" s="17">
        <v>4.5545562533840567E-2</v>
      </c>
    </row>
    <row r="46" spans="1:9" x14ac:dyDescent="0.2">
      <c r="A46" s="5">
        <v>84</v>
      </c>
      <c r="B46" s="17">
        <v>0.1197821907137</v>
      </c>
      <c r="C46" s="17">
        <v>0.10534335224300362</v>
      </c>
      <c r="D46" s="17">
        <v>9.1708657714318909E-2</v>
      </c>
      <c r="E46" s="99">
        <v>6.0679465591665371E-2</v>
      </c>
      <c r="F46" s="17">
        <v>3.3316063600452583E-2</v>
      </c>
    </row>
    <row r="47" spans="1:9" x14ac:dyDescent="0.2">
      <c r="C47" s="2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</sheetData>
  <phoneticPr fontId="5" type="noConversion"/>
  <dataValidations count="4">
    <dataValidation type="list" allowBlank="1" showInputMessage="1" sqref="E6" xr:uid="{D303D1BF-28B5-4FFE-8365-6A47E80D7847}">
      <formula1>"0,100000,200000,300000"</formula1>
    </dataValidation>
    <dataValidation type="list" allowBlank="1" showInputMessage="1" sqref="B8" xr:uid="{E4F8A3EB-BC7E-43E4-A77E-3EDFC8275DEA}">
      <formula1>"0.1,0.15,0.2,0.25,0.3,0.35,0.4"</formula1>
    </dataValidation>
    <dataValidation type="list" allowBlank="1" showInputMessage="1" showErrorMessage="1" sqref="B5" xr:uid="{82965E52-0E7F-4322-B7BA-CD60951AC18C}">
      <formula1>"72,74,76,78,80"</formula1>
    </dataValidation>
    <dataValidation type="list" allowBlank="1" showInputMessage="1" sqref="B9" xr:uid="{53966288-F6E9-4F2D-903E-31038F88ECAA}">
      <formula1>"0.05,0.055,0.06,0.065,0.07"</formula1>
    </dataValidation>
  </dataValidation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5"/>
  <sheetViews>
    <sheetView showGridLines="0" workbookViewId="0">
      <selection activeCell="B22" sqref="B22"/>
    </sheetView>
  </sheetViews>
  <sheetFormatPr baseColWidth="10" defaultColWidth="8.83203125" defaultRowHeight="15" x14ac:dyDescent="0.2"/>
  <cols>
    <col min="1" max="1" width="26.33203125" bestFit="1" customWidth="1"/>
    <col min="2" max="2" width="17.33203125" bestFit="1" customWidth="1"/>
    <col min="3" max="3" width="2.33203125" customWidth="1"/>
    <col min="4" max="4" width="16.33203125" customWidth="1"/>
    <col min="5" max="5" width="14" customWidth="1"/>
    <col min="6" max="6" width="2.33203125" customWidth="1"/>
    <col min="7" max="7" width="17.6640625" bestFit="1" customWidth="1"/>
    <col min="8" max="8" width="13.33203125" bestFit="1" customWidth="1"/>
    <col min="10" max="10" width="2.1640625" customWidth="1"/>
    <col min="11" max="11" width="14.6640625" bestFit="1" customWidth="1"/>
    <col min="18" max="18" width="19.33203125" bestFit="1" customWidth="1"/>
    <col min="20" max="20" width="11.1640625" customWidth="1"/>
    <col min="23" max="24" width="9" customWidth="1"/>
    <col min="25" max="25" width="17.33203125" bestFit="1" customWidth="1"/>
  </cols>
  <sheetData>
    <row r="1" spans="1:30" x14ac:dyDescent="0.2">
      <c r="A1" s="1" t="s">
        <v>0</v>
      </c>
      <c r="B1" s="2"/>
      <c r="K1" t="s">
        <v>265</v>
      </c>
    </row>
    <row r="2" spans="1:30" ht="16" thickBot="1" x14ac:dyDescent="0.25">
      <c r="A2" s="3" t="s">
        <v>1</v>
      </c>
      <c r="B2" s="4" t="s">
        <v>266</v>
      </c>
      <c r="D2" s="1" t="s">
        <v>267</v>
      </c>
      <c r="E2" s="2"/>
      <c r="G2" s="5"/>
      <c r="H2" s="5" t="s">
        <v>268</v>
      </c>
      <c r="I2" s="6" t="s">
        <v>269</v>
      </c>
      <c r="K2" s="5" t="s">
        <v>5</v>
      </c>
      <c r="L2" s="15">
        <v>72</v>
      </c>
      <c r="M2" s="15">
        <v>76</v>
      </c>
      <c r="N2" s="15">
        <v>80</v>
      </c>
      <c r="O2" s="15">
        <v>84</v>
      </c>
      <c r="P2" s="15">
        <v>88</v>
      </c>
      <c r="Y2" s="5" t="s">
        <v>5</v>
      </c>
      <c r="Z2" s="15">
        <v>72</v>
      </c>
      <c r="AA2" s="15">
        <v>76</v>
      </c>
      <c r="AB2" s="15">
        <v>80</v>
      </c>
      <c r="AC2" s="15">
        <v>84</v>
      </c>
      <c r="AD2" s="15">
        <v>88</v>
      </c>
    </row>
    <row r="3" spans="1:30" ht="16" thickBot="1" x14ac:dyDescent="0.25">
      <c r="A3" s="3" t="s">
        <v>3</v>
      </c>
      <c r="B3" s="2">
        <v>83</v>
      </c>
      <c r="D3" s="66" t="s">
        <v>270</v>
      </c>
      <c r="E3" s="67">
        <f>B49</f>
        <v>0.13099622057734603</v>
      </c>
      <c r="G3" s="20" t="s">
        <v>271</v>
      </c>
      <c r="H3" s="21">
        <f>I3*B6</f>
        <v>270000</v>
      </c>
      <c r="I3" s="21">
        <v>135</v>
      </c>
      <c r="K3" s="18" t="s">
        <v>37</v>
      </c>
      <c r="L3" s="19"/>
      <c r="M3" s="19"/>
      <c r="N3" s="19"/>
      <c r="O3" s="19"/>
      <c r="P3" s="19"/>
      <c r="Y3" s="5" t="s">
        <v>272</v>
      </c>
      <c r="Z3" s="7">
        <v>343400</v>
      </c>
      <c r="AA3" s="7">
        <v>282920</v>
      </c>
      <c r="AB3" s="7">
        <v>222440</v>
      </c>
      <c r="AC3" s="7">
        <v>161960</v>
      </c>
      <c r="AD3" s="7">
        <v>101480</v>
      </c>
    </row>
    <row r="4" spans="1:30" x14ac:dyDescent="0.2">
      <c r="A4" s="3" t="s">
        <v>273</v>
      </c>
      <c r="B4" s="2">
        <f>B3*B6</f>
        <v>166000</v>
      </c>
      <c r="G4" s="5" t="s">
        <v>274</v>
      </c>
      <c r="H4" s="7">
        <f>I4*B6</f>
        <v>260000</v>
      </c>
      <c r="I4" s="7">
        <v>130</v>
      </c>
      <c r="K4" s="5" t="s">
        <v>275</v>
      </c>
      <c r="L4" s="17"/>
      <c r="M4" s="17"/>
      <c r="N4" s="17"/>
      <c r="O4" s="17"/>
      <c r="P4" s="17"/>
      <c r="Y4" s="5" t="s">
        <v>276</v>
      </c>
      <c r="Z4" s="7">
        <v>271400</v>
      </c>
      <c r="AA4" s="7">
        <v>210920</v>
      </c>
      <c r="AB4" s="7">
        <v>150440</v>
      </c>
      <c r="AC4" s="7">
        <v>89960</v>
      </c>
      <c r="AD4" s="7">
        <v>29480</v>
      </c>
    </row>
    <row r="5" spans="1:30" ht="16" thickBot="1" x14ac:dyDescent="0.25">
      <c r="A5" s="3" t="s">
        <v>277</v>
      </c>
      <c r="B5" s="50">
        <v>270000</v>
      </c>
      <c r="D5" s="1" t="s">
        <v>278</v>
      </c>
      <c r="G5" s="5" t="s">
        <v>279</v>
      </c>
      <c r="H5" s="7">
        <f>I5*B6</f>
        <v>280000</v>
      </c>
      <c r="I5" s="7">
        <v>140</v>
      </c>
      <c r="L5" s="16"/>
      <c r="M5" s="16"/>
      <c r="N5" s="16"/>
      <c r="O5" s="16"/>
      <c r="P5" s="16"/>
      <c r="R5" s="2"/>
      <c r="Y5" s="5" t="s">
        <v>280</v>
      </c>
      <c r="Z5" s="7">
        <v>415400</v>
      </c>
      <c r="AA5" s="7">
        <v>354920</v>
      </c>
      <c r="AB5" s="7">
        <v>294440</v>
      </c>
      <c r="AC5" s="7">
        <v>233960</v>
      </c>
      <c r="AD5" s="7">
        <v>173480</v>
      </c>
    </row>
    <row r="6" spans="1:30" ht="16" thickBot="1" x14ac:dyDescent="0.25">
      <c r="A6" s="3" t="s">
        <v>281</v>
      </c>
      <c r="B6" s="2">
        <v>2000</v>
      </c>
      <c r="D6" s="66" t="s">
        <v>282</v>
      </c>
      <c r="E6" s="68">
        <f>B44</f>
        <v>1586290</v>
      </c>
      <c r="G6" s="5" t="s">
        <v>283</v>
      </c>
      <c r="H6" s="7">
        <f>I6*B6</f>
        <v>290000</v>
      </c>
      <c r="I6" s="7">
        <v>145</v>
      </c>
      <c r="K6" t="s">
        <v>284</v>
      </c>
      <c r="R6" s="16"/>
      <c r="Y6" s="5" t="s">
        <v>285</v>
      </c>
      <c r="Z6" s="7">
        <v>487400</v>
      </c>
      <c r="AA6" s="7">
        <v>426920</v>
      </c>
      <c r="AB6" s="7">
        <v>366440</v>
      </c>
      <c r="AC6" s="7">
        <v>305960</v>
      </c>
      <c r="AD6" s="7">
        <v>245480</v>
      </c>
    </row>
    <row r="7" spans="1:30" x14ac:dyDescent="0.2">
      <c r="A7" s="3" t="s">
        <v>286</v>
      </c>
      <c r="B7" s="13">
        <v>16867.469879518074</v>
      </c>
      <c r="K7" s="5" t="s">
        <v>5</v>
      </c>
      <c r="L7" s="15">
        <v>72</v>
      </c>
      <c r="M7" s="15">
        <v>76</v>
      </c>
      <c r="N7" s="15">
        <v>80</v>
      </c>
      <c r="O7" s="15">
        <v>84</v>
      </c>
      <c r="P7" s="15">
        <v>88</v>
      </c>
    </row>
    <row r="8" spans="1:30" x14ac:dyDescent="0.2">
      <c r="A8" s="3" t="s">
        <v>287</v>
      </c>
      <c r="B8" s="2">
        <v>2500</v>
      </c>
      <c r="G8" s="5" t="s">
        <v>288</v>
      </c>
      <c r="H8" s="5" t="s">
        <v>268</v>
      </c>
      <c r="I8" s="5" t="s">
        <v>289</v>
      </c>
      <c r="K8" s="18" t="s">
        <v>37</v>
      </c>
      <c r="L8" s="19"/>
      <c r="M8" s="19"/>
      <c r="N8" s="19"/>
      <c r="O8" s="19"/>
      <c r="P8" s="19"/>
      <c r="Y8" s="5" t="s">
        <v>5</v>
      </c>
      <c r="Z8" s="15">
        <v>72</v>
      </c>
      <c r="AA8" s="15">
        <v>76</v>
      </c>
      <c r="AB8" s="15">
        <v>80</v>
      </c>
      <c r="AC8" s="15">
        <v>84</v>
      </c>
      <c r="AD8" s="15">
        <v>88</v>
      </c>
    </row>
    <row r="9" spans="1:30" x14ac:dyDescent="0.2">
      <c r="A9" s="3" t="s">
        <v>290</v>
      </c>
      <c r="B9" s="51">
        <v>80</v>
      </c>
      <c r="G9" s="5" t="s">
        <v>291</v>
      </c>
      <c r="H9" s="7">
        <f>1000000/83</f>
        <v>12048.192771084337</v>
      </c>
      <c r="I9" s="14" t="s">
        <v>292</v>
      </c>
      <c r="K9" s="5" t="s">
        <v>275</v>
      </c>
      <c r="L9" s="17"/>
      <c r="M9" s="17"/>
      <c r="N9" s="17"/>
      <c r="O9" s="17"/>
      <c r="P9" s="17"/>
      <c r="Y9" s="5" t="s">
        <v>272</v>
      </c>
      <c r="Z9" s="17">
        <v>0.12872672747719605</v>
      </c>
      <c r="AA9" s="17">
        <v>0.1021937534616033</v>
      </c>
      <c r="AB9" s="17">
        <v>7.7525035432979394E-2</v>
      </c>
      <c r="AC9" s="17">
        <v>5.4530762496913653E-2</v>
      </c>
      <c r="AD9" s="17">
        <v>3.3046045633154594E-2</v>
      </c>
    </row>
    <row r="10" spans="1:30" x14ac:dyDescent="0.2">
      <c r="A10" s="3"/>
      <c r="B10" s="2"/>
      <c r="G10" s="5" t="s">
        <v>293</v>
      </c>
      <c r="H10" s="7">
        <f>1100000/83</f>
        <v>13253.012048192772</v>
      </c>
      <c r="I10" s="14" t="s">
        <v>294</v>
      </c>
      <c r="Y10" s="5" t="s">
        <v>276</v>
      </c>
      <c r="Z10" s="17">
        <v>0.10173684868174435</v>
      </c>
      <c r="AA10" s="17">
        <v>7.6186577407469841E-2</v>
      </c>
      <c r="AB10" s="17">
        <v>5.2431515602128304E-2</v>
      </c>
      <c r="AC10" s="17">
        <v>3.0288882404435367E-2</v>
      </c>
      <c r="AD10" s="17">
        <v>9.5998957948896079E-3</v>
      </c>
    </row>
    <row r="11" spans="1:30" x14ac:dyDescent="0.2">
      <c r="A11" s="8" t="s">
        <v>237</v>
      </c>
      <c r="B11" s="2"/>
      <c r="G11" s="5" t="s">
        <v>295</v>
      </c>
      <c r="H11" s="7">
        <f>1200000/83</f>
        <v>14457.831325301206</v>
      </c>
      <c r="I11" s="14" t="s">
        <v>296</v>
      </c>
      <c r="K11" t="s">
        <v>297</v>
      </c>
      <c r="Y11" s="5" t="s">
        <v>280</v>
      </c>
      <c r="Z11" s="17">
        <v>0.15571660627264775</v>
      </c>
      <c r="AA11" s="17">
        <v>0.12820092951573675</v>
      </c>
      <c r="AB11" s="17">
        <v>0.10261855526383049</v>
      </c>
      <c r="AC11" s="17">
        <v>7.8772642589391928E-2</v>
      </c>
      <c r="AD11" s="17">
        <v>5.6492195471419579E-2</v>
      </c>
    </row>
    <row r="12" spans="1:30" x14ac:dyDescent="0.2">
      <c r="A12" s="3" t="s">
        <v>298</v>
      </c>
      <c r="B12" s="2">
        <f>B3*B5</f>
        <v>22410000</v>
      </c>
      <c r="G12" s="5" t="s">
        <v>299</v>
      </c>
      <c r="H12" s="7">
        <f>1300000/83</f>
        <v>15662.650602409638</v>
      </c>
      <c r="I12" s="14" t="s">
        <v>300</v>
      </c>
      <c r="K12" s="5" t="s">
        <v>5</v>
      </c>
      <c r="L12" s="15">
        <v>72</v>
      </c>
      <c r="M12" s="15">
        <v>76</v>
      </c>
      <c r="N12" s="15">
        <v>80</v>
      </c>
      <c r="O12" s="15">
        <v>84</v>
      </c>
      <c r="P12" s="15">
        <v>88</v>
      </c>
      <c r="Y12" s="5" t="s">
        <v>285</v>
      </c>
      <c r="Z12" s="17">
        <v>0.18270648506809947</v>
      </c>
      <c r="AA12" s="17">
        <v>0.15420810556987022</v>
      </c>
      <c r="AB12" s="17">
        <v>0.12771207509468158</v>
      </c>
      <c r="AC12" s="17">
        <v>0.10301452268187021</v>
      </c>
      <c r="AD12" s="17">
        <v>7.9938345309684564E-2</v>
      </c>
    </row>
    <row r="13" spans="1:30" x14ac:dyDescent="0.2">
      <c r="A13" s="9" t="s">
        <v>240</v>
      </c>
      <c r="B13" s="10">
        <f>B12</f>
        <v>22410000</v>
      </c>
      <c r="G13" s="20" t="s">
        <v>271</v>
      </c>
      <c r="H13" s="21">
        <f>1400000/83</f>
        <v>16867.469879518074</v>
      </c>
      <c r="I13" s="22" t="s">
        <v>301</v>
      </c>
      <c r="K13" s="18" t="s">
        <v>37</v>
      </c>
      <c r="L13" s="19"/>
      <c r="M13" s="19"/>
      <c r="N13" s="19"/>
      <c r="O13" s="19"/>
      <c r="P13" s="19"/>
    </row>
    <row r="14" spans="1:30" x14ac:dyDescent="0.2">
      <c r="B14" s="2"/>
      <c r="K14" s="5" t="s">
        <v>275</v>
      </c>
      <c r="L14" s="17"/>
      <c r="M14" s="17"/>
      <c r="N14" s="17"/>
      <c r="O14" s="17"/>
      <c r="P14" s="17"/>
    </row>
    <row r="15" spans="1:30" x14ac:dyDescent="0.2">
      <c r="A15" s="1" t="s">
        <v>7</v>
      </c>
      <c r="B15" s="2"/>
      <c r="G15" s="5" t="s">
        <v>5</v>
      </c>
      <c r="H15" s="5" t="s">
        <v>268</v>
      </c>
      <c r="L15" s="13"/>
      <c r="M15" s="13"/>
      <c r="N15" s="13"/>
      <c r="O15" s="13"/>
      <c r="P15" s="13"/>
      <c r="Z15" s="16"/>
      <c r="AA15" s="16"/>
      <c r="AB15" s="16"/>
      <c r="AC15" s="16"/>
      <c r="AD15" s="16"/>
    </row>
    <row r="16" spans="1:30" x14ac:dyDescent="0.2">
      <c r="A16" s="3" t="s">
        <v>8</v>
      </c>
      <c r="B16" s="2">
        <f>B3*B7</f>
        <v>1400000.0000000002</v>
      </c>
      <c r="G16" s="20" t="s">
        <v>271</v>
      </c>
      <c r="H16" s="23">
        <v>80</v>
      </c>
      <c r="K16" t="s">
        <v>302</v>
      </c>
      <c r="Z16" s="16"/>
      <c r="AA16" s="16"/>
      <c r="AB16" s="16"/>
      <c r="AC16" s="16"/>
      <c r="AD16" s="16"/>
    </row>
    <row r="17" spans="1:30" x14ac:dyDescent="0.2">
      <c r="A17" s="3" t="s">
        <v>9</v>
      </c>
      <c r="B17" s="2">
        <f>B16*0.06</f>
        <v>84000.000000000015</v>
      </c>
      <c r="G17" s="5" t="s">
        <v>303</v>
      </c>
      <c r="H17" s="15">
        <v>76</v>
      </c>
      <c r="I17" t="s">
        <v>304</v>
      </c>
      <c r="K17" s="5" t="s">
        <v>5</v>
      </c>
      <c r="L17" s="15">
        <v>72</v>
      </c>
      <c r="M17" s="15">
        <v>76</v>
      </c>
      <c r="N17" s="15">
        <v>80</v>
      </c>
      <c r="O17" s="15">
        <v>84</v>
      </c>
      <c r="P17" s="15">
        <v>88</v>
      </c>
      <c r="Z17" s="16"/>
      <c r="AA17" s="16"/>
      <c r="AB17" s="16"/>
      <c r="AC17" s="16"/>
      <c r="AD17" s="16"/>
    </row>
    <row r="18" spans="1:30" x14ac:dyDescent="0.2">
      <c r="A18" s="9" t="s">
        <v>10</v>
      </c>
      <c r="B18" s="10">
        <f>B16+B17</f>
        <v>1484000.0000000002</v>
      </c>
      <c r="G18" s="5" t="s">
        <v>305</v>
      </c>
      <c r="H18" s="15">
        <v>72</v>
      </c>
      <c r="I18" t="s">
        <v>306</v>
      </c>
      <c r="K18" s="18" t="s">
        <v>37</v>
      </c>
      <c r="L18" s="19"/>
      <c r="M18" s="19"/>
      <c r="N18" s="19"/>
      <c r="O18" s="19"/>
      <c r="P18" s="19"/>
      <c r="Z18" s="16"/>
      <c r="AA18" s="16"/>
      <c r="AB18" s="16"/>
      <c r="AC18" s="16"/>
      <c r="AD18" s="16"/>
    </row>
    <row r="19" spans="1:30" x14ac:dyDescent="0.2">
      <c r="B19" s="2"/>
      <c r="G19" s="5" t="s">
        <v>307</v>
      </c>
      <c r="H19" s="15">
        <v>84</v>
      </c>
      <c r="I19" t="s">
        <v>308</v>
      </c>
      <c r="K19" s="5" t="s">
        <v>275</v>
      </c>
      <c r="L19" s="17"/>
      <c r="M19" s="17"/>
      <c r="N19" s="17"/>
      <c r="O19" s="17"/>
      <c r="P19" s="17"/>
    </row>
    <row r="20" spans="1:30" x14ac:dyDescent="0.2">
      <c r="A20" s="1" t="s">
        <v>11</v>
      </c>
      <c r="B20" s="2"/>
      <c r="G20" s="5" t="s">
        <v>309</v>
      </c>
      <c r="H20" s="15">
        <v>88</v>
      </c>
      <c r="I20" t="s">
        <v>310</v>
      </c>
    </row>
    <row r="21" spans="1:30" x14ac:dyDescent="0.2">
      <c r="A21" s="3" t="s">
        <v>12</v>
      </c>
      <c r="B21" s="2">
        <f>B4*B9</f>
        <v>13280000</v>
      </c>
      <c r="K21" s="2"/>
    </row>
    <row r="22" spans="1:30" ht="15" customHeight="1" x14ac:dyDescent="0.2">
      <c r="A22" s="3" t="s">
        <v>38</v>
      </c>
      <c r="B22" s="2">
        <f>7000*100*B3/83</f>
        <v>700000</v>
      </c>
      <c r="D22" t="s">
        <v>311</v>
      </c>
      <c r="H22" s="11"/>
      <c r="K22" s="16"/>
      <c r="R22" s="26" t="s">
        <v>312</v>
      </c>
      <c r="S22" s="272" t="s">
        <v>6</v>
      </c>
      <c r="T22" s="272"/>
      <c r="U22" s="272"/>
      <c r="V22" s="287"/>
    </row>
    <row r="23" spans="1:30" ht="16" x14ac:dyDescent="0.2">
      <c r="A23" s="3" t="s">
        <v>313</v>
      </c>
      <c r="B23" s="2">
        <f>9600*90*B3/83</f>
        <v>864000</v>
      </c>
      <c r="D23" t="s">
        <v>314</v>
      </c>
      <c r="H23" s="11"/>
      <c r="R23" s="27" t="s">
        <v>315</v>
      </c>
      <c r="S23" s="15">
        <v>130</v>
      </c>
      <c r="T23" s="23">
        <v>135</v>
      </c>
      <c r="U23" s="15">
        <v>140</v>
      </c>
      <c r="V23" s="31">
        <v>145</v>
      </c>
    </row>
    <row r="24" spans="1:30" ht="15" customHeight="1" x14ac:dyDescent="0.2">
      <c r="A24" s="3" t="s">
        <v>14</v>
      </c>
      <c r="B24" s="2">
        <f>B8*B3</f>
        <v>207500</v>
      </c>
      <c r="Q24" s="30"/>
      <c r="R24" s="28">
        <v>72</v>
      </c>
      <c r="S24" s="17"/>
      <c r="T24" s="24"/>
      <c r="U24" s="17"/>
      <c r="V24" s="32"/>
    </row>
    <row r="25" spans="1:30" x14ac:dyDescent="0.2">
      <c r="A25" s="3" t="s">
        <v>15</v>
      </c>
      <c r="B25" s="2">
        <v>100000</v>
      </c>
      <c r="Q25" s="30"/>
      <c r="R25" s="28">
        <v>76</v>
      </c>
      <c r="S25" s="17"/>
      <c r="T25" s="24"/>
      <c r="U25" s="17"/>
      <c r="V25" s="32"/>
    </row>
    <row r="26" spans="1:30" x14ac:dyDescent="0.2">
      <c r="A26" s="9" t="s">
        <v>16</v>
      </c>
      <c r="B26" s="10">
        <f>SUM(B21:B25)</f>
        <v>15151500</v>
      </c>
      <c r="Q26" s="30"/>
      <c r="R26" s="29">
        <v>80</v>
      </c>
      <c r="S26" s="24"/>
      <c r="T26" s="24"/>
      <c r="U26" s="24"/>
      <c r="V26" s="33"/>
    </row>
    <row r="27" spans="1:30" x14ac:dyDescent="0.2">
      <c r="B27" s="2"/>
      <c r="Q27" s="30"/>
      <c r="R27" s="28">
        <v>84</v>
      </c>
      <c r="S27" s="17"/>
      <c r="T27" s="24"/>
      <c r="U27" s="17"/>
      <c r="V27" s="32"/>
    </row>
    <row r="28" spans="1:30" x14ac:dyDescent="0.2">
      <c r="A28" s="8" t="s">
        <v>249</v>
      </c>
      <c r="B28" s="2"/>
      <c r="Q28" s="30"/>
      <c r="R28" s="28">
        <v>88</v>
      </c>
      <c r="S28" s="17"/>
      <c r="T28" s="24"/>
      <c r="U28" s="17"/>
      <c r="V28" s="32"/>
    </row>
    <row r="29" spans="1:30" x14ac:dyDescent="0.2">
      <c r="A29" s="3" t="s">
        <v>17</v>
      </c>
      <c r="B29" s="2">
        <f>400000*B3/83</f>
        <v>400000</v>
      </c>
    </row>
    <row r="30" spans="1:30" x14ac:dyDescent="0.2">
      <c r="A30" s="3" t="s">
        <v>316</v>
      </c>
      <c r="B30" s="2">
        <f>B26*0.05</f>
        <v>757575</v>
      </c>
      <c r="R30" s="26" t="s">
        <v>312</v>
      </c>
      <c r="S30" s="272" t="s">
        <v>6</v>
      </c>
      <c r="T30" s="272"/>
      <c r="U30" s="272"/>
      <c r="V30" s="287"/>
    </row>
    <row r="31" spans="1:30" ht="32" x14ac:dyDescent="0.2">
      <c r="A31" s="3" t="s">
        <v>21</v>
      </c>
      <c r="B31" s="2">
        <f>800*B3</f>
        <v>66400</v>
      </c>
      <c r="R31" s="27" t="s">
        <v>315</v>
      </c>
      <c r="S31" s="34">
        <v>130</v>
      </c>
      <c r="T31" s="35" t="s">
        <v>317</v>
      </c>
      <c r="U31" s="36">
        <v>140</v>
      </c>
      <c r="V31" s="36">
        <v>145</v>
      </c>
    </row>
    <row r="32" spans="1:30" x14ac:dyDescent="0.2">
      <c r="A32" s="3" t="s">
        <v>22</v>
      </c>
      <c r="B32" s="2">
        <v>5000</v>
      </c>
      <c r="R32" s="41" t="s">
        <v>318</v>
      </c>
      <c r="S32" s="42"/>
      <c r="T32" s="43"/>
      <c r="U32" s="44"/>
      <c r="V32" s="44"/>
    </row>
    <row r="33" spans="1:22" x14ac:dyDescent="0.2">
      <c r="A33" s="3" t="s">
        <v>23</v>
      </c>
      <c r="B33" s="2">
        <v>30000</v>
      </c>
      <c r="R33" s="45" t="s">
        <v>319</v>
      </c>
      <c r="S33" s="46"/>
      <c r="T33" s="47"/>
      <c r="U33" s="16"/>
      <c r="V33" s="16"/>
    </row>
    <row r="34" spans="1:22" x14ac:dyDescent="0.2">
      <c r="A34" s="3" t="s">
        <v>24</v>
      </c>
      <c r="B34" s="2">
        <f>600*B3</f>
        <v>49800</v>
      </c>
      <c r="G34" s="25"/>
      <c r="R34" s="48" t="s">
        <v>271</v>
      </c>
      <c r="S34" s="49"/>
      <c r="T34" s="47"/>
      <c r="U34" s="47"/>
      <c r="V34" s="47"/>
    </row>
    <row r="35" spans="1:22" x14ac:dyDescent="0.2">
      <c r="A35" s="3" t="s">
        <v>25</v>
      </c>
      <c r="B35" s="2">
        <v>100000</v>
      </c>
      <c r="R35" s="45" t="s">
        <v>308</v>
      </c>
      <c r="S35" s="46"/>
      <c r="T35" s="47"/>
      <c r="U35" s="16"/>
      <c r="V35" s="16"/>
    </row>
    <row r="36" spans="1:22" x14ac:dyDescent="0.2">
      <c r="A36" s="3" t="s">
        <v>320</v>
      </c>
      <c r="B36" s="2">
        <v>300000</v>
      </c>
      <c r="R36" s="37" t="s">
        <v>310</v>
      </c>
      <c r="S36" s="38"/>
      <c r="T36" s="39"/>
      <c r="U36" s="40"/>
      <c r="V36" s="40"/>
    </row>
    <row r="37" spans="1:22" x14ac:dyDescent="0.2">
      <c r="A37" s="3" t="s">
        <v>321</v>
      </c>
      <c r="B37" s="2">
        <v>50000</v>
      </c>
    </row>
    <row r="38" spans="1:22" x14ac:dyDescent="0.2">
      <c r="A38" s="3" t="s">
        <v>15</v>
      </c>
      <c r="B38" s="2">
        <v>50000</v>
      </c>
    </row>
    <row r="39" spans="1:22" x14ac:dyDescent="0.2">
      <c r="A39" s="9" t="s">
        <v>28</v>
      </c>
      <c r="B39" s="10">
        <f>SUM(B29:B38)</f>
        <v>1808775</v>
      </c>
    </row>
    <row r="40" spans="1:22" x14ac:dyDescent="0.2">
      <c r="B40" s="2"/>
    </row>
    <row r="41" spans="1:22" x14ac:dyDescent="0.2">
      <c r="A41" t="s">
        <v>39</v>
      </c>
      <c r="B41" s="2">
        <f>B18+B26+B39</f>
        <v>18444275</v>
      </c>
    </row>
    <row r="42" spans="1:22" x14ac:dyDescent="0.2">
      <c r="A42" t="s">
        <v>322</v>
      </c>
      <c r="B42" s="2">
        <f>B13-B41</f>
        <v>3965725</v>
      </c>
    </row>
    <row r="43" spans="1:22" x14ac:dyDescent="0.2">
      <c r="A43" s="9" t="s">
        <v>323</v>
      </c>
      <c r="B43" s="12">
        <f>B42/B41</f>
        <v>0.21501116200013284</v>
      </c>
      <c r="G43" t="s">
        <v>324</v>
      </c>
    </row>
    <row r="44" spans="1:22" x14ac:dyDescent="0.2">
      <c r="A44" s="3" t="s">
        <v>325</v>
      </c>
      <c r="B44" s="2">
        <f>B42*G44</f>
        <v>1586290</v>
      </c>
      <c r="G44" s="11">
        <v>0.4</v>
      </c>
    </row>
    <row r="45" spans="1:22" x14ac:dyDescent="0.2">
      <c r="A45" s="3" t="s">
        <v>326</v>
      </c>
      <c r="B45" s="2">
        <f>B42-B44</f>
        <v>2379435</v>
      </c>
      <c r="G45" s="11">
        <f>1-G44</f>
        <v>0.6</v>
      </c>
    </row>
    <row r="47" spans="1:22" x14ac:dyDescent="0.2">
      <c r="A47" t="s">
        <v>327</v>
      </c>
      <c r="B47" s="2">
        <f>B5*5%*B3*25%</f>
        <v>280125</v>
      </c>
    </row>
    <row r="48" spans="1:22" x14ac:dyDescent="0.2">
      <c r="A48" t="s">
        <v>328</v>
      </c>
      <c r="B48" s="2">
        <f>B18+B26+B39-B47</f>
        <v>18164150</v>
      </c>
    </row>
    <row r="49" spans="1:7" x14ac:dyDescent="0.2">
      <c r="A49" s="9" t="s">
        <v>312</v>
      </c>
      <c r="B49" s="12">
        <f>B45/B48</f>
        <v>0.13099622057734603</v>
      </c>
    </row>
    <row r="51" spans="1:7" x14ac:dyDescent="0.2">
      <c r="A51" s="1"/>
    </row>
    <row r="52" spans="1:7" x14ac:dyDescent="0.2">
      <c r="B52" s="2"/>
    </row>
    <row r="53" spans="1:7" x14ac:dyDescent="0.2">
      <c r="B53" s="2"/>
      <c r="G53" s="11"/>
    </row>
    <row r="54" spans="1:7" x14ac:dyDescent="0.2">
      <c r="B54" s="2"/>
      <c r="G54" s="11"/>
    </row>
    <row r="55" spans="1:7" x14ac:dyDescent="0.2">
      <c r="B55" s="2"/>
    </row>
    <row r="56" spans="1:7" x14ac:dyDescent="0.2">
      <c r="B56" s="16"/>
    </row>
    <row r="57" spans="1:7" x14ac:dyDescent="0.2">
      <c r="B57" s="16"/>
    </row>
    <row r="58" spans="1:7" x14ac:dyDescent="0.2">
      <c r="A58" s="1"/>
    </row>
    <row r="59" spans="1:7" x14ac:dyDescent="0.2">
      <c r="B59" s="2"/>
    </row>
    <row r="60" spans="1:7" x14ac:dyDescent="0.2">
      <c r="B60" s="2"/>
      <c r="G60" s="11"/>
    </row>
    <row r="61" spans="1:7" x14ac:dyDescent="0.2">
      <c r="B61" s="2"/>
      <c r="G61" s="11"/>
    </row>
    <row r="62" spans="1:7" x14ac:dyDescent="0.2">
      <c r="B62" s="2"/>
      <c r="G62" s="11"/>
    </row>
    <row r="63" spans="1:7" x14ac:dyDescent="0.2">
      <c r="B63" s="2"/>
    </row>
    <row r="64" spans="1:7" x14ac:dyDescent="0.2">
      <c r="B64" s="16"/>
    </row>
    <row r="68" spans="1:7" x14ac:dyDescent="0.2">
      <c r="A68" s="1"/>
    </row>
    <row r="69" spans="1:7" x14ac:dyDescent="0.2">
      <c r="B69" s="2"/>
    </row>
    <row r="70" spans="1:7" x14ac:dyDescent="0.2">
      <c r="B70" s="2"/>
      <c r="G70" s="11"/>
    </row>
    <row r="71" spans="1:7" x14ac:dyDescent="0.2">
      <c r="B71" s="2"/>
      <c r="G71" s="11"/>
    </row>
    <row r="72" spans="1:7" x14ac:dyDescent="0.2">
      <c r="B72" s="2"/>
      <c r="G72" s="11"/>
    </row>
    <row r="73" spans="1:7" x14ac:dyDescent="0.2">
      <c r="B73" s="2"/>
      <c r="G73" s="11"/>
    </row>
    <row r="74" spans="1:7" x14ac:dyDescent="0.2">
      <c r="B74" s="2"/>
    </row>
    <row r="75" spans="1:7" x14ac:dyDescent="0.2">
      <c r="B75" s="16"/>
    </row>
  </sheetData>
  <mergeCells count="2">
    <mergeCell ref="S22:V22"/>
    <mergeCell ref="S30:V30"/>
  </mergeCells>
  <dataValidations count="3">
    <dataValidation type="list" allowBlank="1" showInputMessage="1" sqref="B5" xr:uid="{109D667A-BA12-4EFD-A05C-309437E82BDC}">
      <formula1>$H$3:$H$6</formula1>
    </dataValidation>
    <dataValidation type="list" allowBlank="1" showInputMessage="1" showErrorMessage="1" sqref="B7" xr:uid="{B5A23967-D701-481A-A673-01E3EB670430}">
      <formula1>$H$9:$H$13</formula1>
    </dataValidation>
    <dataValidation type="list" allowBlank="1" showInputMessage="1" showErrorMessage="1" sqref="B9" xr:uid="{5F4D21FE-0753-4EAD-8F0C-DE6D3C5DC504}">
      <formula1>$H$16:$H$20</formula1>
    </dataValidation>
  </dataValidation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FC6B-C9B7-44C4-95F4-974658274829}">
  <dimension ref="A1:J84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0.83203125" bestFit="1" customWidth="1"/>
    <col min="2" max="2" width="19.33203125" style="2" bestFit="1" customWidth="1"/>
    <col min="3" max="3" width="19.33203125" customWidth="1"/>
    <col min="4" max="4" width="19.83203125" customWidth="1"/>
    <col min="5" max="5" width="18.33203125" customWidth="1"/>
    <col min="6" max="6" width="14.33203125" customWidth="1"/>
    <col min="7" max="7" width="26.33203125" bestFit="1" customWidth="1"/>
    <col min="8" max="8" width="20.83203125" customWidth="1"/>
    <col min="11" max="11" width="10.33203125" bestFit="1" customWidth="1"/>
    <col min="12" max="12" width="11.33203125" bestFit="1" customWidth="1"/>
  </cols>
  <sheetData>
    <row r="1" spans="1:8" x14ac:dyDescent="0.2">
      <c r="A1" s="1" t="s">
        <v>0</v>
      </c>
    </row>
    <row r="2" spans="1:8" ht="16" thickBot="1" x14ac:dyDescent="0.25">
      <c r="A2" s="3" t="s">
        <v>1</v>
      </c>
      <c r="B2" s="4" t="s">
        <v>266</v>
      </c>
      <c r="D2" s="1" t="s">
        <v>212</v>
      </c>
    </row>
    <row r="3" spans="1:8" x14ac:dyDescent="0.2">
      <c r="A3" s="3" t="s">
        <v>3</v>
      </c>
      <c r="B3" s="2">
        <v>0</v>
      </c>
      <c r="D3" s="58" t="s">
        <v>138</v>
      </c>
      <c r="E3" s="72" t="s">
        <v>329</v>
      </c>
    </row>
    <row r="4" spans="1:8" ht="16" thickBot="1" x14ac:dyDescent="0.25">
      <c r="A4" s="3" t="s">
        <v>218</v>
      </c>
      <c r="B4" s="2">
        <f>I42</f>
        <v>28800</v>
      </c>
      <c r="D4" s="59" t="s">
        <v>139</v>
      </c>
      <c r="E4" s="73" t="s">
        <v>329</v>
      </c>
    </row>
    <row r="5" spans="1:8" ht="16" thickBot="1" x14ac:dyDescent="0.25">
      <c r="A5" s="3" t="s">
        <v>330</v>
      </c>
      <c r="B5" s="2">
        <v>9600</v>
      </c>
    </row>
    <row r="6" spans="1:8" ht="16" thickBot="1" x14ac:dyDescent="0.25">
      <c r="A6" s="3" t="s">
        <v>331</v>
      </c>
      <c r="B6" s="65">
        <v>350</v>
      </c>
      <c r="D6" s="1" t="s">
        <v>332</v>
      </c>
    </row>
    <row r="7" spans="1:8" ht="16" thickBot="1" x14ac:dyDescent="0.25">
      <c r="A7" s="3" t="s">
        <v>333</v>
      </c>
      <c r="B7" s="2">
        <v>200</v>
      </c>
      <c r="D7" s="58">
        <v>2020</v>
      </c>
      <c r="E7" s="61">
        <f>C39</f>
        <v>218000</v>
      </c>
    </row>
    <row r="8" spans="1:8" ht="16" thickBot="1" x14ac:dyDescent="0.25">
      <c r="A8" s="3" t="s">
        <v>5</v>
      </c>
      <c r="B8" s="65">
        <v>80</v>
      </c>
      <c r="D8" s="62">
        <v>2021</v>
      </c>
      <c r="E8" s="63">
        <f>D39</f>
        <v>208106</v>
      </c>
    </row>
    <row r="9" spans="1:8" ht="16" thickBot="1" x14ac:dyDescent="0.25">
      <c r="A9" s="3" t="s">
        <v>224</v>
      </c>
      <c r="B9" s="4" t="s">
        <v>225</v>
      </c>
      <c r="D9" s="59">
        <v>2022</v>
      </c>
      <c r="E9" s="64">
        <f>E39</f>
        <v>3166642.8800000004</v>
      </c>
    </row>
    <row r="10" spans="1:8" ht="16" thickBot="1" x14ac:dyDescent="0.25">
      <c r="A10" s="3" t="s">
        <v>229</v>
      </c>
      <c r="B10" s="4" t="s">
        <v>334</v>
      </c>
    </row>
    <row r="11" spans="1:8" ht="16" thickBot="1" x14ac:dyDescent="0.25">
      <c r="A11" s="3" t="s">
        <v>233</v>
      </c>
      <c r="B11" s="71">
        <v>1</v>
      </c>
    </row>
    <row r="12" spans="1:8" x14ac:dyDescent="0.2">
      <c r="A12" s="3"/>
    </row>
    <row r="13" spans="1:8" x14ac:dyDescent="0.2">
      <c r="A13" s="8" t="s">
        <v>237</v>
      </c>
      <c r="B13" s="54" t="s">
        <v>335</v>
      </c>
      <c r="C13" s="54" t="s">
        <v>336</v>
      </c>
      <c r="D13" s="54" t="s">
        <v>337</v>
      </c>
      <c r="E13" s="60"/>
      <c r="G13" s="1" t="s">
        <v>7</v>
      </c>
    </row>
    <row r="14" spans="1:8" x14ac:dyDescent="0.2">
      <c r="A14" s="3" t="s">
        <v>238</v>
      </c>
      <c r="B14" s="2">
        <v>0</v>
      </c>
      <c r="C14" s="2">
        <f>B14*1.03</f>
        <v>0</v>
      </c>
      <c r="D14" s="2">
        <f>C14*1.03</f>
        <v>0</v>
      </c>
      <c r="G14" s="14" t="s">
        <v>8</v>
      </c>
      <c r="H14" s="52">
        <f>1400000*B3/83</f>
        <v>0</v>
      </c>
    </row>
    <row r="15" spans="1:8" x14ac:dyDescent="0.2">
      <c r="A15" s="3" t="s">
        <v>239</v>
      </c>
      <c r="B15" s="2">
        <f>$B14*40%</f>
        <v>0</v>
      </c>
      <c r="C15" s="2">
        <f>$B14*30%</f>
        <v>0</v>
      </c>
      <c r="D15" s="2">
        <f>$B14*20%</f>
        <v>0</v>
      </c>
      <c r="G15" s="14" t="s">
        <v>9</v>
      </c>
      <c r="H15" s="52">
        <f>H14*0.06</f>
        <v>0</v>
      </c>
    </row>
    <row r="16" spans="1:8" x14ac:dyDescent="0.2">
      <c r="A16" s="3" t="s">
        <v>338</v>
      </c>
      <c r="B16" s="2">
        <f>$B6*(83-$B3)*12</f>
        <v>348600</v>
      </c>
      <c r="C16" s="2">
        <f t="shared" ref="C16:D16" si="0">$B6*(83-$B3)*12</f>
        <v>348600</v>
      </c>
      <c r="D16" s="2">
        <f t="shared" si="0"/>
        <v>348600</v>
      </c>
      <c r="G16" s="53" t="s">
        <v>10</v>
      </c>
      <c r="H16" s="55">
        <f>H14+H15</f>
        <v>0</v>
      </c>
    </row>
    <row r="17" spans="1:8" x14ac:dyDescent="0.2">
      <c r="A17" s="3" t="s">
        <v>339</v>
      </c>
      <c r="B17" s="2">
        <f>$B7*12*(83-$B3)</f>
        <v>199200</v>
      </c>
      <c r="C17" s="2">
        <f t="shared" ref="C17:D17" si="1">$B7*12*(83-$B3)</f>
        <v>199200</v>
      </c>
      <c r="D17" s="2">
        <f t="shared" si="1"/>
        <v>199200</v>
      </c>
      <c r="H17" s="2"/>
    </row>
    <row r="18" spans="1:8" x14ac:dyDescent="0.2">
      <c r="A18" s="9" t="s">
        <v>240</v>
      </c>
      <c r="B18" s="10">
        <f>B14-B15+B16+B17</f>
        <v>547800</v>
      </c>
      <c r="C18" s="10">
        <f t="shared" ref="C18:D18" si="2">C14-C15+C16+C17</f>
        <v>547800</v>
      </c>
      <c r="D18" s="10">
        <f t="shared" si="2"/>
        <v>547800</v>
      </c>
      <c r="E18" s="10"/>
      <c r="G18" s="1" t="s">
        <v>11</v>
      </c>
      <c r="H18" s="2"/>
    </row>
    <row r="19" spans="1:8" x14ac:dyDescent="0.2">
      <c r="C19" s="2"/>
      <c r="D19" s="2"/>
      <c r="G19" s="14" t="s">
        <v>242</v>
      </c>
      <c r="H19" s="52">
        <f>B4*B80</f>
        <v>0</v>
      </c>
    </row>
    <row r="20" spans="1:8" x14ac:dyDescent="0.2">
      <c r="A20" s="8" t="s">
        <v>241</v>
      </c>
      <c r="C20" s="2"/>
      <c r="D20" s="2"/>
      <c r="G20" s="14" t="s">
        <v>340</v>
      </c>
      <c r="H20" s="52">
        <f>9600*100*B3/83</f>
        <v>0</v>
      </c>
    </row>
    <row r="21" spans="1:8" x14ac:dyDescent="0.2">
      <c r="A21" s="3" t="s">
        <v>172</v>
      </c>
      <c r="B21" s="2">
        <v>5000</v>
      </c>
      <c r="C21" s="2">
        <f>B21*1.03</f>
        <v>5150</v>
      </c>
      <c r="D21" s="2">
        <f>C21*1.03</f>
        <v>5304.5</v>
      </c>
      <c r="E21" s="2"/>
      <c r="G21" s="14" t="s">
        <v>14</v>
      </c>
      <c r="H21" s="52">
        <v>50000</v>
      </c>
    </row>
    <row r="22" spans="1:8" x14ac:dyDescent="0.2">
      <c r="A22" s="3" t="s">
        <v>243</v>
      </c>
      <c r="B22" s="2">
        <f>500*83</f>
        <v>41500</v>
      </c>
      <c r="C22" s="2">
        <f t="shared" ref="C22:D29" si="3">B22*1.03</f>
        <v>42745</v>
      </c>
      <c r="D22" s="2">
        <f t="shared" si="3"/>
        <v>44027.35</v>
      </c>
      <c r="E22" s="2"/>
      <c r="G22" s="14" t="s">
        <v>341</v>
      </c>
      <c r="H22" s="52">
        <f>3000*18</f>
        <v>54000</v>
      </c>
    </row>
    <row r="23" spans="1:8" x14ac:dyDescent="0.2">
      <c r="A23" s="3" t="s">
        <v>244</v>
      </c>
      <c r="B23" s="2">
        <f>100*83</f>
        <v>8300</v>
      </c>
      <c r="C23" s="2">
        <f t="shared" si="3"/>
        <v>8549</v>
      </c>
      <c r="D23" s="2">
        <f t="shared" si="3"/>
        <v>8805.4699999999993</v>
      </c>
      <c r="E23" s="2"/>
      <c r="G23" s="14" t="s">
        <v>342</v>
      </c>
      <c r="H23" s="52">
        <v>20000</v>
      </c>
    </row>
    <row r="24" spans="1:8" x14ac:dyDescent="0.2">
      <c r="A24" s="3" t="s">
        <v>170</v>
      </c>
      <c r="B24" s="2">
        <f>$B3*100</f>
        <v>0</v>
      </c>
      <c r="C24" s="2">
        <f t="shared" si="3"/>
        <v>0</v>
      </c>
      <c r="D24" s="2">
        <f t="shared" si="3"/>
        <v>0</v>
      </c>
      <c r="E24" s="2"/>
      <c r="G24" s="53" t="s">
        <v>16</v>
      </c>
      <c r="H24" s="55">
        <f>SUM(H19:H23)</f>
        <v>124000</v>
      </c>
    </row>
    <row r="25" spans="1:8" x14ac:dyDescent="0.2">
      <c r="A25" s="3" t="s">
        <v>343</v>
      </c>
      <c r="B25" s="2">
        <v>100000</v>
      </c>
      <c r="C25" s="2">
        <f t="shared" si="3"/>
        <v>103000</v>
      </c>
      <c r="D25" s="2">
        <f t="shared" si="3"/>
        <v>106090</v>
      </c>
      <c r="E25" s="2"/>
    </row>
    <row r="26" spans="1:8" x14ac:dyDescent="0.2">
      <c r="A26" s="3" t="s">
        <v>247</v>
      </c>
      <c r="B26" s="2">
        <v>70000</v>
      </c>
      <c r="C26" s="2">
        <f t="shared" si="3"/>
        <v>72100</v>
      </c>
      <c r="D26" s="2">
        <f t="shared" si="3"/>
        <v>74263</v>
      </c>
      <c r="E26" s="2"/>
      <c r="G26" s="8" t="s">
        <v>249</v>
      </c>
    </row>
    <row r="27" spans="1:8" x14ac:dyDescent="0.2">
      <c r="A27" s="3" t="s">
        <v>248</v>
      </c>
      <c r="B27" s="2">
        <v>50000</v>
      </c>
      <c r="C27" s="2">
        <f t="shared" si="3"/>
        <v>51500</v>
      </c>
      <c r="D27" s="2">
        <f t="shared" si="3"/>
        <v>53045</v>
      </c>
      <c r="E27" s="2"/>
      <c r="G27" s="14" t="s">
        <v>17</v>
      </c>
      <c r="H27" s="52">
        <f>3.5*B4</f>
        <v>100800</v>
      </c>
    </row>
    <row r="28" spans="1:8" x14ac:dyDescent="0.2">
      <c r="A28" s="3" t="s">
        <v>344</v>
      </c>
      <c r="B28" s="2">
        <v>25000</v>
      </c>
      <c r="C28" s="2">
        <f t="shared" si="3"/>
        <v>25750</v>
      </c>
      <c r="D28" s="2">
        <f t="shared" si="3"/>
        <v>26522.5</v>
      </c>
      <c r="E28" s="2"/>
      <c r="G28" s="14" t="s">
        <v>316</v>
      </c>
      <c r="H28" s="52">
        <f>H24*0.05</f>
        <v>6200</v>
      </c>
    </row>
    <row r="29" spans="1:8" x14ac:dyDescent="0.2">
      <c r="A29" s="3" t="s">
        <v>345</v>
      </c>
      <c r="B29" s="2">
        <v>30000</v>
      </c>
      <c r="C29" s="2">
        <f t="shared" si="3"/>
        <v>30900</v>
      </c>
      <c r="D29" s="2">
        <f t="shared" si="3"/>
        <v>31827</v>
      </c>
      <c r="E29" s="2"/>
      <c r="G29" s="14" t="s">
        <v>21</v>
      </c>
      <c r="H29" s="52">
        <f>800*B3</f>
        <v>0</v>
      </c>
    </row>
    <row r="30" spans="1:8" x14ac:dyDescent="0.2">
      <c r="A30" s="9" t="s">
        <v>251</v>
      </c>
      <c r="B30" s="10">
        <f>SUM(B21:B29)</f>
        <v>329800</v>
      </c>
      <c r="C30" s="10">
        <f>SUM(C21:C29)</f>
        <v>339694</v>
      </c>
      <c r="D30" s="10">
        <f>SUM(D21:D29)</f>
        <v>349884.82</v>
      </c>
      <c r="E30" s="10"/>
      <c r="F30" s="2"/>
      <c r="G30" s="14" t="s">
        <v>22</v>
      </c>
      <c r="H30" s="52">
        <v>5000</v>
      </c>
    </row>
    <row r="31" spans="1:8" x14ac:dyDescent="0.2">
      <c r="C31" s="2"/>
      <c r="D31" s="2"/>
      <c r="G31" s="14" t="s">
        <v>23</v>
      </c>
      <c r="H31" s="52">
        <v>30000</v>
      </c>
    </row>
    <row r="32" spans="1:8" x14ac:dyDescent="0.2">
      <c r="A32" s="3" t="s">
        <v>252</v>
      </c>
      <c r="B32" s="2">
        <f>B18-B30</f>
        <v>218000</v>
      </c>
      <c r="C32" s="2">
        <f>C18-C30</f>
        <v>208106</v>
      </c>
      <c r="D32" s="2">
        <f>D18-D30</f>
        <v>197915.18</v>
      </c>
      <c r="G32" s="14" t="s">
        <v>320</v>
      </c>
      <c r="H32" s="52">
        <v>300000</v>
      </c>
    </row>
    <row r="33" spans="1:10" x14ac:dyDescent="0.2">
      <c r="B33"/>
      <c r="G33" s="14" t="s">
        <v>321</v>
      </c>
      <c r="H33" s="52">
        <v>50000</v>
      </c>
    </row>
    <row r="34" spans="1:10" x14ac:dyDescent="0.2">
      <c r="A34" s="5"/>
      <c r="B34" s="5">
        <v>2019</v>
      </c>
      <c r="C34" s="5">
        <v>2020</v>
      </c>
      <c r="D34" s="5">
        <v>2021</v>
      </c>
      <c r="E34" s="5">
        <v>2022</v>
      </c>
      <c r="G34" s="14" t="s">
        <v>15</v>
      </c>
      <c r="H34" s="52">
        <v>50000</v>
      </c>
    </row>
    <row r="35" spans="1:10" x14ac:dyDescent="0.2">
      <c r="A35" s="14"/>
      <c r="B35" s="52">
        <v>0</v>
      </c>
      <c r="C35" s="52">
        <f>B32</f>
        <v>218000</v>
      </c>
      <c r="D35" s="52">
        <f>C32</f>
        <v>208106</v>
      </c>
      <c r="E35" s="52">
        <f>D32</f>
        <v>197915.18</v>
      </c>
      <c r="G35" s="53" t="s">
        <v>28</v>
      </c>
      <c r="H35" s="55">
        <f>SUM(H27:H34)</f>
        <v>542000</v>
      </c>
    </row>
    <row r="36" spans="1:10" x14ac:dyDescent="0.2">
      <c r="A36" s="14" t="s">
        <v>257</v>
      </c>
      <c r="B36" s="5"/>
      <c r="C36" s="52"/>
      <c r="D36" s="52"/>
      <c r="E36" s="69">
        <f>E35/0.06*0.9</f>
        <v>2968727.7</v>
      </c>
    </row>
    <row r="37" spans="1:10" x14ac:dyDescent="0.2">
      <c r="A37" s="14" t="s">
        <v>258</v>
      </c>
      <c r="B37" s="52">
        <f>SUM(B35:B36)</f>
        <v>0</v>
      </c>
      <c r="C37" s="52">
        <f t="shared" ref="C37:E37" si="4">SUM(C35:C36)</f>
        <v>218000</v>
      </c>
      <c r="D37" s="52">
        <f t="shared" si="4"/>
        <v>208106</v>
      </c>
      <c r="E37" s="52">
        <f t="shared" si="4"/>
        <v>3166642.8800000004</v>
      </c>
      <c r="G37" s="53" t="s">
        <v>29</v>
      </c>
      <c r="H37" s="55">
        <f>H16+H24+H35</f>
        <v>666000</v>
      </c>
    </row>
    <row r="38" spans="1:10" x14ac:dyDescent="0.2">
      <c r="A38" s="53" t="s">
        <v>346</v>
      </c>
      <c r="B38" s="55">
        <f>B37</f>
        <v>0</v>
      </c>
      <c r="C38" s="55">
        <f>C37-C39</f>
        <v>0</v>
      </c>
      <c r="D38" s="55">
        <f t="shared" ref="D38:E38" si="5">D37-D39</f>
        <v>0</v>
      </c>
      <c r="E38" s="55">
        <f t="shared" si="5"/>
        <v>0</v>
      </c>
    </row>
    <row r="39" spans="1:10" x14ac:dyDescent="0.2">
      <c r="A39" s="14" t="s">
        <v>347</v>
      </c>
      <c r="B39" s="5">
        <v>0</v>
      </c>
      <c r="C39" s="52">
        <f>C37*$B$11</f>
        <v>218000</v>
      </c>
      <c r="D39" s="52">
        <f t="shared" ref="D39:E39" si="6">D37*$B$11</f>
        <v>208106</v>
      </c>
      <c r="E39" s="52">
        <f t="shared" si="6"/>
        <v>3166642.8800000004</v>
      </c>
      <c r="G39" s="5"/>
      <c r="H39" s="5" t="s">
        <v>348</v>
      </c>
      <c r="I39" s="5" t="s">
        <v>349</v>
      </c>
      <c r="J39" s="5" t="s">
        <v>350</v>
      </c>
    </row>
    <row r="40" spans="1:10" x14ac:dyDescent="0.2">
      <c r="A40" s="57" t="s">
        <v>262</v>
      </c>
      <c r="B40" s="70" t="e">
        <f>IRR(B38:E38)</f>
        <v>#NUM!</v>
      </c>
      <c r="G40" s="14" t="s">
        <v>351</v>
      </c>
      <c r="H40" s="5">
        <v>16</v>
      </c>
      <c r="I40" s="52">
        <v>1100</v>
      </c>
      <c r="J40" s="52">
        <v>1600</v>
      </c>
    </row>
    <row r="41" spans="1:10" x14ac:dyDescent="0.2">
      <c r="A41" s="14" t="s">
        <v>352</v>
      </c>
      <c r="B41" s="56" t="e">
        <f>-(C38+D38+E38)/B38</f>
        <v>#DIV/0!</v>
      </c>
      <c r="G41" s="14" t="s">
        <v>353</v>
      </c>
      <c r="H41" s="5">
        <v>8</v>
      </c>
      <c r="I41" s="52">
        <v>1400</v>
      </c>
      <c r="J41" s="52">
        <v>2000</v>
      </c>
    </row>
    <row r="42" spans="1:10" x14ac:dyDescent="0.2">
      <c r="G42" s="53" t="s">
        <v>134</v>
      </c>
      <c r="H42" s="18">
        <f>H40+H41</f>
        <v>24</v>
      </c>
      <c r="I42" s="55">
        <f>SUMPRODUCT(H40:H41,I40:I41)</f>
        <v>28800</v>
      </c>
      <c r="J42" s="55">
        <f>SUMPRODUCT(H40:H41,J40:J41)*12</f>
        <v>499200</v>
      </c>
    </row>
    <row r="43" spans="1:10" x14ac:dyDescent="0.2">
      <c r="B43"/>
    </row>
    <row r="44" spans="1:10" x14ac:dyDescent="0.2">
      <c r="B44"/>
    </row>
    <row r="45" spans="1:10" x14ac:dyDescent="0.2">
      <c r="C45" s="2"/>
      <c r="D45" s="2"/>
    </row>
    <row r="46" spans="1:10" x14ac:dyDescent="0.2">
      <c r="C46" s="2"/>
    </row>
    <row r="47" spans="1:10" x14ac:dyDescent="0.2">
      <c r="C47" s="2"/>
    </row>
    <row r="48" spans="1:10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</sheetData>
  <dataValidations count="3">
    <dataValidation type="list" allowBlank="1" sqref="B11" xr:uid="{B97E1EC2-C571-4A82-AC6A-2EDD0A70513B}">
      <formula1>"0.1,0.15,0.2,0.25,0.3,0.35,0.4"</formula1>
    </dataValidation>
    <dataValidation type="list" allowBlank="1" showInputMessage="1" showErrorMessage="1" sqref="B8" xr:uid="{8C4C7916-CB65-4783-8F37-D2AD6F0A1582}">
      <formula1>"72,74,76,78,80"</formula1>
    </dataValidation>
    <dataValidation type="list" allowBlank="1" showInputMessage="1" showErrorMessage="1" sqref="B6" xr:uid="{6151FC47-0E52-47D8-83EF-D4F237FA2089}">
      <formula1>"200,250,300,350"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break even</vt:lpstr>
      <vt:lpstr>40 Units TH-breakeven</vt:lpstr>
      <vt:lpstr>20 Units - break even</vt:lpstr>
      <vt:lpstr>21 Units Single Family</vt:lpstr>
      <vt:lpstr>60 market rent</vt:lpstr>
      <vt:lpstr>Sale at CO Summary</vt:lpstr>
      <vt:lpstr>Sales Price Analysis</vt:lpstr>
      <vt:lpstr>5 Year Hold Scenario Summary</vt:lpstr>
      <vt:lpstr>Project Spending Schedule</vt:lpstr>
      <vt:lpstr>Vertical Cost Breakdown</vt:lpstr>
      <vt:lpstr>Townhome for sale -150 lever</vt:lpstr>
      <vt:lpstr>lot price</vt:lpstr>
      <vt:lpstr>Single family - 50 units</vt:lpstr>
      <vt:lpstr>Just Land</vt:lpstr>
      <vt:lpstr>10 Units Single Family</vt:lpstr>
      <vt:lpstr>25 Units Single Family</vt:lpstr>
      <vt:lpstr>62 units Rental - 4 years</vt:lpstr>
      <vt:lpstr>83Units For Sale</vt:lpstr>
      <vt:lpstr>0 Rental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2024-02-02T18:06:13Z</dcterms:modified>
  <cp:category/>
  <cp:contentStatus/>
</cp:coreProperties>
</file>