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firstSheet="1" activeTab="3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Mensal!$A$2:$AG$49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4" l="1"/>
  <c r="Y10" i="4" l="1"/>
  <c r="Y5" i="4" l="1"/>
  <c r="Y4" i="4" l="1"/>
  <c r="Y3" i="4" l="1"/>
  <c r="Y2" i="4"/>
  <c r="Y7" i="4" l="1"/>
  <c r="Y6" i="4" l="1"/>
  <c r="O5" i="4" l="1"/>
  <c r="E8" i="13" l="1"/>
  <c r="E7" i="13"/>
  <c r="E6" i="13"/>
  <c r="E5" i="13"/>
  <c r="E4" i="13"/>
  <c r="Y8" i="4" l="1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6" i="7"/>
  <c r="D22" i="7"/>
  <c r="D25" i="7"/>
  <c r="E29" i="7"/>
  <c r="E10" i="7"/>
  <c r="B10" i="7" s="1"/>
  <c r="D11" i="7"/>
  <c r="B13" i="7"/>
  <c r="E14" i="7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B14" i="7"/>
  <c r="E15" i="7"/>
  <c r="B18" i="7"/>
  <c r="E19" i="7"/>
  <c r="B22" i="7"/>
  <c r="E23" i="7"/>
  <c r="B26" i="7"/>
  <c r="E27" i="7"/>
  <c r="B30" i="7"/>
  <c r="E31" i="7"/>
  <c r="B15" i="7"/>
  <c r="B19" i="7"/>
  <c r="B23" i="7"/>
  <c r="B27" i="7"/>
  <c r="B31" i="7"/>
  <c r="AG2" i="5"/>
  <c r="L1" i="8"/>
  <c r="A5" i="5" l="1"/>
  <c r="P7" i="5" s="1"/>
  <c r="B2" i="12"/>
  <c r="G4" i="7"/>
  <c r="G5" i="7" s="1"/>
  <c r="B9" i="5" l="1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15" i="5" l="1"/>
  <c r="A10" i="5"/>
  <c r="AD6" i="5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A20" i="5"/>
  <c r="B19" i="5"/>
  <c r="AB16" i="5"/>
  <c r="E15" i="5"/>
  <c r="L17" i="5"/>
  <c r="F15" i="5"/>
  <c r="B17" i="5"/>
  <c r="O18" i="5"/>
  <c r="P16" i="5"/>
  <c r="B15" i="5"/>
  <c r="AA16" i="5"/>
  <c r="G17" i="5"/>
  <c r="R15" i="5"/>
  <c r="P17" i="5"/>
  <c r="AA15" i="5"/>
  <c r="I17" i="5"/>
  <c r="AA18" i="5"/>
  <c r="AF16" i="5"/>
  <c r="G15" i="5"/>
  <c r="O17" i="5"/>
  <c r="AC16" i="5"/>
  <c r="AB17" i="5"/>
  <c r="F16" i="5"/>
  <c r="AC17" i="5"/>
  <c r="D15" i="5"/>
  <c r="K17" i="5"/>
  <c r="B16" i="5"/>
  <c r="D17" i="5"/>
  <c r="K18" i="5"/>
  <c r="H17" i="5"/>
  <c r="AF17" i="5"/>
  <c r="B18" i="5"/>
  <c r="Q15" i="5"/>
  <c r="AA17" i="5"/>
  <c r="O16" i="5"/>
  <c r="J17" i="5"/>
  <c r="B14" i="5"/>
  <c r="O12" i="5"/>
  <c r="R10" i="5"/>
  <c r="P12" i="5"/>
  <c r="AA10" i="5"/>
  <c r="I12" i="5"/>
  <c r="AA13" i="5"/>
  <c r="K12" i="5"/>
  <c r="O11" i="5"/>
  <c r="D10" i="5"/>
  <c r="AA12" i="5"/>
  <c r="AC11" i="5"/>
  <c r="AB12" i="5"/>
  <c r="F11" i="5"/>
  <c r="AC12" i="5"/>
  <c r="Q10" i="5"/>
  <c r="B10" i="5"/>
  <c r="AA11" i="5"/>
  <c r="AB11" i="5"/>
  <c r="AB13" i="5" s="1"/>
  <c r="K13" i="5"/>
  <c r="H12" i="5"/>
  <c r="AF12" i="5"/>
  <c r="B13" i="5"/>
  <c r="P11" i="5"/>
  <c r="G10" i="5"/>
  <c r="D12" i="5"/>
  <c r="G12" i="5"/>
  <c r="E10" i="5"/>
  <c r="L12" i="5"/>
  <c r="F10" i="5"/>
  <c r="B12" i="5"/>
  <c r="O13" i="5"/>
  <c r="AF11" i="5"/>
  <c r="B11" i="5"/>
  <c r="J12" i="5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AD17" i="5" l="1"/>
  <c r="AE17" i="5" s="1"/>
  <c r="AD11" i="5"/>
  <c r="AE11" i="5" s="1"/>
  <c r="AD12" i="5"/>
  <c r="AE12" i="5" s="1"/>
  <c r="AC18" i="5"/>
  <c r="T12" i="5"/>
  <c r="R12" i="5"/>
  <c r="U12" i="5"/>
  <c r="AC13" i="5"/>
  <c r="AD13" i="5" s="1"/>
  <c r="AE13" i="5" s="1"/>
  <c r="A25" i="5"/>
  <c r="V17" i="5"/>
  <c r="V18" i="5" s="1"/>
  <c r="S17" i="5"/>
  <c r="S18" i="5" s="1"/>
  <c r="M17" i="5"/>
  <c r="N17" i="5" s="1"/>
  <c r="W17" i="5"/>
  <c r="W18" i="5" s="1"/>
  <c r="S12" i="5"/>
  <c r="S13" i="5" s="1"/>
  <c r="V12" i="5"/>
  <c r="V13" i="5" s="1"/>
  <c r="W12" i="5"/>
  <c r="W13" i="5" s="1"/>
  <c r="M12" i="5"/>
  <c r="N12" i="5" s="1"/>
  <c r="R17" i="5"/>
  <c r="U17" i="5"/>
  <c r="T17" i="5"/>
  <c r="AB18" i="5"/>
  <c r="B24" i="5"/>
  <c r="G22" i="5"/>
  <c r="E20" i="5"/>
  <c r="L22" i="5"/>
  <c r="F20" i="5"/>
  <c r="I22" i="5"/>
  <c r="AA23" i="5"/>
  <c r="B20" i="5"/>
  <c r="AA21" i="5"/>
  <c r="D20" i="5"/>
  <c r="O22" i="5"/>
  <c r="R20" i="5"/>
  <c r="P22" i="5"/>
  <c r="AA20" i="5"/>
  <c r="AC22" i="5"/>
  <c r="Q20" i="5"/>
  <c r="G20" i="5"/>
  <c r="D22" i="5"/>
  <c r="P21" i="5"/>
  <c r="AA22" i="5"/>
  <c r="AC21" i="5"/>
  <c r="AB22" i="5"/>
  <c r="F21" i="5"/>
  <c r="B23" i="5"/>
  <c r="AF21" i="5"/>
  <c r="B21" i="5"/>
  <c r="J22" i="5"/>
  <c r="AB21" i="5"/>
  <c r="K23" i="5"/>
  <c r="H22" i="5"/>
  <c r="AF22" i="5"/>
  <c r="B22" i="5"/>
  <c r="O23" i="5"/>
  <c r="K22" i="5"/>
  <c r="O21" i="5"/>
  <c r="G11" i="5"/>
  <c r="V11" i="5"/>
  <c r="W11" i="5"/>
  <c r="R11" i="5"/>
  <c r="S11" i="5"/>
  <c r="U11" i="5"/>
  <c r="T11" i="5"/>
  <c r="Y11" i="5"/>
  <c r="AG11" i="5" s="1"/>
  <c r="Y12" i="5"/>
  <c r="Y13" i="5" s="1"/>
  <c r="AD16" i="5"/>
  <c r="AE16" i="5" s="1"/>
  <c r="Y16" i="5"/>
  <c r="AG16" i="5" s="1"/>
  <c r="Y17" i="5"/>
  <c r="Y18" i="5" s="1"/>
  <c r="R16" i="5"/>
  <c r="S16" i="5"/>
  <c r="U16" i="5"/>
  <c r="T16" i="5"/>
  <c r="G16" i="5"/>
  <c r="V16" i="5"/>
  <c r="W16" i="5"/>
  <c r="J6" i="5"/>
  <c r="K6" i="5" s="1"/>
  <c r="M6" i="5" s="1"/>
  <c r="N6" i="5" s="1"/>
  <c r="Q7" i="5"/>
  <c r="Q6" i="5"/>
  <c r="Z6" i="5"/>
  <c r="Z7" i="5"/>
  <c r="B6" i="12"/>
  <c r="A8" i="7"/>
  <c r="G9" i="7"/>
  <c r="AD18" i="5" l="1"/>
  <c r="AE18" i="5" s="1"/>
  <c r="AD22" i="5"/>
  <c r="AE22" i="5" s="1"/>
  <c r="AC23" i="5"/>
  <c r="AD21" i="5"/>
  <c r="AE21" i="5" s="1"/>
  <c r="X11" i="5"/>
  <c r="L13" i="5"/>
  <c r="I11" i="5"/>
  <c r="J11" i="5" s="1"/>
  <c r="K11" i="5" s="1"/>
  <c r="M11" i="5" s="1"/>
  <c r="N11" i="5" s="1"/>
  <c r="L14" i="5"/>
  <c r="K14" i="5" s="1"/>
  <c r="L11" i="5"/>
  <c r="H11" i="5"/>
  <c r="R18" i="5"/>
  <c r="T13" i="5"/>
  <c r="X12" i="5"/>
  <c r="X13" i="5" s="1"/>
  <c r="A30" i="5"/>
  <c r="AB23" i="5"/>
  <c r="AD23" i="5" s="1"/>
  <c r="AE23" i="5" s="1"/>
  <c r="Y22" i="5"/>
  <c r="Y23" i="5" s="1"/>
  <c r="Y21" i="5"/>
  <c r="AG21" i="5" s="1"/>
  <c r="S22" i="5"/>
  <c r="S23" i="5" s="1"/>
  <c r="V22" i="5"/>
  <c r="V23" i="5" s="1"/>
  <c r="W22" i="5"/>
  <c r="W23" i="5" s="1"/>
  <c r="M22" i="5"/>
  <c r="N22" i="5" s="1"/>
  <c r="X16" i="5"/>
  <c r="I16" i="5"/>
  <c r="J16" i="5" s="1"/>
  <c r="K16" i="5" s="1"/>
  <c r="M16" i="5" s="1"/>
  <c r="N16" i="5" s="1"/>
  <c r="L19" i="5"/>
  <c r="K19" i="5" s="1"/>
  <c r="L16" i="5"/>
  <c r="H16" i="5"/>
  <c r="L18" i="5"/>
  <c r="X17" i="5"/>
  <c r="U22" i="5"/>
  <c r="T22" i="5"/>
  <c r="R22" i="5"/>
  <c r="W21" i="5"/>
  <c r="S21" i="5"/>
  <c r="R21" i="5"/>
  <c r="G21" i="5"/>
  <c r="X21" i="5" s="1"/>
  <c r="U21" i="5"/>
  <c r="T21" i="5"/>
  <c r="V21" i="5"/>
  <c r="T18" i="5"/>
  <c r="U13" i="5"/>
  <c r="U18" i="5"/>
  <c r="B29" i="5"/>
  <c r="D25" i="5"/>
  <c r="AF26" i="5"/>
  <c r="AA27" i="5"/>
  <c r="AC26" i="5"/>
  <c r="AB27" i="5"/>
  <c r="F26" i="5"/>
  <c r="AC27" i="5"/>
  <c r="B25" i="5"/>
  <c r="AA26" i="5"/>
  <c r="Q25" i="5"/>
  <c r="G27" i="5"/>
  <c r="K28" i="5"/>
  <c r="H27" i="5"/>
  <c r="AF27" i="5"/>
  <c r="B28" i="5"/>
  <c r="G25" i="5"/>
  <c r="P26" i="5"/>
  <c r="K27" i="5"/>
  <c r="E25" i="5"/>
  <c r="L27" i="5"/>
  <c r="F25" i="5"/>
  <c r="B27" i="5"/>
  <c r="O28" i="5"/>
  <c r="B26" i="5"/>
  <c r="D27" i="5"/>
  <c r="AB26" i="5"/>
  <c r="O27" i="5"/>
  <c r="R25" i="5"/>
  <c r="P27" i="5"/>
  <c r="AA25" i="5"/>
  <c r="I27" i="5"/>
  <c r="AA28" i="5"/>
  <c r="O26" i="5"/>
  <c r="J27" i="5"/>
  <c r="R13" i="5"/>
  <c r="Z8" i="5"/>
  <c r="Q8" i="5"/>
  <c r="G10" i="7"/>
  <c r="A9" i="7"/>
  <c r="B7" i="12"/>
  <c r="X18" i="5" l="1"/>
  <c r="U23" i="5"/>
  <c r="AB28" i="5"/>
  <c r="AD26" i="5"/>
  <c r="AE26" i="5" s="1"/>
  <c r="AD27" i="5"/>
  <c r="AE27" i="5" s="1"/>
  <c r="AC28" i="5"/>
  <c r="X22" i="5"/>
  <c r="X23" i="5" s="1"/>
  <c r="L24" i="5"/>
  <c r="K24" i="5" s="1"/>
  <c r="H21" i="5"/>
  <c r="L21" i="5"/>
  <c r="L23" i="5"/>
  <c r="I21" i="5"/>
  <c r="J21" i="5" s="1"/>
  <c r="K21" i="5" s="1"/>
  <c r="M21" i="5" s="1"/>
  <c r="N21" i="5" s="1"/>
  <c r="R23" i="5"/>
  <c r="Q17" i="5"/>
  <c r="Q16" i="5"/>
  <c r="Z16" i="5"/>
  <c r="Z17" i="5"/>
  <c r="Y26" i="5"/>
  <c r="AG26" i="5" s="1"/>
  <c r="Y27" i="5"/>
  <c r="Y28" i="5" s="1"/>
  <c r="T23" i="5"/>
  <c r="B34" i="5"/>
  <c r="Q30" i="5"/>
  <c r="D30" i="5"/>
  <c r="B32" i="5"/>
  <c r="O33" i="5"/>
  <c r="AF31" i="5"/>
  <c r="AA32" i="5"/>
  <c r="AC31" i="5"/>
  <c r="AB32" i="5"/>
  <c r="B31" i="5"/>
  <c r="J32" i="5"/>
  <c r="F30" i="5"/>
  <c r="AC32" i="5"/>
  <c r="AB31" i="5"/>
  <c r="K33" i="5"/>
  <c r="L32" i="5"/>
  <c r="G30" i="5"/>
  <c r="AA30" i="5"/>
  <c r="B33" i="5"/>
  <c r="G32" i="5"/>
  <c r="E30" i="5"/>
  <c r="P32" i="5"/>
  <c r="O31" i="5"/>
  <c r="F31" i="5"/>
  <c r="AA33" i="5"/>
  <c r="K32" i="5"/>
  <c r="R30" i="5"/>
  <c r="AF32" i="5"/>
  <c r="AA31" i="5"/>
  <c r="I32" i="5"/>
  <c r="P31" i="5"/>
  <c r="O32" i="5"/>
  <c r="H32" i="5"/>
  <c r="B30" i="5"/>
  <c r="D32" i="5"/>
  <c r="V26" i="5"/>
  <c r="T26" i="5"/>
  <c r="R26" i="5"/>
  <c r="W26" i="5"/>
  <c r="S26" i="5"/>
  <c r="U26" i="5"/>
  <c r="G26" i="5"/>
  <c r="X26" i="5" s="1"/>
  <c r="R27" i="5"/>
  <c r="U27" i="5"/>
  <c r="T27" i="5"/>
  <c r="T28" i="5" s="1"/>
  <c r="W27" i="5"/>
  <c r="W28" i="5" s="1"/>
  <c r="S27" i="5"/>
  <c r="S28" i="5" s="1"/>
  <c r="V27" i="5"/>
  <c r="V28" i="5" s="1"/>
  <c r="M27" i="5"/>
  <c r="N27" i="5" s="1"/>
  <c r="Z12" i="5"/>
  <c r="Q11" i="5"/>
  <c r="Q12" i="5"/>
  <c r="Z11" i="5"/>
  <c r="P8" i="5"/>
  <c r="D8" i="5" s="1"/>
  <c r="D9" i="5" s="1"/>
  <c r="E6" i="5" s="1"/>
  <c r="D6" i="5" s="1"/>
  <c r="C9" i="5" s="1"/>
  <c r="A10" i="7"/>
  <c r="G11" i="7"/>
  <c r="AD28" i="5" l="1"/>
  <c r="AE28" i="5" s="1"/>
  <c r="AB33" i="5"/>
  <c r="Q18" i="5"/>
  <c r="Q13" i="5"/>
  <c r="Z18" i="5"/>
  <c r="X27" i="5"/>
  <c r="X28" i="5" s="1"/>
  <c r="AD32" i="5"/>
  <c r="AE32" i="5" s="1"/>
  <c r="Z21" i="5"/>
  <c r="Q21" i="5"/>
  <c r="Z22" i="5"/>
  <c r="Q22" i="5"/>
  <c r="U28" i="5"/>
  <c r="Z13" i="5"/>
  <c r="R28" i="5"/>
  <c r="AD31" i="5"/>
  <c r="AE31" i="5" s="1"/>
  <c r="W31" i="5"/>
  <c r="S31" i="5"/>
  <c r="T31" i="5"/>
  <c r="G31" i="5"/>
  <c r="V31" i="5"/>
  <c r="R31" i="5"/>
  <c r="U31" i="5"/>
  <c r="AC33" i="5"/>
  <c r="S32" i="5"/>
  <c r="S33" i="5" s="1"/>
  <c r="M32" i="5"/>
  <c r="N32" i="5" s="1"/>
  <c r="V32" i="5"/>
  <c r="V33" i="5" s="1"/>
  <c r="W32" i="5"/>
  <c r="W33" i="5" s="1"/>
  <c r="L29" i="5"/>
  <c r="K29" i="5" s="1"/>
  <c r="H26" i="5"/>
  <c r="L28" i="5"/>
  <c r="I26" i="5"/>
  <c r="J26" i="5" s="1"/>
  <c r="K26" i="5" s="1"/>
  <c r="M26" i="5" s="1"/>
  <c r="N26" i="5" s="1"/>
  <c r="L26" i="5"/>
  <c r="Y32" i="5"/>
  <c r="Y33" i="5" s="1"/>
  <c r="Y31" i="5"/>
  <c r="AG31" i="5" s="1"/>
  <c r="T32" i="5"/>
  <c r="T33" i="5" s="1"/>
  <c r="U32" i="5"/>
  <c r="U33" i="5" s="1"/>
  <c r="R32" i="5"/>
  <c r="R33" i="5" s="1"/>
  <c r="C2" i="12"/>
  <c r="D2" i="12"/>
  <c r="E2" i="12" s="1"/>
  <c r="A2" i="12" s="1"/>
  <c r="A11" i="7"/>
  <c r="G12" i="7"/>
  <c r="AD33" i="5" l="1"/>
  <c r="AE33" i="5" s="1"/>
  <c r="P13" i="5"/>
  <c r="D13" i="5" s="1"/>
  <c r="D14" i="5" s="1"/>
  <c r="E11" i="5" s="1"/>
  <c r="D11" i="5" s="1"/>
  <c r="C14" i="5" s="1"/>
  <c r="P18" i="5"/>
  <c r="D18" i="5" s="1"/>
  <c r="D19" i="5" s="1"/>
  <c r="E16" i="5" s="1"/>
  <c r="D16" i="5" s="1"/>
  <c r="C19" i="5" s="1"/>
  <c r="X31" i="5"/>
  <c r="H31" i="5"/>
  <c r="L33" i="5"/>
  <c r="I31" i="5"/>
  <c r="J31" i="5" s="1"/>
  <c r="K31" i="5" s="1"/>
  <c r="M31" i="5" s="1"/>
  <c r="N31" i="5" s="1"/>
  <c r="L31" i="5"/>
  <c r="L34" i="5"/>
  <c r="K34" i="5" s="1"/>
  <c r="Q23" i="5"/>
  <c r="Q26" i="5"/>
  <c r="Z26" i="5"/>
  <c r="Z27" i="5"/>
  <c r="Q27" i="5"/>
  <c r="X32" i="5"/>
  <c r="Z23" i="5"/>
  <c r="A12" i="7"/>
  <c r="G13" i="7"/>
  <c r="X33" i="5" l="1"/>
  <c r="P23" i="5"/>
  <c r="D23" i="5" s="1"/>
  <c r="D24" i="5" s="1"/>
  <c r="E21" i="5" s="1"/>
  <c r="D21" i="5" s="1"/>
  <c r="C24" i="5" s="1"/>
  <c r="Z28" i="5"/>
  <c r="Q28" i="5"/>
  <c r="Z31" i="5"/>
  <c r="Q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45" i="5" l="1"/>
  <c r="A35" i="5"/>
  <c r="A50" i="5"/>
  <c r="A40" i="5"/>
  <c r="A31" i="7"/>
  <c r="A150" i="5" s="1"/>
  <c r="B8" i="12"/>
  <c r="A110" i="5" l="1"/>
  <c r="A85" i="5"/>
  <c r="AA87" i="5" s="1"/>
  <c r="B154" i="5"/>
  <c r="Q150" i="5"/>
  <c r="AA152" i="5"/>
  <c r="R150" i="5"/>
  <c r="L152" i="5"/>
  <c r="F150" i="5"/>
  <c r="B152" i="5"/>
  <c r="O153" i="5"/>
  <c r="G152" i="5"/>
  <c r="G150" i="5"/>
  <c r="AE151" i="5"/>
  <c r="D153" i="5"/>
  <c r="AB151" i="5"/>
  <c r="K153" i="5"/>
  <c r="E151" i="5"/>
  <c r="D151" i="5" s="1"/>
  <c r="P152" i="5"/>
  <c r="AA150" i="5"/>
  <c r="I152" i="5"/>
  <c r="AA153" i="5"/>
  <c r="O152" i="5"/>
  <c r="B151" i="5"/>
  <c r="D152" i="5"/>
  <c r="AF151" i="5"/>
  <c r="C154" i="5"/>
  <c r="AC151" i="5"/>
  <c r="AB152" i="5"/>
  <c r="F151" i="5"/>
  <c r="AC152" i="5"/>
  <c r="D150" i="5"/>
  <c r="AE152" i="5"/>
  <c r="O151" i="5"/>
  <c r="J152" i="5"/>
  <c r="K152" i="5"/>
  <c r="E150" i="5"/>
  <c r="H152" i="5"/>
  <c r="AF152" i="5"/>
  <c r="AD151" i="5"/>
  <c r="B153" i="5"/>
  <c r="P151" i="5"/>
  <c r="B150" i="5"/>
  <c r="AA151" i="5"/>
  <c r="AD152" i="5"/>
  <c r="A120" i="5"/>
  <c r="A125" i="5"/>
  <c r="A65" i="5"/>
  <c r="A95" i="5"/>
  <c r="A115" i="5"/>
  <c r="A90" i="5"/>
  <c r="P86" i="5"/>
  <c r="L87" i="5"/>
  <c r="O88" i="5"/>
  <c r="B86" i="5"/>
  <c r="AE87" i="5"/>
  <c r="AA85" i="5"/>
  <c r="AA88" i="5"/>
  <c r="J87" i="5"/>
  <c r="AC86" i="5"/>
  <c r="F86" i="5"/>
  <c r="B85" i="5"/>
  <c r="H87" i="5"/>
  <c r="Q85" i="5"/>
  <c r="O87" i="5"/>
  <c r="B88" i="5"/>
  <c r="E85" i="5"/>
  <c r="A130" i="5"/>
  <c r="A70" i="5"/>
  <c r="B39" i="5"/>
  <c r="Q35" i="5"/>
  <c r="D35" i="5"/>
  <c r="B37" i="5"/>
  <c r="O38" i="5"/>
  <c r="AF36" i="5"/>
  <c r="AA37" i="5"/>
  <c r="AC36" i="5"/>
  <c r="AB37" i="5"/>
  <c r="B36" i="5"/>
  <c r="J37" i="5"/>
  <c r="F35" i="5"/>
  <c r="I37" i="5"/>
  <c r="AA38" i="5"/>
  <c r="G37" i="5"/>
  <c r="K38" i="5"/>
  <c r="H37" i="5"/>
  <c r="AF37" i="5"/>
  <c r="O36" i="5"/>
  <c r="AA35" i="5"/>
  <c r="P36" i="5"/>
  <c r="E35" i="5"/>
  <c r="B35" i="5"/>
  <c r="F36" i="5"/>
  <c r="AB36" i="5"/>
  <c r="AB38" i="5" s="1"/>
  <c r="R35" i="5"/>
  <c r="G35" i="5"/>
  <c r="AC37" i="5"/>
  <c r="K37" i="5"/>
  <c r="L37" i="5"/>
  <c r="AA36" i="5"/>
  <c r="B38" i="5"/>
  <c r="O37" i="5"/>
  <c r="P37" i="5"/>
  <c r="D37" i="5"/>
  <c r="A105" i="5"/>
  <c r="A135" i="5"/>
  <c r="B44" i="5"/>
  <c r="AB41" i="5"/>
  <c r="P41" i="5"/>
  <c r="Q40" i="5"/>
  <c r="D40" i="5"/>
  <c r="AA40" i="5"/>
  <c r="AC42" i="5"/>
  <c r="AF41" i="5"/>
  <c r="AA42" i="5"/>
  <c r="AC41" i="5"/>
  <c r="AB42" i="5"/>
  <c r="B41" i="5"/>
  <c r="J42" i="5"/>
  <c r="F41" i="5"/>
  <c r="B43" i="5"/>
  <c r="G42" i="5"/>
  <c r="K43" i="5"/>
  <c r="H42" i="5"/>
  <c r="AF42" i="5"/>
  <c r="O41" i="5"/>
  <c r="B42" i="5"/>
  <c r="O43" i="5"/>
  <c r="K42" i="5"/>
  <c r="E40" i="5"/>
  <c r="L42" i="5"/>
  <c r="B40" i="5"/>
  <c r="AA41" i="5"/>
  <c r="F40" i="5"/>
  <c r="R40" i="5"/>
  <c r="I42" i="5"/>
  <c r="P42" i="5"/>
  <c r="AA43" i="5"/>
  <c r="G40" i="5"/>
  <c r="O42" i="5"/>
  <c r="D42" i="5"/>
  <c r="A60" i="5"/>
  <c r="A145" i="5"/>
  <c r="A75" i="5"/>
  <c r="A55" i="5"/>
  <c r="B49" i="5"/>
  <c r="P46" i="5"/>
  <c r="K47" i="5"/>
  <c r="E45" i="5"/>
  <c r="L47" i="5"/>
  <c r="F45" i="5"/>
  <c r="B47" i="5"/>
  <c r="O48" i="5"/>
  <c r="B46" i="5"/>
  <c r="D47" i="5"/>
  <c r="AB46" i="5"/>
  <c r="O47" i="5"/>
  <c r="R45" i="5"/>
  <c r="P47" i="5"/>
  <c r="AA45" i="5"/>
  <c r="I47" i="5"/>
  <c r="AA48" i="5"/>
  <c r="O46" i="5"/>
  <c r="J47" i="5"/>
  <c r="D45" i="5"/>
  <c r="AF46" i="5"/>
  <c r="AA47" i="5"/>
  <c r="AC46" i="5"/>
  <c r="AB47" i="5"/>
  <c r="F46" i="5"/>
  <c r="AC47" i="5"/>
  <c r="B45" i="5"/>
  <c r="AA46" i="5"/>
  <c r="G47" i="5"/>
  <c r="K48" i="5"/>
  <c r="B48" i="5"/>
  <c r="H47" i="5"/>
  <c r="G45" i="5"/>
  <c r="Q45" i="5"/>
  <c r="AF47" i="5"/>
  <c r="B114" i="5"/>
  <c r="AB111" i="5"/>
  <c r="AE112" i="5"/>
  <c r="E111" i="5"/>
  <c r="D111" i="5" s="1"/>
  <c r="G112" i="5"/>
  <c r="C114" i="5"/>
  <c r="AC111" i="5"/>
  <c r="D110" i="5"/>
  <c r="E110" i="5"/>
  <c r="P112" i="5"/>
  <c r="AA110" i="5"/>
  <c r="I112" i="5"/>
  <c r="AA113" i="5"/>
  <c r="K113" i="5"/>
  <c r="O111" i="5"/>
  <c r="J112" i="5"/>
  <c r="P111" i="5"/>
  <c r="R110" i="5"/>
  <c r="AB112" i="5"/>
  <c r="F111" i="5"/>
  <c r="AC112" i="5"/>
  <c r="Q110" i="5"/>
  <c r="B110" i="5"/>
  <c r="AA111" i="5"/>
  <c r="AD112" i="5"/>
  <c r="O112" i="5"/>
  <c r="H112" i="5"/>
  <c r="AF112" i="5"/>
  <c r="AD111" i="5"/>
  <c r="B113" i="5"/>
  <c r="AF111" i="5"/>
  <c r="G110" i="5"/>
  <c r="AE111" i="5"/>
  <c r="D113" i="5"/>
  <c r="B112" i="5"/>
  <c r="D112" i="5"/>
  <c r="AA112" i="5"/>
  <c r="O113" i="5"/>
  <c r="L112" i="5"/>
  <c r="K112" i="5"/>
  <c r="F110" i="5"/>
  <c r="B111" i="5"/>
  <c r="A80" i="5"/>
  <c r="B54" i="5"/>
  <c r="AF51" i="5"/>
  <c r="R50" i="5"/>
  <c r="P52" i="5"/>
  <c r="AA50" i="5"/>
  <c r="I52" i="5"/>
  <c r="AA53" i="5"/>
  <c r="O52" i="5"/>
  <c r="B51" i="5"/>
  <c r="J52" i="5"/>
  <c r="K52" i="5"/>
  <c r="AC51" i="5"/>
  <c r="AB52" i="5"/>
  <c r="F51" i="5"/>
  <c r="AC52" i="5"/>
  <c r="D50" i="5"/>
  <c r="AA52" i="5"/>
  <c r="O51" i="5"/>
  <c r="Q50" i="5"/>
  <c r="K53" i="5"/>
  <c r="H52" i="5"/>
  <c r="AF52" i="5"/>
  <c r="B53" i="5"/>
  <c r="P51" i="5"/>
  <c r="B50" i="5"/>
  <c r="AA51" i="5"/>
  <c r="L52" i="5"/>
  <c r="G52" i="5"/>
  <c r="F50" i="5"/>
  <c r="G50" i="5"/>
  <c r="AB51" i="5"/>
  <c r="B52" i="5"/>
  <c r="D52" i="5"/>
  <c r="E50" i="5"/>
  <c r="O53" i="5"/>
  <c r="A100" i="5"/>
  <c r="A140" i="5"/>
  <c r="B10" i="12"/>
  <c r="B11" i="12"/>
  <c r="B12" i="12"/>
  <c r="A12" i="12" s="1"/>
  <c r="B13" i="12"/>
  <c r="A13" i="12" s="1"/>
  <c r="B9" i="12"/>
  <c r="B15" i="12"/>
  <c r="A15" i="12" s="1"/>
  <c r="B14" i="12"/>
  <c r="C14" i="12" s="1"/>
  <c r="AD86" i="5" l="1"/>
  <c r="AF86" i="5"/>
  <c r="D85" i="5"/>
  <c r="G87" i="5"/>
  <c r="I87" i="5"/>
  <c r="AB86" i="5"/>
  <c r="F85" i="5"/>
  <c r="B89" i="5"/>
  <c r="D88" i="5"/>
  <c r="G85" i="5"/>
  <c r="AA86" i="5"/>
  <c r="AB87" i="5"/>
  <c r="AB88" i="5" s="1"/>
  <c r="O86" i="5"/>
  <c r="E86" i="5"/>
  <c r="D86" i="5" s="1"/>
  <c r="K87" i="5"/>
  <c r="R85" i="5"/>
  <c r="Y87" i="5" s="1"/>
  <c r="Y88" i="5" s="1"/>
  <c r="AB53" i="5"/>
  <c r="AD46" i="5"/>
  <c r="AE46" i="5" s="1"/>
  <c r="AD47" i="5"/>
  <c r="AE47" i="5" s="1"/>
  <c r="AC43" i="5"/>
  <c r="AE86" i="5"/>
  <c r="AF87" i="5"/>
  <c r="AD87" i="5"/>
  <c r="AC87" i="5"/>
  <c r="C89" i="5"/>
  <c r="K88" i="5"/>
  <c r="P87" i="5"/>
  <c r="D87" i="5"/>
  <c r="B87" i="5"/>
  <c r="AB43" i="5"/>
  <c r="AD52" i="5"/>
  <c r="AE52" i="5" s="1"/>
  <c r="AC153" i="5"/>
  <c r="AC53" i="5"/>
  <c r="AD53" i="5" s="1"/>
  <c r="AE53" i="5" s="1"/>
  <c r="AB48" i="5"/>
  <c r="AD41" i="5"/>
  <c r="AE41" i="5" s="1"/>
  <c r="B104" i="5"/>
  <c r="Q100" i="5"/>
  <c r="O102" i="5"/>
  <c r="E100" i="5"/>
  <c r="H102" i="5"/>
  <c r="AF102" i="5"/>
  <c r="AD101" i="5"/>
  <c r="B103" i="5"/>
  <c r="AF101" i="5"/>
  <c r="G100" i="5"/>
  <c r="AE101" i="5"/>
  <c r="D103" i="5"/>
  <c r="P101" i="5"/>
  <c r="AA102" i="5"/>
  <c r="R100" i="5"/>
  <c r="L102" i="5"/>
  <c r="F100" i="5"/>
  <c r="B102" i="5"/>
  <c r="O103" i="5"/>
  <c r="K102" i="5"/>
  <c r="B101" i="5"/>
  <c r="D102" i="5"/>
  <c r="AB101" i="5"/>
  <c r="K103" i="5"/>
  <c r="E101" i="5"/>
  <c r="D101" i="5" s="1"/>
  <c r="P102" i="5"/>
  <c r="AA100" i="5"/>
  <c r="I102" i="5"/>
  <c r="AA103" i="5"/>
  <c r="AE102" i="5"/>
  <c r="O101" i="5"/>
  <c r="J102" i="5"/>
  <c r="G102" i="5"/>
  <c r="F101" i="5"/>
  <c r="AA101" i="5"/>
  <c r="C104" i="5"/>
  <c r="AC102" i="5"/>
  <c r="AD102" i="5"/>
  <c r="AC101" i="5"/>
  <c r="D100" i="5"/>
  <c r="AB102" i="5"/>
  <c r="B100" i="5"/>
  <c r="S52" i="5"/>
  <c r="S53" i="5" s="1"/>
  <c r="V52" i="5"/>
  <c r="V53" i="5" s="1"/>
  <c r="M52" i="5"/>
  <c r="N52" i="5" s="1"/>
  <c r="W52" i="5"/>
  <c r="W53" i="5" s="1"/>
  <c r="Y52" i="5"/>
  <c r="Y53" i="5" s="1"/>
  <c r="Y51" i="5"/>
  <c r="AG51" i="5" s="1"/>
  <c r="Y111" i="5"/>
  <c r="AG111" i="5" s="1"/>
  <c r="Y112" i="5"/>
  <c r="Y113" i="5" s="1"/>
  <c r="AB113" i="5"/>
  <c r="B59" i="5"/>
  <c r="AE57" i="5"/>
  <c r="R55" i="5"/>
  <c r="L57" i="5"/>
  <c r="F55" i="5"/>
  <c r="B57" i="5"/>
  <c r="O58" i="5"/>
  <c r="AF56" i="5"/>
  <c r="B55" i="5"/>
  <c r="AA56" i="5"/>
  <c r="AD57" i="5"/>
  <c r="D55" i="5"/>
  <c r="K58" i="5"/>
  <c r="E56" i="5"/>
  <c r="D56" i="5" s="1"/>
  <c r="P57" i="5"/>
  <c r="AA55" i="5"/>
  <c r="I57" i="5"/>
  <c r="AA58" i="5"/>
  <c r="K57" i="5"/>
  <c r="G55" i="5"/>
  <c r="AE56" i="5"/>
  <c r="D58" i="5"/>
  <c r="AB56" i="5"/>
  <c r="C59" i="5"/>
  <c r="AC56" i="5"/>
  <c r="AB57" i="5"/>
  <c r="F56" i="5"/>
  <c r="AC57" i="5"/>
  <c r="Q55" i="5"/>
  <c r="O57" i="5"/>
  <c r="B56" i="5"/>
  <c r="D57" i="5"/>
  <c r="G57" i="5"/>
  <c r="AD56" i="5"/>
  <c r="O56" i="5"/>
  <c r="E55" i="5"/>
  <c r="B58" i="5"/>
  <c r="J57" i="5"/>
  <c r="H57" i="5"/>
  <c r="P56" i="5"/>
  <c r="AF57" i="5"/>
  <c r="AA57" i="5"/>
  <c r="AD42" i="5"/>
  <c r="AE42" i="5" s="1"/>
  <c r="T42" i="5"/>
  <c r="T43" i="5" s="1"/>
  <c r="U42" i="5"/>
  <c r="U43" i="5" s="1"/>
  <c r="R42" i="5"/>
  <c r="R43" i="5" s="1"/>
  <c r="AD36" i="5"/>
  <c r="AE36" i="5" s="1"/>
  <c r="U36" i="5"/>
  <c r="S36" i="5"/>
  <c r="T36" i="5"/>
  <c r="G36" i="5"/>
  <c r="X36" i="5" s="1"/>
  <c r="V36" i="5"/>
  <c r="R36" i="5"/>
  <c r="W36" i="5"/>
  <c r="AC38" i="5"/>
  <c r="AD38" i="5" s="1"/>
  <c r="AE38" i="5" s="1"/>
  <c r="B74" i="5"/>
  <c r="G72" i="5"/>
  <c r="C74" i="5"/>
  <c r="AC71" i="5"/>
  <c r="AB72" i="5"/>
  <c r="F71" i="5"/>
  <c r="AC72" i="5"/>
  <c r="D70" i="5"/>
  <c r="B70" i="5"/>
  <c r="AA71" i="5"/>
  <c r="Q70" i="5"/>
  <c r="O72" i="5"/>
  <c r="E70" i="5"/>
  <c r="H72" i="5"/>
  <c r="AF72" i="5"/>
  <c r="AD71" i="5"/>
  <c r="B73" i="5"/>
  <c r="AF71" i="5"/>
  <c r="G70" i="5"/>
  <c r="P71" i="5"/>
  <c r="R70" i="5"/>
  <c r="F70" i="5"/>
  <c r="O73" i="5"/>
  <c r="B71" i="5"/>
  <c r="J72" i="5"/>
  <c r="AB71" i="5"/>
  <c r="E71" i="5"/>
  <c r="D71" i="5" s="1"/>
  <c r="AA70" i="5"/>
  <c r="AA73" i="5"/>
  <c r="O71" i="5"/>
  <c r="AD72" i="5"/>
  <c r="AE72" i="5"/>
  <c r="L72" i="5"/>
  <c r="B72" i="5"/>
  <c r="K72" i="5"/>
  <c r="AE71" i="5"/>
  <c r="D73" i="5"/>
  <c r="I72" i="5"/>
  <c r="AA72" i="5"/>
  <c r="K73" i="5"/>
  <c r="D72" i="5"/>
  <c r="P72" i="5"/>
  <c r="AC88" i="5"/>
  <c r="B94" i="5"/>
  <c r="G92" i="5"/>
  <c r="C94" i="5"/>
  <c r="AC91" i="5"/>
  <c r="AB92" i="5"/>
  <c r="F91" i="5"/>
  <c r="AC92" i="5"/>
  <c r="Q90" i="5"/>
  <c r="AA92" i="5"/>
  <c r="O91" i="5"/>
  <c r="J92" i="5"/>
  <c r="O92" i="5"/>
  <c r="E90" i="5"/>
  <c r="H92" i="5"/>
  <c r="AF92" i="5"/>
  <c r="AD91" i="5"/>
  <c r="B93" i="5"/>
  <c r="P91" i="5"/>
  <c r="B90" i="5"/>
  <c r="AA91" i="5"/>
  <c r="AD92" i="5"/>
  <c r="D90" i="5"/>
  <c r="AE92" i="5"/>
  <c r="R90" i="5"/>
  <c r="L92" i="5"/>
  <c r="F90" i="5"/>
  <c r="B92" i="5"/>
  <c r="O93" i="5"/>
  <c r="AF91" i="5"/>
  <c r="G90" i="5"/>
  <c r="AE91" i="5"/>
  <c r="D93" i="5"/>
  <c r="K93" i="5"/>
  <c r="I92" i="5"/>
  <c r="D92" i="5"/>
  <c r="E91" i="5"/>
  <c r="D91" i="5" s="1"/>
  <c r="AA93" i="5"/>
  <c r="P92" i="5"/>
  <c r="K92" i="5"/>
  <c r="AB91" i="5"/>
  <c r="AA90" i="5"/>
  <c r="B91" i="5"/>
  <c r="B129" i="5"/>
  <c r="K127" i="5"/>
  <c r="E125" i="5"/>
  <c r="H127" i="5"/>
  <c r="AF127" i="5"/>
  <c r="AD126" i="5"/>
  <c r="B128" i="5"/>
  <c r="AB126" i="5"/>
  <c r="B125" i="5"/>
  <c r="AA126" i="5"/>
  <c r="AD127" i="5"/>
  <c r="Q125" i="5"/>
  <c r="AE127" i="5"/>
  <c r="R125" i="5"/>
  <c r="L127" i="5"/>
  <c r="F125" i="5"/>
  <c r="B127" i="5"/>
  <c r="O128" i="5"/>
  <c r="G127" i="5"/>
  <c r="G125" i="5"/>
  <c r="AE126" i="5"/>
  <c r="D128" i="5"/>
  <c r="P126" i="5"/>
  <c r="K128" i="5"/>
  <c r="E126" i="5"/>
  <c r="D126" i="5" s="1"/>
  <c r="P127" i="5"/>
  <c r="AA125" i="5"/>
  <c r="I127" i="5"/>
  <c r="AA128" i="5"/>
  <c r="O127" i="5"/>
  <c r="B126" i="5"/>
  <c r="D127" i="5"/>
  <c r="AF126" i="5"/>
  <c r="C129" i="5"/>
  <c r="AC126" i="5"/>
  <c r="AB127" i="5"/>
  <c r="F126" i="5"/>
  <c r="AC127" i="5"/>
  <c r="D125" i="5"/>
  <c r="AA127" i="5"/>
  <c r="O126" i="5"/>
  <c r="J127" i="5"/>
  <c r="T152" i="5"/>
  <c r="T153" i="5" s="1"/>
  <c r="R152" i="5"/>
  <c r="R153" i="5" s="1"/>
  <c r="U152" i="5"/>
  <c r="U153" i="5" s="1"/>
  <c r="Y152" i="5"/>
  <c r="Y153" i="5" s="1"/>
  <c r="Y151" i="5"/>
  <c r="AG151" i="5" s="1"/>
  <c r="S51" i="5"/>
  <c r="U51" i="5"/>
  <c r="G51" i="5"/>
  <c r="X52" i="5" s="1"/>
  <c r="T51" i="5"/>
  <c r="V51" i="5"/>
  <c r="W51" i="5"/>
  <c r="R51" i="5"/>
  <c r="R52" i="5"/>
  <c r="R53" i="5" s="1"/>
  <c r="U52" i="5"/>
  <c r="U53" i="5" s="1"/>
  <c r="T52" i="5"/>
  <c r="T53" i="5" s="1"/>
  <c r="AE113" i="5"/>
  <c r="D114" i="5"/>
  <c r="AC48" i="5"/>
  <c r="AD48" i="5" s="1"/>
  <c r="AE48" i="5" s="1"/>
  <c r="R47" i="5"/>
  <c r="U47" i="5"/>
  <c r="T47" i="5"/>
  <c r="M47" i="5"/>
  <c r="N47" i="5" s="1"/>
  <c r="W47" i="5"/>
  <c r="W48" i="5" s="1"/>
  <c r="S47" i="5"/>
  <c r="S48" i="5" s="1"/>
  <c r="V47" i="5"/>
  <c r="V48" i="5" s="1"/>
  <c r="B79" i="5"/>
  <c r="D75" i="5"/>
  <c r="AE77" i="5"/>
  <c r="R75" i="5"/>
  <c r="L77" i="5"/>
  <c r="F75" i="5"/>
  <c r="B77" i="5"/>
  <c r="O78" i="5"/>
  <c r="AF76" i="5"/>
  <c r="G75" i="5"/>
  <c r="AE76" i="5"/>
  <c r="D78" i="5"/>
  <c r="AB76" i="5"/>
  <c r="K78" i="5"/>
  <c r="E76" i="5"/>
  <c r="D76" i="5" s="1"/>
  <c r="P77" i="5"/>
  <c r="AA75" i="5"/>
  <c r="I77" i="5"/>
  <c r="AA78" i="5"/>
  <c r="K77" i="5"/>
  <c r="B76" i="5"/>
  <c r="D77" i="5"/>
  <c r="G77" i="5"/>
  <c r="AC76" i="5"/>
  <c r="F76" i="5"/>
  <c r="Q75" i="5"/>
  <c r="O76" i="5"/>
  <c r="O77" i="5"/>
  <c r="H77" i="5"/>
  <c r="AD76" i="5"/>
  <c r="P76" i="5"/>
  <c r="AA76" i="5"/>
  <c r="C79" i="5"/>
  <c r="AB77" i="5"/>
  <c r="AC77" i="5"/>
  <c r="AA77" i="5"/>
  <c r="J77" i="5"/>
  <c r="B75" i="5"/>
  <c r="E75" i="5"/>
  <c r="AD77" i="5"/>
  <c r="AF77" i="5"/>
  <c r="B78" i="5"/>
  <c r="S42" i="5"/>
  <c r="S43" i="5" s="1"/>
  <c r="M42" i="5"/>
  <c r="N42" i="5" s="1"/>
  <c r="V42" i="5"/>
  <c r="V43" i="5" s="1"/>
  <c r="W42" i="5"/>
  <c r="W43" i="5" s="1"/>
  <c r="B139" i="5"/>
  <c r="AF136" i="5"/>
  <c r="K138" i="5"/>
  <c r="E136" i="5"/>
  <c r="D136" i="5" s="1"/>
  <c r="P137" i="5"/>
  <c r="AA135" i="5"/>
  <c r="I137" i="5"/>
  <c r="AA138" i="5"/>
  <c r="K137" i="5"/>
  <c r="B136" i="5"/>
  <c r="D137" i="5"/>
  <c r="G137" i="5"/>
  <c r="C139" i="5"/>
  <c r="AC136" i="5"/>
  <c r="AB137" i="5"/>
  <c r="F136" i="5"/>
  <c r="AC137" i="5"/>
  <c r="D135" i="5"/>
  <c r="AA137" i="5"/>
  <c r="O136" i="5"/>
  <c r="J137" i="5"/>
  <c r="O137" i="5"/>
  <c r="E135" i="5"/>
  <c r="H137" i="5"/>
  <c r="AF137" i="5"/>
  <c r="AD136" i="5"/>
  <c r="B138" i="5"/>
  <c r="P136" i="5"/>
  <c r="B135" i="5"/>
  <c r="AA136" i="5"/>
  <c r="AD137" i="5"/>
  <c r="Q135" i="5"/>
  <c r="AE137" i="5"/>
  <c r="R135" i="5"/>
  <c r="L137" i="5"/>
  <c r="F135" i="5"/>
  <c r="B137" i="5"/>
  <c r="O138" i="5"/>
  <c r="AB136" i="5"/>
  <c r="AB138" i="5" s="1"/>
  <c r="G135" i="5"/>
  <c r="AE136" i="5"/>
  <c r="D138" i="5"/>
  <c r="T37" i="5"/>
  <c r="T38" i="5" s="1"/>
  <c r="U37" i="5"/>
  <c r="U38" i="5" s="1"/>
  <c r="R37" i="5"/>
  <c r="R38" i="5" s="1"/>
  <c r="B134" i="5"/>
  <c r="D130" i="5"/>
  <c r="G132" i="5"/>
  <c r="C134" i="5"/>
  <c r="AC131" i="5"/>
  <c r="AB132" i="5"/>
  <c r="F131" i="5"/>
  <c r="AC132" i="5"/>
  <c r="AB131" i="5"/>
  <c r="G130" i="5"/>
  <c r="AE131" i="5"/>
  <c r="D133" i="5"/>
  <c r="Q130" i="5"/>
  <c r="O132" i="5"/>
  <c r="E130" i="5"/>
  <c r="H132" i="5"/>
  <c r="AF132" i="5"/>
  <c r="AD131" i="5"/>
  <c r="B133" i="5"/>
  <c r="K132" i="5"/>
  <c r="B131" i="5"/>
  <c r="D132" i="5"/>
  <c r="P131" i="5"/>
  <c r="AA132" i="5"/>
  <c r="R130" i="5"/>
  <c r="L132" i="5"/>
  <c r="F130" i="5"/>
  <c r="B132" i="5"/>
  <c r="O133" i="5"/>
  <c r="K133" i="5"/>
  <c r="O131" i="5"/>
  <c r="J132" i="5"/>
  <c r="AF131" i="5"/>
  <c r="AE132" i="5"/>
  <c r="E131" i="5"/>
  <c r="D131" i="5" s="1"/>
  <c r="P132" i="5"/>
  <c r="AA130" i="5"/>
  <c r="I132" i="5"/>
  <c r="AA133" i="5"/>
  <c r="B130" i="5"/>
  <c r="AA131" i="5"/>
  <c r="AD132" i="5"/>
  <c r="B119" i="5"/>
  <c r="P116" i="5"/>
  <c r="AA117" i="5"/>
  <c r="R115" i="5"/>
  <c r="L117" i="5"/>
  <c r="F115" i="5"/>
  <c r="B117" i="5"/>
  <c r="O118" i="5"/>
  <c r="K117" i="5"/>
  <c r="B116" i="5"/>
  <c r="D117" i="5"/>
  <c r="AF116" i="5"/>
  <c r="K118" i="5"/>
  <c r="E116" i="5"/>
  <c r="D116" i="5" s="1"/>
  <c r="P117" i="5"/>
  <c r="AA115" i="5"/>
  <c r="I117" i="5"/>
  <c r="AA118" i="5"/>
  <c r="AE117" i="5"/>
  <c r="O116" i="5"/>
  <c r="G117" i="5"/>
  <c r="C119" i="5"/>
  <c r="AC116" i="5"/>
  <c r="AB117" i="5"/>
  <c r="F116" i="5"/>
  <c r="AC117" i="5"/>
  <c r="Q115" i="5"/>
  <c r="B115" i="5"/>
  <c r="AA116" i="5"/>
  <c r="AD117" i="5"/>
  <c r="D115" i="5"/>
  <c r="O117" i="5"/>
  <c r="E115" i="5"/>
  <c r="H117" i="5"/>
  <c r="AF117" i="5"/>
  <c r="AD116" i="5"/>
  <c r="B118" i="5"/>
  <c r="AB116" i="5"/>
  <c r="G115" i="5"/>
  <c r="AE116" i="5"/>
  <c r="D118" i="5"/>
  <c r="J117" i="5"/>
  <c r="B124" i="5"/>
  <c r="P121" i="5"/>
  <c r="K123" i="5"/>
  <c r="E121" i="5"/>
  <c r="D121" i="5" s="1"/>
  <c r="P122" i="5"/>
  <c r="AA120" i="5"/>
  <c r="I122" i="5"/>
  <c r="AA123" i="5"/>
  <c r="AE122" i="5"/>
  <c r="O121" i="5"/>
  <c r="J122" i="5"/>
  <c r="AF121" i="5"/>
  <c r="C124" i="5"/>
  <c r="AC121" i="5"/>
  <c r="AB122" i="5"/>
  <c r="F121" i="5"/>
  <c r="AC122" i="5"/>
  <c r="AB121" i="5"/>
  <c r="B120" i="5"/>
  <c r="AA121" i="5"/>
  <c r="AD122" i="5"/>
  <c r="D120" i="5"/>
  <c r="K122" i="5"/>
  <c r="E120" i="5"/>
  <c r="H122" i="5"/>
  <c r="AF122" i="5"/>
  <c r="AD121" i="5"/>
  <c r="B123" i="5"/>
  <c r="G122" i="5"/>
  <c r="G120" i="5"/>
  <c r="AE121" i="5"/>
  <c r="D123" i="5"/>
  <c r="Q120" i="5"/>
  <c r="AA122" i="5"/>
  <c r="R120" i="5"/>
  <c r="L122" i="5"/>
  <c r="F120" i="5"/>
  <c r="B122" i="5"/>
  <c r="O123" i="5"/>
  <c r="O122" i="5"/>
  <c r="B121" i="5"/>
  <c r="D122" i="5"/>
  <c r="AE153" i="5"/>
  <c r="D154" i="5"/>
  <c r="G151" i="5"/>
  <c r="V151" i="5"/>
  <c r="Q151" i="5"/>
  <c r="Z152" i="5"/>
  <c r="Z153" i="5" s="1"/>
  <c r="X151" i="5"/>
  <c r="R151" i="5"/>
  <c r="T151" i="5"/>
  <c r="W151" i="5"/>
  <c r="Q152" i="5"/>
  <c r="Q153" i="5" s="1"/>
  <c r="X152" i="5"/>
  <c r="X153" i="5" s="1"/>
  <c r="S151" i="5"/>
  <c r="Z151" i="5"/>
  <c r="U151" i="5"/>
  <c r="S112" i="5"/>
  <c r="S113" i="5" s="1"/>
  <c r="M112" i="5"/>
  <c r="N112" i="5" s="1"/>
  <c r="W112" i="5"/>
  <c r="W113" i="5" s="1"/>
  <c r="V112" i="5"/>
  <c r="V113" i="5" s="1"/>
  <c r="S111" i="5"/>
  <c r="Z111" i="5"/>
  <c r="U111" i="5"/>
  <c r="G111" i="5"/>
  <c r="V111" i="5"/>
  <c r="Q111" i="5"/>
  <c r="Z112" i="5"/>
  <c r="Z113" i="5" s="1"/>
  <c r="T111" i="5"/>
  <c r="R111" i="5"/>
  <c r="X111" i="5"/>
  <c r="W111" i="5"/>
  <c r="Q112" i="5"/>
  <c r="Q113" i="5" s="1"/>
  <c r="X112" i="5"/>
  <c r="X113" i="5" s="1"/>
  <c r="U112" i="5"/>
  <c r="U113" i="5" s="1"/>
  <c r="T112" i="5"/>
  <c r="T113" i="5" s="1"/>
  <c r="R112" i="5"/>
  <c r="R113" i="5" s="1"/>
  <c r="B149" i="5"/>
  <c r="K147" i="5"/>
  <c r="E145" i="5"/>
  <c r="H147" i="5"/>
  <c r="AF147" i="5"/>
  <c r="AD146" i="5"/>
  <c r="B148" i="5"/>
  <c r="AF146" i="5"/>
  <c r="B145" i="5"/>
  <c r="AA146" i="5"/>
  <c r="AD147" i="5"/>
  <c r="Q145" i="5"/>
  <c r="AA147" i="5"/>
  <c r="R145" i="5"/>
  <c r="L147" i="5"/>
  <c r="F145" i="5"/>
  <c r="B147" i="5"/>
  <c r="O148" i="5"/>
  <c r="G147" i="5"/>
  <c r="G145" i="5"/>
  <c r="AE146" i="5"/>
  <c r="D148" i="5"/>
  <c r="P146" i="5"/>
  <c r="K148" i="5"/>
  <c r="E146" i="5"/>
  <c r="D146" i="5" s="1"/>
  <c r="P147" i="5"/>
  <c r="AA145" i="5"/>
  <c r="I147" i="5"/>
  <c r="AA148" i="5"/>
  <c r="O147" i="5"/>
  <c r="B146" i="5"/>
  <c r="D147" i="5"/>
  <c r="AB146" i="5"/>
  <c r="C149" i="5"/>
  <c r="AC146" i="5"/>
  <c r="AB147" i="5"/>
  <c r="F146" i="5"/>
  <c r="AC147" i="5"/>
  <c r="D145" i="5"/>
  <c r="AE147" i="5"/>
  <c r="O146" i="5"/>
  <c r="J147" i="5"/>
  <c r="B109" i="5"/>
  <c r="AE107" i="5"/>
  <c r="O107" i="5"/>
  <c r="G107" i="5"/>
  <c r="P106" i="5"/>
  <c r="Q105" i="5"/>
  <c r="C109" i="5"/>
  <c r="AB107" i="5"/>
  <c r="L107" i="5"/>
  <c r="AF106" i="5"/>
  <c r="E106" i="5"/>
  <c r="D106" i="5" s="1"/>
  <c r="E105" i="5"/>
  <c r="K108" i="5"/>
  <c r="AA107" i="5"/>
  <c r="K107" i="5"/>
  <c r="AC106" i="5"/>
  <c r="D105" i="5"/>
  <c r="AF107" i="5"/>
  <c r="P107" i="5"/>
  <c r="H107" i="5"/>
  <c r="AB106" i="5"/>
  <c r="R105" i="5"/>
  <c r="AA105" i="5"/>
  <c r="I107" i="5"/>
  <c r="O108" i="5"/>
  <c r="B106" i="5"/>
  <c r="D107" i="5"/>
  <c r="F106" i="5"/>
  <c r="AA108" i="5"/>
  <c r="O106" i="5"/>
  <c r="J107" i="5"/>
  <c r="AD106" i="5"/>
  <c r="AC107" i="5"/>
  <c r="B105" i="5"/>
  <c r="AA106" i="5"/>
  <c r="AD107" i="5"/>
  <c r="B108" i="5"/>
  <c r="G105" i="5"/>
  <c r="F105" i="5"/>
  <c r="AE106" i="5"/>
  <c r="B107" i="5"/>
  <c r="D108" i="5"/>
  <c r="Y37" i="5"/>
  <c r="Y38" i="5" s="1"/>
  <c r="Y36" i="5"/>
  <c r="AG36" i="5" s="1"/>
  <c r="Z87" i="5"/>
  <c r="Z88" i="5" s="1"/>
  <c r="T86" i="5"/>
  <c r="W86" i="5"/>
  <c r="Q87" i="5"/>
  <c r="Q88" i="5" s="1"/>
  <c r="S86" i="5"/>
  <c r="G86" i="5"/>
  <c r="X87" i="5"/>
  <c r="X88" i="5" s="1"/>
  <c r="Z86" i="5"/>
  <c r="U86" i="5"/>
  <c r="V86" i="5"/>
  <c r="Q86" i="5"/>
  <c r="R86" i="5"/>
  <c r="X86" i="5"/>
  <c r="D89" i="5"/>
  <c r="AE88" i="5"/>
  <c r="B99" i="5"/>
  <c r="AB96" i="5"/>
  <c r="O97" i="5"/>
  <c r="C99" i="5"/>
  <c r="AC96" i="5"/>
  <c r="AB97" i="5"/>
  <c r="F96" i="5"/>
  <c r="AC97" i="5"/>
  <c r="B95" i="5"/>
  <c r="AA96" i="5"/>
  <c r="AD97" i="5"/>
  <c r="D95" i="5"/>
  <c r="AF96" i="5"/>
  <c r="AA97" i="5"/>
  <c r="E95" i="5"/>
  <c r="H97" i="5"/>
  <c r="AF97" i="5"/>
  <c r="AD96" i="5"/>
  <c r="B98" i="5"/>
  <c r="G95" i="5"/>
  <c r="AE96" i="5"/>
  <c r="D98" i="5"/>
  <c r="Q95" i="5"/>
  <c r="G97" i="5"/>
  <c r="AE97" i="5"/>
  <c r="R95" i="5"/>
  <c r="L97" i="5"/>
  <c r="F95" i="5"/>
  <c r="B97" i="5"/>
  <c r="O98" i="5"/>
  <c r="B96" i="5"/>
  <c r="D97" i="5"/>
  <c r="K98" i="5"/>
  <c r="I97" i="5"/>
  <c r="E96" i="5"/>
  <c r="D96" i="5" s="1"/>
  <c r="AA98" i="5"/>
  <c r="P96" i="5"/>
  <c r="P97" i="5"/>
  <c r="O96" i="5"/>
  <c r="K97" i="5"/>
  <c r="AA95" i="5"/>
  <c r="J97" i="5"/>
  <c r="B144" i="5"/>
  <c r="AF141" i="5"/>
  <c r="C144" i="5"/>
  <c r="AC141" i="5"/>
  <c r="AB142" i="5"/>
  <c r="F141" i="5"/>
  <c r="AC142" i="5"/>
  <c r="D140" i="5"/>
  <c r="AA142" i="5"/>
  <c r="O141" i="5"/>
  <c r="J142" i="5"/>
  <c r="K142" i="5"/>
  <c r="E140" i="5"/>
  <c r="H142" i="5"/>
  <c r="AF142" i="5"/>
  <c r="AD141" i="5"/>
  <c r="B143" i="5"/>
  <c r="AB141" i="5"/>
  <c r="B140" i="5"/>
  <c r="AA141" i="5"/>
  <c r="AD142" i="5"/>
  <c r="Q140" i="5"/>
  <c r="AE142" i="5"/>
  <c r="R140" i="5"/>
  <c r="L142" i="5"/>
  <c r="F140" i="5"/>
  <c r="B142" i="5"/>
  <c r="O143" i="5"/>
  <c r="G142" i="5"/>
  <c r="G140" i="5"/>
  <c r="AE141" i="5"/>
  <c r="D143" i="5"/>
  <c r="P141" i="5"/>
  <c r="K143" i="5"/>
  <c r="E141" i="5"/>
  <c r="D141" i="5" s="1"/>
  <c r="P142" i="5"/>
  <c r="AA140" i="5"/>
  <c r="I142" i="5"/>
  <c r="AA143" i="5"/>
  <c r="O142" i="5"/>
  <c r="B141" i="5"/>
  <c r="D142" i="5"/>
  <c r="AD51" i="5"/>
  <c r="AE51" i="5" s="1"/>
  <c r="B84" i="5"/>
  <c r="F80" i="5"/>
  <c r="B82" i="5"/>
  <c r="O83" i="5"/>
  <c r="P81" i="5"/>
  <c r="K82" i="5"/>
  <c r="K83" i="5"/>
  <c r="E81" i="5"/>
  <c r="D81" i="5" s="1"/>
  <c r="P82" i="5"/>
  <c r="G80" i="5"/>
  <c r="AA80" i="5"/>
  <c r="I82" i="5"/>
  <c r="AA83" i="5"/>
  <c r="AB81" i="5"/>
  <c r="O82" i="5"/>
  <c r="C84" i="5"/>
  <c r="AC81" i="5"/>
  <c r="AB82" i="5"/>
  <c r="B81" i="5"/>
  <c r="D82" i="5"/>
  <c r="F81" i="5"/>
  <c r="AC82" i="5"/>
  <c r="D80" i="5"/>
  <c r="AF81" i="5"/>
  <c r="AA82" i="5"/>
  <c r="E80" i="5"/>
  <c r="H82" i="5"/>
  <c r="AF82" i="5"/>
  <c r="O81" i="5"/>
  <c r="J82" i="5"/>
  <c r="AD81" i="5"/>
  <c r="AE82" i="5"/>
  <c r="AA81" i="5"/>
  <c r="B83" i="5"/>
  <c r="R80" i="5"/>
  <c r="AE81" i="5"/>
  <c r="Q80" i="5"/>
  <c r="L82" i="5"/>
  <c r="AD82" i="5"/>
  <c r="D83" i="5"/>
  <c r="G82" i="5"/>
  <c r="B80" i="5"/>
  <c r="AC113" i="5"/>
  <c r="G46" i="5"/>
  <c r="X46" i="5" s="1"/>
  <c r="T46" i="5"/>
  <c r="V46" i="5"/>
  <c r="W46" i="5"/>
  <c r="R46" i="5"/>
  <c r="S46" i="5"/>
  <c r="U46" i="5"/>
  <c r="Y47" i="5"/>
  <c r="Y48" i="5" s="1"/>
  <c r="Y46" i="5"/>
  <c r="AG46" i="5" s="1"/>
  <c r="B64" i="5"/>
  <c r="F60" i="5"/>
  <c r="B62" i="5"/>
  <c r="O63" i="5"/>
  <c r="P61" i="5"/>
  <c r="K62" i="5"/>
  <c r="K63" i="5"/>
  <c r="E61" i="5"/>
  <c r="D61" i="5" s="1"/>
  <c r="P62" i="5"/>
  <c r="G60" i="5"/>
  <c r="AE61" i="5"/>
  <c r="D63" i="5"/>
  <c r="AA60" i="5"/>
  <c r="I62" i="5"/>
  <c r="AA63" i="5"/>
  <c r="AB61" i="5"/>
  <c r="O62" i="5"/>
  <c r="C64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Q60" i="5"/>
  <c r="L62" i="5"/>
  <c r="G62" i="5"/>
  <c r="B60" i="5"/>
  <c r="AD61" i="5"/>
  <c r="AE62" i="5"/>
  <c r="AA61" i="5"/>
  <c r="B63" i="5"/>
  <c r="R60" i="5"/>
  <c r="AD62" i="5"/>
  <c r="Y42" i="5"/>
  <c r="Y43" i="5" s="1"/>
  <c r="Y41" i="5"/>
  <c r="AG41" i="5" s="1"/>
  <c r="W41" i="5"/>
  <c r="U41" i="5"/>
  <c r="T41" i="5"/>
  <c r="S41" i="5"/>
  <c r="V41" i="5"/>
  <c r="G41" i="5"/>
  <c r="R41" i="5"/>
  <c r="S37" i="5"/>
  <c r="S38" i="5" s="1"/>
  <c r="M37" i="5"/>
  <c r="N37" i="5" s="1"/>
  <c r="V37" i="5"/>
  <c r="V38" i="5" s="1"/>
  <c r="W37" i="5"/>
  <c r="W38" i="5" s="1"/>
  <c r="AD37" i="5"/>
  <c r="AE37" i="5" s="1"/>
  <c r="R87" i="5"/>
  <c r="R88" i="5" s="1"/>
  <c r="U87" i="5"/>
  <c r="U88" i="5" s="1"/>
  <c r="T87" i="5"/>
  <c r="T88" i="5" s="1"/>
  <c r="W87" i="5"/>
  <c r="W88" i="5" s="1"/>
  <c r="V87" i="5"/>
  <c r="V88" i="5" s="1"/>
  <c r="S87" i="5"/>
  <c r="S88" i="5" s="1"/>
  <c r="M87" i="5"/>
  <c r="N87" i="5" s="1"/>
  <c r="B69" i="5"/>
  <c r="Q65" i="5"/>
  <c r="G67" i="5"/>
  <c r="AE67" i="5"/>
  <c r="R65" i="5"/>
  <c r="L67" i="5"/>
  <c r="F65" i="5"/>
  <c r="B67" i="5"/>
  <c r="O68" i="5"/>
  <c r="B66" i="5"/>
  <c r="D67" i="5"/>
  <c r="P66" i="5"/>
  <c r="K67" i="5"/>
  <c r="K68" i="5"/>
  <c r="E66" i="5"/>
  <c r="D66" i="5" s="1"/>
  <c r="P67" i="5"/>
  <c r="AA65" i="5"/>
  <c r="I67" i="5"/>
  <c r="AA68" i="5"/>
  <c r="O66" i="5"/>
  <c r="J67" i="5"/>
  <c r="AB66" i="5"/>
  <c r="O67" i="5"/>
  <c r="C69" i="5"/>
  <c r="AC66" i="5"/>
  <c r="AB67" i="5"/>
  <c r="F66" i="5"/>
  <c r="AC67" i="5"/>
  <c r="B65" i="5"/>
  <c r="AA66" i="5"/>
  <c r="AD67" i="5"/>
  <c r="AF66" i="5"/>
  <c r="AF67" i="5"/>
  <c r="AE66" i="5"/>
  <c r="AA67" i="5"/>
  <c r="AD66" i="5"/>
  <c r="D68" i="5"/>
  <c r="E65" i="5"/>
  <c r="B68" i="5"/>
  <c r="D65" i="5"/>
  <c r="H67" i="5"/>
  <c r="G65" i="5"/>
  <c r="W152" i="5"/>
  <c r="W153" i="5" s="1"/>
  <c r="S152" i="5"/>
  <c r="S153" i="5" s="1"/>
  <c r="V152" i="5"/>
  <c r="V153" i="5" s="1"/>
  <c r="M152" i="5"/>
  <c r="N152" i="5" s="1"/>
  <c r="AB153" i="5"/>
  <c r="C15" i="12"/>
  <c r="D15" i="12"/>
  <c r="C12" i="12"/>
  <c r="D12" i="12"/>
  <c r="C13" i="12"/>
  <c r="D13" i="12"/>
  <c r="D14" i="12"/>
  <c r="A14" i="12"/>
  <c r="C7" i="12"/>
  <c r="Y86" i="5" l="1"/>
  <c r="AG86" i="5" s="1"/>
  <c r="AD43" i="5"/>
  <c r="AE43" i="5" s="1"/>
  <c r="AB73" i="5"/>
  <c r="AD153" i="5"/>
  <c r="AB143" i="5"/>
  <c r="AC108" i="5"/>
  <c r="AB108" i="5"/>
  <c r="AB93" i="5"/>
  <c r="AC103" i="5"/>
  <c r="AC63" i="5"/>
  <c r="AC93" i="5"/>
  <c r="X47" i="5"/>
  <c r="X48" i="5" s="1"/>
  <c r="AB58" i="5"/>
  <c r="AC83" i="5"/>
  <c r="AB123" i="5"/>
  <c r="AC123" i="5"/>
  <c r="AB78" i="5"/>
  <c r="W66" i="5"/>
  <c r="Z66" i="5"/>
  <c r="U66" i="5"/>
  <c r="S66" i="5"/>
  <c r="V66" i="5"/>
  <c r="Q66" i="5"/>
  <c r="G66" i="5"/>
  <c r="R66" i="5"/>
  <c r="X66" i="5"/>
  <c r="Z67" i="5"/>
  <c r="Z68" i="5" s="1"/>
  <c r="Q67" i="5"/>
  <c r="Q68" i="5" s="1"/>
  <c r="X67" i="5"/>
  <c r="X68" i="5" s="1"/>
  <c r="T66" i="5"/>
  <c r="AC68" i="5"/>
  <c r="R67" i="5"/>
  <c r="R68" i="5" s="1"/>
  <c r="U67" i="5"/>
  <c r="U68" i="5" s="1"/>
  <c r="T67" i="5"/>
  <c r="T68" i="5" s="1"/>
  <c r="V67" i="5"/>
  <c r="V68" i="5" s="1"/>
  <c r="M67" i="5"/>
  <c r="N67" i="5" s="1"/>
  <c r="W67" i="5"/>
  <c r="W68" i="5" s="1"/>
  <c r="S67" i="5"/>
  <c r="S68" i="5" s="1"/>
  <c r="Y66" i="5"/>
  <c r="AG66" i="5" s="1"/>
  <c r="Y67" i="5"/>
  <c r="Y68" i="5" s="1"/>
  <c r="R62" i="5"/>
  <c r="R63" i="5" s="1"/>
  <c r="T62" i="5"/>
  <c r="T63" i="5" s="1"/>
  <c r="U62" i="5"/>
  <c r="U63" i="5" s="1"/>
  <c r="AB63" i="5"/>
  <c r="U82" i="5"/>
  <c r="U83" i="5" s="1"/>
  <c r="R82" i="5"/>
  <c r="R83" i="5" s="1"/>
  <c r="T82" i="5"/>
  <c r="T83" i="5" s="1"/>
  <c r="AB83" i="5"/>
  <c r="M82" i="5"/>
  <c r="N82" i="5" s="1"/>
  <c r="V82" i="5"/>
  <c r="V83" i="5" s="1"/>
  <c r="W82" i="5"/>
  <c r="W83" i="5" s="1"/>
  <c r="S82" i="5"/>
  <c r="S83" i="5" s="1"/>
  <c r="AE143" i="5"/>
  <c r="D144" i="5"/>
  <c r="M97" i="5"/>
  <c r="N97" i="5" s="1"/>
  <c r="W97" i="5"/>
  <c r="W98" i="5" s="1"/>
  <c r="S97" i="5"/>
  <c r="S98" i="5" s="1"/>
  <c r="V97" i="5"/>
  <c r="V98" i="5" s="1"/>
  <c r="U107" i="5"/>
  <c r="U108" i="5" s="1"/>
  <c r="T107" i="5"/>
  <c r="T108" i="5" s="1"/>
  <c r="R107" i="5"/>
  <c r="R108" i="5" s="1"/>
  <c r="V107" i="5"/>
  <c r="V108" i="5" s="1"/>
  <c r="W107" i="5"/>
  <c r="W108" i="5" s="1"/>
  <c r="M107" i="5"/>
  <c r="N107" i="5" s="1"/>
  <c r="S107" i="5"/>
  <c r="S108" i="5" s="1"/>
  <c r="T147" i="5"/>
  <c r="T148" i="5" s="1"/>
  <c r="R147" i="5"/>
  <c r="R148" i="5" s="1"/>
  <c r="U147" i="5"/>
  <c r="U148" i="5" s="1"/>
  <c r="Y147" i="5"/>
  <c r="Y148" i="5" s="1"/>
  <c r="Y146" i="5"/>
  <c r="AG146" i="5" s="1"/>
  <c r="M147" i="5"/>
  <c r="N147" i="5" s="1"/>
  <c r="S147" i="5"/>
  <c r="S148" i="5" s="1"/>
  <c r="V147" i="5"/>
  <c r="V148" i="5" s="1"/>
  <c r="W147" i="5"/>
  <c r="W148" i="5" s="1"/>
  <c r="W121" i="5"/>
  <c r="Q122" i="5"/>
  <c r="Q123" i="5" s="1"/>
  <c r="X122" i="5"/>
  <c r="X123" i="5" s="1"/>
  <c r="S121" i="5"/>
  <c r="Z121" i="5"/>
  <c r="U121" i="5"/>
  <c r="G121" i="5"/>
  <c r="V121" i="5"/>
  <c r="Q121" i="5"/>
  <c r="Z122" i="5"/>
  <c r="Z123" i="5" s="1"/>
  <c r="T121" i="5"/>
  <c r="R121" i="5"/>
  <c r="X121" i="5"/>
  <c r="R117" i="5"/>
  <c r="R118" i="5" s="1"/>
  <c r="U117" i="5"/>
  <c r="U118" i="5" s="1"/>
  <c r="T117" i="5"/>
  <c r="T118" i="5" s="1"/>
  <c r="AB118" i="5"/>
  <c r="D119" i="5"/>
  <c r="AE118" i="5"/>
  <c r="R132" i="5"/>
  <c r="R133" i="5" s="1"/>
  <c r="U132" i="5"/>
  <c r="U133" i="5" s="1"/>
  <c r="T132" i="5"/>
  <c r="T133" i="5" s="1"/>
  <c r="S132" i="5"/>
  <c r="S133" i="5" s="1"/>
  <c r="M132" i="5"/>
  <c r="N132" i="5" s="1"/>
  <c r="W132" i="5"/>
  <c r="W133" i="5" s="1"/>
  <c r="V132" i="5"/>
  <c r="V133" i="5" s="1"/>
  <c r="R137" i="5"/>
  <c r="R138" i="5" s="1"/>
  <c r="U137" i="5"/>
  <c r="U138" i="5" s="1"/>
  <c r="T137" i="5"/>
  <c r="T138" i="5" s="1"/>
  <c r="W137" i="5"/>
  <c r="W138" i="5" s="1"/>
  <c r="V137" i="5"/>
  <c r="V138" i="5" s="1"/>
  <c r="S137" i="5"/>
  <c r="S138" i="5" s="1"/>
  <c r="M137" i="5"/>
  <c r="N137" i="5" s="1"/>
  <c r="D79" i="5"/>
  <c r="AE78" i="5"/>
  <c r="T48" i="5"/>
  <c r="AB128" i="5"/>
  <c r="AE93" i="5"/>
  <c r="D94" i="5"/>
  <c r="S91" i="5"/>
  <c r="Z91" i="5"/>
  <c r="U91" i="5"/>
  <c r="G91" i="5"/>
  <c r="V91" i="5"/>
  <c r="Q91" i="5"/>
  <c r="Z92" i="5"/>
  <c r="Z93" i="5" s="1"/>
  <c r="X91" i="5"/>
  <c r="R91" i="5"/>
  <c r="T91" i="5"/>
  <c r="W91" i="5"/>
  <c r="Q92" i="5"/>
  <c r="Q93" i="5" s="1"/>
  <c r="X92" i="5"/>
  <c r="X93" i="5" s="1"/>
  <c r="AD88" i="5"/>
  <c r="D74" i="5"/>
  <c r="AE73" i="5"/>
  <c r="AC73" i="5"/>
  <c r="X37" i="5"/>
  <c r="X38" i="5" s="1"/>
  <c r="AC58" i="5"/>
  <c r="U102" i="5"/>
  <c r="U103" i="5" s="1"/>
  <c r="T102" i="5"/>
  <c r="T103" i="5" s="1"/>
  <c r="R102" i="5"/>
  <c r="R103" i="5" s="1"/>
  <c r="V102" i="5"/>
  <c r="V103" i="5" s="1"/>
  <c r="S102" i="5"/>
  <c r="S103" i="5" s="1"/>
  <c r="M102" i="5"/>
  <c r="N102" i="5" s="1"/>
  <c r="W102" i="5"/>
  <c r="W103" i="5" s="1"/>
  <c r="AE68" i="5"/>
  <c r="D69" i="5"/>
  <c r="L43" i="5"/>
  <c r="I41" i="5"/>
  <c r="J41" i="5" s="1"/>
  <c r="K41" i="5" s="1"/>
  <c r="M41" i="5" s="1"/>
  <c r="N41" i="5" s="1"/>
  <c r="L41" i="5"/>
  <c r="L44" i="5"/>
  <c r="K44" i="5" s="1"/>
  <c r="H41" i="5"/>
  <c r="W61" i="5"/>
  <c r="U61" i="5"/>
  <c r="Q62" i="5"/>
  <c r="Q63" i="5" s="1"/>
  <c r="S61" i="5"/>
  <c r="Q61" i="5"/>
  <c r="Z61" i="5"/>
  <c r="G61" i="5"/>
  <c r="X61" i="5"/>
  <c r="V61" i="5"/>
  <c r="Z62" i="5"/>
  <c r="Z63" i="5" s="1"/>
  <c r="X62" i="5"/>
  <c r="X63" i="5" s="1"/>
  <c r="T61" i="5"/>
  <c r="R61" i="5"/>
  <c r="W81" i="5"/>
  <c r="U81" i="5"/>
  <c r="Q82" i="5"/>
  <c r="Q83" i="5" s="1"/>
  <c r="S81" i="5"/>
  <c r="Q81" i="5"/>
  <c r="Z81" i="5"/>
  <c r="G81" i="5"/>
  <c r="X81" i="5"/>
  <c r="V81" i="5"/>
  <c r="Z82" i="5"/>
  <c r="Z83" i="5" s="1"/>
  <c r="X82" i="5"/>
  <c r="X83" i="5" s="1"/>
  <c r="T81" i="5"/>
  <c r="R81" i="5"/>
  <c r="D84" i="5"/>
  <c r="AE83" i="5"/>
  <c r="Y142" i="5"/>
  <c r="Y143" i="5" s="1"/>
  <c r="Y141" i="5"/>
  <c r="AG141" i="5" s="1"/>
  <c r="V142" i="5"/>
  <c r="V143" i="5" s="1"/>
  <c r="M142" i="5"/>
  <c r="N142" i="5" s="1"/>
  <c r="W142" i="5"/>
  <c r="W143" i="5" s="1"/>
  <c r="S142" i="5"/>
  <c r="S143" i="5" s="1"/>
  <c r="AC143" i="5"/>
  <c r="AD143" i="5" s="1"/>
  <c r="G96" i="5"/>
  <c r="R96" i="5"/>
  <c r="X96" i="5"/>
  <c r="Z97" i="5"/>
  <c r="Z98" i="5" s="1"/>
  <c r="Q97" i="5"/>
  <c r="Q98" i="5" s="1"/>
  <c r="X97" i="5"/>
  <c r="X98" i="5" s="1"/>
  <c r="T96" i="5"/>
  <c r="W96" i="5"/>
  <c r="Z96" i="5"/>
  <c r="U96" i="5"/>
  <c r="S96" i="5"/>
  <c r="V96" i="5"/>
  <c r="Q96" i="5"/>
  <c r="L88" i="5"/>
  <c r="I86" i="5"/>
  <c r="J86" i="5" s="1"/>
  <c r="K86" i="5" s="1"/>
  <c r="M86" i="5" s="1"/>
  <c r="N86" i="5" s="1"/>
  <c r="L89" i="5"/>
  <c r="K89" i="5" s="1"/>
  <c r="H86" i="5"/>
  <c r="L86" i="5"/>
  <c r="Y107" i="5"/>
  <c r="Y108" i="5" s="1"/>
  <c r="Y106" i="5"/>
  <c r="AG106" i="5" s="1"/>
  <c r="G146" i="5"/>
  <c r="V146" i="5"/>
  <c r="Q146" i="5"/>
  <c r="Z147" i="5"/>
  <c r="Z148" i="5" s="1"/>
  <c r="T146" i="5"/>
  <c r="R146" i="5"/>
  <c r="X146" i="5"/>
  <c r="W146" i="5"/>
  <c r="Q147" i="5"/>
  <c r="Q148" i="5" s="1"/>
  <c r="X147" i="5"/>
  <c r="X148" i="5" s="1"/>
  <c r="S146" i="5"/>
  <c r="Z146" i="5"/>
  <c r="U146" i="5"/>
  <c r="AB148" i="5"/>
  <c r="Y122" i="5"/>
  <c r="Y123" i="5" s="1"/>
  <c r="Y121" i="5"/>
  <c r="AG121" i="5" s="1"/>
  <c r="V122" i="5"/>
  <c r="V123" i="5" s="1"/>
  <c r="M122" i="5"/>
  <c r="N122" i="5" s="1"/>
  <c r="W122" i="5"/>
  <c r="W123" i="5" s="1"/>
  <c r="S122" i="5"/>
  <c r="S123" i="5" s="1"/>
  <c r="R122" i="5"/>
  <c r="R123" i="5" s="1"/>
  <c r="U122" i="5"/>
  <c r="U123" i="5" s="1"/>
  <c r="T122" i="5"/>
  <c r="T123" i="5" s="1"/>
  <c r="Z117" i="5"/>
  <c r="Z118" i="5" s="1"/>
  <c r="T116" i="5"/>
  <c r="R116" i="5"/>
  <c r="X116" i="5"/>
  <c r="W116" i="5"/>
  <c r="Q117" i="5"/>
  <c r="Q118" i="5" s="1"/>
  <c r="X117" i="5"/>
  <c r="X118" i="5" s="1"/>
  <c r="S116" i="5"/>
  <c r="Z116" i="5"/>
  <c r="U116" i="5"/>
  <c r="G116" i="5"/>
  <c r="V116" i="5"/>
  <c r="Q116" i="5"/>
  <c r="W117" i="5"/>
  <c r="W118" i="5" s="1"/>
  <c r="V117" i="5"/>
  <c r="V118" i="5" s="1"/>
  <c r="S117" i="5"/>
  <c r="S118" i="5" s="1"/>
  <c r="M117" i="5"/>
  <c r="N117" i="5" s="1"/>
  <c r="AE133" i="5"/>
  <c r="D134" i="5"/>
  <c r="Z132" i="5"/>
  <c r="Z133" i="5" s="1"/>
  <c r="T131" i="5"/>
  <c r="R131" i="5"/>
  <c r="X131" i="5"/>
  <c r="W131" i="5"/>
  <c r="Q132" i="5"/>
  <c r="Q133" i="5" s="1"/>
  <c r="X132" i="5"/>
  <c r="X133" i="5" s="1"/>
  <c r="S131" i="5"/>
  <c r="Z131" i="5"/>
  <c r="U131" i="5"/>
  <c r="G131" i="5"/>
  <c r="V131" i="5"/>
  <c r="Q131" i="5"/>
  <c r="AE138" i="5"/>
  <c r="D139" i="5"/>
  <c r="W136" i="5"/>
  <c r="Q137" i="5"/>
  <c r="Q138" i="5" s="1"/>
  <c r="X137" i="5"/>
  <c r="X138" i="5" s="1"/>
  <c r="S136" i="5"/>
  <c r="Z136" i="5"/>
  <c r="U136" i="5"/>
  <c r="G136" i="5"/>
  <c r="V136" i="5"/>
  <c r="Q136" i="5"/>
  <c r="Z137" i="5"/>
  <c r="Z138" i="5" s="1"/>
  <c r="X136" i="5"/>
  <c r="R136" i="5"/>
  <c r="T136" i="5"/>
  <c r="U48" i="5"/>
  <c r="AC128" i="5"/>
  <c r="D129" i="5"/>
  <c r="AE128" i="5"/>
  <c r="S72" i="5"/>
  <c r="S73" i="5" s="1"/>
  <c r="V72" i="5"/>
  <c r="V73" i="5" s="1"/>
  <c r="W72" i="5"/>
  <c r="W73" i="5" s="1"/>
  <c r="M72" i="5"/>
  <c r="N72" i="5" s="1"/>
  <c r="AE58" i="5"/>
  <c r="D59" i="5"/>
  <c r="AD113" i="5"/>
  <c r="AB103" i="5"/>
  <c r="Y102" i="5"/>
  <c r="Y103" i="5" s="1"/>
  <c r="Y101" i="5"/>
  <c r="AG101" i="5" s="1"/>
  <c r="M62" i="5"/>
  <c r="N62" i="5" s="1"/>
  <c r="V62" i="5"/>
  <c r="V63" i="5" s="1"/>
  <c r="W62" i="5"/>
  <c r="W63" i="5" s="1"/>
  <c r="S62" i="5"/>
  <c r="S63" i="5" s="1"/>
  <c r="L46" i="5"/>
  <c r="L49" i="5"/>
  <c r="K49" i="5" s="1"/>
  <c r="H46" i="5"/>
  <c r="L48" i="5"/>
  <c r="I46" i="5"/>
  <c r="J46" i="5" s="1"/>
  <c r="K46" i="5" s="1"/>
  <c r="M46" i="5" s="1"/>
  <c r="N46" i="5" s="1"/>
  <c r="R142" i="5"/>
  <c r="R143" i="5" s="1"/>
  <c r="U142" i="5"/>
  <c r="U143" i="5" s="1"/>
  <c r="T142" i="5"/>
  <c r="T143" i="5" s="1"/>
  <c r="R97" i="5"/>
  <c r="R98" i="5" s="1"/>
  <c r="U97" i="5"/>
  <c r="U98" i="5" s="1"/>
  <c r="T97" i="5"/>
  <c r="T98" i="5" s="1"/>
  <c r="Y97" i="5"/>
  <c r="Y98" i="5" s="1"/>
  <c r="Y96" i="5"/>
  <c r="AG96" i="5" s="1"/>
  <c r="AB98" i="5"/>
  <c r="AE108" i="5"/>
  <c r="D109" i="5"/>
  <c r="D124" i="5"/>
  <c r="AE123" i="5"/>
  <c r="Y117" i="5"/>
  <c r="Y118" i="5" s="1"/>
  <c r="Y116" i="5"/>
  <c r="AG116" i="5" s="1"/>
  <c r="R77" i="5"/>
  <c r="R78" i="5" s="1"/>
  <c r="U77" i="5"/>
  <c r="U78" i="5" s="1"/>
  <c r="T77" i="5"/>
  <c r="T78" i="5" s="1"/>
  <c r="Z77" i="5"/>
  <c r="Z78" i="5" s="1"/>
  <c r="X76" i="5"/>
  <c r="R76" i="5"/>
  <c r="T76" i="5"/>
  <c r="W76" i="5"/>
  <c r="Q77" i="5"/>
  <c r="Q78" i="5" s="1"/>
  <c r="X77" i="5"/>
  <c r="X78" i="5" s="1"/>
  <c r="S76" i="5"/>
  <c r="Z76" i="5"/>
  <c r="U76" i="5"/>
  <c r="G76" i="5"/>
  <c r="V76" i="5"/>
  <c r="Q76" i="5"/>
  <c r="R48" i="5"/>
  <c r="X51" i="5"/>
  <c r="X53" i="5" s="1"/>
  <c r="L54" i="5"/>
  <c r="K54" i="5" s="1"/>
  <c r="H51" i="5"/>
  <c r="L53" i="5"/>
  <c r="I51" i="5"/>
  <c r="J51" i="5" s="1"/>
  <c r="K51" i="5" s="1"/>
  <c r="M51" i="5" s="1"/>
  <c r="N51" i="5" s="1"/>
  <c r="L51" i="5"/>
  <c r="T127" i="5"/>
  <c r="T128" i="5" s="1"/>
  <c r="R127" i="5"/>
  <c r="R128" i="5" s="1"/>
  <c r="U127" i="5"/>
  <c r="U128" i="5" s="1"/>
  <c r="Y127" i="5"/>
  <c r="Y128" i="5" s="1"/>
  <c r="Y126" i="5"/>
  <c r="AG126" i="5" s="1"/>
  <c r="M127" i="5"/>
  <c r="N127" i="5" s="1"/>
  <c r="W127" i="5"/>
  <c r="W128" i="5" s="1"/>
  <c r="S127" i="5"/>
  <c r="S128" i="5" s="1"/>
  <c r="V127" i="5"/>
  <c r="V128" i="5" s="1"/>
  <c r="Y91" i="5"/>
  <c r="AG91" i="5" s="1"/>
  <c r="Y92" i="5"/>
  <c r="Y93" i="5" s="1"/>
  <c r="G71" i="5"/>
  <c r="V71" i="5"/>
  <c r="Q71" i="5"/>
  <c r="Z72" i="5"/>
  <c r="Z73" i="5" s="1"/>
  <c r="X71" i="5"/>
  <c r="R71" i="5"/>
  <c r="T71" i="5"/>
  <c r="W71" i="5"/>
  <c r="Q72" i="5"/>
  <c r="Q73" i="5" s="1"/>
  <c r="X72" i="5"/>
  <c r="X73" i="5" s="1"/>
  <c r="S71" i="5"/>
  <c r="Z71" i="5"/>
  <c r="U71" i="5"/>
  <c r="L39" i="5"/>
  <c r="K39" i="5" s="1"/>
  <c r="H36" i="5"/>
  <c r="L38" i="5"/>
  <c r="I36" i="5"/>
  <c r="J36" i="5" s="1"/>
  <c r="K36" i="5" s="1"/>
  <c r="M36" i="5" s="1"/>
  <c r="N36" i="5" s="1"/>
  <c r="L36" i="5"/>
  <c r="Z57" i="5"/>
  <c r="Z58" i="5" s="1"/>
  <c r="R56" i="5"/>
  <c r="W56" i="5"/>
  <c r="Q57" i="5"/>
  <c r="Q58" i="5" s="1"/>
  <c r="X57" i="5"/>
  <c r="X58" i="5" s="1"/>
  <c r="Z56" i="5"/>
  <c r="S56" i="5"/>
  <c r="U56" i="5"/>
  <c r="G56" i="5"/>
  <c r="V56" i="5"/>
  <c r="Q56" i="5"/>
  <c r="X56" i="5"/>
  <c r="T56" i="5"/>
  <c r="V57" i="5"/>
  <c r="V58" i="5" s="1"/>
  <c r="M57" i="5"/>
  <c r="N57" i="5" s="1"/>
  <c r="W57" i="5"/>
  <c r="W58" i="5" s="1"/>
  <c r="S57" i="5"/>
  <c r="S58" i="5" s="1"/>
  <c r="Y56" i="5"/>
  <c r="AG56" i="5" s="1"/>
  <c r="Y57" i="5"/>
  <c r="Y58" i="5" s="1"/>
  <c r="Z102" i="5"/>
  <c r="Z103" i="5" s="1"/>
  <c r="T101" i="5"/>
  <c r="R101" i="5"/>
  <c r="X101" i="5"/>
  <c r="W101" i="5"/>
  <c r="Q102" i="5"/>
  <c r="Q103" i="5" s="1"/>
  <c r="X102" i="5"/>
  <c r="X103" i="5" s="1"/>
  <c r="S101" i="5"/>
  <c r="Z101" i="5"/>
  <c r="U101" i="5"/>
  <c r="G101" i="5"/>
  <c r="V101" i="5"/>
  <c r="Q101" i="5"/>
  <c r="AB68" i="5"/>
  <c r="X42" i="5"/>
  <c r="X43" i="5" s="1"/>
  <c r="X41" i="5"/>
  <c r="Y61" i="5"/>
  <c r="AG61" i="5" s="1"/>
  <c r="Y62" i="5"/>
  <c r="Y63" i="5" s="1"/>
  <c r="D64" i="5"/>
  <c r="AE63" i="5"/>
  <c r="Y81" i="5"/>
  <c r="AG81" i="5" s="1"/>
  <c r="Y82" i="5"/>
  <c r="Y83" i="5" s="1"/>
  <c r="W141" i="5"/>
  <c r="Q142" i="5"/>
  <c r="Q143" i="5" s="1"/>
  <c r="X142" i="5"/>
  <c r="X143" i="5" s="1"/>
  <c r="S141" i="5"/>
  <c r="Z141" i="5"/>
  <c r="U141" i="5"/>
  <c r="G141" i="5"/>
  <c r="V141" i="5"/>
  <c r="Q141" i="5"/>
  <c r="Z142" i="5"/>
  <c r="Z143" i="5" s="1"/>
  <c r="T141" i="5"/>
  <c r="R141" i="5"/>
  <c r="X141" i="5"/>
  <c r="D99" i="5"/>
  <c r="AE98" i="5"/>
  <c r="AC98" i="5"/>
  <c r="P88" i="5"/>
  <c r="S106" i="5"/>
  <c r="V106" i="5"/>
  <c r="Q106" i="5"/>
  <c r="G106" i="5"/>
  <c r="R106" i="5"/>
  <c r="X106" i="5"/>
  <c r="Z107" i="5"/>
  <c r="Z108" i="5" s="1"/>
  <c r="Q107" i="5"/>
  <c r="Q108" i="5" s="1"/>
  <c r="X107" i="5"/>
  <c r="X108" i="5" s="1"/>
  <c r="T106" i="5"/>
  <c r="W106" i="5"/>
  <c r="Z106" i="5"/>
  <c r="U106" i="5"/>
  <c r="AC148" i="5"/>
  <c r="AE148" i="5"/>
  <c r="D149" i="5"/>
  <c r="P113" i="5"/>
  <c r="L114" i="5"/>
  <c r="K114" i="5" s="1"/>
  <c r="H111" i="5"/>
  <c r="L111" i="5"/>
  <c r="L113" i="5"/>
  <c r="I111" i="5"/>
  <c r="J111" i="5" s="1"/>
  <c r="K111" i="5" s="1"/>
  <c r="M111" i="5" s="1"/>
  <c r="N111" i="5" s="1"/>
  <c r="P153" i="5"/>
  <c r="L154" i="5"/>
  <c r="K154" i="5" s="1"/>
  <c r="L151" i="5"/>
  <c r="H151" i="5"/>
  <c r="L153" i="5"/>
  <c r="I151" i="5"/>
  <c r="J151" i="5" s="1"/>
  <c r="K151" i="5" s="1"/>
  <c r="M151" i="5" s="1"/>
  <c r="N151" i="5" s="1"/>
  <c r="AC118" i="5"/>
  <c r="Y131" i="5"/>
  <c r="AG131" i="5" s="1"/>
  <c r="Y132" i="5"/>
  <c r="Y133" i="5" s="1"/>
  <c r="AB133" i="5"/>
  <c r="AC133" i="5"/>
  <c r="Y137" i="5"/>
  <c r="Y138" i="5" s="1"/>
  <c r="Y136" i="5"/>
  <c r="AG136" i="5" s="1"/>
  <c r="AC138" i="5"/>
  <c r="AD138" i="5" s="1"/>
  <c r="AC78" i="5"/>
  <c r="M77" i="5"/>
  <c r="N77" i="5" s="1"/>
  <c r="W77" i="5"/>
  <c r="W78" i="5" s="1"/>
  <c r="V77" i="5"/>
  <c r="V78" i="5" s="1"/>
  <c r="S77" i="5"/>
  <c r="S78" i="5" s="1"/>
  <c r="Y76" i="5"/>
  <c r="AG76" i="5" s="1"/>
  <c r="Y77" i="5"/>
  <c r="Y78" i="5" s="1"/>
  <c r="G126" i="5"/>
  <c r="V126" i="5"/>
  <c r="Q126" i="5"/>
  <c r="Z127" i="5"/>
  <c r="Z128" i="5" s="1"/>
  <c r="T126" i="5"/>
  <c r="R126" i="5"/>
  <c r="X126" i="5"/>
  <c r="W126" i="5"/>
  <c r="Q127" i="5"/>
  <c r="Q128" i="5" s="1"/>
  <c r="X127" i="5"/>
  <c r="X128" i="5" s="1"/>
  <c r="S126" i="5"/>
  <c r="Z126" i="5"/>
  <c r="U126" i="5"/>
  <c r="V92" i="5"/>
  <c r="V93" i="5" s="1"/>
  <c r="S92" i="5"/>
  <c r="S93" i="5" s="1"/>
  <c r="M92" i="5"/>
  <c r="N92" i="5" s="1"/>
  <c r="W92" i="5"/>
  <c r="W93" i="5" s="1"/>
  <c r="U92" i="5"/>
  <c r="U93" i="5" s="1"/>
  <c r="T92" i="5"/>
  <c r="T93" i="5" s="1"/>
  <c r="R92" i="5"/>
  <c r="R93" i="5" s="1"/>
  <c r="U72" i="5"/>
  <c r="U73" i="5" s="1"/>
  <c r="T72" i="5"/>
  <c r="T73" i="5" s="1"/>
  <c r="R72" i="5"/>
  <c r="R73" i="5" s="1"/>
  <c r="Y72" i="5"/>
  <c r="Y73" i="5" s="1"/>
  <c r="Y71" i="5"/>
  <c r="AG71" i="5" s="1"/>
  <c r="U57" i="5"/>
  <c r="U58" i="5" s="1"/>
  <c r="T57" i="5"/>
  <c r="T58" i="5" s="1"/>
  <c r="R57" i="5"/>
  <c r="R58" i="5" s="1"/>
  <c r="AE103" i="5"/>
  <c r="D104" i="5"/>
  <c r="D7" i="12"/>
  <c r="E7" i="12" s="1"/>
  <c r="AD73" i="5" l="1"/>
  <c r="AD83" i="5"/>
  <c r="AD63" i="5"/>
  <c r="AD93" i="5"/>
  <c r="AD58" i="5"/>
  <c r="AD123" i="5"/>
  <c r="AD78" i="5"/>
  <c r="AD103" i="5"/>
  <c r="AD108" i="5"/>
  <c r="AD68" i="5"/>
  <c r="AD128" i="5"/>
  <c r="L144" i="5"/>
  <c r="K144" i="5" s="1"/>
  <c r="H141" i="5"/>
  <c r="L141" i="5"/>
  <c r="L143" i="5"/>
  <c r="I141" i="5"/>
  <c r="J141" i="5" s="1"/>
  <c r="K141" i="5" s="1"/>
  <c r="M141" i="5" s="1"/>
  <c r="N141" i="5" s="1"/>
  <c r="P103" i="5"/>
  <c r="Q51" i="5"/>
  <c r="Z52" i="5"/>
  <c r="Q52" i="5"/>
  <c r="Z51" i="5"/>
  <c r="AD98" i="5"/>
  <c r="L118" i="5"/>
  <c r="I116" i="5"/>
  <c r="J116" i="5" s="1"/>
  <c r="K116" i="5" s="1"/>
  <c r="M116" i="5" s="1"/>
  <c r="N116" i="5" s="1"/>
  <c r="L119" i="5"/>
  <c r="K119" i="5" s="1"/>
  <c r="H116" i="5"/>
  <c r="L116" i="5"/>
  <c r="AD148" i="5"/>
  <c r="AD118" i="5"/>
  <c r="P143" i="5"/>
  <c r="L58" i="5"/>
  <c r="I56" i="5"/>
  <c r="J56" i="5" s="1"/>
  <c r="K56" i="5" s="1"/>
  <c r="M56" i="5" s="1"/>
  <c r="N56" i="5" s="1"/>
  <c r="L59" i="5"/>
  <c r="K59" i="5" s="1"/>
  <c r="L56" i="5"/>
  <c r="H56" i="5"/>
  <c r="Z47" i="5"/>
  <c r="Q47" i="5"/>
  <c r="Z46" i="5"/>
  <c r="Q46" i="5"/>
  <c r="L134" i="5"/>
  <c r="K134" i="5" s="1"/>
  <c r="H131" i="5"/>
  <c r="L131" i="5"/>
  <c r="L133" i="5"/>
  <c r="I131" i="5"/>
  <c r="J131" i="5" s="1"/>
  <c r="K131" i="5" s="1"/>
  <c r="M131" i="5" s="1"/>
  <c r="N131" i="5" s="1"/>
  <c r="P118" i="5"/>
  <c r="P148" i="5"/>
  <c r="I146" i="5"/>
  <c r="J146" i="5" s="1"/>
  <c r="K146" i="5" s="1"/>
  <c r="M146" i="5" s="1"/>
  <c r="N146" i="5" s="1"/>
  <c r="L149" i="5"/>
  <c r="K149" i="5" s="1"/>
  <c r="H146" i="5"/>
  <c r="L146" i="5"/>
  <c r="L148" i="5"/>
  <c r="P98" i="5"/>
  <c r="I96" i="5"/>
  <c r="J96" i="5" s="1"/>
  <c r="K96" i="5" s="1"/>
  <c r="M96" i="5" s="1"/>
  <c r="N96" i="5" s="1"/>
  <c r="L96" i="5"/>
  <c r="L99" i="5"/>
  <c r="K99" i="5" s="1"/>
  <c r="H96" i="5"/>
  <c r="L98" i="5"/>
  <c r="L81" i="5"/>
  <c r="L84" i="5"/>
  <c r="K84" i="5" s="1"/>
  <c r="H81" i="5"/>
  <c r="L83" i="5"/>
  <c r="I81" i="5"/>
  <c r="J81" i="5" s="1"/>
  <c r="K81" i="5" s="1"/>
  <c r="M81" i="5" s="1"/>
  <c r="N81" i="5" s="1"/>
  <c r="P83" i="5"/>
  <c r="P108" i="5"/>
  <c r="L108" i="5"/>
  <c r="L106" i="5"/>
  <c r="H106" i="5"/>
  <c r="L109" i="5"/>
  <c r="K109" i="5" s="1"/>
  <c r="I106" i="5"/>
  <c r="J106" i="5" s="1"/>
  <c r="K106" i="5" s="1"/>
  <c r="M106" i="5" s="1"/>
  <c r="N106" i="5" s="1"/>
  <c r="P58" i="5"/>
  <c r="Z36" i="5"/>
  <c r="Q37" i="5"/>
  <c r="Z37" i="5"/>
  <c r="Q36" i="5"/>
  <c r="L79" i="5"/>
  <c r="K79" i="5" s="1"/>
  <c r="L76" i="5"/>
  <c r="H76" i="5"/>
  <c r="L78" i="5"/>
  <c r="I76" i="5"/>
  <c r="J76" i="5" s="1"/>
  <c r="K76" i="5" s="1"/>
  <c r="M76" i="5" s="1"/>
  <c r="N76" i="5" s="1"/>
  <c r="H136" i="5"/>
  <c r="L138" i="5"/>
  <c r="I136" i="5"/>
  <c r="J136" i="5" s="1"/>
  <c r="K136" i="5" s="1"/>
  <c r="M136" i="5" s="1"/>
  <c r="N136" i="5" s="1"/>
  <c r="L139" i="5"/>
  <c r="K139" i="5" s="1"/>
  <c r="L136" i="5"/>
  <c r="P133" i="5"/>
  <c r="L63" i="5"/>
  <c r="I61" i="5"/>
  <c r="J61" i="5" s="1"/>
  <c r="K61" i="5" s="1"/>
  <c r="M61" i="5" s="1"/>
  <c r="N61" i="5" s="1"/>
  <c r="L61" i="5"/>
  <c r="L64" i="5"/>
  <c r="K64" i="5" s="1"/>
  <c r="H61" i="5"/>
  <c r="P63" i="5"/>
  <c r="P93" i="5"/>
  <c r="L94" i="5"/>
  <c r="K94" i="5" s="1"/>
  <c r="L91" i="5"/>
  <c r="H91" i="5"/>
  <c r="L93" i="5"/>
  <c r="I91" i="5"/>
  <c r="J91" i="5" s="1"/>
  <c r="K91" i="5" s="1"/>
  <c r="M91" i="5" s="1"/>
  <c r="N91" i="5" s="1"/>
  <c r="I121" i="5"/>
  <c r="J121" i="5" s="1"/>
  <c r="K121" i="5" s="1"/>
  <c r="M121" i="5" s="1"/>
  <c r="N121" i="5" s="1"/>
  <c r="L124" i="5"/>
  <c r="K124" i="5" s="1"/>
  <c r="H121" i="5"/>
  <c r="L121" i="5"/>
  <c r="L123" i="5"/>
  <c r="P128" i="5"/>
  <c r="L126" i="5"/>
  <c r="L128" i="5"/>
  <c r="I126" i="5"/>
  <c r="J126" i="5" s="1"/>
  <c r="K126" i="5" s="1"/>
  <c r="M126" i="5" s="1"/>
  <c r="N126" i="5" s="1"/>
  <c r="L129" i="5"/>
  <c r="K129" i="5" s="1"/>
  <c r="H126" i="5"/>
  <c r="AD133" i="5"/>
  <c r="I101" i="5"/>
  <c r="J101" i="5" s="1"/>
  <c r="K101" i="5" s="1"/>
  <c r="M101" i="5" s="1"/>
  <c r="N101" i="5" s="1"/>
  <c r="L104" i="5"/>
  <c r="K104" i="5" s="1"/>
  <c r="H101" i="5"/>
  <c r="L101" i="5"/>
  <c r="L103" i="5"/>
  <c r="P73" i="5"/>
  <c r="I71" i="5"/>
  <c r="J71" i="5" s="1"/>
  <c r="K71" i="5" s="1"/>
  <c r="M71" i="5" s="1"/>
  <c r="N71" i="5" s="1"/>
  <c r="L74" i="5"/>
  <c r="K74" i="5" s="1"/>
  <c r="H71" i="5"/>
  <c r="L71" i="5"/>
  <c r="L73" i="5"/>
  <c r="P78" i="5"/>
  <c r="P138" i="5"/>
  <c r="Q42" i="5"/>
  <c r="Z41" i="5"/>
  <c r="Q41" i="5"/>
  <c r="Z42" i="5"/>
  <c r="P123" i="5"/>
  <c r="P68" i="5"/>
  <c r="L68" i="5"/>
  <c r="I66" i="5"/>
  <c r="J66" i="5" s="1"/>
  <c r="K66" i="5" s="1"/>
  <c r="M66" i="5" s="1"/>
  <c r="N66" i="5" s="1"/>
  <c r="L66" i="5"/>
  <c r="L69" i="5"/>
  <c r="K69" i="5" s="1"/>
  <c r="H66" i="5"/>
  <c r="A7" i="12"/>
  <c r="Z48" i="5" l="1"/>
  <c r="Q38" i="5"/>
  <c r="Q53" i="5"/>
  <c r="Z53" i="5"/>
  <c r="Q43" i="5"/>
  <c r="Z43" i="5"/>
  <c r="Z38" i="5"/>
  <c r="Q48" i="5"/>
  <c r="P48" i="5" l="1"/>
  <c r="D48" i="5" s="1"/>
  <c r="D49" i="5" s="1"/>
  <c r="E46" i="5" s="1"/>
  <c r="D46" i="5" s="1"/>
  <c r="C49" i="5" s="1"/>
  <c r="D10" i="12" s="1"/>
  <c r="P53" i="5"/>
  <c r="D53" i="5" s="1"/>
  <c r="D54" i="5" s="1"/>
  <c r="E51" i="5" s="1"/>
  <c r="D51" i="5" s="1"/>
  <c r="C54" i="5" s="1"/>
  <c r="P38" i="5"/>
  <c r="D38" i="5" s="1"/>
  <c r="D39" i="5" s="1"/>
  <c r="E36" i="5" s="1"/>
  <c r="D36" i="5" s="1"/>
  <c r="P43" i="5"/>
  <c r="D43" i="5" s="1"/>
  <c r="D44" i="5" s="1"/>
  <c r="E41" i="5" s="1"/>
  <c r="D41" i="5" s="1"/>
  <c r="C44" i="5" s="1"/>
  <c r="D9" i="12" s="1"/>
  <c r="C10" i="12" l="1"/>
  <c r="C9" i="12"/>
  <c r="C11" i="12"/>
  <c r="C39" i="5"/>
  <c r="D8" i="12" s="1"/>
  <c r="E8" i="12" s="1"/>
  <c r="A8" i="12" s="1"/>
  <c r="C8" i="12"/>
  <c r="D11" i="12"/>
  <c r="C4" i="5" l="1"/>
  <c r="E9" i="12"/>
  <c r="A9" i="12" l="1"/>
  <c r="E10" i="12"/>
  <c r="E11" i="12" l="1"/>
  <c r="A10" i="12"/>
  <c r="H10" i="11"/>
  <c r="H5" i="11"/>
  <c r="H8" i="11"/>
  <c r="H11" i="11"/>
  <c r="A11" i="12" l="1"/>
  <c r="B4" i="8" s="1"/>
  <c r="E12" i="12"/>
  <c r="E13" i="12" s="1"/>
  <c r="E14" i="12" s="1"/>
  <c r="E15" i="12" s="1"/>
  <c r="J4" i="8" l="1"/>
  <c r="F4" i="8"/>
  <c r="E4" i="8"/>
  <c r="C4" i="8"/>
  <c r="K4" i="8" s="1"/>
  <c r="G4" i="8"/>
  <c r="A4" i="8"/>
  <c r="H4" i="8"/>
  <c r="I4" i="8"/>
  <c r="D4" i="8"/>
  <c r="B14" i="8"/>
  <c r="B11" i="8"/>
  <c r="B10" i="8"/>
  <c r="B13" i="8"/>
  <c r="B17" i="8"/>
  <c r="B15" i="8"/>
  <c r="B16" i="8"/>
  <c r="B8" i="8"/>
  <c r="B9" i="8"/>
  <c r="B12" i="8"/>
  <c r="B7" i="8"/>
  <c r="B6" i="8"/>
  <c r="B5" i="8"/>
  <c r="L4" i="8" l="1"/>
  <c r="D12" i="8"/>
  <c r="A12" i="8"/>
  <c r="F12" i="8"/>
  <c r="L12" i="8"/>
  <c r="G12" i="8"/>
  <c r="J12" i="8"/>
  <c r="H12" i="8"/>
  <c r="C12" i="8"/>
  <c r="K12" i="8" s="1"/>
  <c r="E12" i="8"/>
  <c r="I12" i="8"/>
  <c r="K15" i="8"/>
  <c r="A15" i="8"/>
  <c r="F15" i="8"/>
  <c r="I15" i="8"/>
  <c r="J15" i="8"/>
  <c r="L15" i="8" s="1"/>
  <c r="E15" i="8"/>
  <c r="H15" i="8"/>
  <c r="G15" i="8"/>
  <c r="C15" i="8"/>
  <c r="D15" i="8"/>
  <c r="A11" i="8"/>
  <c r="G11" i="8"/>
  <c r="E11" i="8"/>
  <c r="D11" i="8"/>
  <c r="I11" i="8"/>
  <c r="C11" i="8"/>
  <c r="H11" i="8"/>
  <c r="K11" i="8"/>
  <c r="L11" i="8" s="1"/>
  <c r="F11" i="8"/>
  <c r="J11" i="8"/>
  <c r="E5" i="8"/>
  <c r="G5" i="8"/>
  <c r="F5" i="8"/>
  <c r="A5" i="8"/>
  <c r="J5" i="8"/>
  <c r="L5" i="8"/>
  <c r="C5" i="8"/>
  <c r="K5" i="8" s="1"/>
  <c r="I5" i="8"/>
  <c r="H5" i="8"/>
  <c r="D5" i="8"/>
  <c r="F9" i="8"/>
  <c r="C9" i="8"/>
  <c r="K9" i="8" s="1"/>
  <c r="J9" i="8"/>
  <c r="A9" i="8"/>
  <c r="E9" i="8"/>
  <c r="G9" i="8"/>
  <c r="I9" i="8"/>
  <c r="L9" i="8"/>
  <c r="D9" i="8"/>
  <c r="H9" i="8"/>
  <c r="A17" i="8"/>
  <c r="G17" i="8"/>
  <c r="I17" i="8"/>
  <c r="L17" i="8"/>
  <c r="H17" i="8"/>
  <c r="E17" i="8"/>
  <c r="C17" i="8"/>
  <c r="D17" i="8"/>
  <c r="J17" i="8"/>
  <c r="K17" i="8"/>
  <c r="F17" i="8"/>
  <c r="K14" i="8"/>
  <c r="H14" i="8"/>
  <c r="E14" i="8"/>
  <c r="J14" i="8"/>
  <c r="L14" i="8" s="1"/>
  <c r="D14" i="8"/>
  <c r="C14" i="8"/>
  <c r="G14" i="8"/>
  <c r="I14" i="8"/>
  <c r="A14" i="8"/>
  <c r="F14" i="8"/>
  <c r="G6" i="8"/>
  <c r="F6" i="8"/>
  <c r="J6" i="8"/>
  <c r="A6" i="8"/>
  <c r="C6" i="8"/>
  <c r="K6" i="8" s="1"/>
  <c r="E6" i="8"/>
  <c r="H6" i="8"/>
  <c r="L6" i="8"/>
  <c r="I6" i="8"/>
  <c r="D6" i="8"/>
  <c r="J8" i="8"/>
  <c r="D8" i="8"/>
  <c r="F8" i="8"/>
  <c r="H8" i="8"/>
  <c r="E8" i="8"/>
  <c r="C8" i="8"/>
  <c r="K8" i="8" s="1"/>
  <c r="L8" i="8" s="1"/>
  <c r="G8" i="8"/>
  <c r="A8" i="8"/>
  <c r="I8" i="8"/>
  <c r="H13" i="8"/>
  <c r="K13" i="8"/>
  <c r="F13" i="8"/>
  <c r="G13" i="8"/>
  <c r="J13" i="8"/>
  <c r="L13" i="8" s="1"/>
  <c r="D13" i="8"/>
  <c r="C13" i="8"/>
  <c r="A13" i="8"/>
  <c r="E13" i="8"/>
  <c r="I13" i="8"/>
  <c r="J7" i="8"/>
  <c r="G7" i="8"/>
  <c r="H7" i="8"/>
  <c r="E7" i="8"/>
  <c r="F7" i="8"/>
  <c r="C7" i="8"/>
  <c r="K7" i="8" s="1"/>
  <c r="L7" i="8" s="1"/>
  <c r="D7" i="8"/>
  <c r="I7" i="8"/>
  <c r="A7" i="8"/>
  <c r="C16" i="8"/>
  <c r="K16" i="8" s="1"/>
  <c r="E16" i="8"/>
  <c r="L16" i="8"/>
  <c r="H16" i="8"/>
  <c r="A16" i="8"/>
  <c r="G16" i="8"/>
  <c r="D16" i="8"/>
  <c r="I16" i="8"/>
  <c r="F16" i="8"/>
  <c r="J16" i="8"/>
  <c r="F10" i="8"/>
  <c r="C10" i="8"/>
  <c r="K10" i="8"/>
  <c r="L10" i="8" s="1"/>
  <c r="G10" i="8"/>
  <c r="J10" i="8"/>
  <c r="A10" i="8"/>
  <c r="H10" i="8"/>
  <c r="I10" i="8"/>
  <c r="D10" i="8"/>
  <c r="E10" i="8"/>
  <c r="J2" i="8" l="1"/>
  <c r="F7" i="11" s="1"/>
  <c r="H7" i="11" s="1"/>
  <c r="H12" i="11" s="1"/>
  <c r="L2" i="8"/>
</calcChain>
</file>

<file path=xl/sharedStrings.xml><?xml version="1.0" encoding="utf-8"?>
<sst xmlns="http://schemas.openxmlformats.org/spreadsheetml/2006/main" count="280" uniqueCount="211">
  <si>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</si>
  <si>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</si>
  <si>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</si>
  <si>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</si>
  <si>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</si>
  <si>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</si>
  <si>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</si>
  <si>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</si>
  <si>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</si>
  <si>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</si>
  <si>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</si>
  <si>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</si>
  <si>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</si>
  <si>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</si>
  <si>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</si>
  <si>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</si>
  <si>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</si>
  <si>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</si>
  <si>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</si>
  <si>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</si>
  <si>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</si>
  <si>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</si>
  <si>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</si>
  <si>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</si>
  <si>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</si>
  <si>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</si>
  <si>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</si>
  <si>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</si>
  <si>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</si>
  <si>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</si>
  <si>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</si>
  <si>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</si>
  <si>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</si>
  <si>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</si>
  <si>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</si>
  <si>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</si>
  <si>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</si>
  <si>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</si>
  <si>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</si>
  <si>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</si>
  <si>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</si>
  <si>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</si>
  <si>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</si>
  <si>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</si>
  <si>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</si>
  <si>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</si>
  <si>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</si>
  <si>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</si>
  <si>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</si>
  <si>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</si>
  <si>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</si>
  <si>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</si>
  <si>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</si>
  <si>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</si>
  <si>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</si>
  <si>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</si>
  <si>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</si>
  <si>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</si>
  <si>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</si>
  <si>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</si>
  <si>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</si>
  <si>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</si>
  <si>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</si>
  <si>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</si>
  <si>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</si>
  <si>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</si>
  <si>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</si>
  <si>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</si>
  <si>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</si>
  <si>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</si>
  <si>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</si>
  <si>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</si>
  <si>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</si>
  <si>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</si>
  <si>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</si>
  <si>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</si>
  <si>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</si>
  <si>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</si>
  <si>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</si>
  <si>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</si>
  <si>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</si>
  <si>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</si>
  <si>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</si>
  <si>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</si>
  <si>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</si>
  <si>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</si>
  <si>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</si>
  <si>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</si>
  <si>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</si>
  <si>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</si>
  <si>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</si>
  <si>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</si>
  <si>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</si>
  <si>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</si>
  <si>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</si>
  <si>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</si>
  <si>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</si>
  <si>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</si>
  <si>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</si>
  <si>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</si>
  <si>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</si>
  <si>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</si>
  <si>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</si>
  <si>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</si>
  <si>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</si>
  <si>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</si>
  <si>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</si>
  <si>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</si>
  <si>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</si>
  <si>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</si>
  <si>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</si>
  <si>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</si>
  <si>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</si>
  <si>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</si>
  <si>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</si>
  <si>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</si>
  <si>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</si>
  <si>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</si>
  <si>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</si>
  <si>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</si>
  <si>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</si>
  <si>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</si>
  <si>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</si>
  <si>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</si>
  <si>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</si>
  <si>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</si>
  <si>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</si>
  <si>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</si>
  <si>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</si>
  <si>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</si>
  <si>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</si>
  <si>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</si>
  <si>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</si>
  <si>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</si>
  <si>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</si>
  <si>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</si>
  <si>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</si>
  <si>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</si>
  <si>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</si>
  <si>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</si>
  <si>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</si>
  <si>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</si>
  <si>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</si>
  <si>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</si>
  <si>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</si>
  <si>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</si>
  <si>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</si>
  <si>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</si>
  <si>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</si>
  <si>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</si>
  <si>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</si>
  <si>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</si>
  <si>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</si>
  <si>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</si>
  <si>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</si>
  <si>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</si>
  <si>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</si>
  <si>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</si>
  <si>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</si>
  <si>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</si>
  <si>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</si>
  <si>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</si>
  <si>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</si>
  <si>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</si>
  <si>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</si>
  <si>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</si>
  <si>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</si>
  <si>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</si>
  <si>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</si>
  <si>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</si>
  <si>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</si>
  <si>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</si>
  <si>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</si>
  <si>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</si>
  <si>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</si>
  <si>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</si>
  <si>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</si>
  <si>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</si>
  <si>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</si>
  <si>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</si>
  <si>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</si>
  <si>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</si>
  <si>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</si>
  <si>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</si>
  <si>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</si>
  <si>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</si>
  <si>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</si>
  <si>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</si>
  <si>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</si>
  <si>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</si>
  <si>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</si>
  <si>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</si>
  <si>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</si>
  <si>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</si>
  <si>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</si>
  <si>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</si>
  <si>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</si>
  <si>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</si>
  <si>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</si>
  <si>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</si>
  <si>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</si>
  <si>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</si>
  <si>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</si>
  <si>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</si>
  <si>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</si>
  <si>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</si>
  <si>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</si>
  <si>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</si>
  <si>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</si>
  <si>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</si>
  <si>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Produto ECF - Subproduto Instalador e Atualizador de Versão do Agente Digital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</si>
</sst>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1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D4" sqref="D4"/>
    </sheetView>
  </sheetViews>
  <sheetFormatPr defaultRowHeight="15" x14ac:dyDescent="0.25"/>
  <cols>
    <col min="1" max="1" width="8.625" customWidth="1"/>
    <col min="2" max="2" width="42.625" bestFit="1" customWidth="1"/>
    <col min="3" max="3" width="15.875" bestFit="1" customWidth="1"/>
    <col min="4" max="5" width="14.25" bestFit="1" customWidth="1"/>
  </cols>
  <sheetData>
    <row r="1" spans="1:7" x14ac:dyDescent="0.25">
      <c r="C1" s="86">
        <f>C2*$G$1</f>
        <v>2159010</v>
      </c>
      <c r="D1" s="86">
        <f>D2*$G$1</f>
        <v>731430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1161</v>
      </c>
      <c r="E2" s="108">
        <f>SUM(Acumulado[PF Faturado])</f>
        <v>656.4</v>
      </c>
      <c r="F2" s="107">
        <f>C2-D2</f>
        <v>2266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224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0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408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625" customWidth="1"/>
    <col min="3" max="3" width="11.125" bestFit="1" customWidth="1"/>
    <col min="4" max="4" width="7.25" customWidth="1"/>
    <col min="5" max="7" width="15.875" bestFit="1" customWidth="1"/>
    <col min="8" max="8" width="16.1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 t="str">
        <f ca="1">IF(FatCTL[[#This Row],[Saldo em PF]]=0,E6,E6+1)</f>
        <v>0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 t="str">
        <f ca="1">IF(FatCTL[[#This Row],[Saldo em PF]]=0,E7,E7+1)</f>
        <v>0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 t="str">
        <f ca="1">IF(FatCTL[[#This Row],[Saldo em PF]]=0,E8,E8+1)</f>
        <v>0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 t="str">
        <f ca="1">IF(FatCTL[[#This Row],[Saldo em PF]]=0,E9,E9+1)</f>
        <v>0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 t="str">
        <f ca="1">IF(FatCTL[[#This Row],[Saldo em PF]]=0,E10,E10+1)</f>
        <v>0</v>
      </c>
    </row>
    <row r="12" spans="1:5" ht="15.75" x14ac:dyDescent="0.25">
      <c r="A12" s="71" t="str">
        <f>IF(FatCTL[[#This Row],[Número OS]]="","",IF(FatCTL[[#This Row],[0]]=E11,"",FatCTL[[#This Row],[0]]))</f>
        <v/>
      </c>
      <c r="B12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7" t="str">
        <f>IF(B12="","",IF(INDEX(Mensal!$A$5:$AG$154,MATCH(B12,Mensal!$A$5:$A$154,0)+4,3)="",0,INDEX(Mensal!$A$5:$AG$154,MATCH(B12,Mensal!$A$5:$A$154,0)+4,3)))</f>
        <v/>
      </c>
      <c r="E12" s="70">
        <f ca="1">IF(FatCTL[[#This Row],[Saldo em PF]]=0,E11,E11+1)</f>
        <v>1</v>
      </c>
    </row>
    <row r="13" spans="1:5" ht="15.75" x14ac:dyDescent="0.25">
      <c r="A13" s="71" t="str">
        <f>IF(FatCTL[[#This Row],[Número OS]]="","",IF(FatCTL[[#This Row],[0]]=E12,"",FatCTL[[#This Row],[0]]))</f>
        <v/>
      </c>
      <c r="B13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7" t="str">
        <f>IF(B13="","",IF(INDEX(Mensal!$A$5:$AG$154,MATCH(B13,Mensal!$A$5:$A$154,0)+4,3)="",0,INDEX(Mensal!$A$5:$AG$154,MATCH(B13,Mensal!$A$5:$A$154,0)+4,3)))</f>
        <v/>
      </c>
      <c r="E13" s="70">
        <f ca="1">IF(FatCTL[[#This Row],[Saldo em PF]]=0,E12,E12+1)</f>
        <v>2</v>
      </c>
    </row>
    <row r="14" spans="1:5" ht="15.75" x14ac:dyDescent="0.25">
      <c r="A14" s="71" t="str">
        <f>IF(FatCTL[[#This Row],[Número OS]]="","",IF(FatCTL[[#This Row],[0]]=E13,"",FatCTL[[#This Row],[0]]))</f>
        <v/>
      </c>
      <c r="B14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7" t="str">
        <f>IF(B14="","",IF(INDEX(Mensal!$A$5:$AG$154,MATCH(B14,Mensal!$A$5:$A$154,0)+4,3)="",0,INDEX(Mensal!$A$5:$AG$154,MATCH(B14,Mensal!$A$5:$A$154,0)+4,3)))</f>
        <v/>
      </c>
      <c r="E14" s="70">
        <f ca="1">IF(FatCTL[[#This Row],[Saldo em PF]]=0,E13,E13+1)</f>
        <v>3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13" sqref="A13"/>
    </sheetView>
  </sheetViews>
  <sheetFormatPr defaultRowHeight="15" x14ac:dyDescent="0.25"/>
  <cols>
    <col min="1" max="1" width="21.37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5" x14ac:dyDescent="0.25"/>
  <cols>
    <col min="1" max="1" width="13.25" customWidth="1"/>
    <col min="2" max="2" width="16.25" customWidth="1"/>
    <col min="3" max="3" width="15.125" customWidth="1"/>
    <col min="4" max="4" width="7.25" customWidth="1"/>
    <col min="5" max="5" width="17.875" customWidth="1"/>
    <col min="6" max="6" width="23.625" customWidth="1"/>
    <col min="7" max="7" width="16.375" customWidth="1"/>
    <col min="8" max="8" width="15.125" customWidth="1"/>
    <col min="9" max="11" width="17.75" customWidth="1"/>
    <col min="12" max="12" width="20.375" customWidth="1"/>
    <col min="13" max="13" width="14.125" customWidth="1"/>
    <col min="14" max="14" width="13" customWidth="1"/>
    <col min="15" max="17" width="13.25" customWidth="1"/>
    <col min="18" max="18" width="25.875" customWidth="1"/>
    <col min="19" max="19" width="21.875" customWidth="1"/>
    <col min="20" max="20" width="21.25" customWidth="1"/>
    <col min="21" max="21" width="17.25" customWidth="1"/>
    <col min="22" max="22" width="27.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t="s">
        <v>145</v>
      </c>
      <c r="C2" s="50">
        <v>42636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90+(VALUE("15/10/16")-VALUE("23/09/16")+1)</f>
        <v>113</v>
      </c>
    </row>
    <row r="3" spans="1:25" x14ac:dyDescent="0.25">
      <c r="A3" s="21">
        <v>4757</v>
      </c>
      <c r="B3" t="s">
        <v>145</v>
      </c>
      <c r="C3" s="50">
        <v>42644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42639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90+(VALUE("22/09/16")-VALUE("01/09/16")+1)+(VALUE("15/10/16")-VALUE("01/10/16")+1)</f>
        <v>127</v>
      </c>
    </row>
    <row r="4" spans="1:25" x14ac:dyDescent="0.25">
      <c r="A4" s="21">
        <v>4776</v>
      </c>
      <c r="B4" t="s">
        <v>204</v>
      </c>
      <c r="C4" s="50">
        <v>42658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>
        <v>83.2</v>
      </c>
      <c r="R4" s="21"/>
      <c r="S4" s="21"/>
      <c r="T4" s="21"/>
      <c r="U4" s="21"/>
      <c r="V4" s="21"/>
      <c r="W4" s="21"/>
      <c r="X4" s="21"/>
      <c r="Y4" s="21">
        <f>(VALUE("11/07/16")-VALUE("30/06/16")+1)+(VALUE("17/08/16")-VALUE("18/07/16")+1)+(VALUE("07/09/16")-VALUE("18/08/16")+1)+(VALUE("09/09/16")-VALUE("26/08/16")+1)+(VALUE("15/10/16")-VALUE("16/09/16")+1)</f>
        <v>109</v>
      </c>
    </row>
    <row r="5" spans="1:25" x14ac:dyDescent="0.25">
      <c r="A5" s="21">
        <v>4777</v>
      </c>
      <c r="B5" t="s">
        <v>145</v>
      </c>
      <c r="C5" s="50">
        <v>42656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42647</v>
      </c>
      <c r="L5" s="50">
        <v>42628</v>
      </c>
      <c r="M5" s="50"/>
      <c r="N5" s="21">
        <v>148</v>
      </c>
      <c r="O5" s="21">
        <f>153</f>
        <v>153</v>
      </c>
      <c r="P5" s="21">
        <v>15.5</v>
      </c>
      <c r="Q5" s="66">
        <v>134.80000000000001</v>
      </c>
      <c r="R5" s="21">
        <v>8</v>
      </c>
      <c r="S5" s="21">
        <v>4</v>
      </c>
      <c r="T5" s="21"/>
      <c r="U5" s="21"/>
      <c r="V5" s="21"/>
      <c r="W5" s="21"/>
      <c r="X5" s="21"/>
      <c r="Y5" s="21">
        <f>(VALUE("09/08/16")-VALUE("20/07/16")+1)+(VALUE("27/09/16")-VALUE("22/08/16")+1)+(VALUE("15/10/16")-VALUE("04/10/16")+1)</f>
        <v>70</v>
      </c>
    </row>
    <row r="6" spans="1:25" x14ac:dyDescent="0.25">
      <c r="A6" s="21">
        <v>4782</v>
      </c>
      <c r="B6" t="s">
        <v>78</v>
      </c>
      <c r="C6" s="50">
        <v>42660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42660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>
        <v>8</v>
      </c>
      <c r="S6" s="21">
        <v>4</v>
      </c>
      <c r="T6" s="21"/>
      <c r="U6" s="21"/>
      <c r="V6" s="21"/>
      <c r="W6" s="21"/>
      <c r="X6" s="21"/>
      <c r="Y6" s="21">
        <f>(VALUE("19/08/16")-VALUE("04/08/16")+1)+(VALUE("13/10/16")-VALUE("15/09/16")+1)</f>
        <v>45</v>
      </c>
    </row>
    <row r="7" spans="1:25" x14ac:dyDescent="0.25">
      <c r="A7" s="21">
        <v>4797</v>
      </c>
      <c r="B7" t="s">
        <v>204</v>
      </c>
      <c r="C7" s="50">
        <v>42632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/>
      <c r="L7" s="50"/>
      <c r="M7" s="50"/>
      <c r="N7" s="21">
        <v>50</v>
      </c>
      <c r="O7" s="21">
        <v>53</v>
      </c>
      <c r="P7" s="21">
        <v>17</v>
      </c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(VALUE("08/08/16")-VALUE("18/07/16")+1)+(VALUE("04/10/16")-VALUE("16/08/16")+1)+(VALUE("13/10/16")-VALUE("16/09/16")+1)</f>
        <v>100</v>
      </c>
    </row>
    <row r="8" spans="1:25" x14ac:dyDescent="0.25">
      <c r="A8" s="21">
        <v>4808</v>
      </c>
      <c r="B8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</f>
        <v>42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(VALUE("15/10/16")-VALUE("22/08/16")+1)</f>
        <v>55</v>
      </c>
    </row>
    <row r="10" spans="1:25" x14ac:dyDescent="0.25">
      <c r="A10" s="21">
        <v>4810</v>
      </c>
      <c r="B10" t="s">
        <v>145</v>
      </c>
      <c r="C10" s="50">
        <v>42646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(VALUE("06/09/16")-VALUE("26/08/16")+1)+(VALUE("15/10/16")-VALUE("27/09/16")+1)</f>
        <v>31</v>
      </c>
    </row>
    <row r="11" spans="1:25" x14ac:dyDescent="0.25">
      <c r="A11" s="21">
        <v>4813</v>
      </c>
      <c r="B11" t="s">
        <v>136</v>
      </c>
      <c r="C11" s="50">
        <v>42647</v>
      </c>
      <c r="D11" t="s">
        <v>96</v>
      </c>
      <c r="E11" t="s">
        <v>187</v>
      </c>
      <c r="F11" t="s">
        <v>210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21"/>
      <c r="C12" s="50"/>
      <c r="G12" s="50"/>
      <c r="H12" s="50"/>
      <c r="I12" s="50"/>
      <c r="J12" s="50"/>
      <c r="K12" s="50"/>
      <c r="L12" s="50"/>
      <c r="M12" s="50"/>
      <c r="N12" s="21"/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/>
      <c r="C13" s="50"/>
      <c r="G13" s="50"/>
      <c r="H13" s="50"/>
      <c r="I13" s="50"/>
      <c r="J13" s="50"/>
      <c r="K13" s="50"/>
      <c r="L13" s="50"/>
      <c r="M13" s="50"/>
      <c r="N13" s="21"/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/>
      <c r="C14" s="50"/>
      <c r="G14" s="50"/>
      <c r="H14" s="50"/>
      <c r="I14" s="50"/>
      <c r="J14" s="50"/>
      <c r="K14" s="50"/>
      <c r="L14" s="50"/>
      <c r="M14" s="50"/>
      <c r="N14" s="21"/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zoomScaleNormal="10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cols>
    <col min="1" max="1" width="8.75" customWidth="1"/>
    <col min="2" max="2" width="20.125" customWidth="1"/>
    <col min="3" max="3" width="6.75" bestFit="1" customWidth="1"/>
    <col min="4" max="4" width="5.625" bestFit="1" customWidth="1"/>
    <col min="5" max="5" width="9.875" bestFit="1" customWidth="1"/>
    <col min="6" max="7" width="9.25" bestFit="1" customWidth="1"/>
    <col min="8" max="11" width="9.25" customWidth="1"/>
    <col min="12" max="12" width="9.25" bestFit="1" customWidth="1"/>
    <col min="13" max="14" width="9.25" customWidth="1"/>
    <col min="15" max="15" width="9.625" bestFit="1" customWidth="1"/>
    <col min="16" max="16" width="7.625" bestFit="1" customWidth="1"/>
    <col min="17" max="17" width="6.625" customWidth="1"/>
    <col min="18" max="23" width="5.625" customWidth="1"/>
    <col min="24" max="24" width="7.375" customWidth="1"/>
    <col min="25" max="26" width="5.625" customWidth="1"/>
    <col min="27" max="27" width="13.125" customWidth="1"/>
    <col min="28" max="30" width="3.875" customWidth="1"/>
    <col min="31" max="31" width="4.625" customWidth="1"/>
    <col min="32" max="33" width="5.75" customWidth="1"/>
  </cols>
  <sheetData>
    <row r="1" spans="1:33" ht="15.75" thickBot="1" x14ac:dyDescent="0.3">
      <c r="A1" s="60" t="s">
        <v>119</v>
      </c>
      <c r="B1" s="61">
        <v>42658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OUT/2016</v>
      </c>
    </row>
    <row r="3" spans="1:33" ht="69" customHeight="1" x14ac:dyDescent="0.25">
      <c r="A3" s="53" t="s">
        <v>0</v>
      </c>
      <c r="B3" s="113" t="s">
        <v>82</v>
      </c>
      <c r="C3" s="113"/>
      <c r="D3" s="113"/>
      <c r="E3" s="113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0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4" t="str">
        <f>IF(A5="","",VLOOKUP(A5,OSS[],MATCH("Situação da OS",OSS[#Headers],0),FALSE))</f>
        <v>Paralisada</v>
      </c>
      <c r="C5" s="114"/>
      <c r="D5" s="52" t="str">
        <f>IF(A5="","","em")</f>
        <v>em</v>
      </c>
      <c r="E5" s="56">
        <f>IF(A5="","",VLOOKUP(A5,OSS[],MATCH("Data Situação",OSS[#Headers],0),FALSE))</f>
        <v>42636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42628</v>
      </c>
      <c r="J6" s="20">
        <f>IF(I6="","",WORKDAY(IF(I7="",I6,IF(I7&gt;I6,I7,I6)),IF(IF(P7="",P6,P7)&lt;150,5,10)))</f>
        <v>42642</v>
      </c>
      <c r="K6" s="20">
        <f>IF(J6="","",J6+ROUND((IF(P7="",P6,IF(P7&gt;P6,P7,P6))/(19*LN(IF(P7="",P6,IF(P7&gt;P6,P7,P6)))-42))*30*SLA_PrazoAceite,0))</f>
        <v>42667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42678</v>
      </c>
      <c r="M6" s="20">
        <f>IF(K6="","",WORKDAY(K6,1))</f>
        <v>42668</v>
      </c>
      <c r="N6" s="20">
        <f>IF(M6="","",M6+SLA_PrazoGarantia)</f>
        <v>42848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23.9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59.8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239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113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4" t="str">
        <f>IF(A10="","",VLOOKUP(A10,OSS[],MATCH("Situação da OS",OSS[#Headers],0),FALSE))</f>
        <v>Paralisada</v>
      </c>
      <c r="C10" s="114"/>
      <c r="D10" s="52" t="str">
        <f>IF(A10="","","em")</f>
        <v>em</v>
      </c>
      <c r="E10" s="56">
        <f>IF(A10="","",VLOOKUP(A10,OSS[],MATCH("Data Situação",OSS[#Headers],0),FALSE))</f>
        <v>42644</v>
      </c>
      <c r="F10" s="112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2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42658</v>
      </c>
      <c r="J11" s="20">
        <f>IF(I11="","",WORKDAY(IF(I12="",I11,IF(I12&gt;I11,I12,I11)),IF(IF(P12="",P11,P12)&lt;150,5,10)))</f>
        <v>42664</v>
      </c>
      <c r="K11" s="20">
        <f>IF(J11="","",J11+ROUND((IF(P12="",P11,IF(P12&gt;P11,P12,P11))/(19*LN(IF(P12="",P11,IF(P12&gt;P11,P12,P11)))-42))*30*SLA_PrazoAceite,0))</f>
        <v>42677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42684</v>
      </c>
      <c r="M11" s="20">
        <f>IF(K11="","",WORKDAY(K11,1))</f>
        <v>42678</v>
      </c>
      <c r="N11" s="20">
        <f>IF(M11="","",M11+SLA_PrazoGarantia)</f>
        <v>42858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19.100000000000001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47.8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42639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191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127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4" t="str">
        <f>IF(A15="","",VLOOKUP(A15,OSS[],MATCH("Situação da OS",OSS[#Headers],0),FALSE))</f>
        <v>Reiniciada</v>
      </c>
      <c r="C15" s="114"/>
      <c r="D15" s="52" t="str">
        <f>IF(A15="","","em")</f>
        <v>em</v>
      </c>
      <c r="E15" s="56">
        <f>IF(A15="","",VLOOKUP(A15,OSS[],MATCH("Data Situação",OSS[#Headers],0),FALSE))</f>
        <v>42658</v>
      </c>
      <c r="F15" s="112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2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42671</v>
      </c>
      <c r="J16" s="20">
        <f>IF(I16="","",WORKDAY(IF(I17="",I16,IF(I17&gt;I16,I17,I16)),IF(IF(P17="",P16,P17)&lt;150,5,10)))</f>
        <v>42678</v>
      </c>
      <c r="K16" s="20">
        <f>IF(J16="","",J16+ROUND((IF(P17="",P16,IF(P17&gt;P16,P17,P16))/(19*LN(IF(P17="",P16,IF(P17&gt;P16,P17,P16)))-42))*30*SLA_PrazoAceite,0))</f>
        <v>42692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42699</v>
      </c>
      <c r="M16" s="20">
        <f>IF(K16="","",WORKDAY(K16,1))</f>
        <v>42695</v>
      </c>
      <c r="N16" s="20">
        <f>IF(M16="","",M16+SLA_PrazoGarantia)</f>
        <v>42875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17.8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44.5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0</v>
      </c>
      <c r="AD16" s="21">
        <f>IF(A15="","",AB16+AC16)</f>
        <v>0</v>
      </c>
      <c r="AE16" s="24">
        <f>IF(A15="","",AD16/IF($P17="",$P16,$P17))</f>
        <v>0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107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 t="str">
        <f ca="1">IF(A15="","",P18)</f>
        <v/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178</v>
      </c>
      <c r="O18" s="27" t="str">
        <f>IF(A15="","","Multa")</f>
        <v>Multa</v>
      </c>
      <c r="P18" s="54" t="str">
        <f ca="1">IF(SUM(Q18:Z18)=0,"",-ROUND(SUM(Q18:Z18),1))</f>
        <v/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 t="str">
        <f>IF(U17="","",IF(U16&gt;U17,"",ROUND((U17-U16)*100*(IF($P17="",$P16,$P17)*SLA_IQA_IGHA_Multa),2)))</f>
        <v/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4" t="str">
        <f>IF(P16="","",IF(AD18="","",AD18/IF($P17="",$P16,$P17)))</f>
        <v/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23.799999999999997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109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4" t="str">
        <f>IF(A20="","",VLOOKUP(A20,OSS[],MATCH("Situação da OS",OSS[#Headers],0),FALSE))</f>
        <v>Paralisada</v>
      </c>
      <c r="C20" s="114"/>
      <c r="D20" s="52" t="str">
        <f>IF(A20="","","em")</f>
        <v>em</v>
      </c>
      <c r="E20" s="56">
        <f>IF(A20="","",VLOOKUP(A20,OSS[],MATCH("Data Situação",OSS[#Headers],0),FALSE))</f>
        <v>42656</v>
      </c>
      <c r="F20" s="112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2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42653</v>
      </c>
      <c r="J21" s="20">
        <f>IF(I21="","",WORKDAY(IF(I22="",I21,IF(I22&gt;I21,I22,I21)),IF(IF(P22="",P21,P22)&lt;150,5,10)))</f>
        <v>42667</v>
      </c>
      <c r="K21" s="20">
        <f>IF(J21="","",J21+ROUND((IF(P22="",P21,IF(P22&gt;P21,P22,P21))/(19*LN(IF(P22="",P21,IF(P22&gt;P21,P22,P21)))-42))*30*SLA_PrazoAceite,0))</f>
        <v>42685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42689</v>
      </c>
      <c r="M21" s="20">
        <f>IF(K21="","",WORKDAY(K21,1))</f>
        <v>42688</v>
      </c>
      <c r="N21" s="20">
        <f>IF(M21="","",M21+SLA_PrazoGarantia)</f>
        <v>42868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16.100000000000001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40.299999999999997</v>
      </c>
      <c r="AA21" t="str">
        <f>IF(A20="","","Homologação")</f>
        <v>Homologação</v>
      </c>
      <c r="AB21" s="21">
        <f>IF(A20="","",VLOOKUP(A20,OSS[],MATCH("Não Grave - Homologação",OSS[#Headers],0),FALSE))</f>
        <v>8</v>
      </c>
      <c r="AC21" s="21">
        <f>IF(A20="","",VLOOKUP(A20,OSS[],MATCH("Grave - Homologação",OSS[#Headers],0),FALSE))</f>
        <v>4</v>
      </c>
      <c r="AD21" s="21">
        <f>IF(A20="","",AB21+AC21)</f>
        <v>12</v>
      </c>
      <c r="AE21" s="24">
        <f>IF(A20="","",AD21/IF($P22="",$P21,$P22))</f>
        <v>7.1216617210682495E-2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42647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4.7477744807121663E-2</v>
      </c>
      <c r="U22" s="24">
        <f>IF(J22="","",AC21/IF($P22="",$P21,$P22))</f>
        <v>2.3738872403560832E-2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161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8</v>
      </c>
      <c r="AC23" s="21">
        <f>IF(SUM(AC21:AC22)=0,"",SUM(AC21:AC22))</f>
        <v>4</v>
      </c>
      <c r="AD23" s="21">
        <f>IF(SUM(AB23:AC23)=0,"",SUM(AB23:AC23))</f>
        <v>12</v>
      </c>
      <c r="AE23" s="24">
        <f>IF(P21="","",IF(AD23="","",AD23/IF($P22="",$P21,$P22)))</f>
        <v>7.1216617210682495E-2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33.699999999999989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70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4" t="str">
        <f>IF(A25="","",VLOOKUP(A25,OSS[],MATCH("Situação da OS",OSS[#Headers],0),FALSE))</f>
        <v>Reentregue</v>
      </c>
      <c r="C25" s="114"/>
      <c r="D25" s="52" t="str">
        <f>IF(A25="","","em")</f>
        <v>em</v>
      </c>
      <c r="E25" s="56">
        <f>IF(A25="","",VLOOKUP(A25,OSS[],MATCH("Data Situação",OSS[#Headers],0),FALSE))</f>
        <v>42660</v>
      </c>
      <c r="F25" s="112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2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42634</v>
      </c>
      <c r="J26" s="20">
        <f>IF(I26="","",WORKDAY(IF(I27="",I26,IF(I27&gt;I26,I27,I26)),IF(IF(P27="",P26,P27)&lt;150,5,10)))</f>
        <v>42674</v>
      </c>
      <c r="K26" s="20">
        <f>IF(J26="","",J26+ROUND((IF(P27="",P26,IF(P27&gt;P26,P27,P26))/(19*LN(IF(P27="",P26,IF(P27&gt;P26,P27,P26)))-42))*30*SLA_PrazoAceite,0))</f>
        <v>42692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42669</v>
      </c>
      <c r="M26" s="20">
        <f>IF(K26="","",WORKDAY(K26,1))</f>
        <v>42695</v>
      </c>
      <c r="N26" s="20">
        <f>IF(M26="","",M26+SLA_PrazoGarantia)</f>
        <v>42875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13.3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33.299999999999997</v>
      </c>
      <c r="AA26" t="str">
        <f>IF(A25="","","Homologação")</f>
        <v>Homologação</v>
      </c>
      <c r="AB26" s="21">
        <f>IF(A25="","",VLOOKUP(A25,OSS[],MATCH("Não Grave - Homologação",OSS[#Headers],0),FALSE))</f>
        <v>8</v>
      </c>
      <c r="AC26" s="21">
        <f>IF(A25="","",VLOOKUP(A25,OSS[],MATCH("Grave - Homologação",OSS[#Headers],0),FALSE))</f>
        <v>4</v>
      </c>
      <c r="AD26" s="21">
        <f>IF(A25="","",AB26+AC26)</f>
        <v>12</v>
      </c>
      <c r="AE26" s="24">
        <f>IF(A25="","",AD26/IF($P27="",$P26,$P27))</f>
        <v>7.4999999999999997E-2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42660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0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0.05</v>
      </c>
      <c r="U27" s="24">
        <f>IF(J27="","",AC26/IF($P27="",$P26,$P27))</f>
        <v>2.5000000000000001E-2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0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133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>
        <f>IF(SUM(AB26:AB27)=0,"",SUM(AB26:AB27))</f>
        <v>8</v>
      </c>
      <c r="AC28" s="21">
        <f>IF(SUM(AC26:AC27)=0,"",SUM(AC26:AC27))</f>
        <v>4</v>
      </c>
      <c r="AD28" s="21">
        <f>IF(SUM(AB28:AC28)=0,"",SUM(AB28:AC28))</f>
        <v>12</v>
      </c>
      <c r="AE28" s="24">
        <f>IF(P26="","",IF(AD28="","",AD28/IF($P27="",$P26,$P27)))</f>
        <v>7.4999999999999997E-2</v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45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4" t="str">
        <f>IF(A30="","",VLOOKUP(A30,OSS[],MATCH("Situação da OS",OSS[#Headers],0),FALSE))</f>
        <v>Reiniciada</v>
      </c>
      <c r="C30" s="114"/>
      <c r="D30" s="52" t="str">
        <f>IF(A30="","","em")</f>
        <v>em</v>
      </c>
      <c r="E30" s="56">
        <f>IF(A30="","",VLOOKUP(A30,OSS[],MATCH("Data Situação",OSS[#Headers],0),FALSE))</f>
        <v>42632</v>
      </c>
      <c r="F30" s="112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2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42690</v>
      </c>
      <c r="J31" s="20">
        <f>IF(I31="","",WORKDAY(IF(I32="",I31,IF(I32&gt;I31,I32,I31)),IF(IF(P32="",P31,P32)&lt;150,5,10)))</f>
        <v>42697</v>
      </c>
      <c r="K31" s="20">
        <f>IF(J31="","",J31+ROUND((IF(P32="",P31,IF(P32&gt;P31,P32,P31))/(19*LN(IF(P32="",P31,IF(P32&gt;P31,P32,P31)))-42))*30*SLA_PrazoAceite,0))</f>
        <v>42708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42711</v>
      </c>
      <c r="M31" s="20">
        <f>IF(K31="","",WORKDAY(K31,1))</f>
        <v>42709</v>
      </c>
      <c r="N31" s="20">
        <f>IF(M31="","",M31+SLA_PrazoGarantia)</f>
        <v>42889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15.4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38.5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>70</v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154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70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100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4" t="str">
        <f>IF(A35="","",VLOOKUP(A35,OSS[],MATCH("Situação da OS",OSS[#Headers],0),FALSE))</f>
        <v>Reiniciada</v>
      </c>
      <c r="C35" s="114"/>
      <c r="D35" s="52" t="str">
        <f>IF(A35="","","em")</f>
        <v>em</v>
      </c>
      <c r="E35" s="56">
        <f>IF(A35="","",VLOOKUP(A35,OSS[],MATCH("Data Situação",OSS[#Headers],0),FALSE))</f>
        <v>42642</v>
      </c>
      <c r="F35" s="112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2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42672</v>
      </c>
      <c r="J36" s="20">
        <f>IF(I36="","",WORKDAY(IF(I37="",I36,IF(I37&gt;I36,I37,I36)),IF(IF(P37="",P36,P37)&lt;150,5,10)))</f>
        <v>42678</v>
      </c>
      <c r="K36" s="20">
        <f>IF(J36="","",J36+ROUND((IF(P37="",P36,IF(P37&gt;P36,P37,P36))/(19*LN(IF(P37="",P36,IF(P37&gt;P36,P37,P36)))-42))*30*SLA_PrazoAceite,0))</f>
        <v>42689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42693</v>
      </c>
      <c r="M36" s="20">
        <f>IF(K36="","",WORKDAY(K36,1))</f>
        <v>42690</v>
      </c>
      <c r="N36" s="20">
        <f>IF(M36="","",M36+SLA_PrazoGarantia)</f>
        <v>42870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9.6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24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96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42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4" t="str">
        <f>IF(A40="","",VLOOKUP(A40,OSS[],MATCH("Situação da OS",OSS[#Headers],0),FALSE))</f>
        <v>Paralisada</v>
      </c>
      <c r="C40" s="114"/>
      <c r="D40" s="52" t="str">
        <f>IF(A40="","","em")</f>
        <v>em</v>
      </c>
      <c r="E40" s="56">
        <f>IF(A40="","",VLOOKUP(A40,OSS[],MATCH("Data Situação",OSS[#Headers],0),FALSE))</f>
        <v>42604</v>
      </c>
      <c r="F40" s="112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2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42726</v>
      </c>
      <c r="J41" s="20">
        <f>IF(I41="","",WORKDAY(IF(I42="",I41,IF(I42&gt;I41,I42,I41)),IF(IF(P42="",P41,P42)&lt;150,5,10)))</f>
        <v>42740</v>
      </c>
      <c r="K41" s="20">
        <f>IF(J41="","",J41+ROUND((IF(P42="",P41,IF(P42&gt;P41,P42,P41))/(19*LN(IF(P42="",P41,IF(P42&gt;P41,P42,P41)))-42))*30*SLA_PrazoAceite,0))</f>
        <v>42762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42770</v>
      </c>
      <c r="M41" s="20">
        <f>IF(K41="","",WORKDAY(K41,1))</f>
        <v>42765</v>
      </c>
      <c r="N41" s="20">
        <f>IF(M41="","",M41+SLA_PrazoGarantia)</f>
        <v>42945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16.5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41.3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165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55</v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4" t="str">
        <f>IF(A45="","",VLOOKUP(A45,OSS[],MATCH("Situação da OS",OSS[#Headers],0),FALSE))</f>
        <v>Paralisada</v>
      </c>
      <c r="C45" s="114"/>
      <c r="D45" s="52" t="str">
        <f>IF(A45="","","em")</f>
        <v>em</v>
      </c>
      <c r="E45" s="56">
        <f>IF(A45="","",VLOOKUP(A45,OSS[],MATCH("Data Situação",OSS[#Headers],0),FALSE))</f>
        <v>42646</v>
      </c>
      <c r="F45" s="112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2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42652</v>
      </c>
      <c r="J46" s="20">
        <f>IF(I46="","",WORKDAY(IF(I47="",I46,IF(I47&gt;I46,I47,I46)),IF(IF(P47="",P46,P47)&lt;150,5,10)))</f>
        <v>42657</v>
      </c>
      <c r="K46" s="20">
        <f>IF(J46="","",J46+ROUND((IF(P47="",P46,IF(P47&gt;P46,P47,P46))/(19*LN(IF(P47="",P46,IF(P47&gt;P46,P47,P46)))-42))*30*SLA_PrazoAceite,0))</f>
        <v>42665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42668</v>
      </c>
      <c r="M46" s="20">
        <f>IF(K46="","",WORKDAY(K46,1))</f>
        <v>42667</v>
      </c>
      <c r="N46" s="20">
        <f>IF(M46="","",M46+SLA_PrazoGarantia)</f>
        <v>42847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7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17.5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70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31</v>
      </c>
      <c r="M49" s="20"/>
      <c r="N49" s="20"/>
      <c r="O49" s="33"/>
      <c r="P49" s="35"/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4" t="str">
        <f>IF(A50="","",VLOOKUP(A50,OSS[],MATCH("Situação da OS",OSS[#Headers],0),FALSE))</f>
        <v>Plano Entregue</v>
      </c>
      <c r="C50" s="114"/>
      <c r="D50" s="52" t="str">
        <f>IF(A50="","","em")</f>
        <v>em</v>
      </c>
      <c r="E50" s="56">
        <f>IF(A50="","",VLOOKUP(A50,OSS[],MATCH("Data Situação",OSS[#Headers],0),FALSE))</f>
        <v>42647</v>
      </c>
      <c r="F50" s="112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2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42666</v>
      </c>
      <c r="J51" s="20">
        <f>IF(I51="","",WORKDAY(IF(I52="",I51,IF(I52&gt;I51,I52,I51)),IF(IF(P52="",P51,P52)&lt;150,5,10)))</f>
        <v>42671</v>
      </c>
      <c r="K51" s="20">
        <f>IF(J51="","",J51+ROUND((IF(P52="",P51,IF(P52&gt;P51,P52,P51))/(19*LN(IF(P52="",P51,IF(P52&gt;P51,P52,P51)))-42))*30*SLA_PrazoAceite,0))</f>
        <v>42680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42684</v>
      </c>
      <c r="M51" s="20">
        <f>IF(K51="","",WORKDAY(K51,1))</f>
        <v>42681</v>
      </c>
      <c r="N51" s="20">
        <f>IF(M51="","",M51+SLA_PrazoGarantia)</f>
        <v>42861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4.4000000000000004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11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44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/>
      </c>
      <c r="L54" s="65" t="str">
        <f>IF(G51="","",IF(IFERROR(VLOOKUP(A50,OSS[],MATCH("Acréscimo de Dias",OSS[#Headers],0),FALSE),0)=0,"",VLOOKUP(A50,OSS[],MATCH("Acréscimo de Dias",OSS[#Headers],0),FALSE)))</f>
        <v/>
      </c>
      <c r="M54" s="20"/>
      <c r="N54" s="20"/>
      <c r="O54" s="33"/>
      <c r="P54" s="35"/>
    </row>
    <row r="55" spans="1:33" ht="15.75" x14ac:dyDescent="0.25">
      <c r="A5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14" t="str">
        <f>IF(A55="","",VLOOKUP(A55,OSS[],MATCH("Situação da OS",OSS[#Headers],0),FALSE))</f>
        <v/>
      </c>
      <c r="C55" s="114"/>
      <c r="D55" s="52" t="str">
        <f>IF(A55="","","em")</f>
        <v/>
      </c>
      <c r="E55" s="56" t="str">
        <f>IF(A55="","",VLOOKUP(A55,OSS[],MATCH("Data Situação",OSS[#Headers],0),FALSE))</f>
        <v/>
      </c>
      <c r="F55" s="112" t="str">
        <f>IF(A55="","","Titulo:")</f>
        <v/>
      </c>
      <c r="G55" s="29" t="str">
        <f>IF(A55="","",LEFT(VLOOKUP(A55,OSS[],MATCH("Titulo",OSS[#Headers],0),FALSE),80))</f>
        <v/>
      </c>
      <c r="H55" s="28"/>
      <c r="I55" s="28"/>
      <c r="J55" s="28"/>
      <c r="K55" s="28"/>
      <c r="L55" s="28"/>
      <c r="M55" s="28"/>
      <c r="N55" s="28"/>
      <c r="O55" s="28"/>
      <c r="P55" s="28"/>
      <c r="Q55" s="112" t="str">
        <f>IF(A55="","","Tipo da OS:")</f>
        <v/>
      </c>
      <c r="R55" s="29" t="str">
        <f>IF(A55="","",VLOOKUP(A55,OSS[],MATCH("Tipo",OSS[#Headers],0),FALSE))</f>
        <v/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/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/>
      </c>
      <c r="D56" s="81" t="str">
        <f>IF(E56="","",ROUND(IF($P57="",$P56,$P57)*E56,1))</f>
        <v/>
      </c>
      <c r="E56" s="87" t="str">
        <f>IF(A55="","",IF(D59&lt;0,0,IF(B55="Recebida",0.8,IF(B55="Aceita",0.2,0))))</f>
        <v/>
      </c>
      <c r="F56" s="34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IF(G56="","",G56+ROUND(((IF(P57="",P56,P57)/(19*LN(IF(P57="",P56,P57))-42))*30*SLA_PrazoEntrega)+IF(VLOOKUP(A55,OSS[],MATCH("Acréscimo de Dias",OSS[#Headers],0),FALSE)="",0,VLOOKUP(A55,OSS[],MATCH("Acréscimo de Dias",OSS[#Headers],0),FALSE)),0))</f>
        <v/>
      </c>
      <c r="J56" s="20" t="str">
        <f>IF(I56="","",WORKDAY(IF(I57="",I56,IF(I57&gt;I56,I57,I56)),IF(IF(P57="",P56,P57)&lt;150,5,10)))</f>
        <v/>
      </c>
      <c r="K56" s="20" t="str">
        <f>IF(J56="","",J56+ROUND((IF(P57="",P56,IF(P57&gt;P56,P57,P56))/(19*LN(IF(P57="",P56,IF(P57&gt;P56,P57,P56)))-42))*30*SLA_PrazoAceite,0))</f>
        <v/>
      </c>
      <c r="L56" s="20" t="str">
        <f>IF(G56="","",G56+ROUND(((IF(P57="",P56,P57)/(19*LN(IF(P57="",P56,P57))-42))*30)+IF(VLOOKUP(A55,OSS[],MATCH("Acréscimo de Dias",OSS[#Headers],0),FALSE)="",0,VLOOKUP(A55,OSS[],MATCH("Acréscimo de Dias",OSS[#Headers],0),FALSE)),0))</f>
        <v/>
      </c>
      <c r="M56" s="20" t="str">
        <f>IF(K56="","",WORKDAY(K56,1))</f>
        <v/>
      </c>
      <c r="N56" s="20" t="str">
        <f>IF(M56="","",M56+SLA_PrazoGarantia)</f>
        <v/>
      </c>
      <c r="O56" s="27" t="str">
        <f>IF(A55="","","Previsto")</f>
        <v/>
      </c>
      <c r="P56" s="21" t="str">
        <f>IF(A55="","",VLOOKUP(A55,OSS[],MATCH("PF Previsto",OSS[#Headers],0),FALSE))</f>
        <v/>
      </c>
      <c r="Q56" s="54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24" t="str">
        <f>IF(F56="","",SLA_IQA_INGHA)</f>
        <v/>
      </c>
      <c r="U56" s="24" t="str">
        <f>IF(F56="","",SLA_IQA_IGHA)</f>
        <v/>
      </c>
      <c r="V56" s="24" t="str">
        <f>IF(F56="","",SLA_IQA_INGG)</f>
        <v/>
      </c>
      <c r="W56" s="24" t="str">
        <f>IF(F56="","",SLA_IQA_IGG)</f>
        <v/>
      </c>
      <c r="X56" s="54" t="str">
        <f>IF(F56="","",ROUND((G56-F56)*SLA_ICA_IOS,1))</f>
        <v/>
      </c>
      <c r="Y56" s="54" t="str">
        <f>IF(OR(R55="Hora Java",R55="Hora dotNet"),SLA_ICA_SP,"")</f>
        <v/>
      </c>
      <c r="Z56" s="54" t="str">
        <f>IF(F56="","",ROUND((L56-G56)*SLA_ICA_EOS,1))</f>
        <v/>
      </c>
      <c r="AA56" t="str">
        <f>IF(A55="","","Homologação")</f>
        <v/>
      </c>
      <c r="AB56" s="21" t="str">
        <f>IF(A55="","",VLOOKUP(A55,OSS[],MATCH("Não Grave - Homologação",OSS[#Headers],0),FALSE))</f>
        <v/>
      </c>
      <c r="AC56" s="21" t="str">
        <f>IF(A55="","",VLOOKUP(A55,OSS[],MATCH("Grave - Homologação",OSS[#Headers],0),FALSE))</f>
        <v/>
      </c>
      <c r="AD56" s="21" t="str">
        <f>IF(A55="","",AB56+AC56)</f>
        <v/>
      </c>
      <c r="AE56" s="24" t="str">
        <f>IF(A55="","",AD56/IF($P57="",$P56,$P57))</f>
        <v/>
      </c>
      <c r="AF56" s="21" t="str">
        <f>IF(A55="","",VLOOKUP(A55,OSS[],MATCH("Atrasos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/>
      </c>
      <c r="C57" s="81"/>
      <c r="D57" s="81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/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>IF(F56="","",IF(G57="",IF(DataRef&lt;G56,"",DataRef-G56),IF(G57&lt;G56,"",G57-G56)))</f>
        <v/>
      </c>
      <c r="Y57" s="54" t="str">
        <f>IF(OR(R55="Hora Java",R55="Hora dotNet"),AG56,"")</f>
        <v/>
      </c>
      <c r="Z57" s="54" t="str">
        <f>IF(F56="","",IF(L57="",IF(DataRef&lt;L56,L56,DataRef),L57)-L56)</f>
        <v/>
      </c>
      <c r="AA57" t="str">
        <f>IF(A55="","","Garantia")</f>
        <v/>
      </c>
      <c r="AB57" s="21" t="str">
        <f>IF(A55="","",VLOOKUP(A55,OSS[],MATCH("Não Grave - Garantia",OSS[#Headers],0),FALSE))</f>
        <v/>
      </c>
      <c r="AC57" s="21" t="str">
        <f>IF(A55="","",VLOOKUP(A55,OSS[],MATCH("Grave - Garantia",OSS[#Headers],0),FALSE))</f>
        <v/>
      </c>
      <c r="AD57" s="21" t="str">
        <f>IF(A55="","",AB57+AC57)</f>
        <v/>
      </c>
      <c r="AE57" s="24" t="str">
        <f>IF(A55="","",AD57/IF($P57="",$P56,$P57))</f>
        <v/>
      </c>
      <c r="AF57" s="21" t="str">
        <f>IF(A55="","",VLOOKUP(A55,OSS[],MATCH("Atrasos para Correção Garantia",OSS[#Headers],0),FALSE))</f>
        <v/>
      </c>
    </row>
    <row r="58" spans="1:33" ht="15.75" x14ac:dyDescent="0.25">
      <c r="B58" s="63" t="str">
        <f>IF(A55="","","Multa")</f>
        <v/>
      </c>
      <c r="C58" s="82"/>
      <c r="D58" s="81" t="str">
        <f>IF(A55="","",P58)</f>
        <v/>
      </c>
      <c r="E58" s="35"/>
      <c r="K58" s="64" t="str">
        <f>IF(A55="","","Prazo previsto para execução em dias corridos")</f>
        <v/>
      </c>
      <c r="L58" s="65" t="str">
        <f>IF(G56="","",ROUND((IF(P57="",P56,P57)/(19*LN(IF(P57="",P56,P57))-42))*30,0)+IF(VLOOKUP(A55,OSS[],MATCH("Acréscimo de Dias",OSS[#Headers],0),FALSE)="",0,VLOOKUP(A55,OSS[],MATCH("Acréscimo de Dias",OSS[#Headers],0),FALSE)))</f>
        <v/>
      </c>
      <c r="O58" s="27" t="str">
        <f>IF(A55="","","Multa")</f>
        <v/>
      </c>
      <c r="P58" s="54" t="str">
        <f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/>
      </c>
      <c r="C59" s="88" t="str">
        <f>IF(A55="","",IF(D59&lt;0,D59,IF(D56=0,0,IF(D56&gt;D59,D56-D59,D56))))</f>
        <v/>
      </c>
      <c r="D59" s="81" t="str">
        <f>IF(P56="","",IF($P57="",$P56,$P57)+IF(D58="",0,D58)-IF(D57="",0,D57))</f>
        <v/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14" t="str">
        <f>IF(A60="","",VLOOKUP(A60,OSS[],MATCH("Situação da OS",OSS[#Headers],0),FALSE))</f>
        <v/>
      </c>
      <c r="C60" s="114"/>
      <c r="D60" s="52" t="str">
        <f>IF(A60="","","em")</f>
        <v/>
      </c>
      <c r="E60" s="56" t="str">
        <f>IF(A60="","",VLOOKUP(A60,OSS[],MATCH("Data Situação",OSS[#Headers],0),FALSE))</f>
        <v/>
      </c>
      <c r="F60" s="112" t="str">
        <f>IF(A60="","","Titulo:")</f>
        <v/>
      </c>
      <c r="G60" s="29" t="str">
        <f>IF(A60="","",LEFT(VLOOKUP(A60,OSS[],MATCH("Titulo",OSS[#Headers],0),FALSE),80))</f>
        <v/>
      </c>
      <c r="H60" s="28"/>
      <c r="I60" s="28"/>
      <c r="J60" s="28"/>
      <c r="K60" s="28"/>
      <c r="L60" s="28"/>
      <c r="M60" s="28"/>
      <c r="N60" s="28"/>
      <c r="O60" s="28"/>
      <c r="P60" s="28"/>
      <c r="Q60" s="112" t="str">
        <f>IF(A60="","","Tipo da OS:")</f>
        <v/>
      </c>
      <c r="R60" s="29" t="str">
        <f>IF(A60="","",VLOOKUP(A60,OSS[],MATCH("Tipo",OSS[#Headers],0),FALSE))</f>
        <v/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/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/>
      </c>
      <c r="D61" s="81" t="str">
        <f>IF(E61="","",ROUND(IF($P62="",$P61,$P62)*E61,1))</f>
        <v/>
      </c>
      <c r="E61" s="87" t="str">
        <f>IF(A60="","",IF(D64&lt;0,0,IF(B60="Recebida",0.8,IF(B60="Aceita",0.2,0))))</f>
        <v/>
      </c>
      <c r="F61" s="34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IF(G61="","",G61+ROUND(((IF(P62="",P61,P62)/(19*LN(IF(P62="",P61,P62))-42))*30*SLA_PrazoEntrega)+IF(VLOOKUP(A60,OSS[],MATCH("Acréscimo de Dias",OSS[#Headers],0),FALSE)="",0,VLOOKUP(A60,OSS[],MATCH("Acréscimo de Dias",OSS[#Headers],0),FALSE)),0))</f>
        <v/>
      </c>
      <c r="J61" s="20" t="str">
        <f>IF(I61="","",WORKDAY(IF(I62="",I61,IF(I62&gt;I61,I62,I61)),IF(IF(P62="",P61,P62)&lt;150,5,10)))</f>
        <v/>
      </c>
      <c r="K61" s="20" t="str">
        <f>IF(J61="","",J61+ROUND((IF(P62="",P61,IF(P62&gt;P61,P62,P61))/(19*LN(IF(P62="",P61,IF(P62&gt;P61,P62,P61)))-42))*30*SLA_PrazoAceite,0))</f>
        <v/>
      </c>
      <c r="L61" s="20" t="str">
        <f>IF(G61="","",G61+ROUND(((IF(P62="",P61,P62)/(19*LN(IF(P62="",P61,P62))-42))*30)+IF(VLOOKUP(A60,OSS[],MATCH("Acréscimo de Dias",OSS[#Headers],0),FALSE)="",0,VLOOKUP(A60,OSS[],MATCH("Acréscimo de Dias",OSS[#Headers],0),FALSE)),0))</f>
        <v/>
      </c>
      <c r="M61" s="20" t="str">
        <f>IF(K61="","",WORKDAY(K61,1))</f>
        <v/>
      </c>
      <c r="N61" s="20" t="str">
        <f>IF(M61="","",M61+SLA_PrazoGarantia)</f>
        <v/>
      </c>
      <c r="O61" s="27" t="str">
        <f>IF(A60="","","Previsto")</f>
        <v/>
      </c>
      <c r="P61" s="21" t="str">
        <f>IF(A60="","",VLOOKUP(A60,OSS[],MATCH("PF Previsto",OSS[#Headers],0),FALSE))</f>
        <v/>
      </c>
      <c r="Q61" s="54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24" t="str">
        <f>IF(F61="","",SLA_IQA_INGHA)</f>
        <v/>
      </c>
      <c r="U61" s="24" t="str">
        <f>IF(F61="","",SLA_IQA_IGHA)</f>
        <v/>
      </c>
      <c r="V61" s="24" t="str">
        <f>IF(F61="","",SLA_IQA_INGG)</f>
        <v/>
      </c>
      <c r="W61" s="24" t="str">
        <f>IF(F61="","",SLA_IQA_IGG)</f>
        <v/>
      </c>
      <c r="X61" s="54" t="str">
        <f>IF(F61="","",ROUND((G61-F61)*SLA_ICA_IOS,1))</f>
        <v/>
      </c>
      <c r="Y61" s="54" t="str">
        <f>IF(OR(R60="Hora Java",R60="Hora dotNet"),SLA_ICA_SP,"")</f>
        <v/>
      </c>
      <c r="Z61" s="54" t="str">
        <f>IF(F61="","",ROUND((L61-G61)*SLA_ICA_EOS,1))</f>
        <v/>
      </c>
      <c r="AA61" t="str">
        <f>IF(A60="","","Homologação")</f>
        <v/>
      </c>
      <c r="AB61" s="21" t="str">
        <f>IF(A60="","",VLOOKUP(A60,OSS[],MATCH("Não Grave - Homologação",OSS[#Headers],0),FALSE))</f>
        <v/>
      </c>
      <c r="AC61" s="21" t="str">
        <f>IF(A60="","",VLOOKUP(A60,OSS[],MATCH("Grave - Homologação",OSS[#Headers],0),FALSE))</f>
        <v/>
      </c>
      <c r="AD61" s="21" t="str">
        <f>IF(A60="","",AB61+AC61)</f>
        <v/>
      </c>
      <c r="AE61" s="24" t="str">
        <f>IF(A60="","",AD61/IF($P62="",$P61,$P62))</f>
        <v/>
      </c>
      <c r="AF61" s="21" t="str">
        <f>IF(A60="","",VLOOKUP(A60,OSS[],MATCH("Atrasos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/>
      </c>
      <c r="C62" s="81"/>
      <c r="D62" s="81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/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>IF(F61="","",IF(G62="",IF(DataRef&lt;G61,"",DataRef-G61),IF(G62&lt;G61,"",G62-G61)))</f>
        <v/>
      </c>
      <c r="Y62" s="54" t="str">
        <f>IF(OR(R60="Hora Java",R60="Hora dotNet"),AG61,"")</f>
        <v/>
      </c>
      <c r="Z62" s="54" t="str">
        <f>IF(F61="","",IF(L62="",IF(DataRef&lt;L61,L61,DataRef),L62)-L61)</f>
        <v/>
      </c>
      <c r="AA62" t="str">
        <f>IF(A60="","","Garantia")</f>
        <v/>
      </c>
      <c r="AB62" s="21" t="str">
        <f>IF(A60="","",VLOOKUP(A60,OSS[],MATCH("Não Grave - Garantia",OSS[#Headers],0),FALSE))</f>
        <v/>
      </c>
      <c r="AC62" s="21" t="str">
        <f>IF(A60="","",VLOOKUP(A60,OSS[],MATCH("Grave - Garantia",OSS[#Headers],0),FALSE))</f>
        <v/>
      </c>
      <c r="AD62" s="21" t="str">
        <f>IF(A60="","",AB62+AC62)</f>
        <v/>
      </c>
      <c r="AE62" s="24" t="str">
        <f>IF(A60="","",AD62/IF($P62="",$P61,$P62))</f>
        <v/>
      </c>
      <c r="AF62" s="21" t="str">
        <f>IF(A60="","",VLOOKUP(A60,OSS[],MATCH("Atrasos para Correção Garantia",OSS[#Headers],0),FALSE))</f>
        <v/>
      </c>
    </row>
    <row r="63" spans="1:33" ht="15.75" x14ac:dyDescent="0.25">
      <c r="B63" s="63" t="str">
        <f>IF(A60="","","Multa")</f>
        <v/>
      </c>
      <c r="C63" s="82"/>
      <c r="D63" s="81" t="str">
        <f>IF(A60="","",P63)</f>
        <v/>
      </c>
      <c r="E63" s="35"/>
      <c r="K63" s="64" t="str">
        <f>IF(A60="","","Prazo previsto para execução em dias corridos")</f>
        <v/>
      </c>
      <c r="L63" s="65" t="str">
        <f>IF(G61="","",ROUND((IF(P62="",P61,P62)/(19*LN(IF(P62="",P61,P62))-42))*30,0)+IF(VLOOKUP(A60,OSS[],MATCH("Acréscimo de Dias",OSS[#Headers],0),FALSE)="",0,VLOOKUP(A60,OSS[],MATCH("Acréscimo de Dias",OSS[#Headers],0),FALSE)))</f>
        <v/>
      </c>
      <c r="O63" s="27" t="str">
        <f>IF(A60="","","Multa")</f>
        <v/>
      </c>
      <c r="P63" s="54" t="str">
        <f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/>
      </c>
      <c r="C64" s="88" t="str">
        <f>IF(A60="","",IF(D64&lt;0,D64,IF(D61=0,0,IF(D61&gt;D64,D61-D64,D61))))</f>
        <v/>
      </c>
      <c r="D64" s="81" t="str">
        <f>IF(P61="","",IF($P62="",$P61,$P62)+IF(D63="",0,D63)-IF(D62="",0,D62))</f>
        <v/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4" t="str">
        <f>IF(A65="","",VLOOKUP(A65,OSS[],MATCH("Situação da OS",OSS[#Headers],0),FALSE))</f>
        <v/>
      </c>
      <c r="C65" s="114"/>
      <c r="D65" s="52" t="str">
        <f>IF(A65="","","em")</f>
        <v/>
      </c>
      <c r="E65" s="56" t="str">
        <f>IF(A65="","",VLOOKUP(A65,OSS[],MATCH("Data Situação",OSS[#Headers],0),FALSE))</f>
        <v/>
      </c>
      <c r="F65" s="112" t="str">
        <f>IF(A65="","","Titulo:")</f>
        <v/>
      </c>
      <c r="G65" s="29" t="str">
        <f>IF(A65="","",LEFT(VLOOKUP(A65,OSS[],MATCH("Titulo",OSS[#Headers],0),FALSE),80))</f>
        <v/>
      </c>
      <c r="H65" s="28"/>
      <c r="I65" s="28"/>
      <c r="J65" s="28"/>
      <c r="K65" s="28"/>
      <c r="L65" s="28"/>
      <c r="M65" s="28"/>
      <c r="N65" s="28"/>
      <c r="O65" s="28"/>
      <c r="P65" s="28"/>
      <c r="Q65" s="112" t="str">
        <f>IF(A65="","","Tipo da OS:")</f>
        <v/>
      </c>
      <c r="R65" s="29" t="str">
        <f>IF(A65="","",VLOOKUP(A65,OSS[],MATCH("Tipo",OSS[#Headers],0),FALSE))</f>
        <v/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/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/>
      </c>
      <c r="D66" s="81" t="str">
        <f>IF(E66="","",ROUND(IF($P67="",$P66,$P67)*E66,1))</f>
        <v/>
      </c>
      <c r="E66" s="87" t="str">
        <f>IF(A65="","",IF(D69&lt;0,0,IF(B65="Recebida",0.8,IF(B65="Aceita",0.2,0))))</f>
        <v/>
      </c>
      <c r="F66" s="34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IF(G66="","",G66+ROUND(((IF(P67="",P66,P67)/(19*LN(IF(P67="",P66,P67))-42))*30*SLA_PrazoEntrega)+IF(VLOOKUP(A65,OSS[],MATCH("Acréscimo de Dias",OSS[#Headers],0),FALSE)="",0,VLOOKUP(A65,OSS[],MATCH("Acréscimo de Dias",OSS[#Headers],0),FALSE)),0))</f>
        <v/>
      </c>
      <c r="J66" s="20" t="str">
        <f>IF(I66="","",WORKDAY(IF(I67="",I66,IF(I67&gt;I66,I67,I66)),IF(IF(P67="",P66,P67)&lt;150,5,10)))</f>
        <v/>
      </c>
      <c r="K66" s="20" t="str">
        <f>IF(J66="","",J66+ROUND((IF(P67="",P66,IF(P67&gt;P66,P67,P66))/(19*LN(IF(P67="",P66,IF(P67&gt;P66,P67,P66)))-42))*30*SLA_PrazoAceite,0))</f>
        <v/>
      </c>
      <c r="L66" s="20" t="str">
        <f>IF(G66="","",G66+ROUND(((IF(P67="",P66,P67)/(19*LN(IF(P67="",P66,P67))-42))*30)+IF(VLOOKUP(A65,OSS[],MATCH("Acréscimo de Dias",OSS[#Headers],0),FALSE)="",0,VLOOKUP(A65,OSS[],MATCH("Acréscimo de Dias",OSS[#Headers],0),FALSE)),0))</f>
        <v/>
      </c>
      <c r="M66" s="20" t="str">
        <f>IF(K66="","",WORKDAY(K66,1))</f>
        <v/>
      </c>
      <c r="N66" s="20" t="str">
        <f>IF(M66="","",M66+SLA_PrazoGarantia)</f>
        <v/>
      </c>
      <c r="O66" s="27" t="str">
        <f>IF(A65="","","Previsto")</f>
        <v/>
      </c>
      <c r="P66" s="21" t="str">
        <f>IF(A65="","",VLOOKUP(A65,OSS[],MATCH("PF Previsto",OSS[#Headers],0),FALSE))</f>
        <v/>
      </c>
      <c r="Q66" s="54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24" t="str">
        <f>IF(F66="","",SLA_IQA_INGHA)</f>
        <v/>
      </c>
      <c r="U66" s="24" t="str">
        <f>IF(F66="","",SLA_IQA_IGHA)</f>
        <v/>
      </c>
      <c r="V66" s="24" t="str">
        <f>IF(F66="","",SLA_IQA_INGG)</f>
        <v/>
      </c>
      <c r="W66" s="24" t="str">
        <f>IF(F66="","",SLA_IQA_IGG)</f>
        <v/>
      </c>
      <c r="X66" s="54" t="str">
        <f>IF(F66="","",ROUND((G66-F66)*SLA_ICA_IOS,1))</f>
        <v/>
      </c>
      <c r="Y66" s="54" t="str">
        <f>IF(OR(R65="Hora Java",R65="Hora dotNet"),SLA_ICA_SP,"")</f>
        <v/>
      </c>
      <c r="Z66" s="54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4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/>
      </c>
      <c r="C67" s="81"/>
      <c r="D67" s="81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/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>IF(F66="","",IF(G67="",IF(DataRef&lt;G66,"",DataRef-G66),IF(G67&lt;G66,"",G67-G66)))</f>
        <v/>
      </c>
      <c r="Y67" s="54" t="str">
        <f>IF(OR(R65="Hora Java",R65="Hora dotNet"),AG66,"")</f>
        <v/>
      </c>
      <c r="Z67" s="54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4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3" t="str">
        <f>IF(A65="","","Multa")</f>
        <v/>
      </c>
      <c r="C68" s="82"/>
      <c r="D68" s="81" t="str">
        <f>IF(A65="","",P68)</f>
        <v/>
      </c>
      <c r="E68" s="35"/>
      <c r="K68" s="64" t="str">
        <f>IF(A65="","","Prazo previsto para execução em dias corridos")</f>
        <v/>
      </c>
      <c r="L68" s="65" t="str">
        <f>IF(G66="","",ROUND((IF(P67="",P66,P67)/(19*LN(IF(P67="",P66,P67))-42))*30,0)+IF(VLOOKUP(A65,OSS[],MATCH("Acréscimo de Dias",OSS[#Headers],0),FALSE)="",0,VLOOKUP(A65,OSS[],MATCH("Acréscimo de Dias",OSS[#Headers],0),FALSE)))</f>
        <v/>
      </c>
      <c r="O68" s="27" t="str">
        <f>IF(A65="","","Multa")</f>
        <v/>
      </c>
      <c r="P68" s="54" t="str">
        <f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/>
      </c>
      <c r="C69" s="88" t="str">
        <f>IF(A65="","",IF(D69&lt;0,D69,IF(D66=0,0,IF(D66&gt;D69,D66-D69,D66))))</f>
        <v/>
      </c>
      <c r="D69" s="81" t="str">
        <f>IF(P66="","",IF($P67="",$P66,$P67)+IF(D68="",0,D68)-IF(D67="",0,D67))</f>
        <v/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4" t="str">
        <f>IF(A70="","",VLOOKUP(A70,OSS[],MATCH("Situação da OS",OSS[#Headers],0),FALSE))</f>
        <v/>
      </c>
      <c r="C70" s="114"/>
      <c r="D70" s="52" t="str">
        <f>IF(A70="","","em")</f>
        <v/>
      </c>
      <c r="E70" s="56" t="str">
        <f>IF(A70="","",VLOOKUP(A70,OSS[],MATCH("Data Situação",OSS[#Headers],0),FALSE))</f>
        <v/>
      </c>
      <c r="F70" s="112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2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4" t="str">
        <f>IF(A75="","",VLOOKUP(A75,OSS[],MATCH("Situação da OS",OSS[#Headers],0),FALSE))</f>
        <v/>
      </c>
      <c r="C75" s="114"/>
      <c r="D75" s="52" t="str">
        <f>IF(A75="","","em")</f>
        <v/>
      </c>
      <c r="E75" s="56" t="str">
        <f>IF(A75="","",VLOOKUP(A75,OSS[],MATCH("Data Situação",OSS[#Headers],0),FALSE))</f>
        <v/>
      </c>
      <c r="F75" s="112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2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4" t="str">
        <f>IF(A80="","",VLOOKUP(A80,OSS[],MATCH("Situação da OS",OSS[#Headers],0),FALSE))</f>
        <v/>
      </c>
      <c r="C80" s="114"/>
      <c r="D80" s="52" t="str">
        <f>IF(A80="","","em")</f>
        <v/>
      </c>
      <c r="E80" s="56" t="str">
        <f>IF(A80="","",VLOOKUP(A80,OSS[],MATCH("Data Situação",OSS[#Headers],0),FALSE))</f>
        <v/>
      </c>
      <c r="F80" s="112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2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4" t="str">
        <f>IF(A85="","",VLOOKUP(A85,OSS[],MATCH("Situação da OS",OSS[#Headers],0),FALSE))</f>
        <v/>
      </c>
      <c r="C85" s="114"/>
      <c r="D85" s="52" t="str">
        <f>IF(A85="","","em")</f>
        <v/>
      </c>
      <c r="E85" s="56" t="str">
        <f>IF(A85="","",VLOOKUP(A85,OSS[],MATCH("Data Situação",OSS[#Headers],0),FALSE))</f>
        <v/>
      </c>
      <c r="F85" s="112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2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4" t="str">
        <f>IF(A90="","",VLOOKUP(A90,OSS[],MATCH("Situação da OS",OSS[#Headers],0),FALSE))</f>
        <v/>
      </c>
      <c r="C90" s="114"/>
      <c r="D90" s="52" t="str">
        <f>IF(A90="","","em")</f>
        <v/>
      </c>
      <c r="E90" s="56" t="str">
        <f>IF(A90="","",VLOOKUP(A90,OSS[],MATCH("Data Situação",OSS[#Headers],0),FALSE))</f>
        <v/>
      </c>
      <c r="F90" s="112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2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4" t="str">
        <f>IF(A95="","",VLOOKUP(A95,OSS[],MATCH("Situação da OS",OSS[#Headers],0),FALSE))</f>
        <v/>
      </c>
      <c r="C95" s="114"/>
      <c r="D95" s="52" t="str">
        <f>IF(A95="","","em")</f>
        <v/>
      </c>
      <c r="E95" s="56" t="str">
        <f>IF(A95="","",VLOOKUP(A95,OSS[],MATCH("Data Situação",OSS[#Headers],0),FALSE))</f>
        <v/>
      </c>
      <c r="F95" s="112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2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4" t="str">
        <f>IF(A100="","",VLOOKUP(A100,OSS[],MATCH("Situação da OS",OSS[#Headers],0),FALSE))</f>
        <v/>
      </c>
      <c r="C100" s="114"/>
      <c r="D100" s="52" t="str">
        <f>IF(A100="","","em")</f>
        <v/>
      </c>
      <c r="E100" s="56" t="str">
        <f>IF(A100="","",VLOOKUP(A100,OSS[],MATCH("Data Situação",OSS[#Headers],0),FALSE))</f>
        <v/>
      </c>
      <c r="F100" s="112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2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4" t="str">
        <f>IF(A105="","",VLOOKUP(A105,OSS[],MATCH("Situação da OS",OSS[#Headers],0),FALSE))</f>
        <v/>
      </c>
      <c r="C105" s="114"/>
      <c r="D105" s="52" t="str">
        <f>IF(A105="","","em")</f>
        <v/>
      </c>
      <c r="E105" s="56" t="str">
        <f>IF(A105="","",VLOOKUP(A105,OSS[],MATCH("Data Situação",OSS[#Headers],0),FALSE))</f>
        <v/>
      </c>
      <c r="F105" s="112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2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4" t="str">
        <f>IF(A110="","",VLOOKUP(A110,OSS[],MATCH("Situação da OS",OSS[#Headers],0),FALSE))</f>
        <v/>
      </c>
      <c r="C110" s="114"/>
      <c r="D110" s="52" t="str">
        <f>IF(A110="","","em")</f>
        <v/>
      </c>
      <c r="E110" s="56" t="str">
        <f>IF(A110="","",VLOOKUP(A110,OSS[],MATCH("Data Situação",OSS[#Headers],0),FALSE))</f>
        <v/>
      </c>
      <c r="F110" s="112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2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4" t="str">
        <f>IF(A115="","",VLOOKUP(A115,OSS[],MATCH("Situação da OS",OSS[#Headers],0),FALSE))</f>
        <v/>
      </c>
      <c r="C115" s="114"/>
      <c r="D115" s="52" t="str">
        <f>IF(A115="","","em")</f>
        <v/>
      </c>
      <c r="E115" s="56" t="str">
        <f>IF(A115="","",VLOOKUP(A115,OSS[],MATCH("Data Situação",OSS[#Headers],0),FALSE))</f>
        <v/>
      </c>
      <c r="F115" s="112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2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4" t="str">
        <f>IF(A120="","",VLOOKUP(A120,OSS[],MATCH("Situação da OS",OSS[#Headers],0),FALSE))</f>
        <v/>
      </c>
      <c r="C120" s="114"/>
      <c r="D120" s="52" t="str">
        <f>IF(A120="","","em")</f>
        <v/>
      </c>
      <c r="E120" s="56" t="str">
        <f>IF(A120="","",VLOOKUP(A120,OSS[],MATCH("Data Situação",OSS[#Headers],0),FALSE))</f>
        <v/>
      </c>
      <c r="F120" s="112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2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4" t="str">
        <f>IF(A125="","",VLOOKUP(A125,OSS[],MATCH("Situação da OS",OSS[#Headers],0),FALSE))</f>
        <v/>
      </c>
      <c r="C125" s="114"/>
      <c r="D125" s="52" t="str">
        <f>IF(A125="","","em")</f>
        <v/>
      </c>
      <c r="E125" s="56" t="str">
        <f>IF(A125="","",VLOOKUP(A125,OSS[],MATCH("Data Situação",OSS[#Headers],0),FALSE))</f>
        <v/>
      </c>
      <c r="F125" s="112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2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4" t="str">
        <f>IF(A130="","",VLOOKUP(A130,OSS[],MATCH("Situação da OS",OSS[#Headers],0),FALSE))</f>
        <v/>
      </c>
      <c r="C130" s="114"/>
      <c r="D130" s="52" t="str">
        <f>IF(A130="","","em")</f>
        <v/>
      </c>
      <c r="E130" s="56" t="str">
        <f>IF(A130="","",VLOOKUP(A130,OSS[],MATCH("Data Situação",OSS[#Headers],0),FALSE))</f>
        <v/>
      </c>
      <c r="F130" s="112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2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4" t="str">
        <f>IF(A135="","",VLOOKUP(A135,OSS[],MATCH("Situação da OS",OSS[#Headers],0),FALSE))</f>
        <v/>
      </c>
      <c r="C135" s="114"/>
      <c r="D135" s="52" t="str">
        <f>IF(A135="","","em")</f>
        <v/>
      </c>
      <c r="E135" s="56" t="str">
        <f>IF(A135="","",VLOOKUP(A135,OSS[],MATCH("Data Situação",OSS[#Headers],0),FALSE))</f>
        <v/>
      </c>
      <c r="F135" s="112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2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4" t="str">
        <f>IF(A140="","",VLOOKUP(A140,OSS[],MATCH("Situação da OS",OSS[#Headers],0),FALSE))</f>
        <v/>
      </c>
      <c r="C140" s="114"/>
      <c r="D140" s="52" t="str">
        <f>IF(A140="","","em")</f>
        <v/>
      </c>
      <c r="E140" s="56" t="str">
        <f>IF(A140="","",VLOOKUP(A140,OSS[],MATCH("Data Situação",OSS[#Headers],0),FALSE))</f>
        <v/>
      </c>
      <c r="F140" s="112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2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4" t="str">
        <f>IF(A145="","",VLOOKUP(A145,OSS[],MATCH("Situação da OS",OSS[#Headers],0),FALSE))</f>
        <v/>
      </c>
      <c r="C145" s="114"/>
      <c r="D145" s="52" t="str">
        <f>IF(A145="","","em")</f>
        <v/>
      </c>
      <c r="E145" s="56" t="str">
        <f>IF(A145="","",VLOOKUP(A145,OSS[],MATCH("Data Situação",OSS[#Headers],0),FALSE))</f>
        <v/>
      </c>
      <c r="F145" s="112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2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4" t="str">
        <f>IF(A150="","",VLOOKUP(A150,OSS[],MATCH("Situação da OS",OSS[#Headers],0),FALSE))</f>
        <v/>
      </c>
      <c r="C150" s="114"/>
      <c r="D150" s="52" t="str">
        <f>IF(A150="","","em")</f>
        <v/>
      </c>
      <c r="E150" s="56" t="str">
        <f>IF(A150="","",VLOOKUP(A150,OSS[],MATCH("Data Situação",OSS[#Headers],0),FALSE))</f>
        <v/>
      </c>
      <c r="F150" s="112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2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31">
    <mergeCell ref="B150:C150"/>
    <mergeCell ref="B125:C125"/>
    <mergeCell ref="B130:C130"/>
    <mergeCell ref="B135:C135"/>
    <mergeCell ref="B140:C140"/>
    <mergeCell ref="B145:C145"/>
    <mergeCell ref="B100:C100"/>
    <mergeCell ref="B105:C105"/>
    <mergeCell ref="B110:C110"/>
    <mergeCell ref="B115:C115"/>
    <mergeCell ref="B120:C120"/>
    <mergeCell ref="B75:C75"/>
    <mergeCell ref="B80:C80"/>
    <mergeCell ref="B85:C85"/>
    <mergeCell ref="B90:C90"/>
    <mergeCell ref="B95:C95"/>
    <mergeCell ref="B50:C50"/>
    <mergeCell ref="B55:C55"/>
    <mergeCell ref="B60:C60"/>
    <mergeCell ref="B65:C65"/>
    <mergeCell ref="B70:C70"/>
    <mergeCell ref="B25:C25"/>
    <mergeCell ref="B30:C30"/>
    <mergeCell ref="B35:C35"/>
    <mergeCell ref="B40:C40"/>
    <mergeCell ref="B45:C45"/>
    <mergeCell ref="B3:E3"/>
    <mergeCell ref="B5:C5"/>
    <mergeCell ref="B10:C10"/>
    <mergeCell ref="B15:C15"/>
    <mergeCell ref="B20:C20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10"/>
  <sheetViews>
    <sheetView tabSelected="1" workbookViewId="0">
      <selection activeCell="B2" sqref="B2"/>
    </sheetView>
  </sheetViews>
  <sheetFormatPr defaultRowHeight="15" x14ac:dyDescent="0.25"/>
  <cols>
    <col min="2" max="2" width="16" bestFit="1" customWidth="1"/>
    <col min="5" max="5" width="33.75" customWidth="1"/>
  </cols>
  <sheetData>
    <row r="1" spans="1:5" x14ac:dyDescent="0.25">
      <c r="A1" s="21" t="s">
        <v>203</v>
      </c>
      <c r="B1" s="21">
        <v>4809</v>
      </c>
      <c r="E1" t="s">
        <v>205</v>
      </c>
    </row>
    <row r="2" spans="1:5" x14ac:dyDescent="0.25">
      <c r="A2" s="20">
        <f>IF(B1="","",VLOOKUP(B1,OSS[#Data],MATCH("Abertura da OS",OSS[#Headers],0),FALSE))</f>
        <v>42591</v>
      </c>
      <c r="B2" t="s">
        <v>108</v>
      </c>
      <c r="E2" s="109" t="str">
        <f>TEXT(A2,"DD/MM/AA")&amp;" "&amp;B2&amp;IF(C2="",""," "&amp;TEXT(C2,"DD/MM/AA"))</f>
        <v>09/08/16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42605</v>
      </c>
      <c r="B3" t="s">
        <v>59</v>
      </c>
      <c r="C3" s="20">
        <f>IF(B1="","",IF(VLOOKUP(B1,OSS[#Data],MATCH("Data de Inicio",OSS[#Headers],0),FALSE)="","",VLOOKUP(B1,OSS[#Data],MATCH("Data de Inicio",OSS[#Headers],0),FALSE)))</f>
        <v>42597</v>
      </c>
      <c r="E3" s="109" t="str">
        <f t="shared" ref="E3:E10" si="0">TEXT(A3,"DD/MM/AA")&amp;" "&amp;B3&amp;IF(C3="",""," "&amp;TEXT(C3,"DD/MM/AA"))</f>
        <v>23/08/16 Inicio 15/08/16</v>
      </c>
    </row>
    <row r="4" spans="1:5" x14ac:dyDescent="0.25">
      <c r="A4" s="20">
        <f>IF(A3="","",WORKDAY(A3,5))</f>
        <v>42612</v>
      </c>
      <c r="B4" t="s">
        <v>135</v>
      </c>
      <c r="C4" s="20" t="str">
        <f>IF(B1="","",IF(VLOOKUP(B1,OSS[#Data],MATCH("Entrega do Plano da OS",OSS[#Headers],0),FALSE)="","",VLOOKUP(B1,OSS[#Data],MATCH("Entrega do Plano da OS",OSS[#Headers],0),FALSE)))</f>
        <v/>
      </c>
      <c r="E4" s="109" t="str">
        <f t="shared" si="0"/>
        <v>30/08/16 Entrega do Plano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42726</v>
      </c>
      <c r="B5" t="s">
        <v>105</v>
      </c>
      <c r="C5" s="20"/>
      <c r="E5" s="109" t="str">
        <f t="shared" si="0"/>
        <v>22/12/16 Entrega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42740</v>
      </c>
      <c r="B6" t="s">
        <v>206</v>
      </c>
      <c r="C6" s="20"/>
      <c r="E6" s="109" t="str">
        <f t="shared" si="0"/>
        <v>05/01/17 Recebimento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42762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27/01/17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42770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04/02/17 Termino</v>
      </c>
    </row>
    <row r="9" spans="1:5" x14ac:dyDescent="0.25">
      <c r="A9" s="20">
        <f>IF(A7="","",WORKDAY(A7,1))</f>
        <v>42765</v>
      </c>
      <c r="B9" t="s">
        <v>58</v>
      </c>
      <c r="C9" s="20" t="str">
        <f>IF(C7="","",WORKDAY(C7,1))</f>
        <v/>
      </c>
      <c r="E9" s="109" t="str">
        <f t="shared" si="0"/>
        <v>30/01/17 Garantia</v>
      </c>
    </row>
    <row r="10" spans="1:5" x14ac:dyDescent="0.25">
      <c r="A10" s="20">
        <f>IF(A9="","",A9+SLA_PrazoGarantia)</f>
        <v>42945</v>
      </c>
      <c r="B10" t="s">
        <v>107</v>
      </c>
      <c r="C10" s="20" t="str">
        <f>IF(C9="","",C9+180)</f>
        <v/>
      </c>
      <c r="E10" s="109" t="str">
        <f t="shared" si="0"/>
        <v>29/07/17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5" customWidth="1"/>
    <col min="2" max="2" width="46.875" customWidth="1"/>
    <col min="3" max="3" width="5.75" bestFit="1" customWidth="1"/>
    <col min="4" max="6" width="6.875" customWidth="1"/>
    <col min="7" max="7" width="10.125" bestFit="1" customWidth="1"/>
    <col min="8" max="8" width="13.125" bestFit="1" customWidth="1"/>
    <col min="10" max="10" width="13.25" bestFit="1" customWidth="1"/>
    <col min="11" max="11" width="10.875" customWidth="1"/>
    <col min="12" max="12" width="13.25" bestFit="1" customWidth="1"/>
  </cols>
  <sheetData>
    <row r="1" spans="1:12" ht="17.25" thickTop="1" thickBot="1" x14ac:dyDescent="0.3">
      <c r="A1" s="115" t="s">
        <v>171</v>
      </c>
      <c r="B1" s="116"/>
      <c r="C1" s="116"/>
      <c r="D1" s="116"/>
      <c r="E1" s="116"/>
      <c r="F1" s="116"/>
      <c r="G1" s="116"/>
      <c r="H1" s="117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8" t="s">
        <v>160</v>
      </c>
      <c r="B4" s="119"/>
      <c r="C4" s="119"/>
      <c r="D4" s="119"/>
      <c r="E4" s="119"/>
      <c r="F4" s="119"/>
      <c r="G4" s="119"/>
      <c r="H4" s="120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8" t="s">
        <v>163</v>
      </c>
      <c r="B6" s="119"/>
      <c r="C6" s="119"/>
      <c r="D6" s="119"/>
      <c r="E6" s="119"/>
      <c r="F6" s="119"/>
      <c r="G6" s="119"/>
      <c r="H6" s="120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0</v>
      </c>
      <c r="G7" s="96">
        <v>699.62</v>
      </c>
      <c r="H7" s="97">
        <f ca="1">G7*F7</f>
        <v>0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8" t="s">
        <v>168</v>
      </c>
      <c r="B9" s="119"/>
      <c r="C9" s="119"/>
      <c r="D9" s="119"/>
      <c r="E9" s="119"/>
      <c r="F9" s="119"/>
      <c r="G9" s="119"/>
      <c r="H9" s="120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1" t="s">
        <v>176</v>
      </c>
      <c r="B12" s="122"/>
      <c r="C12" s="122"/>
      <c r="D12" s="122"/>
      <c r="E12" s="122"/>
      <c r="F12" s="122"/>
      <c r="G12" s="123"/>
      <c r="H12" s="100">
        <f ca="1">SUM(H5:H11)</f>
        <v>0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625" customWidth="1"/>
    <col min="3" max="3" width="11.625" bestFit="1" customWidth="1"/>
    <col min="4" max="4" width="23.25" bestFit="1" customWidth="1"/>
    <col min="5" max="5" width="7.25" customWidth="1"/>
    <col min="6" max="6" width="11.625" customWidth="1"/>
    <col min="8" max="8" width="7.25" customWidth="1"/>
    <col min="9" max="9" width="7.25" hidden="1" customWidth="1"/>
    <col min="10" max="10" width="8.125" customWidth="1"/>
    <col min="11" max="11" width="11.75" bestFit="1" customWidth="1"/>
    <col min="12" max="16" width="15.875" bestFit="1" customWidth="1"/>
    <col min="17" max="17" width="16.1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OUT/2016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0</v>
      </c>
      <c r="K2" s="78"/>
      <c r="L2" s="73">
        <f ca="1">SUM(Faturamento[Valor a Faturar])</f>
        <v>0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 t="str">
        <f ca="1">IF(B4="","",ROW()-ROW($A$3))</f>
        <v/>
      </c>
      <c r="B4" s="68" t="str">
        <f ca="1">IFERROR(VLOOKUP(ROW()-ROW($A$3),FatCTL[],2,FALSE),"")</f>
        <v/>
      </c>
      <c r="C4" s="69" t="str">
        <f ca="1">IF(B4="","",VLOOKUP(B4,OSS[],MATCH("Tipo",OSS[#Headers],0),FALSE))</f>
        <v/>
      </c>
      <c r="D4" s="69" t="str">
        <f ca="1">IF(B4="","",VLOOKUP(B4,OSS[],MATCH("Situação da OS",OSS[#Headers],0),FALSE))</f>
        <v/>
      </c>
      <c r="E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4" t="str">
        <f ca="1">IF(B4="","",IF(INDEX(Mensal!$A$5:$AG$154,MATCH(B4,Mensal!$A$5:$A$154,0)+1,5)="",0,INDEX(Mensal!$A$5:$AG$154,MATCH(B4,Mensal!$A$5:$A$154,0)+1,5)))</f>
        <v/>
      </c>
      <c r="G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7" t="str">
        <f ca="1">IF(B4="","",IF(INDEX(Mensal!$A$5:$AG$154,MATCH(B4,Mensal!$A$5:$A$154,0)+3,4)="",0,INDEX(Mensal!$A$5:$AG$154,MATCH(B4,Mensal!$A$5:$A$154,0)+3,4)))</f>
        <v/>
      </c>
      <c r="I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7" t="str">
        <f ca="1">IF(B4="","",IF(INDEX(Mensal!$A$5:$AG$154,MATCH(B4,Mensal!$A$5:$A$154,0)+4,3)="",0,INDEX(Mensal!$A$5:$AG$154,MATCH(B4,Mensal!$A$5:$A$154,0)+4,3)))</f>
        <v/>
      </c>
      <c r="K4" s="72" t="str">
        <f ca="1">IF(Faturamento[[#This Row],[Número OS]]="","",VLOOKUP(Faturamento[[#This Row],[Tipo da OS]],TipoOS[],2,FALSE))</f>
        <v/>
      </c>
      <c r="L4" s="72" t="str">
        <f ca="1">IF(B4="","",J4*Faturamento[[#This Row],[Valor Unitario]])</f>
        <v/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375" customWidth="1"/>
    <col min="2" max="2" width="12.375" customWidth="1"/>
    <col min="3" max="3" width="73.75" customWidth="1"/>
    <col min="4" max="4" width="25" customWidth="1"/>
    <col min="5" max="5" width="50.75" hidden="1" customWidth="1"/>
    <col min="6" max="6" width="56.875" customWidth="1"/>
    <col min="7" max="7" width="2.875" customWidth="1"/>
    <col min="8" max="8" width="24.125" bestFit="1" customWidth="1"/>
    <col min="9" max="9" width="19.125" bestFit="1" customWidth="1"/>
  </cols>
  <sheetData>
    <row r="1" spans="1:9" ht="21.75" thickBot="1" x14ac:dyDescent="0.4">
      <c r="A1" s="124" t="s">
        <v>12</v>
      </c>
      <c r="B1" s="124"/>
      <c r="C1" s="124"/>
      <c r="D1" s="124"/>
      <c r="E1" s="124"/>
      <c r="F1" s="124"/>
    </row>
    <row r="2" spans="1:9" ht="19.5" thickBot="1" x14ac:dyDescent="0.35">
      <c r="A2" s="125" t="s">
        <v>13</v>
      </c>
      <c r="B2" s="126"/>
      <c r="C2" s="127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8" t="s">
        <v>123</v>
      </c>
      <c r="B3" s="129"/>
      <c r="C3" s="129"/>
      <c r="D3" s="129"/>
      <c r="E3" s="129"/>
      <c r="F3" s="130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94.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8" t="s">
        <v>17</v>
      </c>
      <c r="B8" s="129"/>
      <c r="C8" s="129"/>
      <c r="D8" s="129"/>
      <c r="E8" s="129"/>
      <c r="F8" s="130"/>
      <c r="H8" s="36"/>
      <c r="I8" s="37"/>
    </row>
    <row r="9" spans="1:9" ht="47.25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78.7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8" t="s">
        <v>28</v>
      </c>
      <c r="B12" s="129"/>
      <c r="C12" s="129"/>
      <c r="D12" s="129"/>
      <c r="E12" s="129"/>
      <c r="F12" s="130"/>
      <c r="H12" s="39"/>
      <c r="I12" s="40"/>
    </row>
    <row r="13" spans="1:9" ht="78.7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78.7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8" t="s">
        <v>45</v>
      </c>
      <c r="B17" s="129"/>
      <c r="C17" s="129"/>
      <c r="D17" s="129"/>
      <c r="E17" s="129"/>
      <c r="F17" s="130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63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5" bestFit="1" customWidth="1"/>
    <col min="2" max="2" width="15.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5" customWidth="1"/>
    <col min="2" max="2" width="20.125" customWidth="1"/>
    <col min="3" max="5" width="13.25" customWidth="1"/>
    <col min="6" max="6" width="15" customWidth="1"/>
    <col min="7" max="7" width="8.75" bestFit="1" customWidth="1"/>
    <col min="9" max="9" width="7.625" bestFit="1" customWidth="1"/>
    <col min="10" max="10" width="9.625" customWidth="1"/>
    <col min="12" max="12" width="4" bestFit="1" customWidth="1"/>
    <col min="13" max="13" width="8.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201609</v>
      </c>
      <c r="D1" s="20"/>
      <c r="E1" t="s">
        <v>117</v>
      </c>
      <c r="F1" s="20">
        <f ca="1">IF($G$1="",TODAY(),$G$1)</f>
        <v>42658</v>
      </c>
      <c r="G1" s="50">
        <f>IF(Mensal!B1="","",Mensal!B1)</f>
        <v>42658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42636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42644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42658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42656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42660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42632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42646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42647</v>
      </c>
      <c r="G12" s="21">
        <f t="shared" si="1"/>
        <v>10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0" t="str">
        <f>IF(C13="","",VLOOKUP(C13,OSS[],MATCH("Abertura da OS",OSS[#Headers],0),FALSE))</f>
        <v/>
      </c>
      <c r="E13" s="50" t="str">
        <f>IF(C13="","",IF(VLOOKUP(C13,OSS[],MATCH("Data de Termino",OSS[#Headers],0),FALSE)=0,"",VLOOKUP(C13,OSS[],MATCH("Data de Termino",OSS[#Headers],0),FALSE)))</f>
        <v/>
      </c>
      <c r="F13" s="50" t="str">
        <f>IF(C13="","",VLOOKUP(C13,OSS[],MATCH("Data Situação",OSS[#Headers],0),FALSE))</f>
        <v/>
      </c>
      <c r="G13" s="21">
        <f t="shared" si="1"/>
        <v>10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0" t="str">
        <f>IF(C14="","",VLOOKUP(C14,OSS[],MATCH("Abertura da OS",OSS[#Headers],0),FALSE))</f>
        <v/>
      </c>
      <c r="E14" s="50" t="str">
        <f>IF(C14="","",IF(VLOOKUP(C14,OSS[],MATCH("Data de Termino",OSS[#Headers],0),FALSE)=0,"",VLOOKUP(C14,OSS[],MATCH("Data de Termino",OSS[#Headers],0),FALSE)))</f>
        <v/>
      </c>
      <c r="F14" s="50" t="str">
        <f>IF(C14="","",VLOOKUP(C14,OSS[],MATCH("Data Situação",OSS[#Headers],0),FALSE))</f>
        <v/>
      </c>
      <c r="G14" s="21">
        <f t="shared" si="1"/>
        <v>10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0" t="str">
        <f>IF(C15="","",VLOOKUP(C15,OSS[],MATCH("Abertura da OS",OSS[#Headers],0),FALSE))</f>
        <v/>
      </c>
      <c r="E15" s="50" t="str">
        <f>IF(C15="","",IF(VLOOKUP(C15,OSS[],MATCH("Data de Termino",OSS[#Headers],0),FALSE)=0,"",VLOOKUP(C15,OSS[],MATCH("Data de Termino",OSS[#Headers],0),FALSE)))</f>
        <v/>
      </c>
      <c r="F15" s="50" t="str">
        <f>IF(C15="","",VLOOKUP(C15,OSS[],MATCH("Data Situação",OSS[#Headers],0),FALSE))</f>
        <v/>
      </c>
      <c r="G15" s="21">
        <f t="shared" si="1"/>
        <v>10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10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10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10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10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10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10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10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10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10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10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10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10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10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10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10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10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2016-10-21T12:10:04Z</cp:lastPrinted>
  <dcterms:created xsi:type="dcterms:W3CDTF">2016-03-02T20:01:01Z</dcterms:created>
  <dcterms:modified xsi:type="dcterms:W3CDTF">2016-10-21T12:10:12Z</dcterms:modified>
</cp:coreProperties>
</file>