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4_RELATORIO\"/>
    </mc:Choice>
  </mc:AlternateContent>
  <bookViews>
    <workbookView xWindow="0" yWindow="0" windowWidth="20490" windowHeight="7530" activeTab="1"/>
  </bookViews>
  <sheets>
    <sheet name="OS" sheetId="4" r:id="rId1"/>
    <sheet name="Mensal" sheetId="5" r:id="rId2"/>
    <sheet name="SLA" sheetId="2" r:id="rId3"/>
    <sheet name="Tipos de OS" sheetId="6" state="hidden" r:id="rId4"/>
    <sheet name="ControleOSsMês" sheetId="7" state="hidden" r:id="rId5"/>
    <sheet name="Situação" sheetId="3" state="hidden" r:id="rId6"/>
  </sheets>
  <definedNames>
    <definedName name="_xlnm.Print_Area" localSheetId="1">Mensal!$A$2:$AG$154</definedName>
    <definedName name="DataRef">ControleOSsMês!$K$1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1">Mensal!$2:$4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7" l="1"/>
  <c r="K1" i="7" s="1"/>
  <c r="G1" i="7"/>
  <c r="C30" i="7"/>
  <c r="D30" i="7" s="1"/>
  <c r="C29" i="7"/>
  <c r="B29" i="7" s="1"/>
  <c r="C28" i="7"/>
  <c r="B28" i="7" s="1"/>
  <c r="C27" i="7"/>
  <c r="D27" i="7" s="1"/>
  <c r="C26" i="7"/>
  <c r="D26" i="7" s="1"/>
  <c r="C25" i="7"/>
  <c r="B25" i="7" s="1"/>
  <c r="C24" i="7"/>
  <c r="D24" i="7" s="1"/>
  <c r="C23" i="7"/>
  <c r="D23" i="7" s="1"/>
  <c r="C22" i="7"/>
  <c r="D22" i="7" s="1"/>
  <c r="C21" i="7"/>
  <c r="B21" i="7" s="1"/>
  <c r="C20" i="7"/>
  <c r="D20" i="7" s="1"/>
  <c r="C19" i="7"/>
  <c r="D19" i="7" s="1"/>
  <c r="C18" i="7"/>
  <c r="D18" i="7" s="1"/>
  <c r="C17" i="7"/>
  <c r="B17" i="7" s="1"/>
  <c r="C16" i="7"/>
  <c r="B16" i="7" s="1"/>
  <c r="C15" i="7"/>
  <c r="D15" i="7" s="1"/>
  <c r="C14" i="7"/>
  <c r="C13" i="7"/>
  <c r="C12" i="7"/>
  <c r="C11" i="7"/>
  <c r="C10" i="7"/>
  <c r="C9" i="7"/>
  <c r="C8" i="7"/>
  <c r="C7" i="7"/>
  <c r="C6" i="7"/>
  <c r="C5" i="7"/>
  <c r="C4" i="7"/>
  <c r="C3" i="7"/>
  <c r="C2" i="7"/>
  <c r="D12" i="7" l="1"/>
  <c r="D13" i="7"/>
  <c r="D28" i="7"/>
  <c r="H1" i="7"/>
  <c r="D16" i="7"/>
  <c r="B24" i="7"/>
  <c r="B20" i="7"/>
  <c r="B27" i="7"/>
  <c r="B23" i="7"/>
  <c r="B19" i="7"/>
  <c r="B30" i="7"/>
  <c r="B26" i="7"/>
  <c r="B22" i="7"/>
  <c r="B18" i="7"/>
  <c r="AG2" i="5"/>
  <c r="D17" i="7"/>
  <c r="D25" i="7"/>
  <c r="D29" i="7"/>
  <c r="D21" i="7"/>
  <c r="D14" i="7" l="1"/>
  <c r="B14" i="7" s="1"/>
  <c r="B12" i="7"/>
  <c r="B15" i="7"/>
  <c r="B13" i="7"/>
  <c r="D11" i="7" l="1"/>
  <c r="B11" i="7" s="1"/>
  <c r="D9" i="7" l="1"/>
  <c r="B9" i="7" s="1"/>
  <c r="D10" i="7"/>
  <c r="B10" i="7" s="1"/>
  <c r="D8" i="7" l="1"/>
  <c r="B8" i="7" s="1"/>
  <c r="D7" i="7" l="1"/>
  <c r="B7" i="7" s="1"/>
  <c r="D6" i="7" l="1"/>
  <c r="B6" i="7" s="1"/>
  <c r="D5" i="7" l="1"/>
  <c r="B5" i="7" s="1"/>
  <c r="D4" i="7" l="1"/>
  <c r="B4" i="7" s="1"/>
  <c r="D3" i="7" l="1"/>
  <c r="B3" i="7" s="1"/>
  <c r="D2" i="7" l="1"/>
  <c r="B2" i="7" s="1"/>
  <c r="E2" i="7" s="1"/>
  <c r="A2" i="7" s="1"/>
  <c r="E3" i="7" l="1"/>
  <c r="A3" i="7" s="1"/>
  <c r="E4" i="7" l="1"/>
  <c r="A4" i="7" s="1"/>
  <c r="E5" i="7" l="1"/>
  <c r="A5" i="7" s="1"/>
  <c r="E6" i="7" l="1"/>
  <c r="A6" i="7" s="1"/>
  <c r="E7" i="7" l="1"/>
  <c r="E8" i="7" s="1"/>
  <c r="A7" i="7" l="1"/>
  <c r="A8" i="7"/>
  <c r="E9" i="7"/>
  <c r="A9" i="7" l="1"/>
  <c r="E10" i="7"/>
  <c r="A10" i="7" l="1"/>
  <c r="E11" i="7"/>
  <c r="A11" i="7" l="1"/>
  <c r="E12" i="7"/>
  <c r="A12" i="7" l="1"/>
  <c r="E13" i="7"/>
  <c r="A13" i="7" l="1"/>
  <c r="E14" i="7"/>
  <c r="A14" i="7" l="1"/>
  <c r="E15" i="7"/>
  <c r="A15" i="7" l="1"/>
  <c r="E16" i="7"/>
  <c r="A16" i="7" l="1"/>
  <c r="E17" i="7"/>
  <c r="A17" i="7" l="1"/>
  <c r="E18" i="7"/>
  <c r="E19" i="7" l="1"/>
  <c r="A18" i="7"/>
  <c r="A19" i="7" l="1"/>
  <c r="E20" i="7"/>
  <c r="A20" i="7" l="1"/>
  <c r="E21" i="7"/>
  <c r="A21" i="7" l="1"/>
  <c r="E22" i="7"/>
  <c r="E23" i="7" l="1"/>
  <c r="A22" i="7"/>
  <c r="A23" i="7" l="1"/>
  <c r="E24" i="7"/>
  <c r="A24" i="7" l="1"/>
  <c r="E25" i="7"/>
  <c r="A25" i="7" l="1"/>
  <c r="E26" i="7"/>
  <c r="E27" i="7" l="1"/>
  <c r="A26" i="7"/>
  <c r="A27" i="7" l="1"/>
  <c r="E28" i="7"/>
  <c r="A28" i="7" l="1"/>
  <c r="E29" i="7"/>
  <c r="A29" i="7" l="1"/>
  <c r="E30" i="7"/>
  <c r="A95" i="5" l="1"/>
  <c r="A30" i="7"/>
  <c r="A60" i="5" s="1"/>
  <c r="A130" i="5" l="1"/>
  <c r="D131" i="5" s="1"/>
  <c r="A140" i="5"/>
  <c r="AA143" i="5" s="1"/>
  <c r="A110" i="5"/>
  <c r="O113" i="5" s="1"/>
  <c r="A55" i="5"/>
  <c r="P57" i="5" s="1"/>
  <c r="A145" i="5"/>
  <c r="A105" i="5"/>
  <c r="J142" i="5"/>
  <c r="P132" i="5"/>
  <c r="H132" i="5"/>
  <c r="Q130" i="5"/>
  <c r="J132" i="5"/>
  <c r="O131" i="5"/>
  <c r="B133" i="5"/>
  <c r="F131" i="5"/>
  <c r="O132" i="5"/>
  <c r="B131" i="5"/>
  <c r="O133" i="5"/>
  <c r="AA130" i="5"/>
  <c r="P131" i="5"/>
  <c r="B130" i="5"/>
  <c r="R130" i="5"/>
  <c r="A115" i="5"/>
  <c r="A125" i="5"/>
  <c r="A135" i="5"/>
  <c r="A120" i="5"/>
  <c r="A150" i="5"/>
  <c r="P62" i="5"/>
  <c r="L62" i="5"/>
  <c r="H62" i="5"/>
  <c r="D61" i="5"/>
  <c r="Q60" i="5"/>
  <c r="D60" i="5"/>
  <c r="K63" i="5"/>
  <c r="AA62" i="5"/>
  <c r="O62" i="5"/>
  <c r="K62" i="5"/>
  <c r="G62" i="5"/>
  <c r="P61" i="5"/>
  <c r="B61" i="5"/>
  <c r="G60" i="5"/>
  <c r="B60" i="5"/>
  <c r="AA63" i="5"/>
  <c r="AA61" i="5"/>
  <c r="AA60" i="5"/>
  <c r="O63" i="5"/>
  <c r="B62" i="5"/>
  <c r="R60" i="5"/>
  <c r="J62" i="5"/>
  <c r="O61" i="5"/>
  <c r="F60" i="5"/>
  <c r="B63" i="5"/>
  <c r="E60" i="5"/>
  <c r="I62" i="5"/>
  <c r="F61" i="5"/>
  <c r="A90" i="5"/>
  <c r="A50" i="5"/>
  <c r="AA53" i="5" s="1"/>
  <c r="A70" i="5"/>
  <c r="A85" i="5"/>
  <c r="A100" i="5"/>
  <c r="AA98" i="5"/>
  <c r="O98" i="5"/>
  <c r="B98" i="5"/>
  <c r="I97" i="5"/>
  <c r="B97" i="5"/>
  <c r="F96" i="5"/>
  <c r="R95" i="5"/>
  <c r="E95" i="5"/>
  <c r="P97" i="5"/>
  <c r="L97" i="5"/>
  <c r="H97" i="5"/>
  <c r="D96" i="5"/>
  <c r="Q95" i="5"/>
  <c r="D95" i="5"/>
  <c r="K98" i="5"/>
  <c r="AA97" i="5"/>
  <c r="K97" i="5"/>
  <c r="P96" i="5"/>
  <c r="G95" i="5"/>
  <c r="J97" i="5"/>
  <c r="O96" i="5"/>
  <c r="F95" i="5"/>
  <c r="G97" i="5"/>
  <c r="B96" i="5"/>
  <c r="AA95" i="5"/>
  <c r="O97" i="5"/>
  <c r="B95" i="5"/>
  <c r="AA96" i="5"/>
  <c r="A65" i="5"/>
  <c r="A75" i="5"/>
  <c r="A80" i="5"/>
  <c r="A35" i="5"/>
  <c r="I37" i="5" s="1"/>
  <c r="A40" i="5"/>
  <c r="O43" i="5" s="1"/>
  <c r="A45" i="5"/>
  <c r="A20" i="5"/>
  <c r="B23" i="5" s="1"/>
  <c r="A30" i="5"/>
  <c r="A25" i="5"/>
  <c r="A10" i="5"/>
  <c r="AA13" i="5" s="1"/>
  <c r="A15" i="5"/>
  <c r="A5" i="5"/>
  <c r="AA52" i="5" l="1"/>
  <c r="D140" i="5"/>
  <c r="F141" i="5"/>
  <c r="V141" i="5" s="1"/>
  <c r="G140" i="5"/>
  <c r="L52" i="5"/>
  <c r="K133" i="5"/>
  <c r="E130" i="5"/>
  <c r="F130" i="5"/>
  <c r="G130" i="5"/>
  <c r="AA133" i="5"/>
  <c r="D130" i="5"/>
  <c r="L132" i="5"/>
  <c r="AA132" i="5"/>
  <c r="K132" i="5"/>
  <c r="AD132" i="5" s="1"/>
  <c r="B132" i="5"/>
  <c r="G132" i="5"/>
  <c r="I132" i="5"/>
  <c r="AA131" i="5"/>
  <c r="AA142" i="5"/>
  <c r="B143" i="5"/>
  <c r="O141" i="5"/>
  <c r="H142" i="5"/>
  <c r="E50" i="5"/>
  <c r="G50" i="5"/>
  <c r="G142" i="5"/>
  <c r="E140" i="5"/>
  <c r="AA51" i="5"/>
  <c r="I52" i="5"/>
  <c r="D50" i="5"/>
  <c r="K53" i="5"/>
  <c r="Q50" i="5"/>
  <c r="R50" i="5"/>
  <c r="Y52" i="5" s="1"/>
  <c r="Y53" i="5" s="1"/>
  <c r="AA140" i="5"/>
  <c r="B140" i="5"/>
  <c r="K142" i="5"/>
  <c r="AB142" i="5" s="1"/>
  <c r="D141" i="5"/>
  <c r="R140" i="5"/>
  <c r="Y142" i="5" s="1"/>
  <c r="Y143" i="5" s="1"/>
  <c r="O143" i="5"/>
  <c r="G52" i="5"/>
  <c r="J52" i="5"/>
  <c r="T52" i="5" s="1"/>
  <c r="T53" i="5" s="1"/>
  <c r="P52" i="5"/>
  <c r="B53" i="5"/>
  <c r="AA141" i="5"/>
  <c r="P141" i="5"/>
  <c r="D142" i="5" s="1"/>
  <c r="C143" i="5" s="1"/>
  <c r="K143" i="5"/>
  <c r="L142" i="5"/>
  <c r="I142" i="5"/>
  <c r="K52" i="5"/>
  <c r="AC52" i="5" s="1"/>
  <c r="AA50" i="5"/>
  <c r="B51" i="5"/>
  <c r="D51" i="5"/>
  <c r="F50" i="5"/>
  <c r="F51" i="5"/>
  <c r="Q52" i="5" s="1"/>
  <c r="Q53" i="5" s="1"/>
  <c r="O53" i="5"/>
  <c r="O52" i="5"/>
  <c r="O51" i="5"/>
  <c r="P51" i="5"/>
  <c r="D52" i="5" s="1"/>
  <c r="C53" i="5" s="1"/>
  <c r="H52" i="5"/>
  <c r="B50" i="5"/>
  <c r="B52" i="5"/>
  <c r="AA56" i="5"/>
  <c r="B58" i="5"/>
  <c r="P56" i="5"/>
  <c r="AE58" i="5" s="1"/>
  <c r="I57" i="5"/>
  <c r="AA57" i="5"/>
  <c r="R55" i="5"/>
  <c r="Y56" i="5" s="1"/>
  <c r="AG56" i="5" s="1"/>
  <c r="D56" i="5"/>
  <c r="F111" i="5"/>
  <c r="T111" i="5" s="1"/>
  <c r="L112" i="5"/>
  <c r="H112" i="5"/>
  <c r="G40" i="5"/>
  <c r="D40" i="5"/>
  <c r="AA58" i="5"/>
  <c r="F55" i="5"/>
  <c r="B57" i="5"/>
  <c r="B55" i="5"/>
  <c r="G57" i="5"/>
  <c r="K58" i="5"/>
  <c r="H57" i="5"/>
  <c r="E55" i="5"/>
  <c r="O56" i="5"/>
  <c r="O58" i="5"/>
  <c r="G55" i="5"/>
  <c r="K57" i="5"/>
  <c r="AF57" i="5" s="1"/>
  <c r="D55" i="5"/>
  <c r="L57" i="5"/>
  <c r="F56" i="5"/>
  <c r="X56" i="5" s="1"/>
  <c r="J57" i="5"/>
  <c r="AF56" i="5" s="1"/>
  <c r="AA55" i="5"/>
  <c r="B56" i="5"/>
  <c r="O57" i="5"/>
  <c r="Q55" i="5"/>
  <c r="O111" i="5"/>
  <c r="F140" i="5"/>
  <c r="B141" i="5"/>
  <c r="O142" i="5"/>
  <c r="Q140" i="5"/>
  <c r="P142" i="5"/>
  <c r="B142" i="5"/>
  <c r="D111" i="5"/>
  <c r="F110" i="5"/>
  <c r="B113" i="5"/>
  <c r="B112" i="5"/>
  <c r="B111" i="5"/>
  <c r="K37" i="5"/>
  <c r="AC37" i="5" s="1"/>
  <c r="H37" i="5"/>
  <c r="F35" i="5"/>
  <c r="J37" i="5"/>
  <c r="T37" i="5" s="1"/>
  <c r="T38" i="5" s="1"/>
  <c r="E35" i="5"/>
  <c r="B38" i="5"/>
  <c r="G35" i="5"/>
  <c r="AA36" i="5"/>
  <c r="Q35" i="5"/>
  <c r="B37" i="5"/>
  <c r="B36" i="5"/>
  <c r="O37" i="5"/>
  <c r="L37" i="5"/>
  <c r="O36" i="5"/>
  <c r="P36" i="5"/>
  <c r="AE38" i="5" s="1"/>
  <c r="AA37" i="5"/>
  <c r="D35" i="5"/>
  <c r="P37" i="5"/>
  <c r="R35" i="5"/>
  <c r="Y36" i="5" s="1"/>
  <c r="AG36" i="5" s="1"/>
  <c r="O38" i="5"/>
  <c r="K113" i="5"/>
  <c r="D110" i="5"/>
  <c r="AA111" i="5"/>
  <c r="P111" i="5"/>
  <c r="AE113" i="5" s="1"/>
  <c r="B35" i="5"/>
  <c r="G37" i="5"/>
  <c r="K38" i="5"/>
  <c r="D36" i="5"/>
  <c r="AA35" i="5"/>
  <c r="F36" i="5"/>
  <c r="V36" i="5" s="1"/>
  <c r="AA38" i="5"/>
  <c r="R110" i="5"/>
  <c r="Y111" i="5" s="1"/>
  <c r="AG111" i="5" s="1"/>
  <c r="P112" i="5"/>
  <c r="Q110" i="5"/>
  <c r="O112" i="5"/>
  <c r="K42" i="5"/>
  <c r="AC42" i="5" s="1"/>
  <c r="F41" i="5"/>
  <c r="Z41" i="5" s="1"/>
  <c r="E110" i="5"/>
  <c r="I112" i="5"/>
  <c r="AA110" i="5"/>
  <c r="AA112" i="5"/>
  <c r="G110" i="5"/>
  <c r="K112" i="5"/>
  <c r="W112" i="5" s="1"/>
  <c r="W113" i="5" s="1"/>
  <c r="AA113" i="5"/>
  <c r="AA40" i="5"/>
  <c r="AA43" i="5"/>
  <c r="J42" i="5"/>
  <c r="U42" i="5" s="1"/>
  <c r="U43" i="5" s="1"/>
  <c r="L42" i="5"/>
  <c r="J112" i="5"/>
  <c r="T112" i="5" s="1"/>
  <c r="T113" i="5" s="1"/>
  <c r="B110" i="5"/>
  <c r="G112" i="5"/>
  <c r="AA153" i="5"/>
  <c r="O153" i="5"/>
  <c r="B153" i="5"/>
  <c r="I152" i="5"/>
  <c r="B152" i="5"/>
  <c r="F151" i="5"/>
  <c r="R150" i="5"/>
  <c r="E150" i="5"/>
  <c r="P152" i="5"/>
  <c r="L152" i="5"/>
  <c r="H152" i="5"/>
  <c r="D151" i="5"/>
  <c r="Q150" i="5"/>
  <c r="D150" i="5"/>
  <c r="K153" i="5"/>
  <c r="AA152" i="5"/>
  <c r="O152" i="5"/>
  <c r="K152" i="5"/>
  <c r="G152" i="5"/>
  <c r="P151" i="5"/>
  <c r="B151" i="5"/>
  <c r="G150" i="5"/>
  <c r="B150" i="5"/>
  <c r="O151" i="5"/>
  <c r="F150" i="5"/>
  <c r="AA151" i="5"/>
  <c r="J152" i="5"/>
  <c r="AA150" i="5"/>
  <c r="Y112" i="5"/>
  <c r="Y113" i="5" s="1"/>
  <c r="P122" i="5"/>
  <c r="L122" i="5"/>
  <c r="H122" i="5"/>
  <c r="K123" i="5"/>
  <c r="I122" i="5"/>
  <c r="AA121" i="5"/>
  <c r="O121" i="5"/>
  <c r="AA120" i="5"/>
  <c r="G122" i="5"/>
  <c r="F121" i="5"/>
  <c r="R120" i="5"/>
  <c r="E120" i="5"/>
  <c r="AA123" i="5"/>
  <c r="B123" i="5"/>
  <c r="AA122" i="5"/>
  <c r="K122" i="5"/>
  <c r="J122" i="5"/>
  <c r="D121" i="5"/>
  <c r="F120" i="5"/>
  <c r="B122" i="5"/>
  <c r="P121" i="5"/>
  <c r="B121" i="5"/>
  <c r="D120" i="5"/>
  <c r="O122" i="5"/>
  <c r="Q120" i="5"/>
  <c r="B120" i="5"/>
  <c r="O123" i="5"/>
  <c r="G120" i="5"/>
  <c r="W132" i="5"/>
  <c r="W133" i="5" s="1"/>
  <c r="K108" i="5"/>
  <c r="AA107" i="5"/>
  <c r="O107" i="5"/>
  <c r="K107" i="5"/>
  <c r="G107" i="5"/>
  <c r="P106" i="5"/>
  <c r="B106" i="5"/>
  <c r="G105" i="5"/>
  <c r="B105" i="5"/>
  <c r="AA106" i="5"/>
  <c r="AA105" i="5"/>
  <c r="L107" i="5"/>
  <c r="J107" i="5"/>
  <c r="O106" i="5"/>
  <c r="F105" i="5"/>
  <c r="H107" i="5"/>
  <c r="Q105" i="5"/>
  <c r="D105" i="5"/>
  <c r="AA108" i="5"/>
  <c r="O108" i="5"/>
  <c r="B108" i="5"/>
  <c r="I107" i="5"/>
  <c r="B107" i="5"/>
  <c r="F106" i="5"/>
  <c r="R105" i="5"/>
  <c r="E105" i="5"/>
  <c r="P107" i="5"/>
  <c r="D106" i="5"/>
  <c r="AA118" i="5"/>
  <c r="O118" i="5"/>
  <c r="B118" i="5"/>
  <c r="I117" i="5"/>
  <c r="B117" i="5"/>
  <c r="F116" i="5"/>
  <c r="R115" i="5"/>
  <c r="E115" i="5"/>
  <c r="O117" i="5"/>
  <c r="J117" i="5"/>
  <c r="Q115" i="5"/>
  <c r="B115" i="5"/>
  <c r="D115" i="5"/>
  <c r="K118" i="5"/>
  <c r="H117" i="5"/>
  <c r="AA116" i="5"/>
  <c r="P116" i="5"/>
  <c r="D116" i="5"/>
  <c r="G115" i="5"/>
  <c r="K117" i="5"/>
  <c r="L117" i="5"/>
  <c r="G117" i="5"/>
  <c r="O116" i="5"/>
  <c r="B116" i="5"/>
  <c r="F115" i="5"/>
  <c r="AA117" i="5"/>
  <c r="P117" i="5"/>
  <c r="AA115" i="5"/>
  <c r="X132" i="5"/>
  <c r="X133" i="5" s="1"/>
  <c r="U131" i="5"/>
  <c r="Q131" i="5"/>
  <c r="Z132" i="5"/>
  <c r="Z133" i="5" s="1"/>
  <c r="W131" i="5"/>
  <c r="S131" i="5"/>
  <c r="G131" i="5"/>
  <c r="Q132" i="5"/>
  <c r="Q133" i="5" s="1"/>
  <c r="V131" i="5"/>
  <c r="T131" i="5"/>
  <c r="Z131" i="5"/>
  <c r="R131" i="5"/>
  <c r="X131" i="5"/>
  <c r="AA138" i="5"/>
  <c r="O138" i="5"/>
  <c r="B138" i="5"/>
  <c r="I137" i="5"/>
  <c r="B137" i="5"/>
  <c r="K138" i="5"/>
  <c r="AA137" i="5"/>
  <c r="O137" i="5"/>
  <c r="K137" i="5"/>
  <c r="G137" i="5"/>
  <c r="P136" i="5"/>
  <c r="AA136" i="5"/>
  <c r="D136" i="5"/>
  <c r="Q135" i="5"/>
  <c r="D135" i="5"/>
  <c r="J137" i="5"/>
  <c r="O136" i="5"/>
  <c r="AA135" i="5"/>
  <c r="F135" i="5"/>
  <c r="H137" i="5"/>
  <c r="F136" i="5"/>
  <c r="E135" i="5"/>
  <c r="B136" i="5"/>
  <c r="B135" i="5"/>
  <c r="P137" i="5"/>
  <c r="R135" i="5"/>
  <c r="L137" i="5"/>
  <c r="G135" i="5"/>
  <c r="Y131" i="5"/>
  <c r="AG131" i="5" s="1"/>
  <c r="Y132" i="5"/>
  <c r="Y133" i="5" s="1"/>
  <c r="D132" i="5"/>
  <c r="C133" i="5" s="1"/>
  <c r="AE133" i="5"/>
  <c r="T132" i="5"/>
  <c r="T133" i="5" s="1"/>
  <c r="AC131" i="5"/>
  <c r="R132" i="5"/>
  <c r="R133" i="5" s="1"/>
  <c r="AE131" i="5"/>
  <c r="AD131" i="5"/>
  <c r="AB131" i="5"/>
  <c r="U132" i="5"/>
  <c r="U133" i="5" s="1"/>
  <c r="AF131" i="5"/>
  <c r="U142" i="5"/>
  <c r="U143" i="5" s="1"/>
  <c r="AD141" i="5"/>
  <c r="T142" i="5"/>
  <c r="T143" i="5" s="1"/>
  <c r="AC141" i="5"/>
  <c r="AF141" i="5"/>
  <c r="AB141" i="5"/>
  <c r="R142" i="5"/>
  <c r="R143" i="5" s="1"/>
  <c r="AE141" i="5"/>
  <c r="AA148" i="5"/>
  <c r="O148" i="5"/>
  <c r="B148" i="5"/>
  <c r="I147" i="5"/>
  <c r="B147" i="5"/>
  <c r="F146" i="5"/>
  <c r="R145" i="5"/>
  <c r="E145" i="5"/>
  <c r="P147" i="5"/>
  <c r="L147" i="5"/>
  <c r="H147" i="5"/>
  <c r="D146" i="5"/>
  <c r="Q145" i="5"/>
  <c r="D145" i="5"/>
  <c r="K148" i="5"/>
  <c r="AA147" i="5"/>
  <c r="O147" i="5"/>
  <c r="K147" i="5"/>
  <c r="G147" i="5"/>
  <c r="P146" i="5"/>
  <c r="B146" i="5"/>
  <c r="G145" i="5"/>
  <c r="B145" i="5"/>
  <c r="J147" i="5"/>
  <c r="AA145" i="5"/>
  <c r="O146" i="5"/>
  <c r="F145" i="5"/>
  <c r="AA146" i="5"/>
  <c r="P127" i="5"/>
  <c r="L127" i="5"/>
  <c r="H127" i="5"/>
  <c r="D126" i="5"/>
  <c r="Q125" i="5"/>
  <c r="D125" i="5"/>
  <c r="AA128" i="5"/>
  <c r="B128" i="5"/>
  <c r="AA127" i="5"/>
  <c r="K127" i="5"/>
  <c r="AA125" i="5"/>
  <c r="E125" i="5"/>
  <c r="O128" i="5"/>
  <c r="O127" i="5"/>
  <c r="J127" i="5"/>
  <c r="B127" i="5"/>
  <c r="R125" i="5"/>
  <c r="B125" i="5"/>
  <c r="K128" i="5"/>
  <c r="I127" i="5"/>
  <c r="AA126" i="5"/>
  <c r="P126" i="5"/>
  <c r="F126" i="5"/>
  <c r="G125" i="5"/>
  <c r="G127" i="5"/>
  <c r="O126" i="5"/>
  <c r="B126" i="5"/>
  <c r="F125" i="5"/>
  <c r="M142" i="5"/>
  <c r="N142" i="5" s="1"/>
  <c r="S142" i="5"/>
  <c r="S143" i="5" s="1"/>
  <c r="Q142" i="5"/>
  <c r="Q143" i="5" s="1"/>
  <c r="U141" i="5"/>
  <c r="T141" i="5"/>
  <c r="P82" i="5"/>
  <c r="L82" i="5"/>
  <c r="H82" i="5"/>
  <c r="D81" i="5"/>
  <c r="Q80" i="5"/>
  <c r="D80" i="5"/>
  <c r="K83" i="5"/>
  <c r="AA82" i="5"/>
  <c r="O82" i="5"/>
  <c r="K82" i="5"/>
  <c r="G82" i="5"/>
  <c r="P81" i="5"/>
  <c r="B81" i="5"/>
  <c r="G80" i="5"/>
  <c r="B80" i="5"/>
  <c r="AA81" i="5"/>
  <c r="AA80" i="5"/>
  <c r="J82" i="5"/>
  <c r="O83" i="5"/>
  <c r="B82" i="5"/>
  <c r="R80" i="5"/>
  <c r="O81" i="5"/>
  <c r="F80" i="5"/>
  <c r="I82" i="5"/>
  <c r="F81" i="5"/>
  <c r="AA83" i="5"/>
  <c r="B83" i="5"/>
  <c r="E80" i="5"/>
  <c r="Y97" i="5"/>
  <c r="Y98" i="5" s="1"/>
  <c r="Y96" i="5"/>
  <c r="AG96" i="5" s="1"/>
  <c r="X62" i="5"/>
  <c r="X63" i="5" s="1"/>
  <c r="U61" i="5"/>
  <c r="Q61" i="5"/>
  <c r="X61" i="5"/>
  <c r="T61" i="5"/>
  <c r="S61" i="5"/>
  <c r="Z61" i="5"/>
  <c r="R61" i="5"/>
  <c r="Z62" i="5"/>
  <c r="Z63" i="5" s="1"/>
  <c r="W61" i="5"/>
  <c r="G61" i="5"/>
  <c r="Q62" i="5"/>
  <c r="Q63" i="5" s="1"/>
  <c r="V61" i="5"/>
  <c r="D62" i="5"/>
  <c r="C63" i="5" s="1"/>
  <c r="AE63" i="5"/>
  <c r="P41" i="5"/>
  <c r="AE43" i="5" s="1"/>
  <c r="Q40" i="5"/>
  <c r="E40" i="5"/>
  <c r="P77" i="5"/>
  <c r="L77" i="5"/>
  <c r="H77" i="5"/>
  <c r="D76" i="5"/>
  <c r="Q75" i="5"/>
  <c r="D75" i="5"/>
  <c r="K78" i="5"/>
  <c r="AA77" i="5"/>
  <c r="K77" i="5"/>
  <c r="AA75" i="5"/>
  <c r="E75" i="5"/>
  <c r="F76" i="5"/>
  <c r="O78" i="5"/>
  <c r="O77" i="5"/>
  <c r="J77" i="5"/>
  <c r="B77" i="5"/>
  <c r="R75" i="5"/>
  <c r="B75" i="5"/>
  <c r="I77" i="5"/>
  <c r="AA76" i="5"/>
  <c r="P76" i="5"/>
  <c r="G75" i="5"/>
  <c r="B78" i="5"/>
  <c r="G77" i="5"/>
  <c r="O76" i="5"/>
  <c r="AA78" i="5"/>
  <c r="B76" i="5"/>
  <c r="F75" i="5"/>
  <c r="AE98" i="5"/>
  <c r="D97" i="5"/>
  <c r="C98" i="5" s="1"/>
  <c r="Q97" i="5"/>
  <c r="Q98" i="5" s="1"/>
  <c r="Z96" i="5"/>
  <c r="V96" i="5"/>
  <c r="R96" i="5"/>
  <c r="X97" i="5"/>
  <c r="X98" i="5" s="1"/>
  <c r="U96" i="5"/>
  <c r="Q96" i="5"/>
  <c r="X96" i="5"/>
  <c r="Z97" i="5"/>
  <c r="Z98" i="5" s="1"/>
  <c r="W96" i="5"/>
  <c r="G96" i="5"/>
  <c r="T96" i="5"/>
  <c r="S96" i="5"/>
  <c r="P72" i="5"/>
  <c r="L72" i="5"/>
  <c r="H72" i="5"/>
  <c r="D71" i="5"/>
  <c r="Q70" i="5"/>
  <c r="D70" i="5"/>
  <c r="K73" i="5"/>
  <c r="I72" i="5"/>
  <c r="AA71" i="5"/>
  <c r="P71" i="5"/>
  <c r="F71" i="5"/>
  <c r="G70" i="5"/>
  <c r="G72" i="5"/>
  <c r="O71" i="5"/>
  <c r="B71" i="5"/>
  <c r="F70" i="5"/>
  <c r="AA73" i="5"/>
  <c r="B73" i="5"/>
  <c r="AA72" i="5"/>
  <c r="K72" i="5"/>
  <c r="E70" i="5"/>
  <c r="B70" i="5"/>
  <c r="AA70" i="5"/>
  <c r="O72" i="5"/>
  <c r="R70" i="5"/>
  <c r="J72" i="5"/>
  <c r="O73" i="5"/>
  <c r="B72" i="5"/>
  <c r="AA88" i="5"/>
  <c r="O88" i="5"/>
  <c r="B88" i="5"/>
  <c r="I87" i="5"/>
  <c r="B87" i="5"/>
  <c r="L87" i="5"/>
  <c r="G87" i="5"/>
  <c r="O86" i="5"/>
  <c r="D86" i="5"/>
  <c r="Q85" i="5"/>
  <c r="D85" i="5"/>
  <c r="AA87" i="5"/>
  <c r="P87" i="5"/>
  <c r="K87" i="5"/>
  <c r="B86" i="5"/>
  <c r="G85" i="5"/>
  <c r="B85" i="5"/>
  <c r="O87" i="5"/>
  <c r="AA85" i="5"/>
  <c r="K88" i="5"/>
  <c r="R85" i="5"/>
  <c r="J87" i="5"/>
  <c r="F85" i="5"/>
  <c r="P86" i="5"/>
  <c r="AA86" i="5"/>
  <c r="F86" i="5"/>
  <c r="H87" i="5"/>
  <c r="E85" i="5"/>
  <c r="P67" i="5"/>
  <c r="L67" i="5"/>
  <c r="H67" i="5"/>
  <c r="D66" i="5"/>
  <c r="Q65" i="5"/>
  <c r="D65" i="5"/>
  <c r="AA68" i="5"/>
  <c r="B68" i="5"/>
  <c r="AA67" i="5"/>
  <c r="K67" i="5"/>
  <c r="AA65" i="5"/>
  <c r="E65" i="5"/>
  <c r="O68" i="5"/>
  <c r="O67" i="5"/>
  <c r="J67" i="5"/>
  <c r="B67" i="5"/>
  <c r="R65" i="5"/>
  <c r="B65" i="5"/>
  <c r="K68" i="5"/>
  <c r="G65" i="5"/>
  <c r="F65" i="5"/>
  <c r="AA66" i="5"/>
  <c r="F66" i="5"/>
  <c r="G67" i="5"/>
  <c r="B66" i="5"/>
  <c r="I67" i="5"/>
  <c r="P66" i="5"/>
  <c r="O66" i="5"/>
  <c r="AC97" i="5"/>
  <c r="M97" i="5"/>
  <c r="N97" i="5" s="1"/>
  <c r="AF97" i="5"/>
  <c r="AB97" i="5"/>
  <c r="S97" i="5"/>
  <c r="S98" i="5" s="1"/>
  <c r="W97" i="5"/>
  <c r="W98" i="5" s="1"/>
  <c r="V97" i="5"/>
  <c r="V98" i="5" s="1"/>
  <c r="AE97" i="5"/>
  <c r="AD97" i="5"/>
  <c r="AC57" i="5"/>
  <c r="T62" i="5"/>
  <c r="T63" i="5" s="1"/>
  <c r="AC61" i="5"/>
  <c r="AF61" i="5"/>
  <c r="AB61" i="5"/>
  <c r="U62" i="5"/>
  <c r="U63" i="5" s="1"/>
  <c r="R62" i="5"/>
  <c r="R63" i="5" s="1"/>
  <c r="AE61" i="5"/>
  <c r="AD61" i="5"/>
  <c r="AF62" i="5"/>
  <c r="AB62" i="5"/>
  <c r="AE62" i="5"/>
  <c r="W62" i="5"/>
  <c r="W63" i="5" s="1"/>
  <c r="S62" i="5"/>
  <c r="S63" i="5" s="1"/>
  <c r="AD62" i="5"/>
  <c r="V62" i="5"/>
  <c r="V63" i="5" s="1"/>
  <c r="AC62" i="5"/>
  <c r="M62" i="5"/>
  <c r="N62" i="5" s="1"/>
  <c r="B40" i="5"/>
  <c r="AA42" i="5"/>
  <c r="F40" i="5"/>
  <c r="I42" i="5"/>
  <c r="U97" i="5"/>
  <c r="U98" i="5" s="1"/>
  <c r="AD96" i="5"/>
  <c r="T97" i="5"/>
  <c r="T98" i="5" s="1"/>
  <c r="AC96" i="5"/>
  <c r="AF96" i="5"/>
  <c r="R97" i="5"/>
  <c r="R98" i="5" s="1"/>
  <c r="AE96" i="5"/>
  <c r="AB96" i="5"/>
  <c r="AA103" i="5"/>
  <c r="O103" i="5"/>
  <c r="B103" i="5"/>
  <c r="I102" i="5"/>
  <c r="B102" i="5"/>
  <c r="F101" i="5"/>
  <c r="R100" i="5"/>
  <c r="E100" i="5"/>
  <c r="P102" i="5"/>
  <c r="L102" i="5"/>
  <c r="H102" i="5"/>
  <c r="D101" i="5"/>
  <c r="Q100" i="5"/>
  <c r="D100" i="5"/>
  <c r="K103" i="5"/>
  <c r="AA102" i="5"/>
  <c r="K102" i="5"/>
  <c r="P101" i="5"/>
  <c r="G100" i="5"/>
  <c r="J102" i="5"/>
  <c r="O101" i="5"/>
  <c r="F100" i="5"/>
  <c r="O102" i="5"/>
  <c r="B100" i="5"/>
  <c r="AA101" i="5"/>
  <c r="G102" i="5"/>
  <c r="B101" i="5"/>
  <c r="AA100" i="5"/>
  <c r="AA93" i="5"/>
  <c r="O93" i="5"/>
  <c r="B93" i="5"/>
  <c r="I92" i="5"/>
  <c r="B92" i="5"/>
  <c r="F91" i="5"/>
  <c r="R90" i="5"/>
  <c r="E90" i="5"/>
  <c r="O92" i="5"/>
  <c r="J92" i="5"/>
  <c r="Q90" i="5"/>
  <c r="B90" i="5"/>
  <c r="K93" i="5"/>
  <c r="H92" i="5"/>
  <c r="AA91" i="5"/>
  <c r="P91" i="5"/>
  <c r="D91" i="5"/>
  <c r="G90" i="5"/>
  <c r="L92" i="5"/>
  <c r="F90" i="5"/>
  <c r="K92" i="5"/>
  <c r="D90" i="5"/>
  <c r="G92" i="5"/>
  <c r="O91" i="5"/>
  <c r="B91" i="5"/>
  <c r="AA92" i="5"/>
  <c r="P92" i="5"/>
  <c r="AA90" i="5"/>
  <c r="Y61" i="5"/>
  <c r="AG61" i="5" s="1"/>
  <c r="Y62" i="5"/>
  <c r="Y63" i="5" s="1"/>
  <c r="B41" i="5"/>
  <c r="O42" i="5"/>
  <c r="O41" i="5"/>
  <c r="P42" i="5"/>
  <c r="D41" i="5"/>
  <c r="B42" i="5"/>
  <c r="G42" i="5"/>
  <c r="K43" i="5"/>
  <c r="H42" i="5"/>
  <c r="AA41" i="5"/>
  <c r="R40" i="5"/>
  <c r="Y42" i="5" s="1"/>
  <c r="Y43" i="5" s="1"/>
  <c r="B43" i="5"/>
  <c r="AA22" i="5"/>
  <c r="P22" i="5"/>
  <c r="O23" i="5"/>
  <c r="G22" i="5"/>
  <c r="K23" i="5"/>
  <c r="D21" i="5"/>
  <c r="AA20" i="5"/>
  <c r="Q20" i="5"/>
  <c r="AA23" i="5"/>
  <c r="AA48" i="5"/>
  <c r="O48" i="5"/>
  <c r="B48" i="5"/>
  <c r="I47" i="5"/>
  <c r="B47" i="5"/>
  <c r="F46" i="5"/>
  <c r="R45" i="5"/>
  <c r="E45" i="5"/>
  <c r="P47" i="5"/>
  <c r="L47" i="5"/>
  <c r="H47" i="5"/>
  <c r="D46" i="5"/>
  <c r="Q45" i="5"/>
  <c r="D45" i="5"/>
  <c r="J47" i="5"/>
  <c r="F45" i="5"/>
  <c r="K48" i="5"/>
  <c r="AA47" i="5"/>
  <c r="O47" i="5"/>
  <c r="K47" i="5"/>
  <c r="G47" i="5"/>
  <c r="P46" i="5"/>
  <c r="B46" i="5"/>
  <c r="G45" i="5"/>
  <c r="B45" i="5"/>
  <c r="AA46" i="5"/>
  <c r="O46" i="5"/>
  <c r="AA45" i="5"/>
  <c r="B20" i="5"/>
  <c r="D20" i="5"/>
  <c r="P21" i="5"/>
  <c r="AE23" i="5" s="1"/>
  <c r="K22" i="5"/>
  <c r="M22" i="5" s="1"/>
  <c r="N22" i="5" s="1"/>
  <c r="F20" i="5"/>
  <c r="H22" i="5"/>
  <c r="O21" i="5"/>
  <c r="F21" i="5"/>
  <c r="Q22" i="5" s="1"/>
  <c r="Q23" i="5" s="1"/>
  <c r="O22" i="5"/>
  <c r="G20" i="5"/>
  <c r="L22" i="5"/>
  <c r="AA21" i="5"/>
  <c r="B22" i="5"/>
  <c r="J22" i="5"/>
  <c r="U22" i="5" s="1"/>
  <c r="U23" i="5" s="1"/>
  <c r="E20" i="5"/>
  <c r="I22" i="5"/>
  <c r="B21" i="5"/>
  <c r="R20" i="5"/>
  <c r="Y22" i="5" s="1"/>
  <c r="Y23" i="5" s="1"/>
  <c r="K13" i="5"/>
  <c r="G10" i="5"/>
  <c r="L12" i="5"/>
  <c r="P11" i="5"/>
  <c r="O13" i="5"/>
  <c r="K12" i="5"/>
  <c r="AF12" i="5" s="1"/>
  <c r="O11" i="5"/>
  <c r="D10" i="5"/>
  <c r="P12" i="5"/>
  <c r="Q10" i="5"/>
  <c r="B12" i="5"/>
  <c r="AA33" i="5"/>
  <c r="O33" i="5"/>
  <c r="B33" i="5"/>
  <c r="I32" i="5"/>
  <c r="B32" i="5"/>
  <c r="F31" i="5"/>
  <c r="R30" i="5"/>
  <c r="E30" i="5"/>
  <c r="P32" i="5"/>
  <c r="L32" i="5"/>
  <c r="H32" i="5"/>
  <c r="D31" i="5"/>
  <c r="Q30" i="5"/>
  <c r="D30" i="5"/>
  <c r="K33" i="5"/>
  <c r="AA32" i="5"/>
  <c r="O32" i="5"/>
  <c r="K32" i="5"/>
  <c r="G32" i="5"/>
  <c r="P31" i="5"/>
  <c r="B31" i="5"/>
  <c r="G30" i="5"/>
  <c r="B30" i="5"/>
  <c r="J32" i="5"/>
  <c r="AA31" i="5"/>
  <c r="O31" i="5"/>
  <c r="AA30" i="5"/>
  <c r="F30" i="5"/>
  <c r="B10" i="5"/>
  <c r="AA12" i="5"/>
  <c r="J12" i="5"/>
  <c r="U12" i="5" s="1"/>
  <c r="U13" i="5" s="1"/>
  <c r="H12" i="5"/>
  <c r="B11" i="5"/>
  <c r="R10" i="5"/>
  <c r="Y12" i="5" s="1"/>
  <c r="Y13" i="5" s="1"/>
  <c r="B13" i="5"/>
  <c r="G12" i="5"/>
  <c r="F11" i="5"/>
  <c r="R11" i="5" s="1"/>
  <c r="AA10" i="5"/>
  <c r="O12" i="5"/>
  <c r="AA11" i="5"/>
  <c r="D11" i="5"/>
  <c r="F10" i="5"/>
  <c r="E10" i="5"/>
  <c r="I12" i="5"/>
  <c r="AA28" i="5"/>
  <c r="O28" i="5"/>
  <c r="B28" i="5"/>
  <c r="I27" i="5"/>
  <c r="B27" i="5"/>
  <c r="F26" i="5"/>
  <c r="R25" i="5"/>
  <c r="E25" i="5"/>
  <c r="L27" i="5"/>
  <c r="Q25" i="5"/>
  <c r="K28" i="5"/>
  <c r="AA27" i="5"/>
  <c r="K27" i="5"/>
  <c r="P26" i="5"/>
  <c r="G25" i="5"/>
  <c r="AA26" i="5"/>
  <c r="F25" i="5"/>
  <c r="P27" i="5"/>
  <c r="H27" i="5"/>
  <c r="D26" i="5"/>
  <c r="D25" i="5"/>
  <c r="O27" i="5"/>
  <c r="G27" i="5"/>
  <c r="B26" i="5"/>
  <c r="B25" i="5"/>
  <c r="J27" i="5"/>
  <c r="O26" i="5"/>
  <c r="AA25" i="5"/>
  <c r="AA18" i="5"/>
  <c r="O18" i="5"/>
  <c r="B18" i="5"/>
  <c r="I17" i="5"/>
  <c r="B17" i="5"/>
  <c r="F16" i="5"/>
  <c r="R15" i="5"/>
  <c r="E15" i="5"/>
  <c r="Q15" i="5"/>
  <c r="P16" i="5"/>
  <c r="B16" i="5"/>
  <c r="F15" i="5"/>
  <c r="P17" i="5"/>
  <c r="L17" i="5"/>
  <c r="H17" i="5"/>
  <c r="D16" i="5"/>
  <c r="D15" i="5"/>
  <c r="B15" i="5"/>
  <c r="AA16" i="5"/>
  <c r="O16" i="5"/>
  <c r="AA15" i="5"/>
  <c r="K18" i="5"/>
  <c r="AA17" i="5"/>
  <c r="O17" i="5"/>
  <c r="K17" i="5"/>
  <c r="G17" i="5"/>
  <c r="G15" i="5"/>
  <c r="J17" i="5"/>
  <c r="G7" i="5"/>
  <c r="K8" i="5"/>
  <c r="H7" i="5"/>
  <c r="O8" i="5"/>
  <c r="B5" i="5"/>
  <c r="B7" i="5"/>
  <c r="O6" i="5"/>
  <c r="G5" i="5"/>
  <c r="K7" i="5"/>
  <c r="AF7" i="5" s="1"/>
  <c r="S7" i="5" s="1"/>
  <c r="S8" i="5" s="1"/>
  <c r="R5" i="5"/>
  <c r="Y6" i="5" s="1"/>
  <c r="AG6" i="5" s="1"/>
  <c r="B8" i="5"/>
  <c r="Q5" i="5"/>
  <c r="E5" i="5"/>
  <c r="O7" i="5"/>
  <c r="AA6" i="5"/>
  <c r="I7" i="5"/>
  <c r="J7" i="5"/>
  <c r="AF6" i="5" s="1"/>
  <c r="R7" i="5" s="1"/>
  <c r="R8" i="5" s="1"/>
  <c r="F6" i="5"/>
  <c r="R6" i="5" s="1"/>
  <c r="AA7" i="5"/>
  <c r="D6" i="5"/>
  <c r="F5" i="5"/>
  <c r="P7" i="5"/>
  <c r="AA5" i="5"/>
  <c r="P6" i="5"/>
  <c r="B6" i="5"/>
  <c r="L7" i="5"/>
  <c r="D5" i="5"/>
  <c r="AA8" i="5"/>
  <c r="V11" i="5" l="1"/>
  <c r="AD52" i="5"/>
  <c r="AF51" i="5"/>
  <c r="AD51" i="5"/>
  <c r="D57" i="5"/>
  <c r="C58" i="5" s="1"/>
  <c r="S141" i="5"/>
  <c r="X142" i="5"/>
  <c r="X143" i="5" s="1"/>
  <c r="W142" i="5"/>
  <c r="W143" i="5" s="1"/>
  <c r="Q112" i="5"/>
  <c r="Q113" i="5" s="1"/>
  <c r="Z142" i="5"/>
  <c r="Z143" i="5" s="1"/>
  <c r="Z141" i="5"/>
  <c r="AF142" i="5"/>
  <c r="AB52" i="5"/>
  <c r="W57" i="5"/>
  <c r="W58" i="5" s="1"/>
  <c r="G111" i="5"/>
  <c r="R57" i="5"/>
  <c r="R58" i="5" s="1"/>
  <c r="W42" i="5"/>
  <c r="W43" i="5" s="1"/>
  <c r="Y51" i="5"/>
  <c r="AG51" i="5" s="1"/>
  <c r="AC56" i="5"/>
  <c r="X111" i="5"/>
  <c r="Q111" i="5"/>
  <c r="U57" i="5"/>
  <c r="U58" i="5" s="1"/>
  <c r="T57" i="5"/>
  <c r="T58" i="5" s="1"/>
  <c r="AE57" i="5"/>
  <c r="R111" i="5"/>
  <c r="AD36" i="5"/>
  <c r="W52" i="5"/>
  <c r="W53" i="5" s="1"/>
  <c r="M52" i="5"/>
  <c r="N52" i="5" s="1"/>
  <c r="AE51" i="5"/>
  <c r="AC51" i="5"/>
  <c r="AC53" i="5" s="1"/>
  <c r="AD56" i="5"/>
  <c r="AB56" i="5"/>
  <c r="AD57" i="5"/>
  <c r="AB57" i="5"/>
  <c r="G141" i="5"/>
  <c r="X141" i="5"/>
  <c r="R141" i="5"/>
  <c r="V142" i="5"/>
  <c r="V143" i="5" s="1"/>
  <c r="AE142" i="5"/>
  <c r="AC142" i="5"/>
  <c r="AC143" i="5" s="1"/>
  <c r="V111" i="5"/>
  <c r="U111" i="5"/>
  <c r="W111" i="5"/>
  <c r="AE143" i="5"/>
  <c r="AF36" i="5"/>
  <c r="AF42" i="5"/>
  <c r="S52" i="5"/>
  <c r="S53" i="5" s="1"/>
  <c r="AF52" i="5"/>
  <c r="R52" i="5"/>
  <c r="R53" i="5" s="1"/>
  <c r="U52" i="5"/>
  <c r="U53" i="5" s="1"/>
  <c r="V57" i="5"/>
  <c r="V58" i="5" s="1"/>
  <c r="Z112" i="5"/>
  <c r="Z113" i="5" s="1"/>
  <c r="S111" i="5"/>
  <c r="Y37" i="5"/>
  <c r="Y38" i="5" s="1"/>
  <c r="V52" i="5"/>
  <c r="V53" i="5" s="1"/>
  <c r="AE52" i="5"/>
  <c r="AB51" i="5"/>
  <c r="AB53" i="5" s="1"/>
  <c r="AE56" i="5"/>
  <c r="M57" i="5"/>
  <c r="N57" i="5" s="1"/>
  <c r="S57" i="5"/>
  <c r="S58" i="5" s="1"/>
  <c r="W141" i="5"/>
  <c r="Q141" i="5"/>
  <c r="AD142" i="5"/>
  <c r="Z111" i="5"/>
  <c r="X112" i="5"/>
  <c r="X113" i="5" s="1"/>
  <c r="AB132" i="5"/>
  <c r="AB133" i="5" s="1"/>
  <c r="U112" i="5"/>
  <c r="U113" i="5" s="1"/>
  <c r="S132" i="5"/>
  <c r="S133" i="5" s="1"/>
  <c r="AE132" i="5"/>
  <c r="AF132" i="5"/>
  <c r="M132" i="5"/>
  <c r="N132" i="5" s="1"/>
  <c r="V132" i="5"/>
  <c r="V133" i="5" s="1"/>
  <c r="AC132" i="5"/>
  <c r="Q42" i="5"/>
  <c r="Q43" i="5" s="1"/>
  <c r="S51" i="5"/>
  <c r="U36" i="5"/>
  <c r="Q37" i="5"/>
  <c r="Q38" i="5" s="1"/>
  <c r="S36" i="5"/>
  <c r="W36" i="5"/>
  <c r="Q36" i="5"/>
  <c r="AE53" i="5"/>
  <c r="U51" i="5"/>
  <c r="X36" i="5"/>
  <c r="Z36" i="5"/>
  <c r="R51" i="5"/>
  <c r="Y11" i="5"/>
  <c r="AG11" i="5" s="1"/>
  <c r="W37" i="5"/>
  <c r="W38" i="5" s="1"/>
  <c r="G41" i="5"/>
  <c r="I41" i="5" s="1"/>
  <c r="J41" i="5" s="1"/>
  <c r="K41" i="5" s="1"/>
  <c r="M41" i="5" s="1"/>
  <c r="N41" i="5" s="1"/>
  <c r="D42" i="5"/>
  <c r="C43" i="5" s="1"/>
  <c r="X51" i="5"/>
  <c r="X52" i="5"/>
  <c r="X53" i="5" s="1"/>
  <c r="V51" i="5"/>
  <c r="AB111" i="5"/>
  <c r="AB37" i="5"/>
  <c r="Q41" i="5"/>
  <c r="Z52" i="5"/>
  <c r="Z53" i="5" s="1"/>
  <c r="W51" i="5"/>
  <c r="Z51" i="5"/>
  <c r="Y141" i="5"/>
  <c r="AG141" i="5" s="1"/>
  <c r="Z42" i="5"/>
  <c r="Z43" i="5" s="1"/>
  <c r="G51" i="5"/>
  <c r="H51" i="5" s="1"/>
  <c r="Q51" i="5"/>
  <c r="T51" i="5"/>
  <c r="T21" i="5"/>
  <c r="Z37" i="5"/>
  <c r="Z38" i="5" s="1"/>
  <c r="X37" i="5"/>
  <c r="X38" i="5" s="1"/>
  <c r="R36" i="5"/>
  <c r="T42" i="5"/>
  <c r="T43" i="5" s="1"/>
  <c r="Z56" i="5"/>
  <c r="Y57" i="5"/>
  <c r="Y58" i="5" s="1"/>
  <c r="AF112" i="5"/>
  <c r="AB41" i="5"/>
  <c r="G56" i="5"/>
  <c r="L58" i="5" s="1"/>
  <c r="AF22" i="5"/>
  <c r="T36" i="5"/>
  <c r="G36" i="5"/>
  <c r="I36" i="5" s="1"/>
  <c r="J36" i="5" s="1"/>
  <c r="K36" i="5" s="1"/>
  <c r="M36" i="5" s="1"/>
  <c r="N36" i="5" s="1"/>
  <c r="Q56" i="5"/>
  <c r="AB112" i="5"/>
  <c r="Z22" i="5"/>
  <c r="Z23" i="5" s="1"/>
  <c r="AC22" i="5"/>
  <c r="AE37" i="5"/>
  <c r="AF37" i="5"/>
  <c r="S41" i="5"/>
  <c r="U41" i="5"/>
  <c r="R41" i="5"/>
  <c r="AE111" i="5"/>
  <c r="AF111" i="5"/>
  <c r="R21" i="5"/>
  <c r="R22" i="5"/>
  <c r="R23" i="5" s="1"/>
  <c r="V37" i="5"/>
  <c r="V38" i="5" s="1"/>
  <c r="M37" i="5"/>
  <c r="N37" i="5" s="1"/>
  <c r="T41" i="5"/>
  <c r="X42" i="5"/>
  <c r="X43" i="5" s="1"/>
  <c r="V41" i="5"/>
  <c r="AC111" i="5"/>
  <c r="R112" i="5"/>
  <c r="R113" i="5" s="1"/>
  <c r="S22" i="5"/>
  <c r="S23" i="5" s="1"/>
  <c r="AC21" i="5"/>
  <c r="S37" i="5"/>
  <c r="S38" i="5" s="1"/>
  <c r="AD37" i="5"/>
  <c r="X41" i="5"/>
  <c r="W41" i="5"/>
  <c r="AD111" i="5"/>
  <c r="D37" i="5"/>
  <c r="C38" i="5" s="1"/>
  <c r="AF41" i="5"/>
  <c r="R42" i="5"/>
  <c r="R43" i="5" s="1"/>
  <c r="W56" i="5"/>
  <c r="S56" i="5"/>
  <c r="U56" i="5"/>
  <c r="M112" i="5"/>
  <c r="N112" i="5" s="1"/>
  <c r="AD112" i="5"/>
  <c r="AC112" i="5"/>
  <c r="AE41" i="5"/>
  <c r="AD41" i="5"/>
  <c r="V56" i="5"/>
  <c r="Z57" i="5"/>
  <c r="Z58" i="5" s="1"/>
  <c r="T56" i="5"/>
  <c r="X57" i="5"/>
  <c r="X58" i="5" s="1"/>
  <c r="AE112" i="5"/>
  <c r="S112" i="5"/>
  <c r="S113" i="5" s="1"/>
  <c r="AC41" i="5"/>
  <c r="AC43" i="5" s="1"/>
  <c r="Q57" i="5"/>
  <c r="Q58" i="5" s="1"/>
  <c r="R56" i="5"/>
  <c r="V112" i="5"/>
  <c r="V113" i="5" s="1"/>
  <c r="Y21" i="5"/>
  <c r="AG21" i="5" s="1"/>
  <c r="R37" i="5"/>
  <c r="R38" i="5" s="1"/>
  <c r="U37" i="5"/>
  <c r="U38" i="5" s="1"/>
  <c r="AE42" i="5"/>
  <c r="AD42" i="5"/>
  <c r="AB98" i="5"/>
  <c r="D112" i="5"/>
  <c r="C113" i="5" s="1"/>
  <c r="AE36" i="5"/>
  <c r="AC36" i="5"/>
  <c r="AC38" i="5" s="1"/>
  <c r="V42" i="5"/>
  <c r="V43" i="5" s="1"/>
  <c r="M42" i="5"/>
  <c r="N42" i="5" s="1"/>
  <c r="AB63" i="5"/>
  <c r="AC133" i="5"/>
  <c r="AB36" i="5"/>
  <c r="AB38" i="5" s="1"/>
  <c r="S42" i="5"/>
  <c r="S43" i="5" s="1"/>
  <c r="AB42" i="5"/>
  <c r="AC117" i="5"/>
  <c r="M117" i="5"/>
  <c r="N117" i="5" s="1"/>
  <c r="AE117" i="5"/>
  <c r="AD117" i="5"/>
  <c r="S117" i="5"/>
  <c r="S118" i="5" s="1"/>
  <c r="AB117" i="5"/>
  <c r="W117" i="5"/>
  <c r="W118" i="5" s="1"/>
  <c r="AF117" i="5"/>
  <c r="V117" i="5"/>
  <c r="V118" i="5" s="1"/>
  <c r="AB21" i="5"/>
  <c r="T22" i="5"/>
  <c r="T23" i="5" s="1"/>
  <c r="U147" i="5"/>
  <c r="U148" i="5" s="1"/>
  <c r="AD146" i="5"/>
  <c r="T147" i="5"/>
  <c r="T148" i="5" s="1"/>
  <c r="AC146" i="5"/>
  <c r="AF146" i="5"/>
  <c r="AB146" i="5"/>
  <c r="R147" i="5"/>
  <c r="R148" i="5" s="1"/>
  <c r="AE146" i="5"/>
  <c r="AE148" i="5"/>
  <c r="D147" i="5"/>
  <c r="C148" i="5" s="1"/>
  <c r="AB143" i="5"/>
  <c r="Y137" i="5"/>
  <c r="Y138" i="5" s="1"/>
  <c r="Y136" i="5"/>
  <c r="AG136" i="5" s="1"/>
  <c r="L133" i="5"/>
  <c r="I131" i="5"/>
  <c r="J131" i="5" s="1"/>
  <c r="K131" i="5" s="1"/>
  <c r="M131" i="5" s="1"/>
  <c r="N131" i="5" s="1"/>
  <c r="L131" i="5"/>
  <c r="H131" i="5"/>
  <c r="Y117" i="5"/>
  <c r="Y118" i="5" s="1"/>
  <c r="Y116" i="5"/>
  <c r="AG116" i="5" s="1"/>
  <c r="D107" i="5"/>
  <c r="C108" i="5" s="1"/>
  <c r="AE108" i="5"/>
  <c r="D122" i="5"/>
  <c r="C123" i="5" s="1"/>
  <c r="AE123" i="5"/>
  <c r="T122" i="5"/>
  <c r="T123" i="5" s="1"/>
  <c r="AC121" i="5"/>
  <c r="AF121" i="5"/>
  <c r="R122" i="5"/>
  <c r="R123" i="5" s="1"/>
  <c r="AE121" i="5"/>
  <c r="AD121" i="5"/>
  <c r="U122" i="5"/>
  <c r="U123" i="5" s="1"/>
  <c r="AB121" i="5"/>
  <c r="U152" i="5"/>
  <c r="U153" i="5" s="1"/>
  <c r="AD151" i="5"/>
  <c r="T152" i="5"/>
  <c r="T153" i="5" s="1"/>
  <c r="AC151" i="5"/>
  <c r="AF151" i="5"/>
  <c r="AB151" i="5"/>
  <c r="R152" i="5"/>
  <c r="R153" i="5" s="1"/>
  <c r="AE151" i="5"/>
  <c r="Y152" i="5"/>
  <c r="Y153" i="5" s="1"/>
  <c r="Y151" i="5"/>
  <c r="AG151" i="5" s="1"/>
  <c r="AE153" i="5"/>
  <c r="D152" i="5"/>
  <c r="C153" i="5" s="1"/>
  <c r="AF21" i="5"/>
  <c r="AD21" i="5"/>
  <c r="X127" i="5"/>
  <c r="X128" i="5" s="1"/>
  <c r="U126" i="5"/>
  <c r="Q126" i="5"/>
  <c r="Q127" i="5"/>
  <c r="Q128" i="5" s="1"/>
  <c r="X126" i="5"/>
  <c r="S126" i="5"/>
  <c r="Z127" i="5"/>
  <c r="Z128" i="5" s="1"/>
  <c r="W126" i="5"/>
  <c r="R126" i="5"/>
  <c r="G126" i="5"/>
  <c r="V126" i="5"/>
  <c r="Z126" i="5"/>
  <c r="T126" i="5"/>
  <c r="T127" i="5"/>
  <c r="T128" i="5" s="1"/>
  <c r="AC126" i="5"/>
  <c r="AD126" i="5"/>
  <c r="U127" i="5"/>
  <c r="U128" i="5" s="1"/>
  <c r="AB126" i="5"/>
  <c r="AF126" i="5"/>
  <c r="AE126" i="5"/>
  <c r="R127" i="5"/>
  <c r="R128" i="5" s="1"/>
  <c r="Y147" i="5"/>
  <c r="Y148" i="5" s="1"/>
  <c r="Y146" i="5"/>
  <c r="AG146" i="5" s="1"/>
  <c r="Q137" i="5"/>
  <c r="Q138" i="5" s="1"/>
  <c r="Z136" i="5"/>
  <c r="V136" i="5"/>
  <c r="R136" i="5"/>
  <c r="X137" i="5"/>
  <c r="X138" i="5" s="1"/>
  <c r="X136" i="5"/>
  <c r="T136" i="5"/>
  <c r="Z137" i="5"/>
  <c r="Z138" i="5" s="1"/>
  <c r="S136" i="5"/>
  <c r="W136" i="5"/>
  <c r="G136" i="5"/>
  <c r="U136" i="5"/>
  <c r="Q136" i="5"/>
  <c r="AC137" i="5"/>
  <c r="M137" i="5"/>
  <c r="N137" i="5" s="1"/>
  <c r="AF137" i="5"/>
  <c r="AB137" i="5"/>
  <c r="AE137" i="5"/>
  <c r="W137" i="5"/>
  <c r="W138" i="5" s="1"/>
  <c r="S137" i="5"/>
  <c r="S138" i="5" s="1"/>
  <c r="V137" i="5"/>
  <c r="V138" i="5" s="1"/>
  <c r="AD137" i="5"/>
  <c r="U117" i="5"/>
  <c r="U118" i="5" s="1"/>
  <c r="AD116" i="5"/>
  <c r="T117" i="5"/>
  <c r="T118" i="5" s="1"/>
  <c r="AB116" i="5"/>
  <c r="AC116" i="5"/>
  <c r="AF116" i="5"/>
  <c r="R117" i="5"/>
  <c r="R118" i="5" s="1"/>
  <c r="AE116" i="5"/>
  <c r="Q117" i="5"/>
  <c r="Q118" i="5" s="1"/>
  <c r="Z116" i="5"/>
  <c r="V116" i="5"/>
  <c r="R116" i="5"/>
  <c r="Z117" i="5"/>
  <c r="Z118" i="5" s="1"/>
  <c r="W116" i="5"/>
  <c r="Q116" i="5"/>
  <c r="G116" i="5"/>
  <c r="X117" i="5"/>
  <c r="X118" i="5" s="1"/>
  <c r="U116" i="5"/>
  <c r="S116" i="5"/>
  <c r="T116" i="5"/>
  <c r="X116" i="5"/>
  <c r="L111" i="5"/>
  <c r="H111" i="5"/>
  <c r="I111" i="5"/>
  <c r="J111" i="5" s="1"/>
  <c r="K111" i="5" s="1"/>
  <c r="M111" i="5" s="1"/>
  <c r="N111" i="5" s="1"/>
  <c r="L113" i="5"/>
  <c r="Y106" i="5"/>
  <c r="AG106" i="5" s="1"/>
  <c r="Y107" i="5"/>
  <c r="Y108" i="5" s="1"/>
  <c r="AF106" i="5"/>
  <c r="AB106" i="5"/>
  <c r="R107" i="5"/>
  <c r="R108" i="5" s="1"/>
  <c r="T107" i="5"/>
  <c r="T108" i="5" s="1"/>
  <c r="AC106" i="5"/>
  <c r="AE106" i="5"/>
  <c r="U107" i="5"/>
  <c r="U108" i="5" s="1"/>
  <c r="AD106" i="5"/>
  <c r="AF122" i="5"/>
  <c r="AB122" i="5"/>
  <c r="AD122" i="5"/>
  <c r="S122" i="5"/>
  <c r="S123" i="5" s="1"/>
  <c r="AC122" i="5"/>
  <c r="W122" i="5"/>
  <c r="W123" i="5" s="1"/>
  <c r="M122" i="5"/>
  <c r="N122" i="5" s="1"/>
  <c r="V122" i="5"/>
  <c r="V123" i="5" s="1"/>
  <c r="AE122" i="5"/>
  <c r="AC152" i="5"/>
  <c r="M152" i="5"/>
  <c r="N152" i="5" s="1"/>
  <c r="AF152" i="5"/>
  <c r="AB152" i="5"/>
  <c r="AE152" i="5"/>
  <c r="W152" i="5"/>
  <c r="W153" i="5" s="1"/>
  <c r="S152" i="5"/>
  <c r="S153" i="5" s="1"/>
  <c r="AD152" i="5"/>
  <c r="V152" i="5"/>
  <c r="V153" i="5" s="1"/>
  <c r="Q152" i="5"/>
  <c r="Q153" i="5" s="1"/>
  <c r="Z151" i="5"/>
  <c r="V151" i="5"/>
  <c r="R151" i="5"/>
  <c r="X152" i="5"/>
  <c r="X153" i="5" s="1"/>
  <c r="U151" i="5"/>
  <c r="Q151" i="5"/>
  <c r="X151" i="5"/>
  <c r="T151" i="5"/>
  <c r="Z152" i="5"/>
  <c r="Z153" i="5" s="1"/>
  <c r="W151" i="5"/>
  <c r="G151" i="5"/>
  <c r="S151" i="5"/>
  <c r="L143" i="5"/>
  <c r="I141" i="5"/>
  <c r="J141" i="5" s="1"/>
  <c r="K141" i="5" s="1"/>
  <c r="M141" i="5" s="1"/>
  <c r="N141" i="5" s="1"/>
  <c r="L141" i="5"/>
  <c r="H141" i="5"/>
  <c r="Y126" i="5"/>
  <c r="AG126" i="5" s="1"/>
  <c r="Y127" i="5"/>
  <c r="Y128" i="5" s="1"/>
  <c r="AE138" i="5"/>
  <c r="D137" i="5"/>
  <c r="C138" i="5" s="1"/>
  <c r="X122" i="5"/>
  <c r="X123" i="5" s="1"/>
  <c r="W121" i="5"/>
  <c r="S121" i="5"/>
  <c r="G121" i="5"/>
  <c r="Z121" i="5"/>
  <c r="V121" i="5"/>
  <c r="R121" i="5"/>
  <c r="Q122" i="5"/>
  <c r="Q123" i="5" s="1"/>
  <c r="U121" i="5"/>
  <c r="Q121" i="5"/>
  <c r="T121" i="5"/>
  <c r="Z122" i="5"/>
  <c r="Z123" i="5" s="1"/>
  <c r="X121" i="5"/>
  <c r="AE21" i="5"/>
  <c r="D127" i="5"/>
  <c r="C128" i="5" s="1"/>
  <c r="AE128" i="5"/>
  <c r="AF127" i="5"/>
  <c r="AB127" i="5"/>
  <c r="V127" i="5"/>
  <c r="V128" i="5" s="1"/>
  <c r="AE127" i="5"/>
  <c r="AD127" i="5"/>
  <c r="S127" i="5"/>
  <c r="S128" i="5" s="1"/>
  <c r="AC127" i="5"/>
  <c r="W127" i="5"/>
  <c r="W128" i="5" s="1"/>
  <c r="M127" i="5"/>
  <c r="N127" i="5" s="1"/>
  <c r="AC147" i="5"/>
  <c r="M147" i="5"/>
  <c r="N147" i="5" s="1"/>
  <c r="AF147" i="5"/>
  <c r="AB147" i="5"/>
  <c r="AE147" i="5"/>
  <c r="W147" i="5"/>
  <c r="W148" i="5" s="1"/>
  <c r="S147" i="5"/>
  <c r="S148" i="5" s="1"/>
  <c r="V147" i="5"/>
  <c r="V148" i="5" s="1"/>
  <c r="AD147" i="5"/>
  <c r="Q147" i="5"/>
  <c r="Q148" i="5" s="1"/>
  <c r="Z146" i="5"/>
  <c r="V146" i="5"/>
  <c r="R146" i="5"/>
  <c r="X147" i="5"/>
  <c r="X148" i="5" s="1"/>
  <c r="U146" i="5"/>
  <c r="Q146" i="5"/>
  <c r="X146" i="5"/>
  <c r="T146" i="5"/>
  <c r="Z147" i="5"/>
  <c r="Z148" i="5" s="1"/>
  <c r="W146" i="5"/>
  <c r="G146" i="5"/>
  <c r="S146" i="5"/>
  <c r="U137" i="5"/>
  <c r="U138" i="5" s="1"/>
  <c r="AD136" i="5"/>
  <c r="T137" i="5"/>
  <c r="T138" i="5" s="1"/>
  <c r="AF136" i="5"/>
  <c r="AB136" i="5"/>
  <c r="AB138" i="5" s="1"/>
  <c r="R137" i="5"/>
  <c r="R138" i="5" s="1"/>
  <c r="AE136" i="5"/>
  <c r="AC136" i="5"/>
  <c r="AE118" i="5"/>
  <c r="D117" i="5"/>
  <c r="C118" i="5" s="1"/>
  <c r="X106" i="5"/>
  <c r="T106" i="5"/>
  <c r="S106" i="5"/>
  <c r="U106" i="5"/>
  <c r="Z107" i="5"/>
  <c r="Z108" i="5" s="1"/>
  <c r="W106" i="5"/>
  <c r="G106" i="5"/>
  <c r="X107" i="5"/>
  <c r="X108" i="5" s="1"/>
  <c r="Q107" i="5"/>
  <c r="Q108" i="5" s="1"/>
  <c r="Z106" i="5"/>
  <c r="V106" i="5"/>
  <c r="R106" i="5"/>
  <c r="Q106" i="5"/>
  <c r="AE107" i="5"/>
  <c r="W107" i="5"/>
  <c r="W108" i="5" s="1"/>
  <c r="S107" i="5"/>
  <c r="S108" i="5" s="1"/>
  <c r="AD107" i="5"/>
  <c r="AF107" i="5"/>
  <c r="V107" i="5"/>
  <c r="V108" i="5" s="1"/>
  <c r="AC107" i="5"/>
  <c r="M107" i="5"/>
  <c r="N107" i="5" s="1"/>
  <c r="AB107" i="5"/>
  <c r="Y122" i="5"/>
  <c r="Y123" i="5" s="1"/>
  <c r="Y121" i="5"/>
  <c r="AG121" i="5" s="1"/>
  <c r="AE103" i="5"/>
  <c r="D102" i="5"/>
  <c r="C103" i="5" s="1"/>
  <c r="AE11" i="5"/>
  <c r="X21" i="5"/>
  <c r="Q21" i="5"/>
  <c r="V21" i="5"/>
  <c r="W22" i="5"/>
  <c r="W23" i="5" s="1"/>
  <c r="V22" i="5"/>
  <c r="V23" i="5" s="1"/>
  <c r="AC92" i="5"/>
  <c r="M92" i="5"/>
  <c r="N92" i="5" s="1"/>
  <c r="AE92" i="5"/>
  <c r="AD92" i="5"/>
  <c r="S92" i="5"/>
  <c r="S93" i="5" s="1"/>
  <c r="W92" i="5"/>
  <c r="W93" i="5" s="1"/>
  <c r="AF92" i="5"/>
  <c r="V92" i="5"/>
  <c r="V93" i="5" s="1"/>
  <c r="AB92" i="5"/>
  <c r="AC102" i="5"/>
  <c r="M102" i="5"/>
  <c r="N102" i="5" s="1"/>
  <c r="AF102" i="5"/>
  <c r="AB102" i="5"/>
  <c r="S102" i="5"/>
  <c r="S103" i="5" s="1"/>
  <c r="AE102" i="5"/>
  <c r="AD102" i="5"/>
  <c r="W102" i="5"/>
  <c r="W103" i="5" s="1"/>
  <c r="V102" i="5"/>
  <c r="V103" i="5" s="1"/>
  <c r="AC63" i="5"/>
  <c r="Q87" i="5"/>
  <c r="Q88" i="5" s="1"/>
  <c r="Z86" i="5"/>
  <c r="V86" i="5"/>
  <c r="R86" i="5"/>
  <c r="T86" i="5"/>
  <c r="X86" i="5"/>
  <c r="S86" i="5"/>
  <c r="Z87" i="5"/>
  <c r="Z88" i="5" s="1"/>
  <c r="W86" i="5"/>
  <c r="G86" i="5"/>
  <c r="X87" i="5"/>
  <c r="X88" i="5" s="1"/>
  <c r="U86" i="5"/>
  <c r="Q86" i="5"/>
  <c r="U87" i="5"/>
  <c r="U88" i="5" s="1"/>
  <c r="AD86" i="5"/>
  <c r="R87" i="5"/>
  <c r="R88" i="5" s="1"/>
  <c r="AE86" i="5"/>
  <c r="AC86" i="5"/>
  <c r="T87" i="5"/>
  <c r="T88" i="5" s="1"/>
  <c r="AB86" i="5"/>
  <c r="AF86" i="5"/>
  <c r="AC87" i="5"/>
  <c r="M87" i="5"/>
  <c r="N87" i="5" s="1"/>
  <c r="AB87" i="5"/>
  <c r="W87" i="5"/>
  <c r="W88" i="5" s="1"/>
  <c r="AF87" i="5"/>
  <c r="V87" i="5"/>
  <c r="V88" i="5" s="1"/>
  <c r="AE87" i="5"/>
  <c r="AD87" i="5"/>
  <c r="S87" i="5"/>
  <c r="S88" i="5" s="1"/>
  <c r="T72" i="5"/>
  <c r="T73" i="5" s="1"/>
  <c r="AC71" i="5"/>
  <c r="AF71" i="5"/>
  <c r="R72" i="5"/>
  <c r="R73" i="5" s="1"/>
  <c r="AE71" i="5"/>
  <c r="AD71" i="5"/>
  <c r="U72" i="5"/>
  <c r="U73" i="5" s="1"/>
  <c r="AB71" i="5"/>
  <c r="AE73" i="5"/>
  <c r="D72" i="5"/>
  <c r="C73" i="5" s="1"/>
  <c r="L98" i="5"/>
  <c r="I96" i="5"/>
  <c r="J96" i="5" s="1"/>
  <c r="K96" i="5" s="1"/>
  <c r="M96" i="5" s="1"/>
  <c r="N96" i="5" s="1"/>
  <c r="H96" i="5"/>
  <c r="L96" i="5"/>
  <c r="D77" i="5"/>
  <c r="C78" i="5" s="1"/>
  <c r="AE78" i="5"/>
  <c r="Y76" i="5"/>
  <c r="AG76" i="5" s="1"/>
  <c r="Y77" i="5"/>
  <c r="Y78" i="5" s="1"/>
  <c r="AF77" i="5"/>
  <c r="AB77" i="5"/>
  <c r="AE77" i="5"/>
  <c r="W77" i="5"/>
  <c r="W78" i="5" s="1"/>
  <c r="AD77" i="5"/>
  <c r="V77" i="5"/>
  <c r="V78" i="5" s="1"/>
  <c r="AC77" i="5"/>
  <c r="S77" i="5"/>
  <c r="S78" i="5" s="1"/>
  <c r="M77" i="5"/>
  <c r="N77" i="5" s="1"/>
  <c r="L63" i="5"/>
  <c r="I61" i="5"/>
  <c r="J61" i="5" s="1"/>
  <c r="K61" i="5" s="1"/>
  <c r="M61" i="5" s="1"/>
  <c r="N61" i="5" s="1"/>
  <c r="L61" i="5"/>
  <c r="H61" i="5"/>
  <c r="U92" i="5"/>
  <c r="U93" i="5" s="1"/>
  <c r="AD91" i="5"/>
  <c r="T92" i="5"/>
  <c r="T93" i="5" s="1"/>
  <c r="AB91" i="5"/>
  <c r="AF91" i="5"/>
  <c r="AE91" i="5"/>
  <c r="AC91" i="5"/>
  <c r="R92" i="5"/>
  <c r="R93" i="5" s="1"/>
  <c r="Q102" i="5"/>
  <c r="Q103" i="5" s="1"/>
  <c r="Z101" i="5"/>
  <c r="V101" i="5"/>
  <c r="R101" i="5"/>
  <c r="X102" i="5"/>
  <c r="X103" i="5" s="1"/>
  <c r="U101" i="5"/>
  <c r="Q101" i="5"/>
  <c r="X101" i="5"/>
  <c r="Z102" i="5"/>
  <c r="Z103" i="5" s="1"/>
  <c r="W101" i="5"/>
  <c r="G101" i="5"/>
  <c r="T101" i="5"/>
  <c r="S101" i="5"/>
  <c r="Y66" i="5"/>
  <c r="AG66" i="5" s="1"/>
  <c r="Y67" i="5"/>
  <c r="Y68" i="5" s="1"/>
  <c r="X72" i="5"/>
  <c r="X73" i="5" s="1"/>
  <c r="U71" i="5"/>
  <c r="Q71" i="5"/>
  <c r="V71" i="5"/>
  <c r="Z71" i="5"/>
  <c r="T71" i="5"/>
  <c r="Q72" i="5"/>
  <c r="Q73" i="5" s="1"/>
  <c r="S71" i="5"/>
  <c r="G71" i="5"/>
  <c r="X71" i="5"/>
  <c r="W71" i="5"/>
  <c r="Z72" i="5"/>
  <c r="Z73" i="5" s="1"/>
  <c r="R71" i="5"/>
  <c r="V12" i="5"/>
  <c r="V13" i="5" s="1"/>
  <c r="T12" i="5"/>
  <c r="T13" i="5" s="1"/>
  <c r="G21" i="5"/>
  <c r="I21" i="5" s="1"/>
  <c r="J21" i="5" s="1"/>
  <c r="K21" i="5" s="1"/>
  <c r="M21" i="5" s="1"/>
  <c r="N21" i="5" s="1"/>
  <c r="U21" i="5"/>
  <c r="Z21" i="5"/>
  <c r="AE22" i="5"/>
  <c r="AD22" i="5"/>
  <c r="Y41" i="5"/>
  <c r="AG41" i="5" s="1"/>
  <c r="AE93" i="5"/>
  <c r="D92" i="5"/>
  <c r="C93" i="5" s="1"/>
  <c r="U102" i="5"/>
  <c r="U103" i="5" s="1"/>
  <c r="AD101" i="5"/>
  <c r="T102" i="5"/>
  <c r="T103" i="5" s="1"/>
  <c r="AC101" i="5"/>
  <c r="AC103" i="5" s="1"/>
  <c r="AF101" i="5"/>
  <c r="R102" i="5"/>
  <c r="R103" i="5" s="1"/>
  <c r="AE101" i="5"/>
  <c r="AB101" i="5"/>
  <c r="AC98" i="5"/>
  <c r="D67" i="5"/>
  <c r="C68" i="5" s="1"/>
  <c r="AE68" i="5"/>
  <c r="X67" i="5"/>
  <c r="X68" i="5" s="1"/>
  <c r="U66" i="5"/>
  <c r="Q66" i="5"/>
  <c r="Q67" i="5"/>
  <c r="Q68" i="5" s="1"/>
  <c r="X66" i="5"/>
  <c r="S66" i="5"/>
  <c r="Z67" i="5"/>
  <c r="Z68" i="5" s="1"/>
  <c r="W66" i="5"/>
  <c r="R66" i="5"/>
  <c r="G66" i="5"/>
  <c r="V66" i="5"/>
  <c r="T66" i="5"/>
  <c r="Z66" i="5"/>
  <c r="T67" i="5"/>
  <c r="T68" i="5" s="1"/>
  <c r="AC66" i="5"/>
  <c r="AD66" i="5"/>
  <c r="U67" i="5"/>
  <c r="U68" i="5" s="1"/>
  <c r="AB66" i="5"/>
  <c r="AF66" i="5"/>
  <c r="AE66" i="5"/>
  <c r="R67" i="5"/>
  <c r="R68" i="5" s="1"/>
  <c r="Y87" i="5"/>
  <c r="Y88" i="5" s="1"/>
  <c r="Y86" i="5"/>
  <c r="AG86" i="5" s="1"/>
  <c r="Y71" i="5"/>
  <c r="AG71" i="5" s="1"/>
  <c r="Y72" i="5"/>
  <c r="Y73" i="5" s="1"/>
  <c r="X77" i="5"/>
  <c r="X78" i="5" s="1"/>
  <c r="U76" i="5"/>
  <c r="Q76" i="5"/>
  <c r="Q77" i="5"/>
  <c r="Q78" i="5" s="1"/>
  <c r="X76" i="5"/>
  <c r="S76" i="5"/>
  <c r="Z77" i="5"/>
  <c r="Z78" i="5" s="1"/>
  <c r="V76" i="5"/>
  <c r="W76" i="5"/>
  <c r="R76" i="5"/>
  <c r="G76" i="5"/>
  <c r="Z76" i="5"/>
  <c r="T76" i="5"/>
  <c r="T82" i="5"/>
  <c r="T83" i="5" s="1"/>
  <c r="AC81" i="5"/>
  <c r="AF81" i="5"/>
  <c r="AB81" i="5"/>
  <c r="U82" i="5"/>
  <c r="U83" i="5" s="1"/>
  <c r="R82" i="5"/>
  <c r="R83" i="5" s="1"/>
  <c r="AE81" i="5"/>
  <c r="AD81" i="5"/>
  <c r="AF82" i="5"/>
  <c r="AB82" i="5"/>
  <c r="AE82" i="5"/>
  <c r="W82" i="5"/>
  <c r="W83" i="5" s="1"/>
  <c r="S82" i="5"/>
  <c r="S83" i="5" s="1"/>
  <c r="AD82" i="5"/>
  <c r="V82" i="5"/>
  <c r="V83" i="5" s="1"/>
  <c r="AC82" i="5"/>
  <c r="M82" i="5"/>
  <c r="N82" i="5" s="1"/>
  <c r="Q92" i="5"/>
  <c r="Q93" i="5" s="1"/>
  <c r="Z91" i="5"/>
  <c r="V91" i="5"/>
  <c r="R91" i="5"/>
  <c r="Z92" i="5"/>
  <c r="Z93" i="5" s="1"/>
  <c r="W91" i="5"/>
  <c r="Q91" i="5"/>
  <c r="G91" i="5"/>
  <c r="X92" i="5"/>
  <c r="X93" i="5" s="1"/>
  <c r="U91" i="5"/>
  <c r="T91" i="5"/>
  <c r="S91" i="5"/>
  <c r="X91" i="5"/>
  <c r="P63" i="5"/>
  <c r="D82" i="5"/>
  <c r="C83" i="5" s="1"/>
  <c r="AE83" i="5"/>
  <c r="M12" i="5"/>
  <c r="N12" i="5" s="1"/>
  <c r="W21" i="5"/>
  <c r="S21" i="5"/>
  <c r="X22" i="5"/>
  <c r="X23" i="5" s="1"/>
  <c r="AB22" i="5"/>
  <c r="AC58" i="5"/>
  <c r="H56" i="5"/>
  <c r="Y92" i="5"/>
  <c r="Y93" i="5" s="1"/>
  <c r="Y91" i="5"/>
  <c r="AG91" i="5" s="1"/>
  <c r="Y102" i="5"/>
  <c r="Y103" i="5" s="1"/>
  <c r="Y101" i="5"/>
  <c r="AG101" i="5" s="1"/>
  <c r="AF67" i="5"/>
  <c r="AB67" i="5"/>
  <c r="V67" i="5"/>
  <c r="V68" i="5" s="1"/>
  <c r="AE67" i="5"/>
  <c r="W67" i="5"/>
  <c r="W68" i="5" s="1"/>
  <c r="M67" i="5"/>
  <c r="N67" i="5" s="1"/>
  <c r="S67" i="5"/>
  <c r="S68" i="5" s="1"/>
  <c r="AC67" i="5"/>
  <c r="AD67" i="5"/>
  <c r="AE88" i="5"/>
  <c r="D87" i="5"/>
  <c r="C88" i="5" s="1"/>
  <c r="AF72" i="5"/>
  <c r="AB72" i="5"/>
  <c r="AD72" i="5"/>
  <c r="S72" i="5"/>
  <c r="S73" i="5" s="1"/>
  <c r="AC72" i="5"/>
  <c r="W72" i="5"/>
  <c r="W73" i="5" s="1"/>
  <c r="M72" i="5"/>
  <c r="N72" i="5" s="1"/>
  <c r="V72" i="5"/>
  <c r="V73" i="5" s="1"/>
  <c r="AE72" i="5"/>
  <c r="P98" i="5"/>
  <c r="T77" i="5"/>
  <c r="T78" i="5" s="1"/>
  <c r="AC76" i="5"/>
  <c r="AD76" i="5"/>
  <c r="AF76" i="5"/>
  <c r="U77" i="5"/>
  <c r="U78" i="5" s="1"/>
  <c r="AB76" i="5"/>
  <c r="AE76" i="5"/>
  <c r="R77" i="5"/>
  <c r="R78" i="5" s="1"/>
  <c r="X82" i="5"/>
  <c r="X83" i="5" s="1"/>
  <c r="U81" i="5"/>
  <c r="Q81" i="5"/>
  <c r="X81" i="5"/>
  <c r="T81" i="5"/>
  <c r="S81" i="5"/>
  <c r="W81" i="5"/>
  <c r="G81" i="5"/>
  <c r="Z81" i="5"/>
  <c r="R81" i="5"/>
  <c r="Z82" i="5"/>
  <c r="Z83" i="5" s="1"/>
  <c r="Q82" i="5"/>
  <c r="Q83" i="5" s="1"/>
  <c r="V81" i="5"/>
  <c r="Y81" i="5"/>
  <c r="AG81" i="5" s="1"/>
  <c r="Y82" i="5"/>
  <c r="Y83" i="5" s="1"/>
  <c r="D22" i="5"/>
  <c r="C23" i="5" s="1"/>
  <c r="AE48" i="5"/>
  <c r="D47" i="5"/>
  <c r="C48" i="5" s="1"/>
  <c r="Q47" i="5"/>
  <c r="Q48" i="5" s="1"/>
  <c r="Z46" i="5"/>
  <c r="V46" i="5"/>
  <c r="R46" i="5"/>
  <c r="G46" i="5"/>
  <c r="X47" i="5"/>
  <c r="X48" i="5" s="1"/>
  <c r="U46" i="5"/>
  <c r="Q46" i="5"/>
  <c r="Z47" i="5"/>
  <c r="Z48" i="5" s="1"/>
  <c r="S46" i="5"/>
  <c r="X46" i="5"/>
  <c r="T46" i="5"/>
  <c r="W46" i="5"/>
  <c r="U47" i="5"/>
  <c r="U48" i="5" s="1"/>
  <c r="AD46" i="5"/>
  <c r="T47" i="5"/>
  <c r="T48" i="5" s="1"/>
  <c r="AC46" i="5"/>
  <c r="R47" i="5"/>
  <c r="R48" i="5" s="1"/>
  <c r="AE46" i="5"/>
  <c r="AF46" i="5"/>
  <c r="AB46" i="5"/>
  <c r="Y47" i="5"/>
  <c r="Y48" i="5" s="1"/>
  <c r="Y46" i="5"/>
  <c r="AG46" i="5" s="1"/>
  <c r="AC47" i="5"/>
  <c r="M47" i="5"/>
  <c r="N47" i="5" s="1"/>
  <c r="AF47" i="5"/>
  <c r="AB47" i="5"/>
  <c r="AD47" i="5"/>
  <c r="AE47" i="5"/>
  <c r="W47" i="5"/>
  <c r="W48" i="5" s="1"/>
  <c r="S47" i="5"/>
  <c r="S48" i="5" s="1"/>
  <c r="V47" i="5"/>
  <c r="V48" i="5" s="1"/>
  <c r="S12" i="5"/>
  <c r="S13" i="5" s="1"/>
  <c r="AD12" i="5"/>
  <c r="AC12" i="5"/>
  <c r="AF11" i="5"/>
  <c r="R12" i="5"/>
  <c r="R13" i="5" s="1"/>
  <c r="W12" i="5"/>
  <c r="W13" i="5" s="1"/>
  <c r="AB12" i="5"/>
  <c r="AB11" i="5"/>
  <c r="AD11" i="5"/>
  <c r="AE12" i="5"/>
  <c r="AC11" i="5"/>
  <c r="G11" i="5"/>
  <c r="L13" i="5" s="1"/>
  <c r="W11" i="5"/>
  <c r="AE33" i="5"/>
  <c r="D32" i="5"/>
  <c r="C33" i="5" s="1"/>
  <c r="S11" i="5"/>
  <c r="T11" i="5"/>
  <c r="Y32" i="5"/>
  <c r="Y33" i="5" s="1"/>
  <c r="Y31" i="5"/>
  <c r="AG31" i="5" s="1"/>
  <c r="U32" i="5"/>
  <c r="U33" i="5" s="1"/>
  <c r="AD31" i="5"/>
  <c r="T32" i="5"/>
  <c r="T33" i="5" s="1"/>
  <c r="AC31" i="5"/>
  <c r="AF31" i="5"/>
  <c r="AB31" i="5"/>
  <c r="R32" i="5"/>
  <c r="R33" i="5" s="1"/>
  <c r="AE31" i="5"/>
  <c r="U11" i="5"/>
  <c r="AC32" i="5"/>
  <c r="M32" i="5"/>
  <c r="N32" i="5" s="1"/>
  <c r="AF32" i="5"/>
  <c r="AB32" i="5"/>
  <c r="AE32" i="5"/>
  <c r="W32" i="5"/>
  <c r="W33" i="5" s="1"/>
  <c r="S32" i="5"/>
  <c r="S33" i="5" s="1"/>
  <c r="AD32" i="5"/>
  <c r="V32" i="5"/>
  <c r="V33" i="5" s="1"/>
  <c r="Q32" i="5"/>
  <c r="Q33" i="5" s="1"/>
  <c r="Z31" i="5"/>
  <c r="V31" i="5"/>
  <c r="R31" i="5"/>
  <c r="X32" i="5"/>
  <c r="X33" i="5" s="1"/>
  <c r="U31" i="5"/>
  <c r="Q31" i="5"/>
  <c r="X31" i="5"/>
  <c r="T31" i="5"/>
  <c r="Z32" i="5"/>
  <c r="Z33" i="5" s="1"/>
  <c r="W31" i="5"/>
  <c r="S31" i="5"/>
  <c r="G31" i="5"/>
  <c r="AC27" i="5"/>
  <c r="M27" i="5"/>
  <c r="N27" i="5" s="1"/>
  <c r="S27" i="5"/>
  <c r="S28" i="5" s="1"/>
  <c r="V27" i="5"/>
  <c r="V28" i="5" s="1"/>
  <c r="AF27" i="5"/>
  <c r="AB27" i="5"/>
  <c r="AE27" i="5"/>
  <c r="W27" i="5"/>
  <c r="W28" i="5" s="1"/>
  <c r="AD27" i="5"/>
  <c r="Y27" i="5"/>
  <c r="Y28" i="5" s="1"/>
  <c r="Y26" i="5"/>
  <c r="AG26" i="5" s="1"/>
  <c r="U27" i="5"/>
  <c r="U28" i="5" s="1"/>
  <c r="AD26" i="5"/>
  <c r="AC26" i="5"/>
  <c r="AF26" i="5"/>
  <c r="T27" i="5"/>
  <c r="T28" i="5" s="1"/>
  <c r="AB26" i="5"/>
  <c r="R27" i="5"/>
  <c r="R28" i="5" s="1"/>
  <c r="AE26" i="5"/>
  <c r="AE28" i="5"/>
  <c r="D27" i="5"/>
  <c r="C28" i="5" s="1"/>
  <c r="Q27" i="5"/>
  <c r="Q28" i="5" s="1"/>
  <c r="Z26" i="5"/>
  <c r="V26" i="5"/>
  <c r="R26" i="5"/>
  <c r="U26" i="5"/>
  <c r="Q26" i="5"/>
  <c r="X26" i="5"/>
  <c r="S26" i="5"/>
  <c r="X27" i="5"/>
  <c r="X28" i="5" s="1"/>
  <c r="T26" i="5"/>
  <c r="Z27" i="5"/>
  <c r="Z28" i="5" s="1"/>
  <c r="W26" i="5"/>
  <c r="G26" i="5"/>
  <c r="Y17" i="5"/>
  <c r="Y18" i="5" s="1"/>
  <c r="Y16" i="5"/>
  <c r="AG16" i="5" s="1"/>
  <c r="AE18" i="5"/>
  <c r="D17" i="5"/>
  <c r="C18" i="5" s="1"/>
  <c r="AC17" i="5"/>
  <c r="M17" i="5"/>
  <c r="N17" i="5" s="1"/>
  <c r="AD17" i="5"/>
  <c r="AF17" i="5"/>
  <c r="AB17" i="5"/>
  <c r="V17" i="5"/>
  <c r="V18" i="5" s="1"/>
  <c r="AE17" i="5"/>
  <c r="W17" i="5"/>
  <c r="W18" i="5" s="1"/>
  <c r="S17" i="5"/>
  <c r="S18" i="5" s="1"/>
  <c r="Q17" i="5"/>
  <c r="Q18" i="5" s="1"/>
  <c r="Z16" i="5"/>
  <c r="V16" i="5"/>
  <c r="R16" i="5"/>
  <c r="S16" i="5"/>
  <c r="X17" i="5"/>
  <c r="X18" i="5" s="1"/>
  <c r="U16" i="5"/>
  <c r="Q16" i="5"/>
  <c r="T16" i="5"/>
  <c r="X16" i="5"/>
  <c r="Z17" i="5"/>
  <c r="Z18" i="5" s="1"/>
  <c r="W16" i="5"/>
  <c r="G16" i="5"/>
  <c r="U17" i="5"/>
  <c r="U18" i="5" s="1"/>
  <c r="AD16" i="5"/>
  <c r="AB16" i="5"/>
  <c r="AB18" i="5" s="1"/>
  <c r="R17" i="5"/>
  <c r="R18" i="5" s="1"/>
  <c r="AE16" i="5"/>
  <c r="T17" i="5"/>
  <c r="T18" i="5" s="1"/>
  <c r="AC16" i="5"/>
  <c r="AC18" i="5" s="1"/>
  <c r="AF16" i="5"/>
  <c r="M7" i="5"/>
  <c r="N7" i="5" s="1"/>
  <c r="G6" i="5"/>
  <c r="X7" i="5" s="1"/>
  <c r="AD7" i="5"/>
  <c r="AE7" i="5" s="1"/>
  <c r="AB7" i="5"/>
  <c r="V7" i="5"/>
  <c r="V8" i="5" s="1"/>
  <c r="AC7" i="5"/>
  <c r="W7" i="5" s="1"/>
  <c r="W8" i="5" s="1"/>
  <c r="U7" i="5"/>
  <c r="U8" i="5" s="1"/>
  <c r="AC6" i="5"/>
  <c r="AD6" i="5"/>
  <c r="AE6" i="5" s="1"/>
  <c r="AB6" i="5"/>
  <c r="T7" i="5"/>
  <c r="T8" i="5" s="1"/>
  <c r="Y7" i="5"/>
  <c r="Y8" i="5" s="1"/>
  <c r="W6" i="5"/>
  <c r="T6" i="5"/>
  <c r="V6" i="5"/>
  <c r="S6" i="5"/>
  <c r="U6" i="5"/>
  <c r="P143" i="5" l="1"/>
  <c r="P113" i="5"/>
  <c r="P133" i="5"/>
  <c r="AB58" i="5"/>
  <c r="L43" i="5"/>
  <c r="P53" i="5"/>
  <c r="L23" i="5"/>
  <c r="AD58" i="5"/>
  <c r="AC118" i="5"/>
  <c r="H11" i="5"/>
  <c r="L51" i="5"/>
  <c r="P58" i="5"/>
  <c r="AC23" i="5"/>
  <c r="AB113" i="5"/>
  <c r="L56" i="5"/>
  <c r="H36" i="5"/>
  <c r="L53" i="5"/>
  <c r="I56" i="5"/>
  <c r="J56" i="5" s="1"/>
  <c r="K56" i="5" s="1"/>
  <c r="M56" i="5" s="1"/>
  <c r="N56" i="5" s="1"/>
  <c r="I51" i="5"/>
  <c r="J51" i="5" s="1"/>
  <c r="K51" i="5" s="1"/>
  <c r="M51" i="5" s="1"/>
  <c r="N51" i="5" s="1"/>
  <c r="AD63" i="5"/>
  <c r="L36" i="5"/>
  <c r="H41" i="5"/>
  <c r="AC78" i="5"/>
  <c r="AB43" i="5"/>
  <c r="AD43" i="5" s="1"/>
  <c r="X12" i="5"/>
  <c r="L38" i="5"/>
  <c r="L41" i="5"/>
  <c r="X11" i="5"/>
  <c r="AC113" i="5"/>
  <c r="AD98" i="5"/>
  <c r="P43" i="5"/>
  <c r="AB23" i="5"/>
  <c r="AB118" i="5"/>
  <c r="AD118" i="5" s="1"/>
  <c r="AD133" i="5"/>
  <c r="P38" i="5"/>
  <c r="AB93" i="5"/>
  <c r="AB103" i="5"/>
  <c r="AD103" i="5" s="1"/>
  <c r="AC93" i="5"/>
  <c r="AB78" i="5"/>
  <c r="AD78" i="5" s="1"/>
  <c r="P23" i="5"/>
  <c r="AD143" i="5"/>
  <c r="AC73" i="5"/>
  <c r="L106" i="5"/>
  <c r="H106" i="5"/>
  <c r="I106" i="5"/>
  <c r="J106" i="5" s="1"/>
  <c r="K106" i="5" s="1"/>
  <c r="M106" i="5" s="1"/>
  <c r="N106" i="5" s="1"/>
  <c r="L108" i="5"/>
  <c r="P123" i="5"/>
  <c r="L123" i="5"/>
  <c r="I121" i="5"/>
  <c r="J121" i="5" s="1"/>
  <c r="K121" i="5" s="1"/>
  <c r="M121" i="5" s="1"/>
  <c r="N121" i="5" s="1"/>
  <c r="H121" i="5"/>
  <c r="L121" i="5"/>
  <c r="P153" i="5"/>
  <c r="P138" i="5"/>
  <c r="P128" i="5"/>
  <c r="AB153" i="5"/>
  <c r="AC123" i="5"/>
  <c r="AB148" i="5"/>
  <c r="L118" i="5"/>
  <c r="L116" i="5"/>
  <c r="H116" i="5"/>
  <c r="I116" i="5"/>
  <c r="J116" i="5" s="1"/>
  <c r="K116" i="5" s="1"/>
  <c r="M116" i="5" s="1"/>
  <c r="N116" i="5" s="1"/>
  <c r="AC83" i="5"/>
  <c r="P68" i="5"/>
  <c r="AC138" i="5"/>
  <c r="AD138" i="5" s="1"/>
  <c r="L153" i="5"/>
  <c r="I151" i="5"/>
  <c r="J151" i="5" s="1"/>
  <c r="K151" i="5" s="1"/>
  <c r="M151" i="5" s="1"/>
  <c r="N151" i="5" s="1"/>
  <c r="L151" i="5"/>
  <c r="H151" i="5"/>
  <c r="AB108" i="5"/>
  <c r="AC128" i="5"/>
  <c r="L148" i="5"/>
  <c r="I146" i="5"/>
  <c r="J146" i="5" s="1"/>
  <c r="K146" i="5" s="1"/>
  <c r="M146" i="5" s="1"/>
  <c r="N146" i="5" s="1"/>
  <c r="L146" i="5"/>
  <c r="H146" i="5"/>
  <c r="AC13" i="5"/>
  <c r="P108" i="5"/>
  <c r="P148" i="5"/>
  <c r="AC108" i="5"/>
  <c r="P118" i="5"/>
  <c r="L138" i="5"/>
  <c r="L136" i="5"/>
  <c r="H136" i="5"/>
  <c r="I136" i="5"/>
  <c r="J136" i="5" s="1"/>
  <c r="K136" i="5" s="1"/>
  <c r="M136" i="5" s="1"/>
  <c r="N136" i="5" s="1"/>
  <c r="AB128" i="5"/>
  <c r="L128" i="5"/>
  <c r="I126" i="5"/>
  <c r="J126" i="5" s="1"/>
  <c r="K126" i="5" s="1"/>
  <c r="M126" i="5" s="1"/>
  <c r="N126" i="5" s="1"/>
  <c r="H126" i="5"/>
  <c r="L126" i="5"/>
  <c r="AC153" i="5"/>
  <c r="AB123" i="5"/>
  <c r="AC148" i="5"/>
  <c r="P93" i="5"/>
  <c r="L21" i="5"/>
  <c r="P83" i="5"/>
  <c r="L83" i="5"/>
  <c r="I81" i="5"/>
  <c r="J81" i="5" s="1"/>
  <c r="K81" i="5" s="1"/>
  <c r="M81" i="5" s="1"/>
  <c r="N81" i="5" s="1"/>
  <c r="L81" i="5"/>
  <c r="H81" i="5"/>
  <c r="L93" i="5"/>
  <c r="L91" i="5"/>
  <c r="I91" i="5"/>
  <c r="J91" i="5" s="1"/>
  <c r="K91" i="5" s="1"/>
  <c r="M91" i="5" s="1"/>
  <c r="N91" i="5" s="1"/>
  <c r="H91" i="5"/>
  <c r="AC68" i="5"/>
  <c r="P73" i="5"/>
  <c r="L78" i="5"/>
  <c r="I76" i="5"/>
  <c r="J76" i="5" s="1"/>
  <c r="K76" i="5" s="1"/>
  <c r="M76" i="5" s="1"/>
  <c r="N76" i="5" s="1"/>
  <c r="H76" i="5"/>
  <c r="L76" i="5"/>
  <c r="L103" i="5"/>
  <c r="I101" i="5"/>
  <c r="J101" i="5" s="1"/>
  <c r="K101" i="5" s="1"/>
  <c r="M101" i="5" s="1"/>
  <c r="N101" i="5" s="1"/>
  <c r="H101" i="5"/>
  <c r="L101" i="5"/>
  <c r="AB88" i="5"/>
  <c r="H21" i="5"/>
  <c r="AB28" i="5"/>
  <c r="AD38" i="5"/>
  <c r="AB83" i="5"/>
  <c r="AB68" i="5"/>
  <c r="L68" i="5"/>
  <c r="I66" i="5"/>
  <c r="J66" i="5" s="1"/>
  <c r="K66" i="5" s="1"/>
  <c r="M66" i="5" s="1"/>
  <c r="N66" i="5" s="1"/>
  <c r="H66" i="5"/>
  <c r="L66" i="5"/>
  <c r="P103" i="5"/>
  <c r="AB73" i="5"/>
  <c r="AC88" i="5"/>
  <c r="I86" i="5"/>
  <c r="J86" i="5" s="1"/>
  <c r="K86" i="5" s="1"/>
  <c r="M86" i="5" s="1"/>
  <c r="N86" i="5" s="1"/>
  <c r="H86" i="5"/>
  <c r="L88" i="5"/>
  <c r="L86" i="5"/>
  <c r="AD53" i="5"/>
  <c r="P78" i="5"/>
  <c r="L73" i="5"/>
  <c r="I71" i="5"/>
  <c r="J71" i="5" s="1"/>
  <c r="K71" i="5" s="1"/>
  <c r="M71" i="5" s="1"/>
  <c r="N71" i="5" s="1"/>
  <c r="H71" i="5"/>
  <c r="L71" i="5"/>
  <c r="P88" i="5"/>
  <c r="AB13" i="5"/>
  <c r="AC28" i="5"/>
  <c r="AB48" i="5"/>
  <c r="AC48" i="5"/>
  <c r="L48" i="5"/>
  <c r="I46" i="5"/>
  <c r="J46" i="5" s="1"/>
  <c r="K46" i="5" s="1"/>
  <c r="M46" i="5" s="1"/>
  <c r="N46" i="5" s="1"/>
  <c r="L46" i="5"/>
  <c r="H46" i="5"/>
  <c r="P48" i="5"/>
  <c r="L11" i="5"/>
  <c r="Q12" i="5" s="1"/>
  <c r="AC33" i="5"/>
  <c r="I11" i="5"/>
  <c r="J11" i="5" s="1"/>
  <c r="K11" i="5" s="1"/>
  <c r="M11" i="5" s="1"/>
  <c r="N11" i="5" s="1"/>
  <c r="L33" i="5"/>
  <c r="I31" i="5"/>
  <c r="J31" i="5" s="1"/>
  <c r="K31" i="5" s="1"/>
  <c r="M31" i="5" s="1"/>
  <c r="N31" i="5" s="1"/>
  <c r="L31" i="5"/>
  <c r="H31" i="5"/>
  <c r="P33" i="5"/>
  <c r="AB33" i="5"/>
  <c r="I26" i="5"/>
  <c r="J26" i="5" s="1"/>
  <c r="K26" i="5" s="1"/>
  <c r="M26" i="5" s="1"/>
  <c r="N26" i="5" s="1"/>
  <c r="H26" i="5"/>
  <c r="L28" i="5"/>
  <c r="L26" i="5"/>
  <c r="P28" i="5"/>
  <c r="I6" i="5"/>
  <c r="J6" i="5" s="1"/>
  <c r="K6" i="5" s="1"/>
  <c r="M6" i="5" s="1"/>
  <c r="N6" i="5" s="1"/>
  <c r="L8" i="5"/>
  <c r="X6" i="5"/>
  <c r="X8" i="5" s="1"/>
  <c r="AD18" i="5"/>
  <c r="L18" i="5"/>
  <c r="I16" i="5"/>
  <c r="J16" i="5" s="1"/>
  <c r="K16" i="5" s="1"/>
  <c r="M16" i="5" s="1"/>
  <c r="N16" i="5" s="1"/>
  <c r="H16" i="5"/>
  <c r="L16" i="5"/>
  <c r="P18" i="5"/>
  <c r="AB8" i="5"/>
  <c r="H6" i="5"/>
  <c r="AC8" i="5"/>
  <c r="L6" i="5"/>
  <c r="Z6" i="5" s="1"/>
  <c r="AD23" i="5" l="1"/>
  <c r="X13" i="5"/>
  <c r="AD113" i="5"/>
  <c r="AD13" i="5"/>
  <c r="AE13" i="5" s="1"/>
  <c r="Z11" i="5"/>
  <c r="Q11" i="5"/>
  <c r="Z12" i="5"/>
  <c r="AD93" i="5"/>
  <c r="AD83" i="5"/>
  <c r="AD108" i="5"/>
  <c r="AD73" i="5"/>
  <c r="AD128" i="5"/>
  <c r="AD33" i="5"/>
  <c r="AD28" i="5"/>
  <c r="AD153" i="5"/>
  <c r="AD123" i="5"/>
  <c r="AD148" i="5"/>
  <c r="AD68" i="5"/>
  <c r="AD48" i="5"/>
  <c r="AD88" i="5"/>
  <c r="Z7" i="5"/>
  <c r="Z8" i="5" s="1"/>
  <c r="Q6" i="5"/>
  <c r="Q7" i="5"/>
  <c r="AD8" i="5"/>
  <c r="AE8" i="5" s="1"/>
  <c r="Q13" i="5" l="1"/>
  <c r="Z13" i="5"/>
  <c r="Q8" i="5"/>
  <c r="P8" i="5" s="1"/>
  <c r="D7" i="5" s="1"/>
  <c r="C8" i="5" s="1"/>
  <c r="P13" i="5" l="1"/>
  <c r="D12" i="5" s="1"/>
  <c r="C13" i="5" s="1"/>
  <c r="C4" i="5" s="1"/>
</calcChain>
</file>

<file path=xl/sharedStrings.xml><?xml version="1.0" encoding="utf-8"?>
<sst xmlns="http://schemas.openxmlformats.org/spreadsheetml/2006/main" count="164" uniqueCount="142">
  <si>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</si>
  <si>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</si>
  <si>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</si>
  <si>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</si>
  <si>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</si>
  <si>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</si>
  <si>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</si>
  <si>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</si>
  <si>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</si>
  <si>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</si>
  <si>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</si>
  <si>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</si>
  <si>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</si>
  <si>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</si>
  <si>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</si>
  <si>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</si>
  <si>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</si>
  <si>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</si>
  <si>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</si>
  <si>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</si>
  <si>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</si>
  <si>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</si>
  <si>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</si>
  <si>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</si>
  <si>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</si>
  <si>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</si>
  <si>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</si>
  <si>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</si>
  <si>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</si>
  <si>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</si>
  <si>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</si>
  <si>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</si>
  <si>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</si>
  <si>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</si>
  <si>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</si>
  <si>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</si>
  <si>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</si>
  <si>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</si>
  <si>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</si>
  <si>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</si>
  <si>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</si>
  <si>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</si>
  <si>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</si>
  <si>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</si>
  <si>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</si>
  <si>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</si>
  <si>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</si>
  <si>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</si>
  <si>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</si>
  <si>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</si>
  <si>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</si>
  <si>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</si>
  <si>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</si>
  <si>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</si>
  <si>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</si>
  <si>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</si>
  <si>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</si>
  <si>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</si>
  <si>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</si>
  <si>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</si>
  <si>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</si>
  <si>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</si>
  <si>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</si>
  <si>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</si>
  <si>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</si>
  <si>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</si>
  <si>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</si>
  <si>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</si>
  <si>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</si>
  <si>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</si>
  <si>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</si>
  <si>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</si>
  <si>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</si>
  <si>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</si>
  <si>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</si>
  <si>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</si>
  <si>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</si>
  <si>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</si>
  <si>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</si>
  <si>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</si>
  <si>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</si>
  <si>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</si>
  <si>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</si>
  <si>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</si>
  <si>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</si>
  <si>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</si>
  <si>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</si>
  <si>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</si>
  <si>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</si>
  <si>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</si>
  <si>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</si>
  <si>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</si>
  <si>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</si>
  <si>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</si>
  <si>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</si>
  <si>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</si>
  <si>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</si>
  <si>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</si>
  <si>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</si>
  <si>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</si>
  <si>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</si>
  <si>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</si>
  <si>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</si>
  <si>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</si>
  <si>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</si>
  <si>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</si>
  <si>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</si>
  <si>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</si>
  <si>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</si>
  <si>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</si>
  <si>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</si>
  <si>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</si>
  <si>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</si>
  <si>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</si>
  <si>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</si>
  <si>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</si>
  <si>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</si>
  <si>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</si>
  <si>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</si>
  <si>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</si>
  <si>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</si>
  <si>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</si>
  <si>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</si>
  <si>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</si>
  <si>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</si>
  <si>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</si>
  <si>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</si>
  <si>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</si>
  <si>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</si>
  <si>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</si>
  <si>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</si>
  <si>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</si>
  <si>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</si>
  <si>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</si>
  <si>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</si>
  <si>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</si>
  <si>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</si>
  <si>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</si>
  <si>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</si>
  <si>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Produto Arrecadação - Subproduto Parametrização da Arrecadação Versão (1.0)</t>
  </si>
  <si>
    <t>Produto Serviços Transversais - Subproduto Gestão de Segurança Básico Versão (1.0)</t>
  </si>
  <si>
    <t>Todas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</si>
</sst>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dd/mm/yy;@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0" fontId="4" fillId="4" borderId="0" xfId="0" applyFont="1" applyFill="1" applyAlignment="1">
      <alignment horizontal="right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1" fontId="7" fillId="6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1">
    <cellStyle name="Normal" xfId="0" builtinId="0"/>
  </cellStyles>
  <dxfs count="26"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OSS" displayName="OSS" ref="A1:V3" totalsRowShown="0" dataDxfId="25">
  <autoFilter ref="A1:V3"/>
  <sortState ref="A2:U15">
    <sortCondition ref="A1:A15"/>
  </sortState>
  <tableColumns count="22">
    <tableColumn id="1" name="Número OS" dataDxfId="24"/>
    <tableColumn id="2" name="Situação da OS"/>
    <tableColumn id="21" name="Data Situação" dataDxfId="23"/>
    <tableColumn id="18" name="Tipo"/>
    <tableColumn id="3" name="Titulo"/>
    <tableColumn id="4" name="Abertura da OS" dataDxfId="22"/>
    <tableColumn id="5" name="Data de Inicio" dataDxfId="21"/>
    <tableColumn id="6" name="Data de Termino" dataDxfId="20"/>
    <tableColumn id="22" name="Entrega do Plano da OS" dataDxfId="19"/>
    <tableColumn id="19" name="Entrega da OS" dataDxfId="18"/>
    <tableColumn id="7" name="Recebimento da OS" dataDxfId="17"/>
    <tableColumn id="8" name="Aceite da OS" dataDxfId="16"/>
    <tableColumn id="9" name="PF Previsto" dataDxfId="15"/>
    <tableColumn id="10" name="PF Apurado" dataDxfId="14"/>
    <tableColumn id="20" name="PF Pago" dataDxfId="13"/>
    <tableColumn id="11" name="Não Grave - Homologação" dataDxfId="12"/>
    <tableColumn id="12" name="Grave - Homologação" dataDxfId="11"/>
    <tableColumn id="13" name="Não Grave - Garantia" dataDxfId="10"/>
    <tableColumn id="14" name="Grave - Garantia" dataDxfId="9"/>
    <tableColumn id="15" name="Atrasos para Correção Homologação" dataDxfId="8"/>
    <tableColumn id="16" name="Atrasos para Correção Garantia" dataDxfId="7"/>
    <tableColumn id="17" name="Atraso para Substituição" dataDxfId="6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3" name="TipoOS" displayName="TipoOS" ref="A1:A6" totalsRowShown="0">
  <autoFilter ref="A1:A6"/>
  <tableColumns count="1">
    <tableColumn id="1" name="Tipo OS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4" name="OSMês" displayName="OSMês" ref="A1:E30" totalsRowShown="0" dataDxfId="5">
  <autoFilter ref="A1:E30"/>
  <tableColumns count="5">
    <tableColumn id="1" name="Ordem" dataDxfId="4">
      <calculatedColumnFormula>IF(E2=E1,"",E2)</calculatedColumnFormula>
    </tableColumn>
    <tableColumn id="2" name="Numero OS do Mês" dataDxfId="3">
      <calculatedColumnFormula>IF(C2="","",IF(YEAR(OSMês[[#This Row],[Data Situação]])&amp;TEXT(MONTH(OSMês[[#This Row],[Data Situação]]),"00")=$H$1,C2,""))</calculatedColumnFormula>
    </tableColumn>
    <tableColumn id="3" name="Numero OS" dataDxfId="2">
      <calculatedColumnFormula>IFERROR(INDEX(OSS[Número OS],INT((ROW()-ROW($C$1)-1)/1)+1,1),"")</calculatedColumnFormula>
    </tableColumn>
    <tableColumn id="4" name="Data Situação" dataDxfId="1">
      <calculatedColumnFormula>IF(C2="","",VLOOKUP(C2,OSS[],MATCH("Data Situação",OSS[#Headers],0),FALSE))</calculatedColumnFormula>
    </tableColumn>
    <tableColumn id="5" name="0" dataDxfId="0">
      <calculatedColumnFormula>IF(B2="",E1,IF(E1="",1,E1)+1)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1" name="SituaçãoOS" displayName="SituaçãoOS" ref="A1:A16" totalsRowShown="0">
  <autoFilter ref="A1:A16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13.28515625" customWidth="1"/>
    <col min="2" max="2" width="19" bestFit="1" customWidth="1"/>
    <col min="3" max="4" width="19" customWidth="1"/>
    <col min="5" max="5" width="23.5703125" customWidth="1"/>
    <col min="6" max="6" width="16.42578125" customWidth="1"/>
    <col min="7" max="7" width="15.140625" customWidth="1"/>
    <col min="8" max="10" width="17.7109375" customWidth="1"/>
    <col min="11" max="11" width="20.42578125" customWidth="1"/>
    <col min="12" max="12" width="14.140625" customWidth="1"/>
    <col min="13" max="13" width="13" customWidth="1"/>
    <col min="14" max="15" width="13.28515625" customWidth="1"/>
    <col min="16" max="16" width="25.85546875" customWidth="1"/>
    <col min="17" max="17" width="21.85546875" customWidth="1"/>
    <col min="18" max="18" width="21.28515625" customWidth="1"/>
    <col min="19" max="19" width="17.28515625" customWidth="1"/>
    <col min="20" max="20" width="27.85546875" customWidth="1"/>
    <col min="21" max="21" width="30" customWidth="1"/>
    <col min="22" max="22" width="25" bestFit="1" customWidth="1"/>
  </cols>
  <sheetData>
    <row r="1" spans="1:22" x14ac:dyDescent="0.25">
      <c r="A1" t="s">
        <v>0</v>
      </c>
      <c r="B1" t="s">
        <v>82</v>
      </c>
      <c r="C1" t="s">
        <v>112</v>
      </c>
      <c r="D1" t="s">
        <v>95</v>
      </c>
      <c r="E1" t="s">
        <v>1</v>
      </c>
      <c r="F1" t="s">
        <v>61</v>
      </c>
      <c r="G1" t="s">
        <v>84</v>
      </c>
      <c r="H1" t="s">
        <v>83</v>
      </c>
      <c r="I1" t="s">
        <v>134</v>
      </c>
      <c r="J1" t="s">
        <v>109</v>
      </c>
      <c r="K1" t="s">
        <v>62</v>
      </c>
      <c r="L1" t="s">
        <v>106</v>
      </c>
      <c r="M1" t="s">
        <v>85</v>
      </c>
      <c r="N1" t="s">
        <v>86</v>
      </c>
      <c r="O1" t="s">
        <v>111</v>
      </c>
      <c r="P1" t="s">
        <v>87</v>
      </c>
      <c r="Q1" t="s">
        <v>88</v>
      </c>
      <c r="R1" t="s">
        <v>89</v>
      </c>
      <c r="S1" t="s">
        <v>90</v>
      </c>
      <c r="T1" t="s">
        <v>92</v>
      </c>
      <c r="U1" t="s">
        <v>94</v>
      </c>
      <c r="V1" t="s">
        <v>93</v>
      </c>
    </row>
    <row r="2" spans="1:22" x14ac:dyDescent="0.25">
      <c r="A2" s="21">
        <v>4721</v>
      </c>
      <c r="B2" t="s">
        <v>136</v>
      </c>
      <c r="C2" s="52">
        <v>42444</v>
      </c>
      <c r="D2" t="s">
        <v>96</v>
      </c>
      <c r="E2" t="s">
        <v>139</v>
      </c>
      <c r="F2" s="52">
        <v>42425</v>
      </c>
      <c r="G2" s="52">
        <v>42439</v>
      </c>
      <c r="H2" s="52"/>
      <c r="I2" s="52">
        <v>42444</v>
      </c>
      <c r="J2" s="52"/>
      <c r="K2" s="52"/>
      <c r="L2" s="52"/>
      <c r="M2" s="21">
        <v>271</v>
      </c>
      <c r="N2" s="21"/>
      <c r="O2" s="21"/>
      <c r="P2" s="21"/>
      <c r="Q2" s="21"/>
      <c r="R2" s="21"/>
      <c r="S2" s="21"/>
      <c r="T2" s="21"/>
      <c r="U2" s="21"/>
      <c r="V2" s="21"/>
    </row>
    <row r="3" spans="1:22" x14ac:dyDescent="0.25">
      <c r="A3" s="21">
        <v>4757</v>
      </c>
      <c r="B3" t="s">
        <v>74</v>
      </c>
      <c r="C3" s="52">
        <v>42486</v>
      </c>
      <c r="D3" t="s">
        <v>96</v>
      </c>
      <c r="E3" t="s">
        <v>140</v>
      </c>
      <c r="F3" s="52">
        <v>42486</v>
      </c>
      <c r="G3" s="52">
        <v>42493</v>
      </c>
      <c r="H3" s="52"/>
      <c r="I3" s="52"/>
      <c r="J3" s="52"/>
      <c r="K3" s="52"/>
      <c r="L3" s="52"/>
      <c r="M3" s="21">
        <v>84</v>
      </c>
      <c r="N3" s="21"/>
      <c r="O3" s="21"/>
      <c r="P3" s="21"/>
      <c r="Q3" s="21"/>
      <c r="R3" s="21"/>
      <c r="S3" s="21"/>
      <c r="T3" s="21"/>
      <c r="U3" s="21"/>
      <c r="V3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54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" sqref="B1"/>
    </sheetView>
  </sheetViews>
  <sheetFormatPr defaultRowHeight="15" x14ac:dyDescent="0.25"/>
  <cols>
    <col min="1" max="1" width="8.7109375" customWidth="1"/>
    <col min="2" max="2" width="20.140625" customWidth="1"/>
    <col min="3" max="3" width="6.7109375" bestFit="1" customWidth="1"/>
    <col min="4" max="4" width="4" bestFit="1" customWidth="1"/>
    <col min="5" max="5" width="9.85546875" bestFit="1" customWidth="1"/>
    <col min="6" max="7" width="9.28515625" bestFit="1" customWidth="1"/>
    <col min="8" max="11" width="9.28515625" customWidth="1"/>
    <col min="12" max="12" width="9.28515625" bestFit="1" customWidth="1"/>
    <col min="13" max="14" width="9.28515625" customWidth="1"/>
    <col min="15" max="15" width="9.5703125" bestFit="1" customWidth="1"/>
    <col min="16" max="16" width="6" bestFit="1" customWidth="1"/>
    <col min="17" max="23" width="5.5703125" customWidth="1"/>
    <col min="24" max="24" width="7.42578125" customWidth="1"/>
    <col min="25" max="26" width="5.5703125" customWidth="1"/>
    <col min="27" max="27" width="13.140625" customWidth="1"/>
    <col min="28" max="30" width="3.85546875" customWidth="1"/>
    <col min="31" max="31" width="4.5703125" customWidth="1"/>
    <col min="32" max="33" width="5.7109375" customWidth="1"/>
  </cols>
  <sheetData>
    <row r="1" spans="1:33" ht="15.75" thickBot="1" x14ac:dyDescent="0.3">
      <c r="A1" s="63" t="s">
        <v>119</v>
      </c>
      <c r="B1" s="64">
        <v>42495</v>
      </c>
      <c r="D1" s="62"/>
      <c r="E1" s="65" t="s">
        <v>141</v>
      </c>
      <c r="F1" s="62"/>
      <c r="G1" s="62"/>
      <c r="H1" s="62"/>
    </row>
    <row r="2" spans="1:33" ht="23.25" x14ac:dyDescent="0.35">
      <c r="A2" s="27" t="s">
        <v>68</v>
      </c>
      <c r="B2" s="27"/>
      <c r="C2" s="27"/>
      <c r="D2" s="27"/>
      <c r="E2" s="27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3" t="str">
        <f>IF(ControleOSsMês!$G$1="Todas","Ref. Todas as OS","Ref. "&amp;UPPER(TEXT(ControleOSsMês!$K$1,"MMM/AAAA")))</f>
        <v>Ref. Todas as OS</v>
      </c>
    </row>
    <row r="3" spans="1:33" ht="69" customHeight="1" x14ac:dyDescent="0.25">
      <c r="A3" s="55" t="s">
        <v>0</v>
      </c>
      <c r="B3" s="72" t="s">
        <v>82</v>
      </c>
      <c r="C3" s="72"/>
      <c r="D3" s="72"/>
      <c r="E3" s="72"/>
      <c r="F3" s="28" t="s">
        <v>108</v>
      </c>
      <c r="G3" s="55" t="s">
        <v>59</v>
      </c>
      <c r="H3" s="55" t="s">
        <v>135</v>
      </c>
      <c r="I3" s="55" t="s">
        <v>105</v>
      </c>
      <c r="J3" s="55" t="s">
        <v>137</v>
      </c>
      <c r="K3" s="55" t="s">
        <v>138</v>
      </c>
      <c r="L3" s="55" t="s">
        <v>60</v>
      </c>
      <c r="M3" s="55" t="s">
        <v>58</v>
      </c>
      <c r="N3" s="55" t="s">
        <v>107</v>
      </c>
      <c r="O3" s="28"/>
      <c r="P3" s="34" t="s">
        <v>67</v>
      </c>
      <c r="Q3" s="33" t="s">
        <v>3</v>
      </c>
      <c r="R3" s="33" t="s">
        <v>6</v>
      </c>
      <c r="S3" s="33" t="s">
        <v>9</v>
      </c>
      <c r="T3" s="33" t="s">
        <v>7</v>
      </c>
      <c r="U3" s="33" t="s">
        <v>8</v>
      </c>
      <c r="V3" s="33" t="s">
        <v>10</v>
      </c>
      <c r="W3" s="33" t="s">
        <v>11</v>
      </c>
      <c r="X3" s="33" t="s">
        <v>2</v>
      </c>
      <c r="Y3" s="33" t="s">
        <v>5</v>
      </c>
      <c r="Z3" s="33" t="s">
        <v>4</v>
      </c>
      <c r="AA3" s="28"/>
      <c r="AB3" s="33" t="s">
        <v>65</v>
      </c>
      <c r="AC3" s="33" t="s">
        <v>66</v>
      </c>
      <c r="AD3" s="33" t="s">
        <v>63</v>
      </c>
      <c r="AE3" s="33" t="s">
        <v>64</v>
      </c>
      <c r="AF3" s="34" t="s">
        <v>69</v>
      </c>
      <c r="AG3" s="34" t="s">
        <v>70</v>
      </c>
    </row>
    <row r="4" spans="1:33" ht="15.75" x14ac:dyDescent="0.25">
      <c r="A4" s="29" t="s">
        <v>118</v>
      </c>
      <c r="C4" s="29">
        <f ca="1">SUM(C5:C109)</f>
        <v>0</v>
      </c>
      <c r="E4" s="29"/>
      <c r="G4" s="20"/>
      <c r="H4" s="20"/>
      <c r="I4" s="20"/>
      <c r="J4" s="20"/>
      <c r="K4" s="20"/>
      <c r="L4" s="20"/>
      <c r="M4" s="20"/>
      <c r="N4" s="20"/>
      <c r="O4" s="35"/>
      <c r="P4" s="37"/>
    </row>
    <row r="5" spans="1:33" ht="15.75" x14ac:dyDescent="0.25">
      <c r="A5" s="54">
        <f>IF(ControleOSsMês!$G$1="Todas",IFERROR(INDEX(OSS[Número OS],INT((ROW()-ROW($A$3)-1)/5)+1,1),""),IFERROR(VLOOKUP(INT((ROW()-ROW($A$3)-1)/5)+1,OSMês[],2,FALSE),""))</f>
        <v>4721</v>
      </c>
      <c r="B5" s="71" t="str">
        <f>IF(A5="","",VLOOKUP(A5,OSS[],MATCH("Situação da OS",OSS[#Headers],0),FALSE))</f>
        <v>Plano Entregue</v>
      </c>
      <c r="C5" s="71"/>
      <c r="D5" s="54" t="str">
        <f>IF(A5="","","em")</f>
        <v>em</v>
      </c>
      <c r="E5" s="59">
        <f>IF(A5="","",VLOOKUP(A5,OSS[],MATCH("Data Situação",OSS[#Headers],0),FALSE))</f>
        <v>42444</v>
      </c>
      <c r="F5" s="56" t="str">
        <f>IF(A5="","","Titulo:")</f>
        <v>Titulo:</v>
      </c>
      <c r="G5" s="31" t="str">
        <f>IF(A5="","",VLOOKUP(A5,OSS[],MATCH("Titulo",OSS[#Headers],0),FALSE))</f>
        <v>Produto Arrecadação - Subproduto Parametrização da Arrecadação Versão (1.0)</v>
      </c>
      <c r="H5" s="30"/>
      <c r="I5" s="30"/>
      <c r="J5" s="30"/>
      <c r="K5" s="30"/>
      <c r="L5" s="30"/>
      <c r="M5" s="30"/>
      <c r="N5" s="30"/>
      <c r="O5" s="30"/>
      <c r="P5" s="30"/>
      <c r="Q5" s="56" t="str">
        <f>IF(A5="","","Tipo da OS:")</f>
        <v>Tipo da OS:</v>
      </c>
      <c r="R5" s="31" t="str">
        <f>IF(A5="","",VLOOKUP(A5,OSS[],MATCH("Tipo",OSS[#Headers],0),FALSE))</f>
        <v>PF Java</v>
      </c>
      <c r="S5" s="30"/>
      <c r="T5" s="30"/>
      <c r="U5" s="30"/>
      <c r="V5" s="30"/>
      <c r="W5" s="30"/>
      <c r="X5" s="30"/>
      <c r="Y5" s="30"/>
      <c r="Z5" s="30"/>
      <c r="AA5" s="58" t="str">
        <f>IF(A5="","","Número de Inconformidades")</f>
        <v>Número de Inconformidades</v>
      </c>
      <c r="AB5" s="30"/>
      <c r="AC5" s="30"/>
      <c r="AD5" s="30"/>
      <c r="AE5" s="30"/>
      <c r="AF5" s="30"/>
      <c r="AG5" s="32"/>
    </row>
    <row r="6" spans="1:33" ht="15.75" x14ac:dyDescent="0.25">
      <c r="B6" s="66" t="str">
        <f>IF(A5="","","PF Pago")</f>
        <v>PF Pago</v>
      </c>
      <c r="D6">
        <f>IF(A5="","",VLOOKUP(A5,OSS[],MATCH("PF Pago",OSS[#Headers],0),FALSE))</f>
        <v>0</v>
      </c>
      <c r="F6" s="36">
        <f>IF(A5="","",VLOOKUP(A5,OSS[],MATCH("Abertura da OS",OSS[#Headers],0),FALSE))</f>
        <v>42425</v>
      </c>
      <c r="G6" s="20">
        <f>IF(F6="","",WORKDAY(F6,IF(IF(P7="",P6,P7)&lt;150,5,10)))</f>
        <v>42439</v>
      </c>
      <c r="H6" s="20">
        <f>IF(G6="","",WORKDAY(G6,5))</f>
        <v>42446</v>
      </c>
      <c r="I6" s="20">
        <f>IF(G6="","",G6+ROUND((IF(P7="",P6,P7)/(19*LN(IF(P7="",P6,P7))-42))*30*SLA_PrazoEntrega,0))</f>
        <v>42515</v>
      </c>
      <c r="J6" s="20">
        <f>IF(I6="","",WORKDAY(I6,IF(IF(P7="",P6,P7)&lt;150,5,10)))</f>
        <v>42529</v>
      </c>
      <c r="K6" s="20">
        <f>IF(J6="","",J6+ROUND((IF(P7="",P6,P7)/(19*LN(IF(P7="",P6,P7))-42))*30*SLA_PrazoAceite,0))</f>
        <v>42554</v>
      </c>
      <c r="L6" s="20">
        <f>IF(G6="","",G6+ROUND((IF(P7="",P6,P7)/(19*LN(IF(P7="",P6,P7))-42))*30,0))</f>
        <v>42565</v>
      </c>
      <c r="M6" s="20">
        <f>IF(K6="","",WORKDAY(K6,1))</f>
        <v>42555</v>
      </c>
      <c r="N6" s="20">
        <f>IF(M6="","",M6+SLA_PrazoGarantia)</f>
        <v>42735</v>
      </c>
      <c r="O6" s="29" t="str">
        <f>IF(A5="","","Previsto")</f>
        <v>Previsto</v>
      </c>
      <c r="P6" s="21">
        <f>IF(A5="","",VLOOKUP(A5,OSS[],MATCH("PF Previsto",OSS[#Headers],0),FALSE))</f>
        <v>271</v>
      </c>
      <c r="Q6" s="57">
        <f>IF(F6="","",ROUND((L6-G6)*SLA_ICA_EOS,1))</f>
        <v>31.5</v>
      </c>
      <c r="R6" s="21">
        <f>IF(F6="","",SLA_ICP_CIHA)</f>
        <v>2</v>
      </c>
      <c r="S6" s="21">
        <f>IF(F6="","",SLA_ICP_CIG)</f>
        <v>2</v>
      </c>
      <c r="T6" s="57">
        <f>IF(F6="","",SLA_IQA_INGHA)</f>
        <v>0.2</v>
      </c>
      <c r="U6" s="57">
        <f>IF(F6="","",SLA_IQA_IGHA)</f>
        <v>0.05</v>
      </c>
      <c r="V6" s="57">
        <f>IF(F6="","",SLA_IQA_INGG)</f>
        <v>0.05</v>
      </c>
      <c r="W6" s="57">
        <f>IF(F6="","",SLA_IQA_IGG)</f>
        <v>0.01</v>
      </c>
      <c r="X6" s="57">
        <f>IF(F6="","",ROUND((G6-F6)*SLA_ICA_IOS,1))</f>
        <v>1.4</v>
      </c>
      <c r="Y6" s="57" t="str">
        <f>IF(OR(R5="Hora Java",R5="Hora dotNet"),SLA_ICA_SP,"")</f>
        <v/>
      </c>
      <c r="Z6" s="57">
        <f>IF(F6="","",ROUND((L6-G6)*SLA_ICA_EOS,1))</f>
        <v>31.5</v>
      </c>
      <c r="AA6" t="str">
        <f>IF(A5="","","Homologação")</f>
        <v>Homologação</v>
      </c>
      <c r="AB6" s="21" t="str">
        <f>IF(J7="","",VLOOKUP(A5,OSS[],MATCH("Não Grave - Homologação",OSS[#Headers],0),FALSE))</f>
        <v/>
      </c>
      <c r="AC6" s="21" t="str">
        <f>IF(J7="","",VLOOKUP(A5,OSS[],MATCH("Grave - Homologação",OSS[#Headers],0),FALSE))</f>
        <v/>
      </c>
      <c r="AD6" s="21" t="str">
        <f>IF(J7="","",AB6+AC6)</f>
        <v/>
      </c>
      <c r="AE6" s="26" t="str">
        <f>IF(J7="","",AD6/IF($P7="",$P6,$P7))</f>
        <v/>
      </c>
      <c r="AF6" s="21" t="str">
        <f>IF(J7="","",VLOOKUP(A5,OSS[],MATCH("Atrasos para Correção Homologação",OSS[#Headers],0),FALSE))</f>
        <v/>
      </c>
      <c r="AG6" t="str">
        <f>IF(Y6="","",VLOOKUP(A5,OSS[],MATCH("Atraso para Substituição",OSS[#Headers],0),FALSE))</f>
        <v/>
      </c>
    </row>
    <row r="7" spans="1:33" ht="15.75" x14ac:dyDescent="0.25">
      <c r="B7" s="66" t="str">
        <f>IF(A5="","","Saldo de PF")</f>
        <v>Saldo de PF</v>
      </c>
      <c r="C7" s="37"/>
      <c r="D7" s="37">
        <f ca="1">IF(P6="","",IF($P7="",$P6,$P7)+IF(P8="",0,P8)-IF(D6="",0,D6))</f>
        <v>271</v>
      </c>
      <c r="E7" s="37"/>
      <c r="G7" s="20">
        <f>IF(A5="","",IF(VLOOKUP(A5,OSS[],MATCH("Data de Inicio",OSS[#Headers],0),FALSE)="","",VLOOKUP(A5,OSS[],MATCH("Data de Inicio",OSS[#Headers],0),FALSE)))</f>
        <v>42439</v>
      </c>
      <c r="H7" s="20">
        <f>IF(A5="","",IF(VLOOKUP(A5,OSS[],MATCH("Entrega do Plano da OS",OSS[#Headers],0),FALSE)="","",VLOOKUP(A5,OSS[],MATCH("Entrega do Plano da OS",OSS[#Headers],0),FALSE)))</f>
        <v>42444</v>
      </c>
      <c r="I7" s="20" t="str">
        <f>IF(A5="","",IF(VLOOKUP(A5,OSS[],MATCH("Entrega da OS",OSS[#Headers],0),FALSE)="","",VLOOKUP(A5,OSS[],MATCH("Entrega da OS",OSS[#Headers],0),FALSE)))</f>
        <v/>
      </c>
      <c r="J7" s="20" t="str">
        <f>IF(A5="","",IF(VLOOKUP(A5,OSS[],MATCH("Recebimento da OS",OSS[#Headers],0),FALSE)="","",VLOOKUP(A5,OSS[],MATCH("Recebimento da OS",OSS[#Headers],0),FALSE)))</f>
        <v/>
      </c>
      <c r="K7" s="20" t="str">
        <f>IF(A5="","",IF(VLOOKUP(A5,OSS[],MATCH("Aceite da OS",OSS[#Headers],0),FALSE)="","",VLOOKUP(A5,OSS[],MATCH("Aceite da OS",OSS[#Headers],0),FALSE)))</f>
        <v/>
      </c>
      <c r="L7" s="20" t="str">
        <f>IF(A5="","",IF(VLOOKUP(A5,OSS[],MATCH("Data de Termino",OSS[#Headers],0),FALSE)="","",VLOOKUP(A5,OSS[],MATCH("Data de Termino",OSS[#Headers],0),FALSE)))</f>
        <v/>
      </c>
      <c r="M7" s="20" t="str">
        <f>IF(K7="","",K7)</f>
        <v/>
      </c>
      <c r="N7" s="20" t="str">
        <f>IF(M7="","",M7+180)</f>
        <v/>
      </c>
      <c r="O7" s="29" t="str">
        <f>IF(A5="","","Apurado")</f>
        <v>Apurado</v>
      </c>
      <c r="P7" s="21" t="str">
        <f>IF(A5="","",IF(VLOOKUP(A5,OSS[],MATCH("PF Apurado",OSS[#Headers],0),FALSE)="","",VLOOKUP(A5,OSS[],MATCH("PF Apurado",OSS[#Headers],0),FALSE)))</f>
        <v/>
      </c>
      <c r="Q7" s="57">
        <f ca="1">IF(F6="","",IF(G7="","",IF(L7="",IF(DataRef&lt;L6,L6,DataRef),L7)-L6))</f>
        <v>0</v>
      </c>
      <c r="R7" s="21" t="str">
        <f>IF(J7="","",AF6)</f>
        <v/>
      </c>
      <c r="S7" s="21" t="str">
        <f>IF(K7="","",AF7)</f>
        <v/>
      </c>
      <c r="T7" s="57" t="str">
        <f>IF(J7="","",AB6/IF($P7="",$P6,$P7))</f>
        <v/>
      </c>
      <c r="U7" s="57" t="str">
        <f>IF(J7="","",AC6/IF($P7="",$P6,$P7))</f>
        <v/>
      </c>
      <c r="V7" s="57" t="str">
        <f>IF(K7="","",AB7/IF($P7="",$P6,$P7))</f>
        <v/>
      </c>
      <c r="W7" s="57" t="str">
        <f>IF(K7="","",AC7/IF($P7="",$P6,$P7))</f>
        <v/>
      </c>
      <c r="X7" s="57">
        <f>IF(F6="","",IF(G7="",IF(DataRef&lt;G6,"",DataRef-G6),G7-G6))</f>
        <v>0</v>
      </c>
      <c r="Y7" s="57" t="str">
        <f>IF(OR(R5="Hora Java",R5="Hora dotNet"),AG6,"")</f>
        <v/>
      </c>
      <c r="Z7" s="57">
        <f ca="1">IF(F6="","",IF(L7="",IF(DataRef&lt;L6,L6,DataRef),L7)-L6)</f>
        <v>0</v>
      </c>
      <c r="AA7" t="str">
        <f>IF(A5="","","Garantia")</f>
        <v>Garantia</v>
      </c>
      <c r="AB7" s="21" t="str">
        <f>IF(K7="","",VLOOKUP(A5,OSS[],MATCH("Não Grave - Garantia",OSS[#Headers],0),FALSE))</f>
        <v/>
      </c>
      <c r="AC7" s="21" t="str">
        <f>IF(K7="","",VLOOKUP(A5,OSS[],MATCH("Grave - Garantia",OSS[#Headers],0),FALSE))</f>
        <v/>
      </c>
      <c r="AD7" s="21" t="str">
        <f>IF(K7="","",AB7+AC7)</f>
        <v/>
      </c>
      <c r="AE7" s="26" t="str">
        <f>IF(K7="","",AD7/IF($P7="",$P6,$P7))</f>
        <v/>
      </c>
      <c r="AF7" s="21" t="str">
        <f>IF(K7="","",VLOOKUP(A5,OSS[],MATCH("Atrasos para Correção Garantia",OSS[#Headers],0),FALSE))</f>
        <v/>
      </c>
    </row>
    <row r="8" spans="1:33" ht="15.75" x14ac:dyDescent="0.25">
      <c r="B8" s="66" t="str">
        <f>IF(A5="","","PF a Pagar")</f>
        <v>PF a Pagar</v>
      </c>
      <c r="C8" s="67">
        <f ca="1">IF(D7="","",IF(B5="Recebida",(P7*0.8),IF(B5="Aceita",D7,0))+IF(D7&lt;0,D7,0))</f>
        <v>0</v>
      </c>
      <c r="E8" s="37"/>
      <c r="K8" s="69" t="str">
        <f>IF(A5="","","Prazo previsto para execução em dias corridos")</f>
        <v>Prazo previsto para execução em dias corridos</v>
      </c>
      <c r="L8" s="70">
        <f>IF(G6="","",ROUND((IF(P7="",P6,P7)/(19*LN(IF(P7="",P6,P7))-42))*30,0))</f>
        <v>126</v>
      </c>
      <c r="O8" s="29" t="str">
        <f>IF(A5="","","Multa")</f>
        <v>Multa</v>
      </c>
      <c r="P8" s="25" t="str">
        <f ca="1">IF(SUM(Q8:Z8)=0,"",-ROUND(SUM(Q8:Z8),0))</f>
        <v/>
      </c>
      <c r="Q8" s="57" t="str">
        <f ca="1">IF(Q7="","",IF(OR(Q6&gt;Q7,Z6&lt;Z7),"",ROUND(Q7*(IF($P7="",$P6,$P7)*SLA_ICA_EOS_Multa),2)))</f>
        <v/>
      </c>
      <c r="R8" s="57" t="str">
        <f>IF(R7="","",IF(R6&gt;R7,"",ROUND(R7*(IF($P7="",$P6,$P7)*SLA_ICP_CIHA_Multa),2)))</f>
        <v/>
      </c>
      <c r="S8" s="57" t="str">
        <f>IF(S7="","",IF(S6&gt;S7,"",ROUND(S7*(IF($P7="",$P6,$P7)*SLA_ICP_CIG_Multa),2)))</f>
        <v/>
      </c>
      <c r="T8" s="57" t="str">
        <f>IF(T7="","",IF(T6&gt;T7,"",ROUND(T7*(IF($P7="",$P6,$P7)*SLA_IQA_INGHA_Multa),2)))</f>
        <v/>
      </c>
      <c r="U8" s="57" t="str">
        <f>IF(U7="","",IF(U6&gt;U7,"",ROUND(U7*(IF($P7="",$P6,$P7)*SLA_IQA_IGHA_Multa),2)))</f>
        <v/>
      </c>
      <c r="V8" s="57" t="str">
        <f>IF(V7="","",IF(V6&gt;V7,"",ROUND(V7*(IF($P7="",$P6,$P7)*SLA_IQA_INGG_Multa),2)))</f>
        <v/>
      </c>
      <c r="W8" s="57" t="str">
        <f>IF(W7="","",IF(W6&gt;W7,"",ROUND(W7*(IF($P7="",$P6,$P7)*SLA_IQA_IGG_Multa),2)))</f>
        <v/>
      </c>
      <c r="X8" s="57" t="str">
        <f>IF(X7="","",IF(X6&gt;X7,"",ROUND(X7*(IF($P7="",$P6,$P7)*SLA_ICA_IOS_Multa),2)))</f>
        <v/>
      </c>
      <c r="Y8" s="57" t="str">
        <f>IF(Y7="","",IF(Y6&gt;Y7,"",ROUND(Y7*(IF($P7="",$P6,$P7)*SLA_ICA_SP_Multa),2)))</f>
        <v/>
      </c>
      <c r="Z8" s="57" t="str">
        <f ca="1">IF(Z7="","",IF(Z6&gt;Z7,"",ROUND(IF($P7="",$P6,$P7)*SLA_ICA_EOS_Multa,2)))</f>
        <v/>
      </c>
      <c r="AA8" t="str">
        <f>IF(A5="","","Total")</f>
        <v>Total</v>
      </c>
      <c r="AB8" s="21" t="str">
        <f>IF(SUM(AB6:AB7)=0,"",SUM(AB6:AB7))</f>
        <v/>
      </c>
      <c r="AC8" s="21" t="str">
        <f>IF(SUM(AC6:AC7)=0,"",SUM(AC6:AC7))</f>
        <v/>
      </c>
      <c r="AD8" s="21" t="str">
        <f>IF(SUM(AB8:AC8)=0,"",SUM(AB8:AC8))</f>
        <v/>
      </c>
      <c r="AE8" s="26" t="str">
        <f>IF(P6="","",IF(AD8="","",AD8/IF($P7="",$P6,$P7)))</f>
        <v/>
      </c>
    </row>
    <row r="9" spans="1:33" ht="15.75" x14ac:dyDescent="0.25">
      <c r="G9" s="20"/>
      <c r="H9" s="20"/>
      <c r="I9" s="20"/>
      <c r="J9" s="20"/>
      <c r="K9" s="20"/>
      <c r="L9" s="20"/>
      <c r="M9" s="20"/>
      <c r="N9" s="20"/>
      <c r="O9" s="35"/>
      <c r="P9" s="37"/>
    </row>
    <row r="10" spans="1:33" ht="15.75" x14ac:dyDescent="0.25">
      <c r="A10" s="54">
        <f>IF(ControleOSsMês!$G$1="Todas",IFERROR(INDEX(OSS[Número OS],INT((ROW()-ROW($A$3)-1)/5)+1,1),""),IFERROR(VLOOKUP(INT((ROW()-ROW($A$3)-1)/5)+1,OSMês[],2,FALSE),""))</f>
        <v>4757</v>
      </c>
      <c r="B10" s="71" t="str">
        <f>IF(A10="","",VLOOKUP(A10,OSS[],MATCH("Situação da OS",OSS[#Headers],0),FALSE))</f>
        <v>Aberta</v>
      </c>
      <c r="C10" s="71"/>
      <c r="D10" s="54" t="str">
        <f>IF(A10="","","em")</f>
        <v>em</v>
      </c>
      <c r="E10" s="59">
        <f>IF(A10="","",VLOOKUP(A10,OSS[],MATCH("Data Situação",OSS[#Headers],0),FALSE))</f>
        <v>42486</v>
      </c>
      <c r="F10" s="68" t="str">
        <f>IF(A10="","","Titulo:")</f>
        <v>Titulo:</v>
      </c>
      <c r="G10" s="31" t="str">
        <f>IF(A10="","",VLOOKUP(A10,OSS[],MATCH("Titulo",OSS[#Headers],0),FALSE))</f>
        <v>Produto Serviços Transversais - Subproduto Gestão de Segurança Básico Versão (1.0)</v>
      </c>
      <c r="H10" s="30"/>
      <c r="I10" s="30"/>
      <c r="J10" s="30"/>
      <c r="K10" s="30"/>
      <c r="L10" s="30"/>
      <c r="M10" s="30"/>
      <c r="N10" s="30"/>
      <c r="O10" s="30"/>
      <c r="P10" s="30"/>
      <c r="Q10" s="68" t="str">
        <f>IF(A10="","","Tipo da OS:")</f>
        <v>Tipo da OS:</v>
      </c>
      <c r="R10" s="31" t="str">
        <f>IF(A10="","",VLOOKUP(A10,OSS[],MATCH("Tipo",OSS[#Headers],0),FALSE))</f>
        <v>PF Java</v>
      </c>
      <c r="S10" s="30"/>
      <c r="T10" s="30"/>
      <c r="U10" s="30"/>
      <c r="V10" s="30"/>
      <c r="W10" s="30"/>
      <c r="X10" s="30"/>
      <c r="Y10" s="30"/>
      <c r="Z10" s="30"/>
      <c r="AA10" s="58" t="str">
        <f>IF(A10="","","Número de Inconformidades")</f>
        <v>Número de Inconformidades</v>
      </c>
      <c r="AB10" s="30"/>
      <c r="AC10" s="30"/>
      <c r="AD10" s="30"/>
      <c r="AE10" s="30"/>
      <c r="AF10" s="30"/>
      <c r="AG10" s="32"/>
    </row>
    <row r="11" spans="1:33" ht="15.75" x14ac:dyDescent="0.25">
      <c r="B11" s="66" t="str">
        <f>IF(A10="","","PF Pago")</f>
        <v>PF Pago</v>
      </c>
      <c r="D11">
        <f>IF(A10="","",VLOOKUP(A10,OSS[],MATCH("PF Pago",OSS[#Headers],0),FALSE))</f>
        <v>0</v>
      </c>
      <c r="F11" s="36">
        <f>IF(A10="","",VLOOKUP(A10,OSS[],MATCH("Abertura da OS",OSS[#Headers],0),FALSE))</f>
        <v>42486</v>
      </c>
      <c r="G11" s="20">
        <f>IF(F11="","",WORKDAY(F11,IF(IF(P12="",P11,P12)&lt;150,5,10)))</f>
        <v>42493</v>
      </c>
      <c r="H11" s="20">
        <f>IF(G11="","",WORKDAY(G11,5))</f>
        <v>42500</v>
      </c>
      <c r="I11" s="20">
        <f>IF(G11="","",G11+ROUND((IF(P12="",P11,P12)/(19*LN(IF(P12="",P11,P12))-42))*30*SLA_PrazoEntrega,0))</f>
        <v>42529</v>
      </c>
      <c r="J11" s="20">
        <f>IF(I11="","",WORKDAY(I11,IF(IF(P12="",P11,P12)&lt;150,5,10)))</f>
        <v>42536</v>
      </c>
      <c r="K11" s="20">
        <f>IF(J11="","",J11+ROUND((IF(P12="",P11,P12)/(19*LN(IF(P12="",P11,P12))-42))*30*SLA_PrazoAceite,0))</f>
        <v>42548</v>
      </c>
      <c r="L11" s="20">
        <f>IF(G11="","",G11+ROUND((IF(P12="",P11,P12)/(19*LN(IF(P12="",P11,P12))-42))*30,0))</f>
        <v>42553</v>
      </c>
      <c r="M11" s="20">
        <f>IF(K11="","",WORKDAY(K11,1))</f>
        <v>42549</v>
      </c>
      <c r="N11" s="20">
        <f>IF(M11="","",M11+SLA_PrazoGarantia)</f>
        <v>42729</v>
      </c>
      <c r="O11" s="29" t="str">
        <f>IF(A10="","","Previsto")</f>
        <v>Previsto</v>
      </c>
      <c r="P11" s="21">
        <f>IF(A10="","",VLOOKUP(A10,OSS[],MATCH("PF Previsto",OSS[#Headers],0),FALSE))</f>
        <v>84</v>
      </c>
      <c r="Q11" s="57">
        <f>IF(F11="","",ROUND((L11-G11)*SLA_ICA_EOS,1))</f>
        <v>15</v>
      </c>
      <c r="R11" s="21">
        <f>IF(F11="","",SLA_ICP_CIHA)</f>
        <v>2</v>
      </c>
      <c r="S11" s="21">
        <f>IF(F11="","",SLA_ICP_CIG)</f>
        <v>2</v>
      </c>
      <c r="T11" s="57">
        <f>IF(F11="","",SLA_IQA_INGHA)</f>
        <v>0.2</v>
      </c>
      <c r="U11" s="57">
        <f>IF(F11="","",SLA_IQA_IGHA)</f>
        <v>0.05</v>
      </c>
      <c r="V11" s="57">
        <f>IF(F11="","",SLA_IQA_INGG)</f>
        <v>0.05</v>
      </c>
      <c r="W11" s="57">
        <f>IF(F11="","",SLA_IQA_IGG)</f>
        <v>0.01</v>
      </c>
      <c r="X11" s="57">
        <f>IF(F11="","",ROUND((G11-F11)*SLA_ICA_IOS,1))</f>
        <v>0.7</v>
      </c>
      <c r="Y11" s="57" t="str">
        <f>IF(OR(R10="Hora Java",R10="Hora dotNet"),SLA_ICA_SP,"")</f>
        <v/>
      </c>
      <c r="Z11" s="57">
        <f>IF(F11="","",ROUND((L11-G11)*SLA_ICA_EOS,1))</f>
        <v>15</v>
      </c>
      <c r="AA11" t="str">
        <f>IF(A10="","","Homologação")</f>
        <v>Homologação</v>
      </c>
      <c r="AB11" s="21" t="str">
        <f>IF(J12="","",VLOOKUP(A10,OSS[],MATCH("Não Grave - Homologação",OSS[#Headers],0),FALSE))</f>
        <v/>
      </c>
      <c r="AC11" s="21" t="str">
        <f>IF(J12="","",VLOOKUP(A10,OSS[],MATCH("Grave - Homologação",OSS[#Headers],0),FALSE))</f>
        <v/>
      </c>
      <c r="AD11" s="21" t="str">
        <f>IF(J12="","",AB11+AC11)</f>
        <v/>
      </c>
      <c r="AE11" s="26" t="str">
        <f>IF(J12="","",AD11/IF($P12="",$P11,$P12))</f>
        <v/>
      </c>
      <c r="AF11" s="21" t="str">
        <f>IF(J12="","",VLOOKUP(A10,OSS[],MATCH("Atrasos para Correção Homologação",OSS[#Headers],0),FALSE))</f>
        <v/>
      </c>
      <c r="AG11" t="str">
        <f>IF(Y11="","",VLOOKUP(A10,OSS[],MATCH("Atraso para Substituição",OSS[#Headers],0),FALSE))</f>
        <v/>
      </c>
    </row>
    <row r="12" spans="1:33" ht="15.75" x14ac:dyDescent="0.25">
      <c r="B12" s="66" t="str">
        <f>IF(A10="","","Saldo de PF")</f>
        <v>Saldo de PF</v>
      </c>
      <c r="C12" s="37"/>
      <c r="D12" s="37">
        <f ca="1">IF(P11="","",IF($P12="",$P11,$P12)+IF(P13="",0,P13)-IF(D11="",0,D11))</f>
        <v>84</v>
      </c>
      <c r="E12" s="37"/>
      <c r="G12" s="20">
        <f>IF(A10="","",IF(VLOOKUP(A10,OSS[],MATCH("Data de Inicio",OSS[#Headers],0),FALSE)="","",VLOOKUP(A10,OSS[],MATCH("Data de Inicio",OSS[#Headers],0),FALSE)))</f>
        <v>42493</v>
      </c>
      <c r="H12" s="20" t="str">
        <f>IF(A10="","",IF(VLOOKUP(A10,OSS[],MATCH("Entrega do Plano da OS",OSS[#Headers],0),FALSE)="","",VLOOKUP(A10,OSS[],MATCH("Entrega do Plano da OS",OSS[#Headers],0),FALSE)))</f>
        <v/>
      </c>
      <c r="I12" s="20" t="str">
        <f>IF(A10="","",IF(VLOOKUP(A10,OSS[],MATCH("Entrega da OS",OSS[#Headers],0),FALSE)="","",VLOOKUP(A10,OSS[],MATCH("Entrega da OS",OSS[#Headers],0),FALSE)))</f>
        <v/>
      </c>
      <c r="J12" s="20" t="str">
        <f>IF(A10="","",IF(VLOOKUP(A10,OSS[],MATCH("Recebimento da OS",OSS[#Headers],0),FALSE)="","",VLOOKUP(A10,OSS[],MATCH("Recebimento da OS",OSS[#Headers],0),FALSE)))</f>
        <v/>
      </c>
      <c r="K12" s="20" t="str">
        <f>IF(A10="","",IF(VLOOKUP(A10,OSS[],MATCH("Aceite da OS",OSS[#Headers],0),FALSE)="","",VLOOKUP(A10,OSS[],MATCH("Aceite da OS",OSS[#Headers],0),FALSE)))</f>
        <v/>
      </c>
      <c r="L12" s="20" t="str">
        <f>IF(A10="","",IF(VLOOKUP(A10,OSS[],MATCH("Data de Termino",OSS[#Headers],0),FALSE)="","",VLOOKUP(A10,OSS[],MATCH("Data de Termino",OSS[#Headers],0),FALSE)))</f>
        <v/>
      </c>
      <c r="M12" s="20" t="str">
        <f>IF(K12="","",K12)</f>
        <v/>
      </c>
      <c r="N12" s="20" t="str">
        <f>IF(M12="","",M12+180)</f>
        <v/>
      </c>
      <c r="O12" s="29" t="str">
        <f>IF(A10="","","Apurado")</f>
        <v>Apurado</v>
      </c>
      <c r="P12" s="21" t="str">
        <f>IF(A10="","",IF(VLOOKUP(A10,OSS[],MATCH("PF Apurado",OSS[#Headers],0),FALSE)="","",VLOOKUP(A10,OSS[],MATCH("PF Apurado",OSS[#Headers],0),FALSE)))</f>
        <v/>
      </c>
      <c r="Q12" s="57">
        <f ca="1">IF(F11="","",IF(G12="","",IF(L12="",IF(DataRef&lt;L11,L11,DataRef),L12)-L11))</f>
        <v>0</v>
      </c>
      <c r="R12" s="21" t="str">
        <f>IF(J12="","",AF11)</f>
        <v/>
      </c>
      <c r="S12" s="21" t="str">
        <f>IF(K12="","",AF12)</f>
        <v/>
      </c>
      <c r="T12" s="57" t="str">
        <f>IF(J12="","",AB11/IF($P12="",$P11,$P12))</f>
        <v/>
      </c>
      <c r="U12" s="57" t="str">
        <f>IF(J12="","",AC11/IF($P12="",$P11,$P12))</f>
        <v/>
      </c>
      <c r="V12" s="57" t="str">
        <f>IF(K12="","",AB12/IF($P12="",$P11,$P12))</f>
        <v/>
      </c>
      <c r="W12" s="57" t="str">
        <f>IF(K12="","",AC12/IF($P12="",$P11,$P12))</f>
        <v/>
      </c>
      <c r="X12" s="57">
        <f>IF(F11="","",IF(G12="",IF(DataRef&lt;G11,"",DataRef-G11),G12-G11))</f>
        <v>0</v>
      </c>
      <c r="Y12" s="57" t="str">
        <f>IF(OR(R10="Hora Java",R10="Hora dotNet"),AG11,"")</f>
        <v/>
      </c>
      <c r="Z12" s="57">
        <f ca="1">IF(F11="","",IF(L12="",IF(DataRef&lt;L11,L11,DataRef),L12)-L11)</f>
        <v>0</v>
      </c>
      <c r="AA12" t="str">
        <f>IF(A10="","","Garantia")</f>
        <v>Garantia</v>
      </c>
      <c r="AB12" s="21" t="str">
        <f>IF(K12="","",VLOOKUP(A10,OSS[],MATCH("Não Grave - Garantia",OSS[#Headers],0),FALSE))</f>
        <v/>
      </c>
      <c r="AC12" s="21" t="str">
        <f>IF(K12="","",VLOOKUP(A10,OSS[],MATCH("Grave - Garantia",OSS[#Headers],0),FALSE))</f>
        <v/>
      </c>
      <c r="AD12" s="21" t="str">
        <f>IF(K12="","",AB12+AC12)</f>
        <v/>
      </c>
      <c r="AE12" s="26" t="str">
        <f>IF(K12="","",AD12/IF($P12="",$P11,$P12))</f>
        <v/>
      </c>
      <c r="AF12" s="21" t="str">
        <f>IF(K12="","",VLOOKUP(A10,OSS[],MATCH("Atrasos para Correção Garantia",OSS[#Headers],0),FALSE))</f>
        <v/>
      </c>
    </row>
    <row r="13" spans="1:33" ht="15.75" x14ac:dyDescent="0.25">
      <c r="B13" s="66" t="str">
        <f>IF(A10="","","PF a Pagar")</f>
        <v>PF a Pagar</v>
      </c>
      <c r="C13" s="67">
        <f ca="1">IF(D12="","",IF(B10="Recebida",(P12*0.8),IF(B10="Aceita",D12,0))+IF(D12&lt;0,D12,0))</f>
        <v>0</v>
      </c>
      <c r="E13" s="37"/>
      <c r="K13" s="69" t="str">
        <f>IF(A10="","","Prazo previsto para execução em dias corridos")</f>
        <v>Prazo previsto para execução em dias corridos</v>
      </c>
      <c r="L13" s="70">
        <f>IF(G11="","",ROUND((IF(P12="",P11,P12)/(19*LN(IF(P12="",P11,P12))-42))*30,0))</f>
        <v>60</v>
      </c>
      <c r="O13" s="29" t="str">
        <f>IF(A10="","","Multa")</f>
        <v>Multa</v>
      </c>
      <c r="P13" s="25" t="str">
        <f ca="1">IF(SUM(Q13:Z13)=0,"",-ROUND(SUM(Q13:Z13),0))</f>
        <v/>
      </c>
      <c r="Q13" s="57" t="str">
        <f ca="1">IF(Q12="","",IF(OR(Q11&gt;Q12,Z11&lt;Z12),"",ROUND(Q12*(IF($P12="",$P11,$P12)*SLA_ICA_EOS_Multa),2)))</f>
        <v/>
      </c>
      <c r="R13" s="57" t="str">
        <f>IF(R12="","",IF(R11&gt;R12,"",ROUND(R12*(IF($P12="",$P11,$P12)*SLA_ICP_CIHA_Multa),2)))</f>
        <v/>
      </c>
      <c r="S13" s="57" t="str">
        <f>IF(S12="","",IF(S11&gt;S12,"",ROUND(S12*(IF($P12="",$P11,$P12)*SLA_ICP_CIG_Multa),2)))</f>
        <v/>
      </c>
      <c r="T13" s="57" t="str">
        <f>IF(T12="","",IF(T11&gt;T12,"",ROUND(T12*(IF($P12="",$P11,$P12)*SLA_IQA_INGHA_Multa),2)))</f>
        <v/>
      </c>
      <c r="U13" s="57" t="str">
        <f>IF(U12="","",IF(U11&gt;U12,"",ROUND(U12*(IF($P12="",$P11,$P12)*SLA_IQA_IGHA_Multa),2)))</f>
        <v/>
      </c>
      <c r="V13" s="57" t="str">
        <f>IF(V12="","",IF(V11&gt;V12,"",ROUND(V12*(IF($P12="",$P11,$P12)*SLA_IQA_INGG_Multa),2)))</f>
        <v/>
      </c>
      <c r="W13" s="57" t="str">
        <f>IF(W12="","",IF(W11&gt;W12,"",ROUND(W12*(IF($P12="",$P11,$P12)*SLA_IQA_IGG_Multa),2)))</f>
        <v/>
      </c>
      <c r="X13" s="57" t="str">
        <f>IF(X12="","",IF(X11&gt;X12,"",ROUND(X12*(IF($P12="",$P11,$P12)*SLA_ICA_IOS_Multa),2)))</f>
        <v/>
      </c>
      <c r="Y13" s="57" t="str">
        <f>IF(Y12="","",IF(Y11&gt;Y12,"",ROUND(Y12*(IF($P12="",$P11,$P12)*SLA_ICA_SP_Multa),2)))</f>
        <v/>
      </c>
      <c r="Z13" s="57" t="str">
        <f ca="1">IF(Z12="","",IF(Z11&gt;Z12,"",ROUND(IF($P12="",$P11,$P12)*SLA_ICA_EOS_Multa,2)))</f>
        <v/>
      </c>
      <c r="AA13" t="str">
        <f>IF(A10="","","Total")</f>
        <v>Total</v>
      </c>
      <c r="AB13" s="21" t="str">
        <f>IF(SUM(AB11:AB12)=0,"",SUM(AB11:AB12))</f>
        <v/>
      </c>
      <c r="AC13" s="21" t="str">
        <f>IF(SUM(AC11:AC12)=0,"",SUM(AC11:AC12))</f>
        <v/>
      </c>
      <c r="AD13" s="21" t="str">
        <f>IF(SUM(AB13:AC13)=0,"",SUM(AB13:AC13))</f>
        <v/>
      </c>
      <c r="AE13" s="26" t="str">
        <f>IF(P11="","",IF(AD13="","",AD13/IF($P12="",$P11,$P12)))</f>
        <v/>
      </c>
    </row>
    <row r="14" spans="1:33" ht="15.75" x14ac:dyDescent="0.25">
      <c r="G14" s="20"/>
      <c r="H14" s="20"/>
      <c r="I14" s="20"/>
      <c r="J14" s="20"/>
      <c r="K14" s="20"/>
      <c r="L14" s="20"/>
      <c r="M14" s="20"/>
      <c r="N14" s="20"/>
      <c r="O14" s="35"/>
      <c r="P14" s="37"/>
    </row>
    <row r="15" spans="1:33" ht="15.75" x14ac:dyDescent="0.25">
      <c r="A15" s="54" t="str">
        <f>IF(ControleOSsMês!$G$1="Todas",IFERROR(INDEX(OSS[Número OS],INT((ROW()-ROW($A$3)-1)/5)+1,1),""),IFERROR(VLOOKUP(INT((ROW()-ROW($A$3)-1)/5)+1,OSMês[],2,FALSE),""))</f>
        <v/>
      </c>
      <c r="B15" s="71" t="str">
        <f>IF(A15="","",VLOOKUP(A15,OSS[],MATCH("Situação da OS",OSS[#Headers],0),FALSE))</f>
        <v/>
      </c>
      <c r="C15" s="71"/>
      <c r="D15" s="54" t="str">
        <f>IF(A15="","","em")</f>
        <v/>
      </c>
      <c r="E15" s="59" t="str">
        <f>IF(A15="","",VLOOKUP(A15,OSS[],MATCH("Data Situação",OSS[#Headers],0),FALSE))</f>
        <v/>
      </c>
      <c r="F15" s="68" t="str">
        <f>IF(A15="","","Titulo:")</f>
        <v/>
      </c>
      <c r="G15" s="31" t="str">
        <f>IF(A15="","",VLOOKUP(A15,OSS[],MATCH("Titulo",OSS[#Headers],0),FALSE))</f>
        <v/>
      </c>
      <c r="H15" s="30"/>
      <c r="I15" s="30"/>
      <c r="J15" s="30"/>
      <c r="K15" s="30"/>
      <c r="L15" s="30"/>
      <c r="M15" s="30"/>
      <c r="N15" s="30"/>
      <c r="O15" s="30"/>
      <c r="P15" s="30"/>
      <c r="Q15" s="68" t="str">
        <f>IF(A15="","","Tipo da OS:")</f>
        <v/>
      </c>
      <c r="R15" s="31" t="str">
        <f>IF(A15="","",VLOOKUP(A15,OSS[],MATCH("Tipo",OSS[#Headers],0),FALSE))</f>
        <v/>
      </c>
      <c r="S15" s="30"/>
      <c r="T15" s="30"/>
      <c r="U15" s="30"/>
      <c r="V15" s="30"/>
      <c r="W15" s="30"/>
      <c r="X15" s="30"/>
      <c r="Y15" s="30"/>
      <c r="Z15" s="30"/>
      <c r="AA15" s="58" t="str">
        <f>IF(A15="","","Número de Inconformidades")</f>
        <v/>
      </c>
      <c r="AB15" s="30"/>
      <c r="AC15" s="30"/>
      <c r="AD15" s="30"/>
      <c r="AE15" s="30"/>
      <c r="AF15" s="30"/>
      <c r="AG15" s="32"/>
    </row>
    <row r="16" spans="1:33" ht="15.75" x14ac:dyDescent="0.25">
      <c r="B16" s="66" t="str">
        <f>IF(A15="","","PF Pago")</f>
        <v/>
      </c>
      <c r="D16" t="str">
        <f>IF(A15="","",VLOOKUP(A15,OSS[],MATCH("PF Pago",OSS[#Headers],0),FALSE))</f>
        <v/>
      </c>
      <c r="F16" s="36" t="str">
        <f>IF(A15="","",VLOOKUP(A15,OSS[],MATCH("Abertura da OS",OSS[#Headers],0),FALSE))</f>
        <v/>
      </c>
      <c r="G16" s="20" t="str">
        <f>IF(F16="","",WORKDAY(F16,IF(IF(P17="",P16,P17)&lt;150,5,10)))</f>
        <v/>
      </c>
      <c r="H16" s="20" t="str">
        <f>IF(G16="","",WORKDAY(G16,5))</f>
        <v/>
      </c>
      <c r="I16" s="20" t="str">
        <f>IF(G16="","",G16+ROUND((IF(P17="",P16,P17)/(19*LN(IF(P17="",P16,P17))-42))*30*SLA_PrazoEntrega,0))</f>
        <v/>
      </c>
      <c r="J16" s="20" t="str">
        <f>IF(I16="","",WORKDAY(I16,IF(IF(P17="",P16,P17)&lt;150,5,10)))</f>
        <v/>
      </c>
      <c r="K16" s="20" t="str">
        <f>IF(J16="","",J16+ROUND((IF(P17="",P16,P17)/(19*LN(IF(P17="",P16,P17))-42))*30*SLA_PrazoAceite,0))</f>
        <v/>
      </c>
      <c r="L16" s="20" t="str">
        <f>IF(G16="","",G16+ROUND((IF(P17="",P16,P17)/(19*LN(IF(P17="",P16,P17))-42))*30,0))</f>
        <v/>
      </c>
      <c r="M16" s="20" t="str">
        <f>IF(K16="","",WORKDAY(K16,1))</f>
        <v/>
      </c>
      <c r="N16" s="20" t="str">
        <f>IF(M16="","",M16+SLA_PrazoGarantia)</f>
        <v/>
      </c>
      <c r="O16" s="29" t="str">
        <f>IF(A15="","","Previsto")</f>
        <v/>
      </c>
      <c r="P16" s="21" t="str">
        <f>IF(A15="","",VLOOKUP(A15,OSS[],MATCH("PF Previsto",OSS[#Headers],0),FALSE))</f>
        <v/>
      </c>
      <c r="Q16" s="57" t="str">
        <f>IF(F16="","",ROUND((L16-G16)*SLA_ICA_EOS,1))</f>
        <v/>
      </c>
      <c r="R16" s="21" t="str">
        <f>IF(F16="","",SLA_ICP_CIHA)</f>
        <v/>
      </c>
      <c r="S16" s="21" t="str">
        <f>IF(F16="","",SLA_ICP_CIG)</f>
        <v/>
      </c>
      <c r="T16" s="57" t="str">
        <f>IF(F16="","",SLA_IQA_INGHA)</f>
        <v/>
      </c>
      <c r="U16" s="57" t="str">
        <f>IF(F16="","",SLA_IQA_IGHA)</f>
        <v/>
      </c>
      <c r="V16" s="57" t="str">
        <f>IF(F16="","",SLA_IQA_INGG)</f>
        <v/>
      </c>
      <c r="W16" s="57" t="str">
        <f>IF(F16="","",SLA_IQA_IGG)</f>
        <v/>
      </c>
      <c r="X16" s="57" t="str">
        <f>IF(F16="","",ROUND((G16-F16)*SLA_ICA_IOS,1))</f>
        <v/>
      </c>
      <c r="Y16" s="57" t="str">
        <f>IF(OR(R15="Hora Java",R15="Hora dotNet"),SLA_ICA_SP,"")</f>
        <v/>
      </c>
      <c r="Z16" s="57" t="str">
        <f>IF(F16="","",ROUND((L16-G16)*SLA_ICA_EOS,1))</f>
        <v/>
      </c>
      <c r="AA16" t="str">
        <f>IF(A15="","","Homologação")</f>
        <v/>
      </c>
      <c r="AB16" s="21" t="str">
        <f>IF(J17="","",VLOOKUP(A15,OSS[],MATCH("Não Grave - Homologação",OSS[#Headers],0),FALSE))</f>
        <v/>
      </c>
      <c r="AC16" s="21" t="str">
        <f>IF(J17="","",VLOOKUP(A15,OSS[],MATCH("Grave - Homologação",OSS[#Headers],0),FALSE))</f>
        <v/>
      </c>
      <c r="AD16" s="21" t="str">
        <f>IF(J17="","",AB16+AC16)</f>
        <v/>
      </c>
      <c r="AE16" s="26" t="str">
        <f>IF(J17="","",AD16/IF($P17="",$P16,$P17))</f>
        <v/>
      </c>
      <c r="AF16" s="21" t="str">
        <f>IF(J17="","",VLOOKUP(A15,OSS[],MATCH("Atrasos para Correção Homologação",OSS[#Headers],0),FALSE))</f>
        <v/>
      </c>
      <c r="AG16" t="str">
        <f>IF(Y16="","",VLOOKUP(A15,OSS[],MATCH("Atraso para Substituição",OSS[#Headers],0),FALSE))</f>
        <v/>
      </c>
    </row>
    <row r="17" spans="1:33" ht="15.75" x14ac:dyDescent="0.25">
      <c r="B17" s="66" t="str">
        <f>IF(A15="","","Saldo de PF")</f>
        <v/>
      </c>
      <c r="C17" s="37"/>
      <c r="D17" s="37" t="str">
        <f>IF(P16="","",IF($P17="",$P16,$P17)+IF(P18="",0,P18)-IF(D16="",0,D16))</f>
        <v/>
      </c>
      <c r="E17" s="37"/>
      <c r="G17" s="20" t="str">
        <f>IF(A15="","",IF(VLOOKUP(A15,OSS[],MATCH("Data de Inicio",OSS[#Headers],0),FALSE)="","",VLOOKUP(A15,OSS[],MATCH("Data de Inicio",OSS[#Headers],0),FALSE)))</f>
        <v/>
      </c>
      <c r="H17" s="20" t="str">
        <f>IF(A15="","",IF(VLOOKUP(A15,OSS[],MATCH("Entrega do Plano da OS",OSS[#Headers],0),FALSE)="","",VLOOKUP(A15,OSS[],MATCH("Entrega do Plano da OS",OSS[#Headers],0),FALSE)))</f>
        <v/>
      </c>
      <c r="I17" s="20" t="str">
        <f>IF(A15="","",IF(VLOOKUP(A15,OSS[],MATCH("Entrega da OS",OSS[#Headers],0),FALSE)="","",VLOOKUP(A15,OSS[],MATCH("Entrega da OS",OSS[#Headers],0),FALSE)))</f>
        <v/>
      </c>
      <c r="J17" s="20" t="str">
        <f>IF(A15="","",IF(VLOOKUP(A15,OSS[],MATCH("Recebimento da OS",OSS[#Headers],0),FALSE)="","",VLOOKUP(A15,OSS[],MATCH("Recebimento da OS",OSS[#Headers],0),FALSE)))</f>
        <v/>
      </c>
      <c r="K17" s="20" t="str">
        <f>IF(A15="","",IF(VLOOKUP(A15,OSS[],MATCH("Aceite da OS",OSS[#Headers],0),FALSE)="","",VLOOKUP(A15,OSS[],MATCH("Aceite da OS",OSS[#Headers],0),FALSE)))</f>
        <v/>
      </c>
      <c r="L17" s="20" t="str">
        <f>IF(A15="","",IF(VLOOKUP(A15,OSS[],MATCH("Data de Termino",OSS[#Headers],0),FALSE)="","",VLOOKUP(A15,OSS[],MATCH("Data de Termino",OSS[#Headers],0),FALSE)))</f>
        <v/>
      </c>
      <c r="M17" s="20" t="str">
        <f>IF(K17="","",K17)</f>
        <v/>
      </c>
      <c r="N17" s="20" t="str">
        <f>IF(M17="","",M17+180)</f>
        <v/>
      </c>
      <c r="O17" s="29" t="str">
        <f>IF(A15="","","Apurado")</f>
        <v/>
      </c>
      <c r="P17" s="21" t="str">
        <f>IF(A15="","",IF(VLOOKUP(A15,OSS[],MATCH("PF Apurado",OSS[#Headers],0),FALSE)="","",VLOOKUP(A15,OSS[],MATCH("PF Apurado",OSS[#Headers],0),FALSE)))</f>
        <v/>
      </c>
      <c r="Q17" s="57" t="str">
        <f>IF(F16="","",IF(G17="","",IF(L17="",IF(DataRef&lt;L16,L16,DataRef),L17)-L16))</f>
        <v/>
      </c>
      <c r="R17" s="21" t="str">
        <f>IF(J17="","",AF16)</f>
        <v/>
      </c>
      <c r="S17" s="21" t="str">
        <f>IF(K17="","",AF17)</f>
        <v/>
      </c>
      <c r="T17" s="57" t="str">
        <f>IF(J17="","",AB16/IF($P17="",$P16,$P17))</f>
        <v/>
      </c>
      <c r="U17" s="57" t="str">
        <f>IF(J17="","",AC16/IF($P17="",$P16,$P17))</f>
        <v/>
      </c>
      <c r="V17" s="57" t="str">
        <f>IF(K17="","",AB17/IF($P17="",$P16,$P17))</f>
        <v/>
      </c>
      <c r="W17" s="57" t="str">
        <f>IF(K17="","",AC17/IF($P17="",$P16,$P17))</f>
        <v/>
      </c>
      <c r="X17" s="57" t="str">
        <f>IF(F16="","",IF(G17="",IF(DataRef&lt;G16,"",DataRef-G16),G17-G16))</f>
        <v/>
      </c>
      <c r="Y17" s="57" t="str">
        <f>IF(OR(R15="Hora Java",R15="Hora dotNet"),AG16,"")</f>
        <v/>
      </c>
      <c r="Z17" s="57" t="str">
        <f>IF(F16="","",IF(L17="",IF(DataRef&lt;L16,L16,DataRef),L17)-L16)</f>
        <v/>
      </c>
      <c r="AA17" t="str">
        <f>IF(A15="","","Garantia")</f>
        <v/>
      </c>
      <c r="AB17" s="21" t="str">
        <f>IF(K17="","",VLOOKUP(A15,OSS[],MATCH("Não Grave - Garantia",OSS[#Headers],0),FALSE))</f>
        <v/>
      </c>
      <c r="AC17" s="21" t="str">
        <f>IF(K17="","",VLOOKUP(A15,OSS[],MATCH("Grave - Garantia",OSS[#Headers],0),FALSE))</f>
        <v/>
      </c>
      <c r="AD17" s="21" t="str">
        <f>IF(K17="","",AB17+AC17)</f>
        <v/>
      </c>
      <c r="AE17" s="26" t="str">
        <f>IF(K17="","",AD17/IF($P17="",$P16,$P17))</f>
        <v/>
      </c>
      <c r="AF17" s="21" t="str">
        <f>IF(K17="","",VLOOKUP(A15,OSS[],MATCH("Atrasos para Correção Garantia",OSS[#Headers],0),FALSE))</f>
        <v/>
      </c>
    </row>
    <row r="18" spans="1:33" ht="15.75" x14ac:dyDescent="0.25">
      <c r="B18" s="66" t="str">
        <f>IF(A15="","","PF a Pagar")</f>
        <v/>
      </c>
      <c r="C18" s="67" t="str">
        <f>IF(D17="","",IF(B15="Recebida",(P17*0.8),IF(B15="Aceita",D17,0))+IF(D17&lt;0,D17,0))</f>
        <v/>
      </c>
      <c r="E18" s="37"/>
      <c r="K18" s="69" t="str">
        <f>IF(A15="","","Prazo previsto para execução em dias corridos")</f>
        <v/>
      </c>
      <c r="L18" s="70" t="str">
        <f>IF(G16="","",ROUND((IF(P17="",P16,P17)/(19*LN(IF(P17="",P16,P17))-42))*30,0))</f>
        <v/>
      </c>
      <c r="O18" s="29" t="str">
        <f>IF(A15="","","Multa")</f>
        <v/>
      </c>
      <c r="P18" s="25" t="str">
        <f>IF(SUM(Q18:Z18)=0,"",-ROUND(SUM(Q18:Z18),0))</f>
        <v/>
      </c>
      <c r="Q18" s="57" t="str">
        <f>IF(Q17="","",IF(OR(Q16&gt;Q17,Z16&lt;Z17),"",ROUND(Q17*(IF($P17="",$P16,$P17)*SLA_ICA_EOS_Multa),2)))</f>
        <v/>
      </c>
      <c r="R18" s="57" t="str">
        <f>IF(R17="","",IF(R16&gt;R17,"",ROUND(R17*(IF($P17="",$P16,$P17)*SLA_ICP_CIHA_Multa),2)))</f>
        <v/>
      </c>
      <c r="S18" s="57" t="str">
        <f>IF(S17="","",IF(S16&gt;S17,"",ROUND(S17*(IF($P17="",$P16,$P17)*SLA_ICP_CIG_Multa),2)))</f>
        <v/>
      </c>
      <c r="T18" s="57" t="str">
        <f>IF(T17="","",IF(T16&gt;T17,"",ROUND(T17*(IF($P17="",$P16,$P17)*SLA_IQA_INGHA_Multa),2)))</f>
        <v/>
      </c>
      <c r="U18" s="57" t="str">
        <f>IF(U17="","",IF(U16&gt;U17,"",ROUND(U17*(IF($P17="",$P16,$P17)*SLA_IQA_IGHA_Multa),2)))</f>
        <v/>
      </c>
      <c r="V18" s="57" t="str">
        <f>IF(V17="","",IF(V16&gt;V17,"",ROUND(V17*(IF($P17="",$P16,$P17)*SLA_IQA_INGG_Multa),2)))</f>
        <v/>
      </c>
      <c r="W18" s="57" t="str">
        <f>IF(W17="","",IF(W16&gt;W17,"",ROUND(W17*(IF($P17="",$P16,$P17)*SLA_IQA_IGG_Multa),2)))</f>
        <v/>
      </c>
      <c r="X18" s="57" t="str">
        <f>IF(X17="","",IF(X16&gt;X17,"",ROUND(X17*(IF($P17="",$P16,$P17)*SLA_ICA_IOS_Multa),2)))</f>
        <v/>
      </c>
      <c r="Y18" s="57" t="str">
        <f>IF(Y17="","",IF(Y16&gt;Y17,"",ROUND(Y17*(IF($P17="",$P16,$P17)*SLA_ICA_SP_Multa),2)))</f>
        <v/>
      </c>
      <c r="Z18" s="57" t="str">
        <f>IF(Z17="","",IF(Z16&gt;Z17,"",ROUND(IF($P17="",$P16,$P17)*SLA_ICA_EOS_Multa,2)))</f>
        <v/>
      </c>
      <c r="AA18" t="str">
        <f>IF(A15="","","Total")</f>
        <v/>
      </c>
      <c r="AB18" s="21" t="str">
        <f>IF(SUM(AB16:AB17)=0,"",SUM(AB16:AB17))</f>
        <v/>
      </c>
      <c r="AC18" s="21" t="str">
        <f>IF(SUM(AC16:AC17)=0,"",SUM(AC16:AC17))</f>
        <v/>
      </c>
      <c r="AD18" s="21" t="str">
        <f>IF(SUM(AB18:AC18)=0,"",SUM(AB18:AC18))</f>
        <v/>
      </c>
      <c r="AE18" s="26" t="str">
        <f>IF(P16="","",IF(AD18="","",AD18/IF($P17="",$P16,$P17)))</f>
        <v/>
      </c>
    </row>
    <row r="19" spans="1:33" ht="15.75" x14ac:dyDescent="0.25">
      <c r="G19" s="20"/>
      <c r="H19" s="20"/>
      <c r="I19" s="20"/>
      <c r="J19" s="20"/>
      <c r="K19" s="20"/>
      <c r="L19" s="20"/>
      <c r="M19" s="20"/>
      <c r="N19" s="20"/>
      <c r="O19" s="35"/>
      <c r="P19" s="37"/>
    </row>
    <row r="20" spans="1:33" ht="15.75" x14ac:dyDescent="0.25">
      <c r="A20" s="54" t="str">
        <f>IF(ControleOSsMês!$G$1="Todas",IFERROR(INDEX(OSS[Número OS],INT((ROW()-ROW($A$3)-1)/5)+1,1),""),IFERROR(VLOOKUP(INT((ROW()-ROW($A$3)-1)/5)+1,OSMês[],2,FALSE),""))</f>
        <v/>
      </c>
      <c r="B20" s="71" t="str">
        <f>IF(A20="","",VLOOKUP(A20,OSS[],MATCH("Situação da OS",OSS[#Headers],0),FALSE))</f>
        <v/>
      </c>
      <c r="C20" s="71"/>
      <c r="D20" s="54" t="str">
        <f>IF(A20="","","em")</f>
        <v/>
      </c>
      <c r="E20" s="59" t="str">
        <f>IF(A20="","",VLOOKUP(A20,OSS[],MATCH("Data Situação",OSS[#Headers],0),FALSE))</f>
        <v/>
      </c>
      <c r="F20" s="68" t="str">
        <f>IF(A20="","","Titulo:")</f>
        <v/>
      </c>
      <c r="G20" s="31" t="str">
        <f>IF(A20="","",VLOOKUP(A20,OSS[],MATCH("Titulo",OSS[#Headers],0),FALSE))</f>
        <v/>
      </c>
      <c r="H20" s="30"/>
      <c r="I20" s="30"/>
      <c r="J20" s="30"/>
      <c r="K20" s="30"/>
      <c r="L20" s="30"/>
      <c r="M20" s="30"/>
      <c r="N20" s="30"/>
      <c r="O20" s="30"/>
      <c r="P20" s="30"/>
      <c r="Q20" s="68" t="str">
        <f>IF(A20="","","Tipo da OS:")</f>
        <v/>
      </c>
      <c r="R20" s="31" t="str">
        <f>IF(A20="","",VLOOKUP(A20,OSS[],MATCH("Tipo",OSS[#Headers],0),FALSE))</f>
        <v/>
      </c>
      <c r="S20" s="30"/>
      <c r="T20" s="30"/>
      <c r="U20" s="30"/>
      <c r="V20" s="30"/>
      <c r="W20" s="30"/>
      <c r="X20" s="30"/>
      <c r="Y20" s="30"/>
      <c r="Z20" s="30"/>
      <c r="AA20" s="58" t="str">
        <f>IF(A20="","","Número de Inconformidades")</f>
        <v/>
      </c>
      <c r="AB20" s="30"/>
      <c r="AC20" s="30"/>
      <c r="AD20" s="30"/>
      <c r="AE20" s="30"/>
      <c r="AF20" s="30"/>
      <c r="AG20" s="32"/>
    </row>
    <row r="21" spans="1:33" ht="15.75" x14ac:dyDescent="0.25">
      <c r="B21" s="66" t="str">
        <f>IF(A20="","","PF Pago")</f>
        <v/>
      </c>
      <c r="D21" t="str">
        <f>IF(A20="","",VLOOKUP(A20,OSS[],MATCH("PF Pago",OSS[#Headers],0),FALSE))</f>
        <v/>
      </c>
      <c r="F21" s="36" t="str">
        <f>IF(A20="","",VLOOKUP(A20,OSS[],MATCH("Abertura da OS",OSS[#Headers],0),FALSE))</f>
        <v/>
      </c>
      <c r="G21" s="20" t="str">
        <f>IF(F21="","",WORKDAY(F21,IF(IF(P22="",P21,P22)&lt;150,5,10)))</f>
        <v/>
      </c>
      <c r="H21" s="20" t="str">
        <f>IF(G21="","",WORKDAY(G21,5))</f>
        <v/>
      </c>
      <c r="I21" s="20" t="str">
        <f>IF(G21="","",G21+ROUND((IF(P22="",P21,P22)/(19*LN(IF(P22="",P21,P22))-42))*30*SLA_PrazoEntrega,0))</f>
        <v/>
      </c>
      <c r="J21" s="20" t="str">
        <f>IF(I21="","",WORKDAY(I21,IF(IF(P22="",P21,P22)&lt;150,5,10)))</f>
        <v/>
      </c>
      <c r="K21" s="20" t="str">
        <f>IF(J21="","",J21+ROUND((IF(P22="",P21,P22)/(19*LN(IF(P22="",P21,P22))-42))*30*SLA_PrazoAceite,0))</f>
        <v/>
      </c>
      <c r="L21" s="20" t="str">
        <f>IF(G21="","",G21+ROUND((IF(P22="",P21,P22)/(19*LN(IF(P22="",P21,P22))-42))*30,0))</f>
        <v/>
      </c>
      <c r="M21" s="20" t="str">
        <f>IF(K21="","",WORKDAY(K21,1))</f>
        <v/>
      </c>
      <c r="N21" s="20" t="str">
        <f>IF(M21="","",M21+SLA_PrazoGarantia)</f>
        <v/>
      </c>
      <c r="O21" s="29" t="str">
        <f>IF(A20="","","Previsto")</f>
        <v/>
      </c>
      <c r="P21" s="21" t="str">
        <f>IF(A20="","",VLOOKUP(A20,OSS[],MATCH("PF Previsto",OSS[#Headers],0),FALSE))</f>
        <v/>
      </c>
      <c r="Q21" s="57" t="str">
        <f>IF(F21="","",ROUND((L21-G21)*SLA_ICA_EOS,1))</f>
        <v/>
      </c>
      <c r="R21" s="21" t="str">
        <f>IF(F21="","",SLA_ICP_CIHA)</f>
        <v/>
      </c>
      <c r="S21" s="21" t="str">
        <f>IF(F21="","",SLA_ICP_CIG)</f>
        <v/>
      </c>
      <c r="T21" s="57" t="str">
        <f>IF(F21="","",SLA_IQA_INGHA)</f>
        <v/>
      </c>
      <c r="U21" s="57" t="str">
        <f>IF(F21="","",SLA_IQA_IGHA)</f>
        <v/>
      </c>
      <c r="V21" s="57" t="str">
        <f>IF(F21="","",SLA_IQA_INGG)</f>
        <v/>
      </c>
      <c r="W21" s="57" t="str">
        <f>IF(F21="","",SLA_IQA_IGG)</f>
        <v/>
      </c>
      <c r="X21" s="57" t="str">
        <f>IF(F21="","",ROUND((G21-F21)*SLA_ICA_IOS,1))</f>
        <v/>
      </c>
      <c r="Y21" s="57" t="str">
        <f>IF(OR(R20="Hora Java",R20="Hora dotNet"),SLA_ICA_SP,"")</f>
        <v/>
      </c>
      <c r="Z21" s="57" t="str">
        <f>IF(F21="","",ROUND((L21-G21)*SLA_ICA_EOS,1))</f>
        <v/>
      </c>
      <c r="AA21" t="str">
        <f>IF(A20="","","Homologação")</f>
        <v/>
      </c>
      <c r="AB21" s="21" t="str">
        <f>IF(J22="","",VLOOKUP(A20,OSS[],MATCH("Não Grave - Homologação",OSS[#Headers],0),FALSE))</f>
        <v/>
      </c>
      <c r="AC21" s="21" t="str">
        <f>IF(J22="","",VLOOKUP(A20,OSS[],MATCH("Grave - Homologação",OSS[#Headers],0),FALSE))</f>
        <v/>
      </c>
      <c r="AD21" s="21" t="str">
        <f>IF(J22="","",AB21+AC21)</f>
        <v/>
      </c>
      <c r="AE21" s="26" t="str">
        <f>IF(J22="","",AD21/IF($P22="",$P21,$P22))</f>
        <v/>
      </c>
      <c r="AF21" s="21" t="str">
        <f>IF(J22="","",VLOOKUP(A20,OSS[],MATCH("Atrasos para Correção Homologação",OSS[#Headers],0),FALSE))</f>
        <v/>
      </c>
      <c r="AG21" t="str">
        <f>IF(Y21="","",VLOOKUP(A20,OSS[],MATCH("Atraso para Substituição",OSS[#Headers],0),FALSE))</f>
        <v/>
      </c>
    </row>
    <row r="22" spans="1:33" ht="15.75" x14ac:dyDescent="0.25">
      <c r="B22" s="66" t="str">
        <f>IF(A20="","","Saldo de PF")</f>
        <v/>
      </c>
      <c r="C22" s="37"/>
      <c r="D22" s="37" t="str">
        <f>IF(P21="","",IF($P22="",$P21,$P22)+IF(P23="",0,P23)-IF(D21="",0,D21))</f>
        <v/>
      </c>
      <c r="E22" s="37"/>
      <c r="G22" s="20" t="str">
        <f>IF(A20="","",IF(VLOOKUP(A20,OSS[],MATCH("Data de Inicio",OSS[#Headers],0),FALSE)="","",VLOOKUP(A20,OSS[],MATCH("Data de Inicio",OSS[#Headers],0),FALSE)))</f>
        <v/>
      </c>
      <c r="H22" s="20" t="str">
        <f>IF(A20="","",IF(VLOOKUP(A20,OSS[],MATCH("Entrega do Plano da OS",OSS[#Headers],0),FALSE)="","",VLOOKUP(A20,OSS[],MATCH("Entrega do Plano da OS",OSS[#Headers],0),FALSE)))</f>
        <v/>
      </c>
      <c r="I22" s="20" t="str">
        <f>IF(A20="","",IF(VLOOKUP(A20,OSS[],MATCH("Entrega da OS",OSS[#Headers],0),FALSE)="","",VLOOKUP(A20,OSS[],MATCH("Entrega da OS",OSS[#Headers],0),FALSE)))</f>
        <v/>
      </c>
      <c r="J22" s="20" t="str">
        <f>IF(A20="","",IF(VLOOKUP(A20,OSS[],MATCH("Recebimento da OS",OSS[#Headers],0),FALSE)="","",VLOOKUP(A20,OSS[],MATCH("Recebimento da OS",OSS[#Headers],0),FALSE)))</f>
        <v/>
      </c>
      <c r="K22" s="20" t="str">
        <f>IF(A20="","",IF(VLOOKUP(A20,OSS[],MATCH("Aceite da OS",OSS[#Headers],0),FALSE)="","",VLOOKUP(A20,OSS[],MATCH("Aceite da OS",OSS[#Headers],0),FALSE)))</f>
        <v/>
      </c>
      <c r="L22" s="20" t="str">
        <f>IF(A20="","",IF(VLOOKUP(A20,OSS[],MATCH("Data de Termino",OSS[#Headers],0),FALSE)="","",VLOOKUP(A20,OSS[],MATCH("Data de Termino",OSS[#Headers],0),FALSE)))</f>
        <v/>
      </c>
      <c r="M22" s="20" t="str">
        <f>IF(K22="","",K22)</f>
        <v/>
      </c>
      <c r="N22" s="20" t="str">
        <f>IF(M22="","",M22+180)</f>
        <v/>
      </c>
      <c r="O22" s="29" t="str">
        <f>IF(A20="","","Apurado")</f>
        <v/>
      </c>
      <c r="P22" s="21" t="str">
        <f>IF(A20="","",IF(VLOOKUP(A20,OSS[],MATCH("PF Apurado",OSS[#Headers],0),FALSE)="","",VLOOKUP(A20,OSS[],MATCH("PF Apurado",OSS[#Headers],0),FALSE)))</f>
        <v/>
      </c>
      <c r="Q22" s="57" t="str">
        <f>IF(F21="","",IF(G22="","",IF(L22="",IF(DataRef&lt;L21,L21,DataRef),L22)-L21))</f>
        <v/>
      </c>
      <c r="R22" s="21" t="str">
        <f>IF(J22="","",AF21)</f>
        <v/>
      </c>
      <c r="S22" s="21" t="str">
        <f>IF(K22="","",AF22)</f>
        <v/>
      </c>
      <c r="T22" s="57" t="str">
        <f>IF(J22="","",AB21/IF($P22="",$P21,$P22))</f>
        <v/>
      </c>
      <c r="U22" s="57" t="str">
        <f>IF(J22="","",AC21/IF($P22="",$P21,$P22))</f>
        <v/>
      </c>
      <c r="V22" s="57" t="str">
        <f>IF(K22="","",AB22/IF($P22="",$P21,$P22))</f>
        <v/>
      </c>
      <c r="W22" s="57" t="str">
        <f>IF(K22="","",AC22/IF($P22="",$P21,$P22))</f>
        <v/>
      </c>
      <c r="X22" s="57" t="str">
        <f>IF(F21="","",IF(G22="",IF(DataRef&lt;G21,"",DataRef-G21),G22-G21))</f>
        <v/>
      </c>
      <c r="Y22" s="57" t="str">
        <f>IF(OR(R20="Hora Java",R20="Hora dotNet"),AG21,"")</f>
        <v/>
      </c>
      <c r="Z22" s="57" t="str">
        <f>IF(F21="","",IF(L22="",IF(DataRef&lt;L21,L21,DataRef),L22)-L21)</f>
        <v/>
      </c>
      <c r="AA22" t="str">
        <f>IF(A20="","","Garantia")</f>
        <v/>
      </c>
      <c r="AB22" s="21" t="str">
        <f>IF(K22="","",VLOOKUP(A20,OSS[],MATCH("Não Grave - Garantia",OSS[#Headers],0),FALSE))</f>
        <v/>
      </c>
      <c r="AC22" s="21" t="str">
        <f>IF(K22="","",VLOOKUP(A20,OSS[],MATCH("Grave - Garantia",OSS[#Headers],0),FALSE))</f>
        <v/>
      </c>
      <c r="AD22" s="21" t="str">
        <f>IF(K22="","",AB22+AC22)</f>
        <v/>
      </c>
      <c r="AE22" s="26" t="str">
        <f>IF(K22="","",AD22/IF($P22="",$P21,$P22))</f>
        <v/>
      </c>
      <c r="AF22" s="21" t="str">
        <f>IF(K22="","",VLOOKUP(A20,OSS[],MATCH("Atrasos para Correção Garantia",OSS[#Headers],0),FALSE))</f>
        <v/>
      </c>
    </row>
    <row r="23" spans="1:33" ht="15.75" x14ac:dyDescent="0.25">
      <c r="B23" s="66" t="str">
        <f>IF(A20="","","PF a Pagar")</f>
        <v/>
      </c>
      <c r="C23" s="67" t="str">
        <f>IF(D22="","",IF(B20="Recebida",(P22*0.8),IF(B20="Aceita",D22,0))+IF(D22&lt;0,D22,0))</f>
        <v/>
      </c>
      <c r="E23" s="37"/>
      <c r="K23" s="69" t="str">
        <f>IF(A20="","","Prazo previsto para execução em dias corridos")</f>
        <v/>
      </c>
      <c r="L23" s="70" t="str">
        <f>IF(G21="","",ROUND((IF(P22="",P21,P22)/(19*LN(IF(P22="",P21,P22))-42))*30,0))</f>
        <v/>
      </c>
      <c r="O23" s="29" t="str">
        <f>IF(A20="","","Multa")</f>
        <v/>
      </c>
      <c r="P23" s="25" t="str">
        <f>IF(SUM(Q23:Z23)=0,"",-ROUND(SUM(Q23:Z23),0))</f>
        <v/>
      </c>
      <c r="Q23" s="57" t="str">
        <f>IF(Q22="","",IF(OR(Q21&gt;Q22,Z21&lt;Z22),"",ROUND(Q22*(IF($P22="",$P21,$P22)*SLA_ICA_EOS_Multa),2)))</f>
        <v/>
      </c>
      <c r="R23" s="57" t="str">
        <f>IF(R22="","",IF(R21&gt;R22,"",ROUND(R22*(IF($P22="",$P21,$P22)*SLA_ICP_CIHA_Multa),2)))</f>
        <v/>
      </c>
      <c r="S23" s="57" t="str">
        <f>IF(S22="","",IF(S21&gt;S22,"",ROUND(S22*(IF($P22="",$P21,$P22)*SLA_ICP_CIG_Multa),2)))</f>
        <v/>
      </c>
      <c r="T23" s="57" t="str">
        <f>IF(T22="","",IF(T21&gt;T22,"",ROUND(T22*(IF($P22="",$P21,$P22)*SLA_IQA_INGHA_Multa),2)))</f>
        <v/>
      </c>
      <c r="U23" s="57" t="str">
        <f>IF(U22="","",IF(U21&gt;U22,"",ROUND(U22*(IF($P22="",$P21,$P22)*SLA_IQA_IGHA_Multa),2)))</f>
        <v/>
      </c>
      <c r="V23" s="57" t="str">
        <f>IF(V22="","",IF(V21&gt;V22,"",ROUND(V22*(IF($P22="",$P21,$P22)*SLA_IQA_INGG_Multa),2)))</f>
        <v/>
      </c>
      <c r="W23" s="57" t="str">
        <f>IF(W22="","",IF(W21&gt;W22,"",ROUND(W22*(IF($P22="",$P21,$P22)*SLA_IQA_IGG_Multa),2)))</f>
        <v/>
      </c>
      <c r="X23" s="57" t="str">
        <f>IF(X22="","",IF(X21&gt;X22,"",ROUND(X22*(IF($P22="",$P21,$P22)*SLA_ICA_IOS_Multa),2)))</f>
        <v/>
      </c>
      <c r="Y23" s="57" t="str">
        <f>IF(Y22="","",IF(Y21&gt;Y22,"",ROUND(Y22*(IF($P22="",$P21,$P22)*SLA_ICA_SP_Multa),2)))</f>
        <v/>
      </c>
      <c r="Z23" s="57" t="str">
        <f>IF(Z22="","",IF(Z21&gt;Z22,"",ROUND(IF($P22="",$P21,$P22)*SLA_ICA_EOS_Multa,2)))</f>
        <v/>
      </c>
      <c r="AA23" t="str">
        <f>IF(A20="","","Total")</f>
        <v/>
      </c>
      <c r="AB23" s="21" t="str">
        <f>IF(SUM(AB21:AB22)=0,"",SUM(AB21:AB22))</f>
        <v/>
      </c>
      <c r="AC23" s="21" t="str">
        <f>IF(SUM(AC21:AC22)=0,"",SUM(AC21:AC22))</f>
        <v/>
      </c>
      <c r="AD23" s="21" t="str">
        <f>IF(SUM(AB23:AC23)=0,"",SUM(AB23:AC23))</f>
        <v/>
      </c>
      <c r="AE23" s="26" t="str">
        <f>IF(P21="","",IF(AD23="","",AD23/IF($P22="",$P21,$P22)))</f>
        <v/>
      </c>
    </row>
    <row r="24" spans="1:33" ht="15.75" x14ac:dyDescent="0.25">
      <c r="G24" s="20"/>
      <c r="H24" s="20"/>
      <c r="I24" s="20"/>
      <c r="J24" s="20"/>
      <c r="K24" s="20"/>
      <c r="L24" s="20"/>
      <c r="M24" s="20"/>
      <c r="N24" s="20"/>
      <c r="O24" s="35"/>
      <c r="P24" s="37"/>
    </row>
    <row r="25" spans="1:33" ht="15.75" x14ac:dyDescent="0.25">
      <c r="A25" s="54" t="str">
        <f>IF(ControleOSsMês!$G$1="Todas",IFERROR(INDEX(OSS[Número OS],INT((ROW()-ROW($A$3)-1)/5)+1,1),""),IFERROR(VLOOKUP(INT((ROW()-ROW($A$3)-1)/5)+1,OSMês[],2,FALSE),""))</f>
        <v/>
      </c>
      <c r="B25" s="71" t="str">
        <f>IF(A25="","",VLOOKUP(A25,OSS[],MATCH("Situação da OS",OSS[#Headers],0),FALSE))</f>
        <v/>
      </c>
      <c r="C25" s="71"/>
      <c r="D25" s="54" t="str">
        <f>IF(A25="","","em")</f>
        <v/>
      </c>
      <c r="E25" s="59" t="str">
        <f>IF(A25="","",VLOOKUP(A25,OSS[],MATCH("Data Situação",OSS[#Headers],0),FALSE))</f>
        <v/>
      </c>
      <c r="F25" s="68" t="str">
        <f>IF(A25="","","Titulo:")</f>
        <v/>
      </c>
      <c r="G25" s="31" t="str">
        <f>IF(A25="","",VLOOKUP(A25,OSS[],MATCH("Titulo",OSS[#Headers],0),FALSE))</f>
        <v/>
      </c>
      <c r="H25" s="30"/>
      <c r="I25" s="30"/>
      <c r="J25" s="30"/>
      <c r="K25" s="30"/>
      <c r="L25" s="30"/>
      <c r="M25" s="30"/>
      <c r="N25" s="30"/>
      <c r="O25" s="30"/>
      <c r="P25" s="30"/>
      <c r="Q25" s="68" t="str">
        <f>IF(A25="","","Tipo da OS:")</f>
        <v/>
      </c>
      <c r="R25" s="31" t="str">
        <f>IF(A25="","",VLOOKUP(A25,OSS[],MATCH("Tipo",OSS[#Headers],0),FALSE))</f>
        <v/>
      </c>
      <c r="S25" s="30"/>
      <c r="T25" s="30"/>
      <c r="U25" s="30"/>
      <c r="V25" s="30"/>
      <c r="W25" s="30"/>
      <c r="X25" s="30"/>
      <c r="Y25" s="30"/>
      <c r="Z25" s="30"/>
      <c r="AA25" s="58" t="str">
        <f>IF(A25="","","Número de Inconformidades")</f>
        <v/>
      </c>
      <c r="AB25" s="30"/>
      <c r="AC25" s="30"/>
      <c r="AD25" s="30"/>
      <c r="AE25" s="30"/>
      <c r="AF25" s="30"/>
      <c r="AG25" s="32"/>
    </row>
    <row r="26" spans="1:33" ht="15.75" x14ac:dyDescent="0.25">
      <c r="B26" s="66" t="str">
        <f>IF(A25="","","PF Pago")</f>
        <v/>
      </c>
      <c r="D26" t="str">
        <f>IF(A25="","",VLOOKUP(A25,OSS[],MATCH("PF Pago",OSS[#Headers],0),FALSE))</f>
        <v/>
      </c>
      <c r="F26" s="36" t="str">
        <f>IF(A25="","",VLOOKUP(A25,OSS[],MATCH("Abertura da OS",OSS[#Headers],0),FALSE))</f>
        <v/>
      </c>
      <c r="G26" s="20" t="str">
        <f>IF(F26="","",WORKDAY(F26,IF(IF(P27="",P26,P27)&lt;150,5,10)))</f>
        <v/>
      </c>
      <c r="H26" s="20" t="str">
        <f>IF(G26="","",WORKDAY(G26,5))</f>
        <v/>
      </c>
      <c r="I26" s="20" t="str">
        <f>IF(G26="","",G26+ROUND((IF(P27="",P26,P27)/(19*LN(IF(P27="",P26,P27))-42))*30*SLA_PrazoEntrega,0))</f>
        <v/>
      </c>
      <c r="J26" s="20" t="str">
        <f>IF(I26="","",WORKDAY(I26,IF(IF(P27="",P26,P27)&lt;150,5,10)))</f>
        <v/>
      </c>
      <c r="K26" s="20" t="str">
        <f>IF(J26="","",J26+ROUND((IF(P27="",P26,P27)/(19*LN(IF(P27="",P26,P27))-42))*30*SLA_PrazoAceite,0))</f>
        <v/>
      </c>
      <c r="L26" s="20" t="str">
        <f>IF(G26="","",G26+ROUND((IF(P27="",P26,P27)/(19*LN(IF(P27="",P26,P27))-42))*30,0))</f>
        <v/>
      </c>
      <c r="M26" s="20" t="str">
        <f>IF(K26="","",WORKDAY(K26,1))</f>
        <v/>
      </c>
      <c r="N26" s="20" t="str">
        <f>IF(M26="","",M26+SLA_PrazoGarantia)</f>
        <v/>
      </c>
      <c r="O26" s="29" t="str">
        <f>IF(A25="","","Previsto")</f>
        <v/>
      </c>
      <c r="P26" s="21" t="str">
        <f>IF(A25="","",VLOOKUP(A25,OSS[],MATCH("PF Previsto",OSS[#Headers],0),FALSE))</f>
        <v/>
      </c>
      <c r="Q26" s="57" t="str">
        <f>IF(F26="","",ROUND((L26-G26)*SLA_ICA_EOS,1))</f>
        <v/>
      </c>
      <c r="R26" s="21" t="str">
        <f>IF(F26="","",SLA_ICP_CIHA)</f>
        <v/>
      </c>
      <c r="S26" s="21" t="str">
        <f>IF(F26="","",SLA_ICP_CIG)</f>
        <v/>
      </c>
      <c r="T26" s="57" t="str">
        <f>IF(F26="","",SLA_IQA_INGHA)</f>
        <v/>
      </c>
      <c r="U26" s="57" t="str">
        <f>IF(F26="","",SLA_IQA_IGHA)</f>
        <v/>
      </c>
      <c r="V26" s="57" t="str">
        <f>IF(F26="","",SLA_IQA_INGG)</f>
        <v/>
      </c>
      <c r="W26" s="57" t="str">
        <f>IF(F26="","",SLA_IQA_IGG)</f>
        <v/>
      </c>
      <c r="X26" s="57" t="str">
        <f>IF(F26="","",ROUND((G26-F26)*SLA_ICA_IOS,1))</f>
        <v/>
      </c>
      <c r="Y26" s="57" t="str">
        <f>IF(OR(R25="Hora Java",R25="Hora dotNet"),SLA_ICA_SP,"")</f>
        <v/>
      </c>
      <c r="Z26" s="57" t="str">
        <f>IF(F26="","",ROUND((L26-G26)*SLA_ICA_EOS,1))</f>
        <v/>
      </c>
      <c r="AA26" t="str">
        <f>IF(A25="","","Homologação")</f>
        <v/>
      </c>
      <c r="AB26" s="21" t="str">
        <f>IF(J27="","",VLOOKUP(A25,OSS[],MATCH("Não Grave - Homologação",OSS[#Headers],0),FALSE))</f>
        <v/>
      </c>
      <c r="AC26" s="21" t="str">
        <f>IF(J27="","",VLOOKUP(A25,OSS[],MATCH("Grave - Homologação",OSS[#Headers],0),FALSE))</f>
        <v/>
      </c>
      <c r="AD26" s="21" t="str">
        <f>IF(J27="","",AB26+AC26)</f>
        <v/>
      </c>
      <c r="AE26" s="26" t="str">
        <f>IF(J27="","",AD26/IF($P27="",$P26,$P27))</f>
        <v/>
      </c>
      <c r="AF26" s="21" t="str">
        <f>IF(J27="","",VLOOKUP(A25,OSS[],MATCH("Atrasos para Correção Homologação",OSS[#Headers],0),FALSE))</f>
        <v/>
      </c>
      <c r="AG26" t="str">
        <f>IF(Y26="","",VLOOKUP(A25,OSS[],MATCH("Atraso para Substituição",OSS[#Headers],0),FALSE))</f>
        <v/>
      </c>
    </row>
    <row r="27" spans="1:33" ht="15.75" x14ac:dyDescent="0.25">
      <c r="B27" s="66" t="str">
        <f>IF(A25="","","Saldo de PF")</f>
        <v/>
      </c>
      <c r="C27" s="37"/>
      <c r="D27" s="37" t="str">
        <f>IF(P26="","",IF($P27="",$P26,$P27)+IF(P28="",0,P28)-IF(D26="",0,D26))</f>
        <v/>
      </c>
      <c r="E27" s="37"/>
      <c r="G27" s="20" t="str">
        <f>IF(A25="","",IF(VLOOKUP(A25,OSS[],MATCH("Data de Inicio",OSS[#Headers],0),FALSE)="","",VLOOKUP(A25,OSS[],MATCH("Data de Inicio",OSS[#Headers],0),FALSE)))</f>
        <v/>
      </c>
      <c r="H27" s="20" t="str">
        <f>IF(A25="","",IF(VLOOKUP(A25,OSS[],MATCH("Entrega do Plano da OS",OSS[#Headers],0),FALSE)="","",VLOOKUP(A25,OSS[],MATCH("Entrega do Plano da OS",OSS[#Headers],0),FALSE)))</f>
        <v/>
      </c>
      <c r="I27" s="20" t="str">
        <f>IF(A25="","",IF(VLOOKUP(A25,OSS[],MATCH("Entrega da OS",OSS[#Headers],0),FALSE)="","",VLOOKUP(A25,OSS[],MATCH("Entrega da OS",OSS[#Headers],0),FALSE)))</f>
        <v/>
      </c>
      <c r="J27" s="20" t="str">
        <f>IF(A25="","",IF(VLOOKUP(A25,OSS[],MATCH("Recebimento da OS",OSS[#Headers],0),FALSE)="","",VLOOKUP(A25,OSS[],MATCH("Recebimento da OS",OSS[#Headers],0),FALSE)))</f>
        <v/>
      </c>
      <c r="K27" s="20" t="str">
        <f>IF(A25="","",IF(VLOOKUP(A25,OSS[],MATCH("Aceite da OS",OSS[#Headers],0),FALSE)="","",VLOOKUP(A25,OSS[],MATCH("Aceite da OS",OSS[#Headers],0),FALSE)))</f>
        <v/>
      </c>
      <c r="L27" s="20" t="str">
        <f>IF(A25="","",IF(VLOOKUP(A25,OSS[],MATCH("Data de Termino",OSS[#Headers],0),FALSE)="","",VLOOKUP(A25,OSS[],MATCH("Data de Termino",OSS[#Headers],0),FALSE)))</f>
        <v/>
      </c>
      <c r="M27" s="20" t="str">
        <f>IF(K27="","",K27)</f>
        <v/>
      </c>
      <c r="N27" s="20" t="str">
        <f>IF(M27="","",M27+180)</f>
        <v/>
      </c>
      <c r="O27" s="29" t="str">
        <f>IF(A25="","","Apurado")</f>
        <v/>
      </c>
      <c r="P27" s="21" t="str">
        <f>IF(A25="","",IF(VLOOKUP(A25,OSS[],MATCH("PF Apurado",OSS[#Headers],0),FALSE)="","",VLOOKUP(A25,OSS[],MATCH("PF Apurado",OSS[#Headers],0),FALSE)))</f>
        <v/>
      </c>
      <c r="Q27" s="57" t="str">
        <f>IF(F26="","",IF(G27="","",IF(L27="",IF(DataRef&lt;L26,L26,DataRef),L27)-L26))</f>
        <v/>
      </c>
      <c r="R27" s="21" t="str">
        <f>IF(J27="","",AF26)</f>
        <v/>
      </c>
      <c r="S27" s="21" t="str">
        <f>IF(K27="","",AF27)</f>
        <v/>
      </c>
      <c r="T27" s="57" t="str">
        <f>IF(J27="","",AB26/IF($P27="",$P26,$P27))</f>
        <v/>
      </c>
      <c r="U27" s="57" t="str">
        <f>IF(J27="","",AC26/IF($P27="",$P26,$P27))</f>
        <v/>
      </c>
      <c r="V27" s="57" t="str">
        <f>IF(K27="","",AB27/IF($P27="",$P26,$P27))</f>
        <v/>
      </c>
      <c r="W27" s="57" t="str">
        <f>IF(K27="","",AC27/IF($P27="",$P26,$P27))</f>
        <v/>
      </c>
      <c r="X27" s="57" t="str">
        <f>IF(F26="","",IF(G27="",IF(DataRef&lt;G26,"",DataRef-G26),G27-G26))</f>
        <v/>
      </c>
      <c r="Y27" s="57" t="str">
        <f>IF(OR(R25="Hora Java",R25="Hora dotNet"),AG26,"")</f>
        <v/>
      </c>
      <c r="Z27" s="57" t="str">
        <f>IF(F26="","",IF(L27="",IF(DataRef&lt;L26,L26,DataRef),L27)-L26)</f>
        <v/>
      </c>
      <c r="AA27" t="str">
        <f>IF(A25="","","Garantia")</f>
        <v/>
      </c>
      <c r="AB27" s="21" t="str">
        <f>IF(K27="","",VLOOKUP(A25,OSS[],MATCH("Não Grave - Garantia",OSS[#Headers],0),FALSE))</f>
        <v/>
      </c>
      <c r="AC27" s="21" t="str">
        <f>IF(K27="","",VLOOKUP(A25,OSS[],MATCH("Grave - Garantia",OSS[#Headers],0),FALSE))</f>
        <v/>
      </c>
      <c r="AD27" s="21" t="str">
        <f>IF(K27="","",AB27+AC27)</f>
        <v/>
      </c>
      <c r="AE27" s="26" t="str">
        <f>IF(K27="","",AD27/IF($P27="",$P26,$P27))</f>
        <v/>
      </c>
      <c r="AF27" s="21" t="str">
        <f>IF(K27="","",VLOOKUP(A25,OSS[],MATCH("Atrasos para Correção Garantia",OSS[#Headers],0),FALSE))</f>
        <v/>
      </c>
    </row>
    <row r="28" spans="1:33" ht="15.75" x14ac:dyDescent="0.25">
      <c r="B28" s="66" t="str">
        <f>IF(A25="","","PF a Pagar")</f>
        <v/>
      </c>
      <c r="C28" s="67" t="str">
        <f>IF(D27="","",IF(B25="Recebida",(P27*0.8),IF(B25="Aceita",D27,0))+IF(D27&lt;0,D27,0))</f>
        <v/>
      </c>
      <c r="E28" s="37"/>
      <c r="K28" s="69" t="str">
        <f>IF(A25="","","Prazo previsto para execução em dias corridos")</f>
        <v/>
      </c>
      <c r="L28" s="70" t="str">
        <f>IF(G26="","",ROUND((IF(P27="",P26,P27)/(19*LN(IF(P27="",P26,P27))-42))*30,0))</f>
        <v/>
      </c>
      <c r="O28" s="29" t="str">
        <f>IF(A25="","","Multa")</f>
        <v/>
      </c>
      <c r="P28" s="25" t="str">
        <f>IF(SUM(Q28:Z28)=0,"",-ROUND(SUM(Q28:Z28),0))</f>
        <v/>
      </c>
      <c r="Q28" s="57" t="str">
        <f>IF(Q27="","",IF(OR(Q26&gt;Q27,Z26&lt;Z27),"",ROUND(Q27*(IF($P27="",$P26,$P27)*SLA_ICA_EOS_Multa),2)))</f>
        <v/>
      </c>
      <c r="R28" s="57" t="str">
        <f>IF(R27="","",IF(R26&gt;R27,"",ROUND(R27*(IF($P27="",$P26,$P27)*SLA_ICP_CIHA_Multa),2)))</f>
        <v/>
      </c>
      <c r="S28" s="57" t="str">
        <f>IF(S27="","",IF(S26&gt;S27,"",ROUND(S27*(IF($P27="",$P26,$P27)*SLA_ICP_CIG_Multa),2)))</f>
        <v/>
      </c>
      <c r="T28" s="57" t="str">
        <f>IF(T27="","",IF(T26&gt;T27,"",ROUND(T27*(IF($P27="",$P26,$P27)*SLA_IQA_INGHA_Multa),2)))</f>
        <v/>
      </c>
      <c r="U28" s="57" t="str">
        <f>IF(U27="","",IF(U26&gt;U27,"",ROUND(U27*(IF($P27="",$P26,$P27)*SLA_IQA_IGHA_Multa),2)))</f>
        <v/>
      </c>
      <c r="V28" s="57" t="str">
        <f>IF(V27="","",IF(V26&gt;V27,"",ROUND(V27*(IF($P27="",$P26,$P27)*SLA_IQA_INGG_Multa),2)))</f>
        <v/>
      </c>
      <c r="W28" s="57" t="str">
        <f>IF(W27="","",IF(W26&gt;W27,"",ROUND(W27*(IF($P27="",$P26,$P27)*SLA_IQA_IGG_Multa),2)))</f>
        <v/>
      </c>
      <c r="X28" s="57" t="str">
        <f>IF(X27="","",IF(X26&gt;X27,"",ROUND(X27*(IF($P27="",$P26,$P27)*SLA_ICA_IOS_Multa),2)))</f>
        <v/>
      </c>
      <c r="Y28" s="57" t="str">
        <f>IF(Y27="","",IF(Y26&gt;Y27,"",ROUND(Y27*(IF($P27="",$P26,$P27)*SLA_ICA_SP_Multa),2)))</f>
        <v/>
      </c>
      <c r="Z28" s="57" t="str">
        <f>IF(Z27="","",IF(Z26&gt;Z27,"",ROUND(IF($P27="",$P26,$P27)*SLA_ICA_EOS_Multa,2)))</f>
        <v/>
      </c>
      <c r="AA28" t="str">
        <f>IF(A25="","","Total")</f>
        <v/>
      </c>
      <c r="AB28" s="21" t="str">
        <f>IF(SUM(AB26:AB27)=0,"",SUM(AB26:AB27))</f>
        <v/>
      </c>
      <c r="AC28" s="21" t="str">
        <f>IF(SUM(AC26:AC27)=0,"",SUM(AC26:AC27))</f>
        <v/>
      </c>
      <c r="AD28" s="21" t="str">
        <f>IF(SUM(AB28:AC28)=0,"",SUM(AB28:AC28))</f>
        <v/>
      </c>
      <c r="AE28" s="26" t="str">
        <f>IF(P26="","",IF(AD28="","",AD28/IF($P27="",$P26,$P27)))</f>
        <v/>
      </c>
    </row>
    <row r="29" spans="1:33" ht="15.75" x14ac:dyDescent="0.25">
      <c r="G29" s="20"/>
      <c r="H29" s="20"/>
      <c r="I29" s="20"/>
      <c r="J29" s="20"/>
      <c r="K29" s="20"/>
      <c r="L29" s="20"/>
      <c r="M29" s="20"/>
      <c r="N29" s="20"/>
      <c r="O29" s="35"/>
      <c r="P29" s="37"/>
    </row>
    <row r="30" spans="1:33" ht="15.75" x14ac:dyDescent="0.25">
      <c r="A30" s="54" t="str">
        <f>IF(ControleOSsMês!$G$1="Todas",IFERROR(INDEX(OSS[Número OS],INT((ROW()-ROW($A$3)-1)/5)+1,1),""),IFERROR(VLOOKUP(INT((ROW()-ROW($A$3)-1)/5)+1,OSMês[],2,FALSE),""))</f>
        <v/>
      </c>
      <c r="B30" s="71" t="str">
        <f>IF(A30="","",VLOOKUP(A30,OSS[],MATCH("Situação da OS",OSS[#Headers],0),FALSE))</f>
        <v/>
      </c>
      <c r="C30" s="71"/>
      <c r="D30" s="54" t="str">
        <f>IF(A30="","","em")</f>
        <v/>
      </c>
      <c r="E30" s="59" t="str">
        <f>IF(A30="","",VLOOKUP(A30,OSS[],MATCH("Data Situação",OSS[#Headers],0),FALSE))</f>
        <v/>
      </c>
      <c r="F30" s="68" t="str">
        <f>IF(A30="","","Titulo:")</f>
        <v/>
      </c>
      <c r="G30" s="31" t="str">
        <f>IF(A30="","",VLOOKUP(A30,OSS[],MATCH("Titulo",OSS[#Headers],0),FALSE))</f>
        <v/>
      </c>
      <c r="H30" s="30"/>
      <c r="I30" s="30"/>
      <c r="J30" s="30"/>
      <c r="K30" s="30"/>
      <c r="L30" s="30"/>
      <c r="M30" s="30"/>
      <c r="N30" s="30"/>
      <c r="O30" s="30"/>
      <c r="P30" s="30"/>
      <c r="Q30" s="68" t="str">
        <f>IF(A30="","","Tipo da OS:")</f>
        <v/>
      </c>
      <c r="R30" s="31" t="str">
        <f>IF(A30="","",VLOOKUP(A30,OSS[],MATCH("Tipo",OSS[#Headers],0),FALSE))</f>
        <v/>
      </c>
      <c r="S30" s="30"/>
      <c r="T30" s="30"/>
      <c r="U30" s="30"/>
      <c r="V30" s="30"/>
      <c r="W30" s="30"/>
      <c r="X30" s="30"/>
      <c r="Y30" s="30"/>
      <c r="Z30" s="30"/>
      <c r="AA30" s="58" t="str">
        <f>IF(A30="","","Número de Inconformidades")</f>
        <v/>
      </c>
      <c r="AB30" s="30"/>
      <c r="AC30" s="30"/>
      <c r="AD30" s="30"/>
      <c r="AE30" s="30"/>
      <c r="AF30" s="30"/>
      <c r="AG30" s="32"/>
    </row>
    <row r="31" spans="1:33" ht="15.75" x14ac:dyDescent="0.25">
      <c r="B31" s="66" t="str">
        <f>IF(A30="","","PF Pago")</f>
        <v/>
      </c>
      <c r="D31" t="str">
        <f>IF(A30="","",VLOOKUP(A30,OSS[],MATCH("PF Pago",OSS[#Headers],0),FALSE))</f>
        <v/>
      </c>
      <c r="F31" s="36" t="str">
        <f>IF(A30="","",VLOOKUP(A30,OSS[],MATCH("Abertura da OS",OSS[#Headers],0),FALSE))</f>
        <v/>
      </c>
      <c r="G31" s="20" t="str">
        <f>IF(F31="","",WORKDAY(F31,IF(IF(P32="",P31,P32)&lt;150,5,10)))</f>
        <v/>
      </c>
      <c r="H31" s="20" t="str">
        <f>IF(G31="","",WORKDAY(G31,5))</f>
        <v/>
      </c>
      <c r="I31" s="20" t="str">
        <f>IF(G31="","",G31+ROUND((IF(P32="",P31,P32)/(19*LN(IF(P32="",P31,P32))-42))*30*SLA_PrazoEntrega,0))</f>
        <v/>
      </c>
      <c r="J31" s="20" t="str">
        <f>IF(I31="","",WORKDAY(I31,IF(IF(P32="",P31,P32)&lt;150,5,10)))</f>
        <v/>
      </c>
      <c r="K31" s="20" t="str">
        <f>IF(J31="","",J31+ROUND((IF(P32="",P31,P32)/(19*LN(IF(P32="",P31,P32))-42))*30*SLA_PrazoAceite,0))</f>
        <v/>
      </c>
      <c r="L31" s="20" t="str">
        <f>IF(G31="","",G31+ROUND((IF(P32="",P31,P32)/(19*LN(IF(P32="",P31,P32))-42))*30,0))</f>
        <v/>
      </c>
      <c r="M31" s="20" t="str">
        <f>IF(K31="","",WORKDAY(K31,1))</f>
        <v/>
      </c>
      <c r="N31" s="20" t="str">
        <f>IF(M31="","",M31+SLA_PrazoGarantia)</f>
        <v/>
      </c>
      <c r="O31" s="29" t="str">
        <f>IF(A30="","","Previsto")</f>
        <v/>
      </c>
      <c r="P31" s="21" t="str">
        <f>IF(A30="","",VLOOKUP(A30,OSS[],MATCH("PF Previsto",OSS[#Headers],0),FALSE))</f>
        <v/>
      </c>
      <c r="Q31" s="57" t="str">
        <f>IF(F31="","",ROUND((L31-G31)*SLA_ICA_EOS,1))</f>
        <v/>
      </c>
      <c r="R31" s="21" t="str">
        <f>IF(F31="","",SLA_ICP_CIHA)</f>
        <v/>
      </c>
      <c r="S31" s="21" t="str">
        <f>IF(F31="","",SLA_ICP_CIG)</f>
        <v/>
      </c>
      <c r="T31" s="57" t="str">
        <f>IF(F31="","",SLA_IQA_INGHA)</f>
        <v/>
      </c>
      <c r="U31" s="57" t="str">
        <f>IF(F31="","",SLA_IQA_IGHA)</f>
        <v/>
      </c>
      <c r="V31" s="57" t="str">
        <f>IF(F31="","",SLA_IQA_INGG)</f>
        <v/>
      </c>
      <c r="W31" s="57" t="str">
        <f>IF(F31="","",SLA_IQA_IGG)</f>
        <v/>
      </c>
      <c r="X31" s="57" t="str">
        <f>IF(F31="","",ROUND((G31-F31)*SLA_ICA_IOS,1))</f>
        <v/>
      </c>
      <c r="Y31" s="57" t="str">
        <f>IF(OR(R30="Hora Java",R30="Hora dotNet"),SLA_ICA_SP,"")</f>
        <v/>
      </c>
      <c r="Z31" s="57" t="str">
        <f>IF(F31="","",ROUND((L31-G31)*SLA_ICA_EOS,1))</f>
        <v/>
      </c>
      <c r="AA31" t="str">
        <f>IF(A30="","","Homologação")</f>
        <v/>
      </c>
      <c r="AB31" s="21" t="str">
        <f>IF(J32="","",VLOOKUP(A30,OSS[],MATCH("Não Grave - Homologação",OSS[#Headers],0),FALSE))</f>
        <v/>
      </c>
      <c r="AC31" s="21" t="str">
        <f>IF(J32="","",VLOOKUP(A30,OSS[],MATCH("Grave - Homologação",OSS[#Headers],0),FALSE))</f>
        <v/>
      </c>
      <c r="AD31" s="21" t="str">
        <f>IF(J32="","",AB31+AC31)</f>
        <v/>
      </c>
      <c r="AE31" s="26" t="str">
        <f>IF(J32="","",AD31/IF($P32="",$P31,$P32))</f>
        <v/>
      </c>
      <c r="AF31" s="21" t="str">
        <f>IF(J32="","",VLOOKUP(A30,OSS[],MATCH("Atrasos para Correção Homologação",OSS[#Headers],0),FALSE))</f>
        <v/>
      </c>
      <c r="AG31" t="str">
        <f>IF(Y31="","",VLOOKUP(A30,OSS[],MATCH("Atraso para Substituição",OSS[#Headers],0),FALSE))</f>
        <v/>
      </c>
    </row>
    <row r="32" spans="1:33" ht="15.75" x14ac:dyDescent="0.25">
      <c r="B32" s="66" t="str">
        <f>IF(A30="","","Saldo de PF")</f>
        <v/>
      </c>
      <c r="C32" s="37"/>
      <c r="D32" s="37" t="str">
        <f>IF(P31="","",IF($P32="",$P31,$P32)+IF(P33="",0,P33)-IF(D31="",0,D31))</f>
        <v/>
      </c>
      <c r="E32" s="37"/>
      <c r="G32" s="20" t="str">
        <f>IF(A30="","",IF(VLOOKUP(A30,OSS[],MATCH("Data de Inicio",OSS[#Headers],0),FALSE)="","",VLOOKUP(A30,OSS[],MATCH("Data de Inicio",OSS[#Headers],0),FALSE)))</f>
        <v/>
      </c>
      <c r="H32" s="20" t="str">
        <f>IF(A30="","",IF(VLOOKUP(A30,OSS[],MATCH("Entrega do Plano da OS",OSS[#Headers],0),FALSE)="","",VLOOKUP(A30,OSS[],MATCH("Entrega do Plano da OS",OSS[#Headers],0),FALSE)))</f>
        <v/>
      </c>
      <c r="I32" s="20" t="str">
        <f>IF(A30="","",IF(VLOOKUP(A30,OSS[],MATCH("Entrega da OS",OSS[#Headers],0),FALSE)="","",VLOOKUP(A30,OSS[],MATCH("Entrega da OS",OSS[#Headers],0),FALSE)))</f>
        <v/>
      </c>
      <c r="J32" s="20" t="str">
        <f>IF(A30="","",IF(VLOOKUP(A30,OSS[],MATCH("Recebimento da OS",OSS[#Headers],0),FALSE)="","",VLOOKUP(A30,OSS[],MATCH("Recebimento da OS",OSS[#Headers],0),FALSE)))</f>
        <v/>
      </c>
      <c r="K32" s="20" t="str">
        <f>IF(A30="","",IF(VLOOKUP(A30,OSS[],MATCH("Aceite da OS",OSS[#Headers],0),FALSE)="","",VLOOKUP(A30,OSS[],MATCH("Aceite da OS",OSS[#Headers],0),FALSE)))</f>
        <v/>
      </c>
      <c r="L32" s="20" t="str">
        <f>IF(A30="","",IF(VLOOKUP(A30,OSS[],MATCH("Data de Termino",OSS[#Headers],0),FALSE)="","",VLOOKUP(A30,OSS[],MATCH("Data de Termino",OSS[#Headers],0),FALSE)))</f>
        <v/>
      </c>
      <c r="M32" s="20" t="str">
        <f>IF(K32="","",K32)</f>
        <v/>
      </c>
      <c r="N32" s="20" t="str">
        <f>IF(M32="","",M32+180)</f>
        <v/>
      </c>
      <c r="O32" s="29" t="str">
        <f>IF(A30="","","Apurado")</f>
        <v/>
      </c>
      <c r="P32" s="21" t="str">
        <f>IF(A30="","",IF(VLOOKUP(A30,OSS[],MATCH("PF Apurado",OSS[#Headers],0),FALSE)="","",VLOOKUP(A30,OSS[],MATCH("PF Apurado",OSS[#Headers],0),FALSE)))</f>
        <v/>
      </c>
      <c r="Q32" s="57" t="str">
        <f>IF(F31="","",IF(G32="","",IF(L32="",IF(DataRef&lt;L31,L31,DataRef),L32)-L31))</f>
        <v/>
      </c>
      <c r="R32" s="21" t="str">
        <f>IF(J32="","",AF31)</f>
        <v/>
      </c>
      <c r="S32" s="21" t="str">
        <f>IF(K32="","",AF32)</f>
        <v/>
      </c>
      <c r="T32" s="57" t="str">
        <f>IF(J32="","",AB31/IF($P32="",$P31,$P32))</f>
        <v/>
      </c>
      <c r="U32" s="57" t="str">
        <f>IF(J32="","",AC31/IF($P32="",$P31,$P32))</f>
        <v/>
      </c>
      <c r="V32" s="57" t="str">
        <f>IF(K32="","",AB32/IF($P32="",$P31,$P32))</f>
        <v/>
      </c>
      <c r="W32" s="57" t="str">
        <f>IF(K32="","",AC32/IF($P32="",$P31,$P32))</f>
        <v/>
      </c>
      <c r="X32" s="57" t="str">
        <f>IF(F31="","",IF(G32="",IF(DataRef&lt;G31,"",DataRef-G31),G32-G31))</f>
        <v/>
      </c>
      <c r="Y32" s="57" t="str">
        <f>IF(OR(R30="Hora Java",R30="Hora dotNet"),AG31,"")</f>
        <v/>
      </c>
      <c r="Z32" s="57" t="str">
        <f>IF(F31="","",IF(L32="",IF(DataRef&lt;L31,L31,DataRef),L32)-L31)</f>
        <v/>
      </c>
      <c r="AA32" t="str">
        <f>IF(A30="","","Garantia")</f>
        <v/>
      </c>
      <c r="AB32" s="21" t="str">
        <f>IF(K32="","",VLOOKUP(A30,OSS[],MATCH("Não Grave - Garantia",OSS[#Headers],0),FALSE))</f>
        <v/>
      </c>
      <c r="AC32" s="21" t="str">
        <f>IF(K32="","",VLOOKUP(A30,OSS[],MATCH("Grave - Garantia",OSS[#Headers],0),FALSE))</f>
        <v/>
      </c>
      <c r="AD32" s="21" t="str">
        <f>IF(K32="","",AB32+AC32)</f>
        <v/>
      </c>
      <c r="AE32" s="26" t="str">
        <f>IF(K32="","",AD32/IF($P32="",$P31,$P32))</f>
        <v/>
      </c>
      <c r="AF32" s="21" t="str">
        <f>IF(K32="","",VLOOKUP(A30,OSS[],MATCH("Atrasos para Correção Garantia",OSS[#Headers],0),FALSE))</f>
        <v/>
      </c>
    </row>
    <row r="33" spans="1:33" ht="15.75" x14ac:dyDescent="0.25">
      <c r="B33" s="66" t="str">
        <f>IF(A30="","","PF a Pagar")</f>
        <v/>
      </c>
      <c r="C33" s="67" t="str">
        <f>IF(D32="","",IF(B30="Recebida",(P32*0.8),IF(B30="Aceita",D32,0))+IF(D32&lt;0,D32,0))</f>
        <v/>
      </c>
      <c r="E33" s="37"/>
      <c r="K33" s="69" t="str">
        <f>IF(A30="","","Prazo previsto para execução em dias corridos")</f>
        <v/>
      </c>
      <c r="L33" s="70" t="str">
        <f>IF(G31="","",ROUND((IF(P32="",P31,P32)/(19*LN(IF(P32="",P31,P32))-42))*30,0))</f>
        <v/>
      </c>
      <c r="O33" s="29" t="str">
        <f>IF(A30="","","Multa")</f>
        <v/>
      </c>
      <c r="P33" s="25" t="str">
        <f>IF(SUM(Q33:Z33)=0,"",-ROUND(SUM(Q33:Z33),0))</f>
        <v/>
      </c>
      <c r="Q33" s="57" t="str">
        <f>IF(Q32="","",IF(OR(Q31&gt;Q32,Z31&lt;Z32),"",ROUND(Q32*(IF($P32="",$P31,$P32)*SLA_ICA_EOS_Multa),2)))</f>
        <v/>
      </c>
      <c r="R33" s="57" t="str">
        <f>IF(R32="","",IF(R31&gt;R32,"",ROUND(R32*(IF($P32="",$P31,$P32)*SLA_ICP_CIHA_Multa),2)))</f>
        <v/>
      </c>
      <c r="S33" s="57" t="str">
        <f>IF(S32="","",IF(S31&gt;S32,"",ROUND(S32*(IF($P32="",$P31,$P32)*SLA_ICP_CIG_Multa),2)))</f>
        <v/>
      </c>
      <c r="T33" s="57" t="str">
        <f>IF(T32="","",IF(T31&gt;T32,"",ROUND(T32*(IF($P32="",$P31,$P32)*SLA_IQA_INGHA_Multa),2)))</f>
        <v/>
      </c>
      <c r="U33" s="57" t="str">
        <f>IF(U32="","",IF(U31&gt;U32,"",ROUND(U32*(IF($P32="",$P31,$P32)*SLA_IQA_IGHA_Multa),2)))</f>
        <v/>
      </c>
      <c r="V33" s="57" t="str">
        <f>IF(V32="","",IF(V31&gt;V32,"",ROUND(V32*(IF($P32="",$P31,$P32)*SLA_IQA_INGG_Multa),2)))</f>
        <v/>
      </c>
      <c r="W33" s="57" t="str">
        <f>IF(W32="","",IF(W31&gt;W32,"",ROUND(W32*(IF($P32="",$P31,$P32)*SLA_IQA_IGG_Multa),2)))</f>
        <v/>
      </c>
      <c r="X33" s="57" t="str">
        <f>IF(X32="","",IF(X31&gt;X32,"",ROUND(X32*(IF($P32="",$P31,$P32)*SLA_ICA_IOS_Multa),2)))</f>
        <v/>
      </c>
      <c r="Y33" s="57" t="str">
        <f>IF(Y32="","",IF(Y31&gt;Y32,"",ROUND(Y32*(IF($P32="",$P31,$P32)*SLA_ICA_SP_Multa),2)))</f>
        <v/>
      </c>
      <c r="Z33" s="57" t="str">
        <f>IF(Z32="","",IF(Z31&gt;Z32,"",ROUND(IF($P32="",$P31,$P32)*SLA_ICA_EOS_Multa,2)))</f>
        <v/>
      </c>
      <c r="AA33" t="str">
        <f>IF(A30="","","Total")</f>
        <v/>
      </c>
      <c r="AB33" s="21" t="str">
        <f>IF(SUM(AB31:AB32)=0,"",SUM(AB31:AB32))</f>
        <v/>
      </c>
      <c r="AC33" s="21" t="str">
        <f>IF(SUM(AC31:AC32)=0,"",SUM(AC31:AC32))</f>
        <v/>
      </c>
      <c r="AD33" s="21" t="str">
        <f>IF(SUM(AB33:AC33)=0,"",SUM(AB33:AC33))</f>
        <v/>
      </c>
      <c r="AE33" s="26" t="str">
        <f>IF(P31="","",IF(AD33="","",AD33/IF($P32="",$P31,$P32)))</f>
        <v/>
      </c>
    </row>
    <row r="34" spans="1:33" ht="15.75" x14ac:dyDescent="0.25">
      <c r="G34" s="20"/>
      <c r="H34" s="20"/>
      <c r="I34" s="20"/>
      <c r="J34" s="20"/>
      <c r="K34" s="20"/>
      <c r="L34" s="20"/>
      <c r="M34" s="20"/>
      <c r="N34" s="20"/>
      <c r="O34" s="35"/>
      <c r="P34" s="37"/>
    </row>
    <row r="35" spans="1:33" ht="15.75" x14ac:dyDescent="0.25">
      <c r="A35" s="54" t="str">
        <f>IF(ControleOSsMês!$G$1="Todas",IFERROR(INDEX(OSS[Número OS],INT((ROW()-ROW($A$3)-1)/5)+1,1),""),IFERROR(VLOOKUP(INT((ROW()-ROW($A$3)-1)/5)+1,OSMês[],2,FALSE),""))</f>
        <v/>
      </c>
      <c r="B35" s="71" t="str">
        <f>IF(A35="","",VLOOKUP(A35,OSS[],MATCH("Situação da OS",OSS[#Headers],0),FALSE))</f>
        <v/>
      </c>
      <c r="C35" s="71"/>
      <c r="D35" s="54" t="str">
        <f>IF(A35="","","em")</f>
        <v/>
      </c>
      <c r="E35" s="59" t="str">
        <f>IF(A35="","",VLOOKUP(A35,OSS[],MATCH("Data Situação",OSS[#Headers],0),FALSE))</f>
        <v/>
      </c>
      <c r="F35" s="68" t="str">
        <f>IF(A35="","","Titulo:")</f>
        <v/>
      </c>
      <c r="G35" s="31" t="str">
        <f>IF(A35="","",VLOOKUP(A35,OSS[],MATCH("Titulo",OSS[#Headers],0),FALSE))</f>
        <v/>
      </c>
      <c r="H35" s="30"/>
      <c r="I35" s="30"/>
      <c r="J35" s="30"/>
      <c r="K35" s="30"/>
      <c r="L35" s="30"/>
      <c r="M35" s="30"/>
      <c r="N35" s="30"/>
      <c r="O35" s="30"/>
      <c r="P35" s="30"/>
      <c r="Q35" s="68" t="str">
        <f>IF(A35="","","Tipo da OS:")</f>
        <v/>
      </c>
      <c r="R35" s="31" t="str">
        <f>IF(A35="","",VLOOKUP(A35,OSS[],MATCH("Tipo",OSS[#Headers],0),FALSE))</f>
        <v/>
      </c>
      <c r="S35" s="30"/>
      <c r="T35" s="30"/>
      <c r="U35" s="30"/>
      <c r="V35" s="30"/>
      <c r="W35" s="30"/>
      <c r="X35" s="30"/>
      <c r="Y35" s="30"/>
      <c r="Z35" s="30"/>
      <c r="AA35" s="58" t="str">
        <f>IF(A35="","","Número de Inconformidades")</f>
        <v/>
      </c>
      <c r="AB35" s="30"/>
      <c r="AC35" s="30"/>
      <c r="AD35" s="30"/>
      <c r="AE35" s="30"/>
      <c r="AF35" s="30"/>
      <c r="AG35" s="32"/>
    </row>
    <row r="36" spans="1:33" ht="15.75" x14ac:dyDescent="0.25">
      <c r="B36" s="66" t="str">
        <f>IF(A35="","","PF Pago")</f>
        <v/>
      </c>
      <c r="D36" t="str">
        <f>IF(A35="","",VLOOKUP(A35,OSS[],MATCH("PF Pago",OSS[#Headers],0),FALSE))</f>
        <v/>
      </c>
      <c r="F36" s="36" t="str">
        <f>IF(A35="","",VLOOKUP(A35,OSS[],MATCH("Abertura da OS",OSS[#Headers],0),FALSE))</f>
        <v/>
      </c>
      <c r="G36" s="20" t="str">
        <f>IF(F36="","",WORKDAY(F36,IF(IF(P37="",P36,P37)&lt;150,5,10)))</f>
        <v/>
      </c>
      <c r="H36" s="20" t="str">
        <f>IF(G36="","",WORKDAY(G36,5))</f>
        <v/>
      </c>
      <c r="I36" s="20" t="str">
        <f>IF(G36="","",G36+ROUND((IF(P37="",P36,P37)/(19*LN(IF(P37="",P36,P37))-42))*30*SLA_PrazoEntrega,0))</f>
        <v/>
      </c>
      <c r="J36" s="20" t="str">
        <f>IF(I36="","",WORKDAY(I36,IF(IF(P37="",P36,P37)&lt;150,5,10)))</f>
        <v/>
      </c>
      <c r="K36" s="20" t="str">
        <f>IF(J36="","",J36+ROUND((IF(P37="",P36,P37)/(19*LN(IF(P37="",P36,P37))-42))*30*SLA_PrazoAceite,0))</f>
        <v/>
      </c>
      <c r="L36" s="20" t="str">
        <f>IF(G36="","",G36+ROUND((IF(P37="",P36,P37)/(19*LN(IF(P37="",P36,P37))-42))*30,0))</f>
        <v/>
      </c>
      <c r="M36" s="20" t="str">
        <f>IF(K36="","",WORKDAY(K36,1))</f>
        <v/>
      </c>
      <c r="N36" s="20" t="str">
        <f>IF(M36="","",M36+SLA_PrazoGarantia)</f>
        <v/>
      </c>
      <c r="O36" s="29" t="str">
        <f>IF(A35="","","Previsto")</f>
        <v/>
      </c>
      <c r="P36" s="21" t="str">
        <f>IF(A35="","",VLOOKUP(A35,OSS[],MATCH("PF Previsto",OSS[#Headers],0),FALSE))</f>
        <v/>
      </c>
      <c r="Q36" s="57" t="str">
        <f>IF(F36="","",ROUND((L36-G36)*SLA_ICA_EOS,1))</f>
        <v/>
      </c>
      <c r="R36" s="21" t="str">
        <f>IF(F36="","",SLA_ICP_CIHA)</f>
        <v/>
      </c>
      <c r="S36" s="21" t="str">
        <f>IF(F36="","",SLA_ICP_CIG)</f>
        <v/>
      </c>
      <c r="T36" s="57" t="str">
        <f>IF(F36="","",SLA_IQA_INGHA)</f>
        <v/>
      </c>
      <c r="U36" s="57" t="str">
        <f>IF(F36="","",SLA_IQA_IGHA)</f>
        <v/>
      </c>
      <c r="V36" s="57" t="str">
        <f>IF(F36="","",SLA_IQA_INGG)</f>
        <v/>
      </c>
      <c r="W36" s="57" t="str">
        <f>IF(F36="","",SLA_IQA_IGG)</f>
        <v/>
      </c>
      <c r="X36" s="57" t="str">
        <f>IF(F36="","",ROUND((G36-F36)*SLA_ICA_IOS,1))</f>
        <v/>
      </c>
      <c r="Y36" s="57" t="str">
        <f>IF(OR(R35="Hora Java",R35="Hora dotNet"),SLA_ICA_SP,"")</f>
        <v/>
      </c>
      <c r="Z36" s="57" t="str">
        <f>IF(F36="","",ROUND((L36-G36)*SLA_ICA_EOS,1))</f>
        <v/>
      </c>
      <c r="AA36" t="str">
        <f>IF(A35="","","Homologação")</f>
        <v/>
      </c>
      <c r="AB36" s="21" t="str">
        <f>IF(J37="","",VLOOKUP(A35,OSS[],MATCH("Não Grave - Homologação",OSS[#Headers],0),FALSE))</f>
        <v/>
      </c>
      <c r="AC36" s="21" t="str">
        <f>IF(J37="","",VLOOKUP(A35,OSS[],MATCH("Grave - Homologação",OSS[#Headers],0),FALSE))</f>
        <v/>
      </c>
      <c r="AD36" s="21" t="str">
        <f>IF(J37="","",AB36+AC36)</f>
        <v/>
      </c>
      <c r="AE36" s="26" t="str">
        <f>IF(J37="","",AD36/IF($P37="",$P36,$P37))</f>
        <v/>
      </c>
      <c r="AF36" s="21" t="str">
        <f>IF(J37="","",VLOOKUP(A35,OSS[],MATCH("Atrasos para Correção Homologação",OSS[#Headers],0),FALSE))</f>
        <v/>
      </c>
      <c r="AG36" t="str">
        <f>IF(Y36="","",VLOOKUP(A35,OSS[],MATCH("Atraso para Substituição",OSS[#Headers],0),FALSE))</f>
        <v/>
      </c>
    </row>
    <row r="37" spans="1:33" ht="15.75" x14ac:dyDescent="0.25">
      <c r="B37" s="66" t="str">
        <f>IF(A35="","","Saldo de PF")</f>
        <v/>
      </c>
      <c r="C37" s="37"/>
      <c r="D37" s="37" t="str">
        <f>IF(P36="","",IF($P37="",$P36,$P37)+IF(P38="",0,P38)-IF(D36="",0,D36))</f>
        <v/>
      </c>
      <c r="E37" s="37"/>
      <c r="G37" s="20" t="str">
        <f>IF(A35="","",IF(VLOOKUP(A35,OSS[],MATCH("Data de Inicio",OSS[#Headers],0),FALSE)="","",VLOOKUP(A35,OSS[],MATCH("Data de Inicio",OSS[#Headers],0),FALSE)))</f>
        <v/>
      </c>
      <c r="H37" s="20" t="str">
        <f>IF(A35="","",IF(VLOOKUP(A35,OSS[],MATCH("Entrega do Plano da OS",OSS[#Headers],0),FALSE)="","",VLOOKUP(A35,OSS[],MATCH("Entrega do Plano da OS",OSS[#Headers],0),FALSE)))</f>
        <v/>
      </c>
      <c r="I37" s="20" t="str">
        <f>IF(A35="","",IF(VLOOKUP(A35,OSS[],MATCH("Entrega da OS",OSS[#Headers],0),FALSE)="","",VLOOKUP(A35,OSS[],MATCH("Entrega da OS",OSS[#Headers],0),FALSE)))</f>
        <v/>
      </c>
      <c r="J37" s="20" t="str">
        <f>IF(A35="","",IF(VLOOKUP(A35,OSS[],MATCH("Recebimento da OS",OSS[#Headers],0),FALSE)="","",VLOOKUP(A35,OSS[],MATCH("Recebimento da OS",OSS[#Headers],0),FALSE)))</f>
        <v/>
      </c>
      <c r="K37" s="20" t="str">
        <f>IF(A35="","",IF(VLOOKUP(A35,OSS[],MATCH("Aceite da OS",OSS[#Headers],0),FALSE)="","",VLOOKUP(A35,OSS[],MATCH("Aceite da OS",OSS[#Headers],0),FALSE)))</f>
        <v/>
      </c>
      <c r="L37" s="20" t="str">
        <f>IF(A35="","",IF(VLOOKUP(A35,OSS[],MATCH("Data de Termino",OSS[#Headers],0),FALSE)="","",VLOOKUP(A35,OSS[],MATCH("Data de Termino",OSS[#Headers],0),FALSE)))</f>
        <v/>
      </c>
      <c r="M37" s="20" t="str">
        <f>IF(K37="","",K37)</f>
        <v/>
      </c>
      <c r="N37" s="20" t="str">
        <f>IF(M37="","",M37+180)</f>
        <v/>
      </c>
      <c r="O37" s="29" t="str">
        <f>IF(A35="","","Apurado")</f>
        <v/>
      </c>
      <c r="P37" s="21" t="str">
        <f>IF(A35="","",IF(VLOOKUP(A35,OSS[],MATCH("PF Apurado",OSS[#Headers],0),FALSE)="","",VLOOKUP(A35,OSS[],MATCH("PF Apurado",OSS[#Headers],0),FALSE)))</f>
        <v/>
      </c>
      <c r="Q37" s="57" t="str">
        <f>IF(F36="","",IF(G37="","",IF(L37="",IF(DataRef&lt;L36,L36,DataRef),L37)-L36))</f>
        <v/>
      </c>
      <c r="R37" s="21" t="str">
        <f>IF(J37="","",AF36)</f>
        <v/>
      </c>
      <c r="S37" s="21" t="str">
        <f>IF(K37="","",AF37)</f>
        <v/>
      </c>
      <c r="T37" s="57" t="str">
        <f>IF(J37="","",AB36/IF($P37="",$P36,$P37))</f>
        <v/>
      </c>
      <c r="U37" s="57" t="str">
        <f>IF(J37="","",AC36/IF($P37="",$P36,$P37))</f>
        <v/>
      </c>
      <c r="V37" s="57" t="str">
        <f>IF(K37="","",AB37/IF($P37="",$P36,$P37))</f>
        <v/>
      </c>
      <c r="W37" s="57" t="str">
        <f>IF(K37="","",AC37/IF($P37="",$P36,$P37))</f>
        <v/>
      </c>
      <c r="X37" s="57" t="str">
        <f>IF(F36="","",IF(G37="",IF(DataRef&lt;G36,"",DataRef-G36),G37-G36))</f>
        <v/>
      </c>
      <c r="Y37" s="57" t="str">
        <f>IF(OR(R35="Hora Java",R35="Hora dotNet"),AG36,"")</f>
        <v/>
      </c>
      <c r="Z37" s="57" t="str">
        <f>IF(F36="","",IF(L37="",IF(DataRef&lt;L36,L36,DataRef),L37)-L36)</f>
        <v/>
      </c>
      <c r="AA37" t="str">
        <f>IF(A35="","","Garantia")</f>
        <v/>
      </c>
      <c r="AB37" s="21" t="str">
        <f>IF(K37="","",VLOOKUP(A35,OSS[],MATCH("Não Grave - Garantia",OSS[#Headers],0),FALSE))</f>
        <v/>
      </c>
      <c r="AC37" s="21" t="str">
        <f>IF(K37="","",VLOOKUP(A35,OSS[],MATCH("Grave - Garantia",OSS[#Headers],0),FALSE))</f>
        <v/>
      </c>
      <c r="AD37" s="21" t="str">
        <f>IF(K37="","",AB37+AC37)</f>
        <v/>
      </c>
      <c r="AE37" s="26" t="str">
        <f>IF(K37="","",AD37/IF($P37="",$P36,$P37))</f>
        <v/>
      </c>
      <c r="AF37" s="21" t="str">
        <f>IF(K37="","",VLOOKUP(A35,OSS[],MATCH("Atrasos para Correção Garantia",OSS[#Headers],0),FALSE))</f>
        <v/>
      </c>
    </row>
    <row r="38" spans="1:33" ht="15.75" x14ac:dyDescent="0.25">
      <c r="B38" s="66" t="str">
        <f>IF(A35="","","PF a Pagar")</f>
        <v/>
      </c>
      <c r="C38" s="67" t="str">
        <f>IF(D37="","",IF(B35="Recebida",(P37*0.8),IF(B35="Aceita",D37,0))+IF(D37&lt;0,D37,0))</f>
        <v/>
      </c>
      <c r="E38" s="37"/>
      <c r="K38" s="69" t="str">
        <f>IF(A35="","","Prazo previsto para execução em dias corridos")</f>
        <v/>
      </c>
      <c r="L38" s="70" t="str">
        <f>IF(G36="","",ROUND((IF(P37="",P36,P37)/(19*LN(IF(P37="",P36,P37))-42))*30,0))</f>
        <v/>
      </c>
      <c r="O38" s="29" t="str">
        <f>IF(A35="","","Multa")</f>
        <v/>
      </c>
      <c r="P38" s="25" t="str">
        <f>IF(SUM(Q38:Z38)=0,"",-ROUND(SUM(Q38:Z38),0))</f>
        <v/>
      </c>
      <c r="Q38" s="57" t="str">
        <f>IF(Q37="","",IF(OR(Q36&gt;Q37,Z36&lt;Z37),"",ROUND(Q37*(IF($P37="",$P36,$P37)*SLA_ICA_EOS_Multa),2)))</f>
        <v/>
      </c>
      <c r="R38" s="57" t="str">
        <f>IF(R37="","",IF(R36&gt;R37,"",ROUND(R37*(IF($P37="",$P36,$P37)*SLA_ICP_CIHA_Multa),2)))</f>
        <v/>
      </c>
      <c r="S38" s="57" t="str">
        <f>IF(S37="","",IF(S36&gt;S37,"",ROUND(S37*(IF($P37="",$P36,$P37)*SLA_ICP_CIG_Multa),2)))</f>
        <v/>
      </c>
      <c r="T38" s="57" t="str">
        <f>IF(T37="","",IF(T36&gt;T37,"",ROUND(T37*(IF($P37="",$P36,$P37)*SLA_IQA_INGHA_Multa),2)))</f>
        <v/>
      </c>
      <c r="U38" s="57" t="str">
        <f>IF(U37="","",IF(U36&gt;U37,"",ROUND(U37*(IF($P37="",$P36,$P37)*SLA_IQA_IGHA_Multa),2)))</f>
        <v/>
      </c>
      <c r="V38" s="57" t="str">
        <f>IF(V37="","",IF(V36&gt;V37,"",ROUND(V37*(IF($P37="",$P36,$P37)*SLA_IQA_INGG_Multa),2)))</f>
        <v/>
      </c>
      <c r="W38" s="57" t="str">
        <f>IF(W37="","",IF(W36&gt;W37,"",ROUND(W37*(IF($P37="",$P36,$P37)*SLA_IQA_IGG_Multa),2)))</f>
        <v/>
      </c>
      <c r="X38" s="57" t="str">
        <f>IF(X37="","",IF(X36&gt;X37,"",ROUND(X37*(IF($P37="",$P36,$P37)*SLA_ICA_IOS_Multa),2)))</f>
        <v/>
      </c>
      <c r="Y38" s="57" t="str">
        <f>IF(Y37="","",IF(Y36&gt;Y37,"",ROUND(Y37*(IF($P37="",$P36,$P37)*SLA_ICA_SP_Multa),2)))</f>
        <v/>
      </c>
      <c r="Z38" s="57" t="str">
        <f>IF(Z37="","",IF(Z36&gt;Z37,"",ROUND(IF($P37="",$P36,$P37)*SLA_ICA_EOS_Multa,2)))</f>
        <v/>
      </c>
      <c r="AA38" t="str">
        <f>IF(A35="","","Total")</f>
        <v/>
      </c>
      <c r="AB38" s="21" t="str">
        <f>IF(SUM(AB36:AB37)=0,"",SUM(AB36:AB37))</f>
        <v/>
      </c>
      <c r="AC38" s="21" t="str">
        <f>IF(SUM(AC36:AC37)=0,"",SUM(AC36:AC37))</f>
        <v/>
      </c>
      <c r="AD38" s="21" t="str">
        <f>IF(SUM(AB38:AC38)=0,"",SUM(AB38:AC38))</f>
        <v/>
      </c>
      <c r="AE38" s="26" t="str">
        <f>IF(P36="","",IF(AD38="","",AD38/IF($P37="",$P36,$P37)))</f>
        <v/>
      </c>
    </row>
    <row r="39" spans="1:33" ht="15.75" x14ac:dyDescent="0.25">
      <c r="G39" s="20"/>
      <c r="H39" s="20"/>
      <c r="I39" s="20"/>
      <c r="J39" s="20"/>
      <c r="K39" s="20"/>
      <c r="L39" s="20"/>
      <c r="M39" s="20"/>
      <c r="N39" s="20"/>
      <c r="O39" s="35"/>
      <c r="P39" s="37"/>
    </row>
    <row r="40" spans="1:33" ht="15.75" x14ac:dyDescent="0.25">
      <c r="A40" s="54" t="str">
        <f>IF(ControleOSsMês!$G$1="Todas",IFERROR(INDEX(OSS[Número OS],INT((ROW()-ROW($A$3)-1)/5)+1,1),""),IFERROR(VLOOKUP(INT((ROW()-ROW($A$3)-1)/5)+1,OSMês[],2,FALSE),""))</f>
        <v/>
      </c>
      <c r="B40" s="71" t="str">
        <f>IF(A40="","",VLOOKUP(A40,OSS[],MATCH("Situação da OS",OSS[#Headers],0),FALSE))</f>
        <v/>
      </c>
      <c r="C40" s="71"/>
      <c r="D40" s="54" t="str">
        <f>IF(A40="","","em")</f>
        <v/>
      </c>
      <c r="E40" s="59" t="str">
        <f>IF(A40="","",VLOOKUP(A40,OSS[],MATCH("Data Situação",OSS[#Headers],0),FALSE))</f>
        <v/>
      </c>
      <c r="F40" s="68" t="str">
        <f>IF(A40="","","Titulo:")</f>
        <v/>
      </c>
      <c r="G40" s="31" t="str">
        <f>IF(A40="","",VLOOKUP(A40,OSS[],MATCH("Titulo",OSS[#Headers],0),FALSE))</f>
        <v/>
      </c>
      <c r="H40" s="30"/>
      <c r="I40" s="30"/>
      <c r="J40" s="30"/>
      <c r="K40" s="30"/>
      <c r="L40" s="30"/>
      <c r="M40" s="30"/>
      <c r="N40" s="30"/>
      <c r="O40" s="30"/>
      <c r="P40" s="30"/>
      <c r="Q40" s="68" t="str">
        <f>IF(A40="","","Tipo da OS:")</f>
        <v/>
      </c>
      <c r="R40" s="31" t="str">
        <f>IF(A40="","",VLOOKUP(A40,OSS[],MATCH("Tipo",OSS[#Headers],0),FALSE))</f>
        <v/>
      </c>
      <c r="S40" s="30"/>
      <c r="T40" s="30"/>
      <c r="U40" s="30"/>
      <c r="V40" s="30"/>
      <c r="W40" s="30"/>
      <c r="X40" s="30"/>
      <c r="Y40" s="30"/>
      <c r="Z40" s="30"/>
      <c r="AA40" s="58" t="str">
        <f>IF(A40="","","Número de Inconformidades")</f>
        <v/>
      </c>
      <c r="AB40" s="30"/>
      <c r="AC40" s="30"/>
      <c r="AD40" s="30"/>
      <c r="AE40" s="30"/>
      <c r="AF40" s="30"/>
      <c r="AG40" s="32"/>
    </row>
    <row r="41" spans="1:33" ht="15.75" x14ac:dyDescent="0.25">
      <c r="B41" s="66" t="str">
        <f>IF(A40="","","PF Pago")</f>
        <v/>
      </c>
      <c r="D41" t="str">
        <f>IF(A40="","",VLOOKUP(A40,OSS[],MATCH("PF Pago",OSS[#Headers],0),FALSE))</f>
        <v/>
      </c>
      <c r="F41" s="36" t="str">
        <f>IF(A40="","",VLOOKUP(A40,OSS[],MATCH("Abertura da OS",OSS[#Headers],0),FALSE))</f>
        <v/>
      </c>
      <c r="G41" s="20" t="str">
        <f>IF(F41="","",WORKDAY(F41,IF(IF(P42="",P41,P42)&lt;150,5,10)))</f>
        <v/>
      </c>
      <c r="H41" s="20" t="str">
        <f>IF(G41="","",WORKDAY(G41,5))</f>
        <v/>
      </c>
      <c r="I41" s="20" t="str">
        <f>IF(G41="","",G41+ROUND((IF(P42="",P41,P42)/(19*LN(IF(P42="",P41,P42))-42))*30*SLA_PrazoEntrega,0))</f>
        <v/>
      </c>
      <c r="J41" s="20" t="str">
        <f>IF(I41="","",WORKDAY(I41,IF(IF(P42="",P41,P42)&lt;150,5,10)))</f>
        <v/>
      </c>
      <c r="K41" s="20" t="str">
        <f>IF(J41="","",J41+ROUND((IF(P42="",P41,P42)/(19*LN(IF(P42="",P41,P42))-42))*30*SLA_PrazoAceite,0))</f>
        <v/>
      </c>
      <c r="L41" s="20" t="str">
        <f>IF(G41="","",G41+ROUND((IF(P42="",P41,P42)/(19*LN(IF(P42="",P41,P42))-42))*30,0))</f>
        <v/>
      </c>
      <c r="M41" s="20" t="str">
        <f>IF(K41="","",WORKDAY(K41,1))</f>
        <v/>
      </c>
      <c r="N41" s="20" t="str">
        <f>IF(M41="","",M41+SLA_PrazoGarantia)</f>
        <v/>
      </c>
      <c r="O41" s="29" t="str">
        <f>IF(A40="","","Previsto")</f>
        <v/>
      </c>
      <c r="P41" s="21" t="str">
        <f>IF(A40="","",VLOOKUP(A40,OSS[],MATCH("PF Previsto",OSS[#Headers],0),FALSE))</f>
        <v/>
      </c>
      <c r="Q41" s="57" t="str">
        <f>IF(F41="","",ROUND((L41-G41)*SLA_ICA_EOS,1))</f>
        <v/>
      </c>
      <c r="R41" s="21" t="str">
        <f>IF(F41="","",SLA_ICP_CIHA)</f>
        <v/>
      </c>
      <c r="S41" s="21" t="str">
        <f>IF(F41="","",SLA_ICP_CIG)</f>
        <v/>
      </c>
      <c r="T41" s="57" t="str">
        <f>IF(F41="","",SLA_IQA_INGHA)</f>
        <v/>
      </c>
      <c r="U41" s="57" t="str">
        <f>IF(F41="","",SLA_IQA_IGHA)</f>
        <v/>
      </c>
      <c r="V41" s="57" t="str">
        <f>IF(F41="","",SLA_IQA_INGG)</f>
        <v/>
      </c>
      <c r="W41" s="57" t="str">
        <f>IF(F41="","",SLA_IQA_IGG)</f>
        <v/>
      </c>
      <c r="X41" s="57" t="str">
        <f>IF(F41="","",ROUND((G41-F41)*SLA_ICA_IOS,1))</f>
        <v/>
      </c>
      <c r="Y41" s="57" t="str">
        <f>IF(OR(R40="Hora Java",R40="Hora dotNet"),SLA_ICA_SP,"")</f>
        <v/>
      </c>
      <c r="Z41" s="57" t="str">
        <f>IF(F41="","",ROUND((L41-G41)*SLA_ICA_EOS,1))</f>
        <v/>
      </c>
      <c r="AA41" t="str">
        <f>IF(A40="","","Homologação")</f>
        <v/>
      </c>
      <c r="AB41" s="21" t="str">
        <f>IF(J42="","",VLOOKUP(A40,OSS[],MATCH("Não Grave - Homologação",OSS[#Headers],0),FALSE))</f>
        <v/>
      </c>
      <c r="AC41" s="21" t="str">
        <f>IF(J42="","",VLOOKUP(A40,OSS[],MATCH("Grave - Homologação",OSS[#Headers],0),FALSE))</f>
        <v/>
      </c>
      <c r="AD41" s="21" t="str">
        <f>IF(J42="","",AB41+AC41)</f>
        <v/>
      </c>
      <c r="AE41" s="26" t="str">
        <f>IF(J42="","",AD41/IF($P42="",$P41,$P42))</f>
        <v/>
      </c>
      <c r="AF41" s="21" t="str">
        <f>IF(J42="","",VLOOKUP(A40,OSS[],MATCH("Atrasos para Correção Homologação",OSS[#Headers],0),FALSE))</f>
        <v/>
      </c>
      <c r="AG41" t="str">
        <f>IF(Y41="","",VLOOKUP(A40,OSS[],MATCH("Atraso para Substituição",OSS[#Headers],0),FALSE))</f>
        <v/>
      </c>
    </row>
    <row r="42" spans="1:33" ht="15.75" x14ac:dyDescent="0.25">
      <c r="B42" s="66" t="str">
        <f>IF(A40="","","Saldo de PF")</f>
        <v/>
      </c>
      <c r="C42" s="37"/>
      <c r="D42" s="37" t="str">
        <f>IF(P41="","",IF($P42="",$P41,$P42)+IF(P43="",0,P43)-IF(D41="",0,D41))</f>
        <v/>
      </c>
      <c r="E42" s="37"/>
      <c r="G42" s="20" t="str">
        <f>IF(A40="","",IF(VLOOKUP(A40,OSS[],MATCH("Data de Inicio",OSS[#Headers],0),FALSE)="","",VLOOKUP(A40,OSS[],MATCH("Data de Inicio",OSS[#Headers],0),FALSE)))</f>
        <v/>
      </c>
      <c r="H42" s="20" t="str">
        <f>IF(A40="","",IF(VLOOKUP(A40,OSS[],MATCH("Entrega do Plano da OS",OSS[#Headers],0),FALSE)="","",VLOOKUP(A40,OSS[],MATCH("Entrega do Plano da OS",OSS[#Headers],0),FALSE)))</f>
        <v/>
      </c>
      <c r="I42" s="20" t="str">
        <f>IF(A40="","",IF(VLOOKUP(A40,OSS[],MATCH("Entrega da OS",OSS[#Headers],0),FALSE)="","",VLOOKUP(A40,OSS[],MATCH("Entrega da OS",OSS[#Headers],0),FALSE)))</f>
        <v/>
      </c>
      <c r="J42" s="20" t="str">
        <f>IF(A40="","",IF(VLOOKUP(A40,OSS[],MATCH("Recebimento da OS",OSS[#Headers],0),FALSE)="","",VLOOKUP(A40,OSS[],MATCH("Recebimento da OS",OSS[#Headers],0),FALSE)))</f>
        <v/>
      </c>
      <c r="K42" s="20" t="str">
        <f>IF(A40="","",IF(VLOOKUP(A40,OSS[],MATCH("Aceite da OS",OSS[#Headers],0),FALSE)="","",VLOOKUP(A40,OSS[],MATCH("Aceite da OS",OSS[#Headers],0),FALSE)))</f>
        <v/>
      </c>
      <c r="L42" s="20" t="str">
        <f>IF(A40="","",IF(VLOOKUP(A40,OSS[],MATCH("Data de Termino",OSS[#Headers],0),FALSE)="","",VLOOKUP(A40,OSS[],MATCH("Data de Termino",OSS[#Headers],0),FALSE)))</f>
        <v/>
      </c>
      <c r="M42" s="20" t="str">
        <f>IF(K42="","",K42)</f>
        <v/>
      </c>
      <c r="N42" s="20" t="str">
        <f>IF(M42="","",M42+180)</f>
        <v/>
      </c>
      <c r="O42" s="29" t="str">
        <f>IF(A40="","","Apurado")</f>
        <v/>
      </c>
      <c r="P42" s="21" t="str">
        <f>IF(A40="","",IF(VLOOKUP(A40,OSS[],MATCH("PF Apurado",OSS[#Headers],0),FALSE)="","",VLOOKUP(A40,OSS[],MATCH("PF Apurado",OSS[#Headers],0),FALSE)))</f>
        <v/>
      </c>
      <c r="Q42" s="57" t="str">
        <f>IF(F41="","",IF(G42="","",IF(L42="",IF(DataRef&lt;L41,L41,DataRef),L42)-L41))</f>
        <v/>
      </c>
      <c r="R42" s="21" t="str">
        <f>IF(J42="","",AF41)</f>
        <v/>
      </c>
      <c r="S42" s="21" t="str">
        <f>IF(K42="","",AF42)</f>
        <v/>
      </c>
      <c r="T42" s="57" t="str">
        <f>IF(J42="","",AB41/IF($P42="",$P41,$P42))</f>
        <v/>
      </c>
      <c r="U42" s="57" t="str">
        <f>IF(J42="","",AC41/IF($P42="",$P41,$P42))</f>
        <v/>
      </c>
      <c r="V42" s="57" t="str">
        <f>IF(K42="","",AB42/IF($P42="",$P41,$P42))</f>
        <v/>
      </c>
      <c r="W42" s="57" t="str">
        <f>IF(K42="","",AC42/IF($P42="",$P41,$P42))</f>
        <v/>
      </c>
      <c r="X42" s="57" t="str">
        <f>IF(F41="","",IF(G42="",IF(DataRef&lt;G41,"",DataRef-G41),G42-G41))</f>
        <v/>
      </c>
      <c r="Y42" s="57" t="str">
        <f>IF(OR(R40="Hora Java",R40="Hora dotNet"),AG41,"")</f>
        <v/>
      </c>
      <c r="Z42" s="57" t="str">
        <f>IF(F41="","",IF(L42="",IF(DataRef&lt;L41,L41,DataRef),L42)-L41)</f>
        <v/>
      </c>
      <c r="AA42" t="str">
        <f>IF(A40="","","Garantia")</f>
        <v/>
      </c>
      <c r="AB42" s="21" t="str">
        <f>IF(K42="","",VLOOKUP(A40,OSS[],MATCH("Não Grave - Garantia",OSS[#Headers],0),FALSE))</f>
        <v/>
      </c>
      <c r="AC42" s="21" t="str">
        <f>IF(K42="","",VLOOKUP(A40,OSS[],MATCH("Grave - Garantia",OSS[#Headers],0),FALSE))</f>
        <v/>
      </c>
      <c r="AD42" s="21" t="str">
        <f>IF(K42="","",AB42+AC42)</f>
        <v/>
      </c>
      <c r="AE42" s="26" t="str">
        <f>IF(K42="","",AD42/IF($P42="",$P41,$P42))</f>
        <v/>
      </c>
      <c r="AF42" s="21" t="str">
        <f>IF(K42="","",VLOOKUP(A40,OSS[],MATCH("Atrasos para Correção Garantia",OSS[#Headers],0),FALSE))</f>
        <v/>
      </c>
    </row>
    <row r="43" spans="1:33" ht="15.75" x14ac:dyDescent="0.25">
      <c r="B43" s="66" t="str">
        <f>IF(A40="","","PF a Pagar")</f>
        <v/>
      </c>
      <c r="C43" s="67" t="str">
        <f>IF(D42="","",IF(B40="Recebida",(P42*0.8),IF(B40="Aceita",D42,0))+IF(D42&lt;0,D42,0))</f>
        <v/>
      </c>
      <c r="E43" s="37"/>
      <c r="K43" s="69" t="str">
        <f>IF(A40="","","Prazo previsto para execução em dias corridos")</f>
        <v/>
      </c>
      <c r="L43" s="70" t="str">
        <f>IF(G41="","",ROUND((IF(P42="",P41,P42)/(19*LN(IF(P42="",P41,P42))-42))*30,0))</f>
        <v/>
      </c>
      <c r="O43" s="29" t="str">
        <f>IF(A40="","","Multa")</f>
        <v/>
      </c>
      <c r="P43" s="25" t="str">
        <f>IF(SUM(Q43:Z43)=0,"",-ROUND(SUM(Q43:Z43),0))</f>
        <v/>
      </c>
      <c r="Q43" s="57" t="str">
        <f>IF(Q42="","",IF(OR(Q41&gt;Q42,Z41&lt;Z42),"",ROUND(Q42*(IF($P42="",$P41,$P42)*SLA_ICA_EOS_Multa),2)))</f>
        <v/>
      </c>
      <c r="R43" s="57" t="str">
        <f>IF(R42="","",IF(R41&gt;R42,"",ROUND(R42*(IF($P42="",$P41,$P42)*SLA_ICP_CIHA_Multa),2)))</f>
        <v/>
      </c>
      <c r="S43" s="57" t="str">
        <f>IF(S42="","",IF(S41&gt;S42,"",ROUND(S42*(IF($P42="",$P41,$P42)*SLA_ICP_CIG_Multa),2)))</f>
        <v/>
      </c>
      <c r="T43" s="57" t="str">
        <f>IF(T42="","",IF(T41&gt;T42,"",ROUND(T42*(IF($P42="",$P41,$P42)*SLA_IQA_INGHA_Multa),2)))</f>
        <v/>
      </c>
      <c r="U43" s="57" t="str">
        <f>IF(U42="","",IF(U41&gt;U42,"",ROUND(U42*(IF($P42="",$P41,$P42)*SLA_IQA_IGHA_Multa),2)))</f>
        <v/>
      </c>
      <c r="V43" s="57" t="str">
        <f>IF(V42="","",IF(V41&gt;V42,"",ROUND(V42*(IF($P42="",$P41,$P42)*SLA_IQA_INGG_Multa),2)))</f>
        <v/>
      </c>
      <c r="W43" s="57" t="str">
        <f>IF(W42="","",IF(W41&gt;W42,"",ROUND(W42*(IF($P42="",$P41,$P42)*SLA_IQA_IGG_Multa),2)))</f>
        <v/>
      </c>
      <c r="X43" s="57" t="str">
        <f>IF(X42="","",IF(X41&gt;X42,"",ROUND(X42*(IF($P42="",$P41,$P42)*SLA_ICA_IOS_Multa),2)))</f>
        <v/>
      </c>
      <c r="Y43" s="57" t="str">
        <f>IF(Y42="","",IF(Y41&gt;Y42,"",ROUND(Y42*(IF($P42="",$P41,$P42)*SLA_ICA_SP_Multa),2)))</f>
        <v/>
      </c>
      <c r="Z43" s="57" t="str">
        <f>IF(Z42="","",IF(Z41&gt;Z42,"",ROUND(IF($P42="",$P41,$P42)*SLA_ICA_EOS_Multa,2)))</f>
        <v/>
      </c>
      <c r="AA43" t="str">
        <f>IF(A40="","","Total")</f>
        <v/>
      </c>
      <c r="AB43" s="21" t="str">
        <f>IF(SUM(AB41:AB42)=0,"",SUM(AB41:AB42))</f>
        <v/>
      </c>
      <c r="AC43" s="21" t="str">
        <f>IF(SUM(AC41:AC42)=0,"",SUM(AC41:AC42))</f>
        <v/>
      </c>
      <c r="AD43" s="21" t="str">
        <f>IF(SUM(AB43:AC43)=0,"",SUM(AB43:AC43))</f>
        <v/>
      </c>
      <c r="AE43" s="26" t="str">
        <f>IF(P41="","",IF(AD43="","",AD43/IF($P42="",$P41,$P42)))</f>
        <v/>
      </c>
    </row>
    <row r="44" spans="1:33" ht="15.75" x14ac:dyDescent="0.25">
      <c r="G44" s="20"/>
      <c r="H44" s="20"/>
      <c r="I44" s="20"/>
      <c r="J44" s="20"/>
      <c r="K44" s="20"/>
      <c r="L44" s="20"/>
      <c r="M44" s="20"/>
      <c r="N44" s="20"/>
      <c r="O44" s="35"/>
      <c r="P44" s="37"/>
    </row>
    <row r="45" spans="1:33" ht="15.75" x14ac:dyDescent="0.25">
      <c r="A45" s="54" t="str">
        <f>IF(ControleOSsMês!$G$1="Todas",IFERROR(INDEX(OSS[Número OS],INT((ROW()-ROW($A$3)-1)/5)+1,1),""),IFERROR(VLOOKUP(INT((ROW()-ROW($A$3)-1)/5)+1,OSMês[],2,FALSE),""))</f>
        <v/>
      </c>
      <c r="B45" s="71" t="str">
        <f>IF(A45="","",VLOOKUP(A45,OSS[],MATCH("Situação da OS",OSS[#Headers],0),FALSE))</f>
        <v/>
      </c>
      <c r="C45" s="71"/>
      <c r="D45" s="54" t="str">
        <f>IF(A45="","","em")</f>
        <v/>
      </c>
      <c r="E45" s="59" t="str">
        <f>IF(A45="","",VLOOKUP(A45,OSS[],MATCH("Data Situação",OSS[#Headers],0),FALSE))</f>
        <v/>
      </c>
      <c r="F45" s="68" t="str">
        <f>IF(A45="","","Titulo:")</f>
        <v/>
      </c>
      <c r="G45" s="31" t="str">
        <f>IF(A45="","",VLOOKUP(A45,OSS[],MATCH("Titulo",OSS[#Headers],0),FALSE))</f>
        <v/>
      </c>
      <c r="H45" s="30"/>
      <c r="I45" s="30"/>
      <c r="J45" s="30"/>
      <c r="K45" s="30"/>
      <c r="L45" s="30"/>
      <c r="M45" s="30"/>
      <c r="N45" s="30"/>
      <c r="O45" s="30"/>
      <c r="P45" s="30"/>
      <c r="Q45" s="68" t="str">
        <f>IF(A45="","","Tipo da OS:")</f>
        <v/>
      </c>
      <c r="R45" s="31" t="str">
        <f>IF(A45="","",VLOOKUP(A45,OSS[],MATCH("Tipo",OSS[#Headers],0),FALSE))</f>
        <v/>
      </c>
      <c r="S45" s="30"/>
      <c r="T45" s="30"/>
      <c r="U45" s="30"/>
      <c r="V45" s="30"/>
      <c r="W45" s="30"/>
      <c r="X45" s="30"/>
      <c r="Y45" s="30"/>
      <c r="Z45" s="30"/>
      <c r="AA45" s="58" t="str">
        <f>IF(A45="","","Número de Inconformidades")</f>
        <v/>
      </c>
      <c r="AB45" s="30"/>
      <c r="AC45" s="30"/>
      <c r="AD45" s="30"/>
      <c r="AE45" s="30"/>
      <c r="AF45" s="30"/>
      <c r="AG45" s="32"/>
    </row>
    <row r="46" spans="1:33" ht="15.75" x14ac:dyDescent="0.25">
      <c r="B46" s="66" t="str">
        <f>IF(A45="","","PF Pago")</f>
        <v/>
      </c>
      <c r="D46" t="str">
        <f>IF(A45="","",VLOOKUP(A45,OSS[],MATCH("PF Pago",OSS[#Headers],0),FALSE))</f>
        <v/>
      </c>
      <c r="F46" s="36" t="str">
        <f>IF(A45="","",VLOOKUP(A45,OSS[],MATCH("Abertura da OS",OSS[#Headers],0),FALSE))</f>
        <v/>
      </c>
      <c r="G46" s="20" t="str">
        <f>IF(F46="","",WORKDAY(F46,IF(IF(P47="",P46,P47)&lt;150,5,10)))</f>
        <v/>
      </c>
      <c r="H46" s="20" t="str">
        <f>IF(G46="","",WORKDAY(G46,5))</f>
        <v/>
      </c>
      <c r="I46" s="20" t="str">
        <f>IF(G46="","",G46+ROUND((IF(P47="",P46,P47)/(19*LN(IF(P47="",P46,P47))-42))*30*SLA_PrazoEntrega,0))</f>
        <v/>
      </c>
      <c r="J46" s="20" t="str">
        <f>IF(I46="","",WORKDAY(I46,IF(IF(P47="",P46,P47)&lt;150,5,10)))</f>
        <v/>
      </c>
      <c r="K46" s="20" t="str">
        <f>IF(J46="","",J46+ROUND((IF(P47="",P46,P47)/(19*LN(IF(P47="",P46,P47))-42))*30*SLA_PrazoAceite,0))</f>
        <v/>
      </c>
      <c r="L46" s="20" t="str">
        <f>IF(G46="","",G46+ROUND((IF(P47="",P46,P47)/(19*LN(IF(P47="",P46,P47))-42))*30,0))</f>
        <v/>
      </c>
      <c r="M46" s="20" t="str">
        <f>IF(K46="","",WORKDAY(K46,1))</f>
        <v/>
      </c>
      <c r="N46" s="20" t="str">
        <f>IF(M46="","",M46+SLA_PrazoGarantia)</f>
        <v/>
      </c>
      <c r="O46" s="29" t="str">
        <f>IF(A45="","","Previsto")</f>
        <v/>
      </c>
      <c r="P46" s="21" t="str">
        <f>IF(A45="","",VLOOKUP(A45,OSS[],MATCH("PF Previsto",OSS[#Headers],0),FALSE))</f>
        <v/>
      </c>
      <c r="Q46" s="57" t="str">
        <f>IF(F46="","",ROUND((L46-G46)*SLA_ICA_EOS,1))</f>
        <v/>
      </c>
      <c r="R46" s="21" t="str">
        <f>IF(F46="","",SLA_ICP_CIHA)</f>
        <v/>
      </c>
      <c r="S46" s="21" t="str">
        <f>IF(F46="","",SLA_ICP_CIG)</f>
        <v/>
      </c>
      <c r="T46" s="57" t="str">
        <f>IF(F46="","",SLA_IQA_INGHA)</f>
        <v/>
      </c>
      <c r="U46" s="57" t="str">
        <f>IF(F46="","",SLA_IQA_IGHA)</f>
        <v/>
      </c>
      <c r="V46" s="57" t="str">
        <f>IF(F46="","",SLA_IQA_INGG)</f>
        <v/>
      </c>
      <c r="W46" s="57" t="str">
        <f>IF(F46="","",SLA_IQA_IGG)</f>
        <v/>
      </c>
      <c r="X46" s="57" t="str">
        <f>IF(F46="","",ROUND((G46-F46)*SLA_ICA_IOS,1))</f>
        <v/>
      </c>
      <c r="Y46" s="57" t="str">
        <f>IF(OR(R45="Hora Java",R45="Hora dotNet"),SLA_ICA_SP,"")</f>
        <v/>
      </c>
      <c r="Z46" s="57" t="str">
        <f>IF(F46="","",ROUND((L46-G46)*SLA_ICA_EOS,1))</f>
        <v/>
      </c>
      <c r="AA46" t="str">
        <f>IF(A45="","","Homologação")</f>
        <v/>
      </c>
      <c r="AB46" s="21" t="str">
        <f>IF(J47="","",VLOOKUP(A45,OSS[],MATCH("Não Grave - Homologação",OSS[#Headers],0),FALSE))</f>
        <v/>
      </c>
      <c r="AC46" s="21" t="str">
        <f>IF(J47="","",VLOOKUP(A45,OSS[],MATCH("Grave - Homologação",OSS[#Headers],0),FALSE))</f>
        <v/>
      </c>
      <c r="AD46" s="21" t="str">
        <f>IF(J47="","",AB46+AC46)</f>
        <v/>
      </c>
      <c r="AE46" s="26" t="str">
        <f>IF(J47="","",AD46/IF($P47="",$P46,$P47))</f>
        <v/>
      </c>
      <c r="AF46" s="21" t="str">
        <f>IF(J47="","",VLOOKUP(A45,OSS[],MATCH("Atrasos para Correção Homologação",OSS[#Headers],0),FALSE))</f>
        <v/>
      </c>
      <c r="AG46" t="str">
        <f>IF(Y46="","",VLOOKUP(A45,OSS[],MATCH("Atraso para Substituição",OSS[#Headers],0),FALSE))</f>
        <v/>
      </c>
    </row>
    <row r="47" spans="1:33" ht="15.75" x14ac:dyDescent="0.25">
      <c r="B47" s="66" t="str">
        <f>IF(A45="","","Saldo de PF")</f>
        <v/>
      </c>
      <c r="C47" s="37"/>
      <c r="D47" s="37" t="str">
        <f>IF(P46="","",IF($P47="",$P46,$P47)+IF(P48="",0,P48)-IF(D46="",0,D46))</f>
        <v/>
      </c>
      <c r="E47" s="37"/>
      <c r="G47" s="20" t="str">
        <f>IF(A45="","",IF(VLOOKUP(A45,OSS[],MATCH("Data de Inicio",OSS[#Headers],0),FALSE)="","",VLOOKUP(A45,OSS[],MATCH("Data de Inicio",OSS[#Headers],0),FALSE)))</f>
        <v/>
      </c>
      <c r="H47" s="20" t="str">
        <f>IF(A45="","",IF(VLOOKUP(A45,OSS[],MATCH("Entrega do Plano da OS",OSS[#Headers],0),FALSE)="","",VLOOKUP(A45,OSS[],MATCH("Entrega do Plano da OS",OSS[#Headers],0),FALSE)))</f>
        <v/>
      </c>
      <c r="I47" s="20" t="str">
        <f>IF(A45="","",IF(VLOOKUP(A45,OSS[],MATCH("Entrega da OS",OSS[#Headers],0),FALSE)="","",VLOOKUP(A45,OSS[],MATCH("Entrega da OS",OSS[#Headers],0),FALSE)))</f>
        <v/>
      </c>
      <c r="J47" s="20" t="str">
        <f>IF(A45="","",IF(VLOOKUP(A45,OSS[],MATCH("Recebimento da OS",OSS[#Headers],0),FALSE)="","",VLOOKUP(A45,OSS[],MATCH("Recebimento da OS",OSS[#Headers],0),FALSE)))</f>
        <v/>
      </c>
      <c r="K47" s="20" t="str">
        <f>IF(A45="","",IF(VLOOKUP(A45,OSS[],MATCH("Aceite da OS",OSS[#Headers],0),FALSE)="","",VLOOKUP(A45,OSS[],MATCH("Aceite da OS",OSS[#Headers],0),FALSE)))</f>
        <v/>
      </c>
      <c r="L47" s="20" t="str">
        <f>IF(A45="","",IF(VLOOKUP(A45,OSS[],MATCH("Data de Termino",OSS[#Headers],0),FALSE)="","",VLOOKUP(A45,OSS[],MATCH("Data de Termino",OSS[#Headers],0),FALSE)))</f>
        <v/>
      </c>
      <c r="M47" s="20" t="str">
        <f>IF(K47="","",K47)</f>
        <v/>
      </c>
      <c r="N47" s="20" t="str">
        <f>IF(M47="","",M47+180)</f>
        <v/>
      </c>
      <c r="O47" s="29" t="str">
        <f>IF(A45="","","Apurado")</f>
        <v/>
      </c>
      <c r="P47" s="21" t="str">
        <f>IF(A45="","",IF(VLOOKUP(A45,OSS[],MATCH("PF Apurado",OSS[#Headers],0),FALSE)="","",VLOOKUP(A45,OSS[],MATCH("PF Apurado",OSS[#Headers],0),FALSE)))</f>
        <v/>
      </c>
      <c r="Q47" s="57" t="str">
        <f>IF(F46="","",IF(G47="","",IF(L47="",IF(DataRef&lt;L46,L46,DataRef),L47)-L46))</f>
        <v/>
      </c>
      <c r="R47" s="21" t="str">
        <f>IF(J47="","",AF46)</f>
        <v/>
      </c>
      <c r="S47" s="21" t="str">
        <f>IF(K47="","",AF47)</f>
        <v/>
      </c>
      <c r="T47" s="57" t="str">
        <f>IF(J47="","",AB46/IF($P47="",$P46,$P47))</f>
        <v/>
      </c>
      <c r="U47" s="57" t="str">
        <f>IF(J47="","",AC46/IF($P47="",$P46,$P47))</f>
        <v/>
      </c>
      <c r="V47" s="57" t="str">
        <f>IF(K47="","",AB47/IF($P47="",$P46,$P47))</f>
        <v/>
      </c>
      <c r="W47" s="57" t="str">
        <f>IF(K47="","",AC47/IF($P47="",$P46,$P47))</f>
        <v/>
      </c>
      <c r="X47" s="57" t="str">
        <f>IF(F46="","",IF(G47="",IF(DataRef&lt;G46,"",DataRef-G46),G47-G46))</f>
        <v/>
      </c>
      <c r="Y47" s="57" t="str">
        <f>IF(OR(R45="Hora Java",R45="Hora dotNet"),AG46,"")</f>
        <v/>
      </c>
      <c r="Z47" s="57" t="str">
        <f>IF(F46="","",IF(L47="",IF(DataRef&lt;L46,L46,DataRef),L47)-L46)</f>
        <v/>
      </c>
      <c r="AA47" t="str">
        <f>IF(A45="","","Garantia")</f>
        <v/>
      </c>
      <c r="AB47" s="21" t="str">
        <f>IF(K47="","",VLOOKUP(A45,OSS[],MATCH("Não Grave - Garantia",OSS[#Headers],0),FALSE))</f>
        <v/>
      </c>
      <c r="AC47" s="21" t="str">
        <f>IF(K47="","",VLOOKUP(A45,OSS[],MATCH("Grave - Garantia",OSS[#Headers],0),FALSE))</f>
        <v/>
      </c>
      <c r="AD47" s="21" t="str">
        <f>IF(K47="","",AB47+AC47)</f>
        <v/>
      </c>
      <c r="AE47" s="26" t="str">
        <f>IF(K47="","",AD47/IF($P47="",$P46,$P47))</f>
        <v/>
      </c>
      <c r="AF47" s="21" t="str">
        <f>IF(K47="","",VLOOKUP(A45,OSS[],MATCH("Atrasos para Correção Garantia",OSS[#Headers],0),FALSE))</f>
        <v/>
      </c>
    </row>
    <row r="48" spans="1:33" ht="15.75" x14ac:dyDescent="0.25">
      <c r="B48" s="66" t="str">
        <f>IF(A45="","","PF a Pagar")</f>
        <v/>
      </c>
      <c r="C48" s="67" t="str">
        <f>IF(D47="","",IF(B45="Recebida",(P47*0.8),IF(B45="Aceita",D47,0))+IF(D47&lt;0,D47,0))</f>
        <v/>
      </c>
      <c r="E48" s="37"/>
      <c r="K48" s="69" t="str">
        <f>IF(A45="","","Prazo previsto para execução em dias corridos")</f>
        <v/>
      </c>
      <c r="L48" s="70" t="str">
        <f>IF(G46="","",ROUND((IF(P47="",P46,P47)/(19*LN(IF(P47="",P46,P47))-42))*30,0))</f>
        <v/>
      </c>
      <c r="O48" s="29" t="str">
        <f>IF(A45="","","Multa")</f>
        <v/>
      </c>
      <c r="P48" s="25" t="str">
        <f>IF(SUM(Q48:Z48)=0,"",-ROUND(SUM(Q48:Z48),0))</f>
        <v/>
      </c>
      <c r="Q48" s="57" t="str">
        <f>IF(Q47="","",IF(OR(Q46&gt;Q47,Z46&lt;Z47),"",ROUND(Q47*(IF($P47="",$P46,$P47)*SLA_ICA_EOS_Multa),2)))</f>
        <v/>
      </c>
      <c r="R48" s="57" t="str">
        <f>IF(R47="","",IF(R46&gt;R47,"",ROUND(R47*(IF($P47="",$P46,$P47)*SLA_ICP_CIHA_Multa),2)))</f>
        <v/>
      </c>
      <c r="S48" s="57" t="str">
        <f>IF(S47="","",IF(S46&gt;S47,"",ROUND(S47*(IF($P47="",$P46,$P47)*SLA_ICP_CIG_Multa),2)))</f>
        <v/>
      </c>
      <c r="T48" s="57" t="str">
        <f>IF(T47="","",IF(T46&gt;T47,"",ROUND(T47*(IF($P47="",$P46,$P47)*SLA_IQA_INGHA_Multa),2)))</f>
        <v/>
      </c>
      <c r="U48" s="57" t="str">
        <f>IF(U47="","",IF(U46&gt;U47,"",ROUND(U47*(IF($P47="",$P46,$P47)*SLA_IQA_IGHA_Multa),2)))</f>
        <v/>
      </c>
      <c r="V48" s="57" t="str">
        <f>IF(V47="","",IF(V46&gt;V47,"",ROUND(V47*(IF($P47="",$P46,$P47)*SLA_IQA_INGG_Multa),2)))</f>
        <v/>
      </c>
      <c r="W48" s="57" t="str">
        <f>IF(W47="","",IF(W46&gt;W47,"",ROUND(W47*(IF($P47="",$P46,$P47)*SLA_IQA_IGG_Multa),2)))</f>
        <v/>
      </c>
      <c r="X48" s="57" t="str">
        <f>IF(X47="","",IF(X46&gt;X47,"",ROUND(X47*(IF($P47="",$P46,$P47)*SLA_ICA_IOS_Multa),2)))</f>
        <v/>
      </c>
      <c r="Y48" s="57" t="str">
        <f>IF(Y47="","",IF(Y46&gt;Y47,"",ROUND(Y47*(IF($P47="",$P46,$P47)*SLA_ICA_SP_Multa),2)))</f>
        <v/>
      </c>
      <c r="Z48" s="57" t="str">
        <f>IF(Z47="","",IF(Z46&gt;Z47,"",ROUND(IF($P47="",$P46,$P47)*SLA_ICA_EOS_Multa,2)))</f>
        <v/>
      </c>
      <c r="AA48" t="str">
        <f>IF(A45="","","Total")</f>
        <v/>
      </c>
      <c r="AB48" s="21" t="str">
        <f>IF(SUM(AB46:AB47)=0,"",SUM(AB46:AB47))</f>
        <v/>
      </c>
      <c r="AC48" s="21" t="str">
        <f>IF(SUM(AC46:AC47)=0,"",SUM(AC46:AC47))</f>
        <v/>
      </c>
      <c r="AD48" s="21" t="str">
        <f>IF(SUM(AB48:AC48)=0,"",SUM(AB48:AC48))</f>
        <v/>
      </c>
      <c r="AE48" s="26" t="str">
        <f>IF(P46="","",IF(AD48="","",AD48/IF($P47="",$P46,$P47)))</f>
        <v/>
      </c>
    </row>
    <row r="49" spans="1:33" ht="15.75" x14ac:dyDescent="0.25">
      <c r="G49" s="20"/>
      <c r="H49" s="20"/>
      <c r="I49" s="20"/>
      <c r="J49" s="20"/>
      <c r="K49" s="20"/>
      <c r="L49" s="20"/>
      <c r="M49" s="20"/>
      <c r="N49" s="20"/>
      <c r="O49" s="35"/>
      <c r="P49" s="37"/>
    </row>
    <row r="50" spans="1:33" ht="15.75" x14ac:dyDescent="0.25">
      <c r="A50" s="54" t="str">
        <f>IF(ControleOSsMês!$G$1="Todas",IFERROR(INDEX(OSS[Número OS],INT((ROW()-ROW($A$3)-1)/5)+1,1),""),IFERROR(VLOOKUP(INT((ROW()-ROW($A$3)-1)/5)+1,OSMês[],2,FALSE),""))</f>
        <v/>
      </c>
      <c r="B50" s="71" t="str">
        <f>IF(A50="","",VLOOKUP(A50,OSS[],MATCH("Situação da OS",OSS[#Headers],0),FALSE))</f>
        <v/>
      </c>
      <c r="C50" s="71"/>
      <c r="D50" s="54" t="str">
        <f>IF(A50="","","em")</f>
        <v/>
      </c>
      <c r="E50" s="59" t="str">
        <f>IF(A50="","",VLOOKUP(A50,OSS[],MATCH("Data Situação",OSS[#Headers],0),FALSE))</f>
        <v/>
      </c>
      <c r="F50" s="68" t="str">
        <f>IF(A50="","","Titulo:")</f>
        <v/>
      </c>
      <c r="G50" s="31" t="str">
        <f>IF(A50="","",VLOOKUP(A50,OSS[],MATCH("Titulo",OSS[#Headers],0),FALSE))</f>
        <v/>
      </c>
      <c r="H50" s="30"/>
      <c r="I50" s="30"/>
      <c r="J50" s="30"/>
      <c r="K50" s="30"/>
      <c r="L50" s="30"/>
      <c r="M50" s="30"/>
      <c r="N50" s="30"/>
      <c r="O50" s="30"/>
      <c r="P50" s="30"/>
      <c r="Q50" s="68" t="str">
        <f>IF(A50="","","Tipo da OS:")</f>
        <v/>
      </c>
      <c r="R50" s="31" t="str">
        <f>IF(A50="","",VLOOKUP(A50,OSS[],MATCH("Tipo",OSS[#Headers],0),FALSE))</f>
        <v/>
      </c>
      <c r="S50" s="30"/>
      <c r="T50" s="30"/>
      <c r="U50" s="30"/>
      <c r="V50" s="30"/>
      <c r="W50" s="30"/>
      <c r="X50" s="30"/>
      <c r="Y50" s="30"/>
      <c r="Z50" s="30"/>
      <c r="AA50" s="58" t="str">
        <f>IF(A50="","","Número de Inconformidades")</f>
        <v/>
      </c>
      <c r="AB50" s="30"/>
      <c r="AC50" s="30"/>
      <c r="AD50" s="30"/>
      <c r="AE50" s="30"/>
      <c r="AF50" s="30"/>
      <c r="AG50" s="32"/>
    </row>
    <row r="51" spans="1:33" ht="15.75" x14ac:dyDescent="0.25">
      <c r="B51" s="66" t="str">
        <f>IF(A50="","","PF Pago")</f>
        <v/>
      </c>
      <c r="D51" t="str">
        <f>IF(A50="","",VLOOKUP(A50,OSS[],MATCH("PF Pago",OSS[#Headers],0),FALSE))</f>
        <v/>
      </c>
      <c r="F51" s="36" t="str">
        <f>IF(A50="","",VLOOKUP(A50,OSS[],MATCH("Abertura da OS",OSS[#Headers],0),FALSE))</f>
        <v/>
      </c>
      <c r="G51" s="20" t="str">
        <f>IF(F51="","",WORKDAY(F51,IF(IF(P52="",P51,P52)&lt;150,5,10)))</f>
        <v/>
      </c>
      <c r="H51" s="20" t="str">
        <f>IF(G51="","",WORKDAY(G51,5))</f>
        <v/>
      </c>
      <c r="I51" s="20" t="str">
        <f>IF(G51="","",G51+ROUND((IF(P52="",P51,P52)/(19*LN(IF(P52="",P51,P52))-42))*30*SLA_PrazoEntrega,0))</f>
        <v/>
      </c>
      <c r="J51" s="20" t="str">
        <f>IF(I51="","",WORKDAY(I51,IF(IF(P52="",P51,P52)&lt;150,5,10)))</f>
        <v/>
      </c>
      <c r="K51" s="20" t="str">
        <f>IF(J51="","",J51+ROUND((IF(P52="",P51,P52)/(19*LN(IF(P52="",P51,P52))-42))*30*SLA_PrazoAceite,0))</f>
        <v/>
      </c>
      <c r="L51" s="20" t="str">
        <f>IF(G51="","",G51+ROUND((IF(P52="",P51,P52)/(19*LN(IF(P52="",P51,P52))-42))*30,0))</f>
        <v/>
      </c>
      <c r="M51" s="20" t="str">
        <f>IF(K51="","",WORKDAY(K51,1))</f>
        <v/>
      </c>
      <c r="N51" s="20" t="str">
        <f>IF(M51="","",M51+SLA_PrazoGarantia)</f>
        <v/>
      </c>
      <c r="O51" s="29" t="str">
        <f>IF(A50="","","Previsto")</f>
        <v/>
      </c>
      <c r="P51" s="21" t="str">
        <f>IF(A50="","",VLOOKUP(A50,OSS[],MATCH("PF Previsto",OSS[#Headers],0),FALSE))</f>
        <v/>
      </c>
      <c r="Q51" s="57" t="str">
        <f>IF(F51="","",ROUND((L51-G51)*SLA_ICA_EOS,1))</f>
        <v/>
      </c>
      <c r="R51" s="21" t="str">
        <f>IF(F51="","",SLA_ICP_CIHA)</f>
        <v/>
      </c>
      <c r="S51" s="21" t="str">
        <f>IF(F51="","",SLA_ICP_CIG)</f>
        <v/>
      </c>
      <c r="T51" s="57" t="str">
        <f>IF(F51="","",SLA_IQA_INGHA)</f>
        <v/>
      </c>
      <c r="U51" s="57" t="str">
        <f>IF(F51="","",SLA_IQA_IGHA)</f>
        <v/>
      </c>
      <c r="V51" s="57" t="str">
        <f>IF(F51="","",SLA_IQA_INGG)</f>
        <v/>
      </c>
      <c r="W51" s="57" t="str">
        <f>IF(F51="","",SLA_IQA_IGG)</f>
        <v/>
      </c>
      <c r="X51" s="57" t="str">
        <f>IF(F51="","",ROUND((G51-F51)*SLA_ICA_IOS,1))</f>
        <v/>
      </c>
      <c r="Y51" s="57" t="str">
        <f>IF(OR(R50="Hora Java",R50="Hora dotNet"),SLA_ICA_SP,"")</f>
        <v/>
      </c>
      <c r="Z51" s="57" t="str">
        <f>IF(F51="","",ROUND((L51-G51)*SLA_ICA_EOS,1))</f>
        <v/>
      </c>
      <c r="AA51" t="str">
        <f>IF(A50="","","Homologação")</f>
        <v/>
      </c>
      <c r="AB51" s="21" t="str">
        <f>IF(J52="","",VLOOKUP(A50,OSS[],MATCH("Não Grave - Homologação",OSS[#Headers],0),FALSE))</f>
        <v/>
      </c>
      <c r="AC51" s="21" t="str">
        <f>IF(J52="","",VLOOKUP(A50,OSS[],MATCH("Grave - Homologação",OSS[#Headers],0),FALSE))</f>
        <v/>
      </c>
      <c r="AD51" s="21" t="str">
        <f>IF(J52="","",AB51+AC51)</f>
        <v/>
      </c>
      <c r="AE51" s="26" t="str">
        <f>IF(J52="","",AD51/IF($P52="",$P51,$P52))</f>
        <v/>
      </c>
      <c r="AF51" s="21" t="str">
        <f>IF(J52="","",VLOOKUP(A50,OSS[],MATCH("Atrasos para Correção Homologação",OSS[#Headers],0),FALSE))</f>
        <v/>
      </c>
      <c r="AG51" t="str">
        <f>IF(Y51="","",VLOOKUP(A50,OSS[],MATCH("Atraso para Substituição",OSS[#Headers],0),FALSE))</f>
        <v/>
      </c>
    </row>
    <row r="52" spans="1:33" ht="15.75" x14ac:dyDescent="0.25">
      <c r="B52" s="66" t="str">
        <f>IF(A50="","","Saldo de PF")</f>
        <v/>
      </c>
      <c r="C52" s="37"/>
      <c r="D52" s="37" t="str">
        <f>IF(P51="","",IF($P52="",$P51,$P52)+IF(P53="",0,P53)-IF(D51="",0,D51))</f>
        <v/>
      </c>
      <c r="E52" s="37"/>
      <c r="G52" s="20" t="str">
        <f>IF(A50="","",IF(VLOOKUP(A50,OSS[],MATCH("Data de Inicio",OSS[#Headers],0),FALSE)="","",VLOOKUP(A50,OSS[],MATCH("Data de Inicio",OSS[#Headers],0),FALSE)))</f>
        <v/>
      </c>
      <c r="H52" s="20" t="str">
        <f>IF(A50="","",IF(VLOOKUP(A50,OSS[],MATCH("Entrega do Plano da OS",OSS[#Headers],0),FALSE)="","",VLOOKUP(A50,OSS[],MATCH("Entrega do Plano da OS",OSS[#Headers],0),FALSE)))</f>
        <v/>
      </c>
      <c r="I52" s="20" t="str">
        <f>IF(A50="","",IF(VLOOKUP(A50,OSS[],MATCH("Entrega da OS",OSS[#Headers],0),FALSE)="","",VLOOKUP(A50,OSS[],MATCH("Entrega da OS",OSS[#Headers],0),FALSE)))</f>
        <v/>
      </c>
      <c r="J52" s="20" t="str">
        <f>IF(A50="","",IF(VLOOKUP(A50,OSS[],MATCH("Recebimento da OS",OSS[#Headers],0),FALSE)="","",VLOOKUP(A50,OSS[],MATCH("Recebimento da OS",OSS[#Headers],0),FALSE)))</f>
        <v/>
      </c>
      <c r="K52" s="20" t="str">
        <f>IF(A50="","",IF(VLOOKUP(A50,OSS[],MATCH("Aceite da OS",OSS[#Headers],0),FALSE)="","",VLOOKUP(A50,OSS[],MATCH("Aceite da OS",OSS[#Headers],0),FALSE)))</f>
        <v/>
      </c>
      <c r="L52" s="20" t="str">
        <f>IF(A50="","",IF(VLOOKUP(A50,OSS[],MATCH("Data de Termino",OSS[#Headers],0),FALSE)="","",VLOOKUP(A50,OSS[],MATCH("Data de Termino",OSS[#Headers],0),FALSE)))</f>
        <v/>
      </c>
      <c r="M52" s="20" t="str">
        <f>IF(K52="","",K52)</f>
        <v/>
      </c>
      <c r="N52" s="20" t="str">
        <f>IF(M52="","",M52+180)</f>
        <v/>
      </c>
      <c r="O52" s="29" t="str">
        <f>IF(A50="","","Apurado")</f>
        <v/>
      </c>
      <c r="P52" s="21" t="str">
        <f>IF(A50="","",IF(VLOOKUP(A50,OSS[],MATCH("PF Apurado",OSS[#Headers],0),FALSE)="","",VLOOKUP(A50,OSS[],MATCH("PF Apurado",OSS[#Headers],0),FALSE)))</f>
        <v/>
      </c>
      <c r="Q52" s="57" t="str">
        <f>IF(F51="","",IF(G52="","",IF(L52="",IF(DataRef&lt;L51,L51,DataRef),L52)-L51))</f>
        <v/>
      </c>
      <c r="R52" s="21" t="str">
        <f>IF(J52="","",AF51)</f>
        <v/>
      </c>
      <c r="S52" s="21" t="str">
        <f>IF(K52="","",AF52)</f>
        <v/>
      </c>
      <c r="T52" s="57" t="str">
        <f>IF(J52="","",AB51/IF($P52="",$P51,$P52))</f>
        <v/>
      </c>
      <c r="U52" s="57" t="str">
        <f>IF(J52="","",AC51/IF($P52="",$P51,$P52))</f>
        <v/>
      </c>
      <c r="V52" s="57" t="str">
        <f>IF(K52="","",AB52/IF($P52="",$P51,$P52))</f>
        <v/>
      </c>
      <c r="W52" s="57" t="str">
        <f>IF(K52="","",AC52/IF($P52="",$P51,$P52))</f>
        <v/>
      </c>
      <c r="X52" s="57" t="str">
        <f>IF(F51="","",IF(G52="",IF(DataRef&lt;G51,"",DataRef-G51),G52-G51))</f>
        <v/>
      </c>
      <c r="Y52" s="57" t="str">
        <f>IF(OR(R50="Hora Java",R50="Hora dotNet"),AG51,"")</f>
        <v/>
      </c>
      <c r="Z52" s="57" t="str">
        <f>IF(F51="","",IF(L52="",IF(DataRef&lt;L51,L51,DataRef),L52)-L51)</f>
        <v/>
      </c>
      <c r="AA52" t="str">
        <f>IF(A50="","","Garantia")</f>
        <v/>
      </c>
      <c r="AB52" s="21" t="str">
        <f>IF(K52="","",VLOOKUP(A50,OSS[],MATCH("Não Grave - Garantia",OSS[#Headers],0),FALSE))</f>
        <v/>
      </c>
      <c r="AC52" s="21" t="str">
        <f>IF(K52="","",VLOOKUP(A50,OSS[],MATCH("Grave - Garantia",OSS[#Headers],0),FALSE))</f>
        <v/>
      </c>
      <c r="AD52" s="21" t="str">
        <f>IF(K52="","",AB52+AC52)</f>
        <v/>
      </c>
      <c r="AE52" s="26" t="str">
        <f>IF(K52="","",AD52/IF($P52="",$P51,$P52))</f>
        <v/>
      </c>
      <c r="AF52" s="21" t="str">
        <f>IF(K52="","",VLOOKUP(A50,OSS[],MATCH("Atrasos para Correção Garantia",OSS[#Headers],0),FALSE))</f>
        <v/>
      </c>
    </row>
    <row r="53" spans="1:33" ht="15.75" x14ac:dyDescent="0.25">
      <c r="B53" s="66" t="str">
        <f>IF(A50="","","PF a Pagar")</f>
        <v/>
      </c>
      <c r="C53" s="67" t="str">
        <f>IF(D52="","",IF(B50="Recebida",(P52*0.8),IF(B50="Aceita",D52,0))+IF(D52&lt;0,D52,0))</f>
        <v/>
      </c>
      <c r="E53" s="37"/>
      <c r="K53" s="69" t="str">
        <f>IF(A50="","","Prazo previsto para execução em dias corridos")</f>
        <v/>
      </c>
      <c r="L53" s="70" t="str">
        <f>IF(G51="","",ROUND((IF(P52="",P51,P52)/(19*LN(IF(P52="",P51,P52))-42))*30,0))</f>
        <v/>
      </c>
      <c r="O53" s="29" t="str">
        <f>IF(A50="","","Multa")</f>
        <v/>
      </c>
      <c r="P53" s="25" t="str">
        <f>IF(SUM(Q53:Z53)=0,"",-ROUND(SUM(Q53:Z53),0))</f>
        <v/>
      </c>
      <c r="Q53" s="57" t="str">
        <f>IF(Q52="","",IF(OR(Q51&gt;Q52,Z51&lt;Z52),"",ROUND(Q52*(IF($P52="",$P51,$P52)*SLA_ICA_EOS_Multa),2)))</f>
        <v/>
      </c>
      <c r="R53" s="57" t="str">
        <f>IF(R52="","",IF(R51&gt;R52,"",ROUND(R52*(IF($P52="",$P51,$P52)*SLA_ICP_CIHA_Multa),2)))</f>
        <v/>
      </c>
      <c r="S53" s="57" t="str">
        <f>IF(S52="","",IF(S51&gt;S52,"",ROUND(S52*(IF($P52="",$P51,$P52)*SLA_ICP_CIG_Multa),2)))</f>
        <v/>
      </c>
      <c r="T53" s="57" t="str">
        <f>IF(T52="","",IF(T51&gt;T52,"",ROUND(T52*(IF($P52="",$P51,$P52)*SLA_IQA_INGHA_Multa),2)))</f>
        <v/>
      </c>
      <c r="U53" s="57" t="str">
        <f>IF(U52="","",IF(U51&gt;U52,"",ROUND(U52*(IF($P52="",$P51,$P52)*SLA_IQA_IGHA_Multa),2)))</f>
        <v/>
      </c>
      <c r="V53" s="57" t="str">
        <f>IF(V52="","",IF(V51&gt;V52,"",ROUND(V52*(IF($P52="",$P51,$P52)*SLA_IQA_INGG_Multa),2)))</f>
        <v/>
      </c>
      <c r="W53" s="57" t="str">
        <f>IF(W52="","",IF(W51&gt;W52,"",ROUND(W52*(IF($P52="",$P51,$P52)*SLA_IQA_IGG_Multa),2)))</f>
        <v/>
      </c>
      <c r="X53" s="57" t="str">
        <f>IF(X52="","",IF(X51&gt;X52,"",ROUND(X52*(IF($P52="",$P51,$P52)*SLA_ICA_IOS_Multa),2)))</f>
        <v/>
      </c>
      <c r="Y53" s="57" t="str">
        <f>IF(Y52="","",IF(Y51&gt;Y52,"",ROUND(Y52*(IF($P52="",$P51,$P52)*SLA_ICA_SP_Multa),2)))</f>
        <v/>
      </c>
      <c r="Z53" s="57" t="str">
        <f>IF(Z52="","",IF(Z51&gt;Z52,"",ROUND(IF($P52="",$P51,$P52)*SLA_ICA_EOS_Multa,2)))</f>
        <v/>
      </c>
      <c r="AA53" t="str">
        <f>IF(A50="","","Total")</f>
        <v/>
      </c>
      <c r="AB53" s="21" t="str">
        <f>IF(SUM(AB51:AB52)=0,"",SUM(AB51:AB52))</f>
        <v/>
      </c>
      <c r="AC53" s="21" t="str">
        <f>IF(SUM(AC51:AC52)=0,"",SUM(AC51:AC52))</f>
        <v/>
      </c>
      <c r="AD53" s="21" t="str">
        <f>IF(SUM(AB53:AC53)=0,"",SUM(AB53:AC53))</f>
        <v/>
      </c>
      <c r="AE53" s="26" t="str">
        <f>IF(P51="","",IF(AD53="","",AD53/IF($P52="",$P51,$P52)))</f>
        <v/>
      </c>
    </row>
    <row r="54" spans="1:33" ht="15.75" x14ac:dyDescent="0.25">
      <c r="G54" s="20"/>
      <c r="H54" s="20"/>
      <c r="I54" s="20"/>
      <c r="J54" s="20"/>
      <c r="K54" s="20"/>
      <c r="L54" s="20"/>
      <c r="M54" s="20"/>
      <c r="N54" s="20"/>
      <c r="O54" s="35"/>
      <c r="P54" s="37"/>
    </row>
    <row r="55" spans="1:33" ht="15.75" x14ac:dyDescent="0.25">
      <c r="A55" s="54" t="str">
        <f>IF(ControleOSsMês!$G$1="Todas",IFERROR(INDEX(OSS[Número OS],INT((ROW()-ROW($A$3)-1)/5)+1,1),""),IFERROR(VLOOKUP(INT((ROW()-ROW($A$3)-1)/5)+1,OSMês[],2,FALSE),""))</f>
        <v/>
      </c>
      <c r="B55" s="71" t="str">
        <f>IF(A55="","",VLOOKUP(A55,OSS[],MATCH("Situação da OS",OSS[#Headers],0),FALSE))</f>
        <v/>
      </c>
      <c r="C55" s="71"/>
      <c r="D55" s="54" t="str">
        <f>IF(A55="","","em")</f>
        <v/>
      </c>
      <c r="E55" s="59" t="str">
        <f>IF(A55="","",VLOOKUP(A55,OSS[],MATCH("Data Situação",OSS[#Headers],0),FALSE))</f>
        <v/>
      </c>
      <c r="F55" s="68" t="str">
        <f>IF(A55="","","Titulo:")</f>
        <v/>
      </c>
      <c r="G55" s="31" t="str">
        <f>IF(A55="","",VLOOKUP(A55,OSS[],MATCH("Titulo",OSS[#Headers],0),FALSE))</f>
        <v/>
      </c>
      <c r="H55" s="30"/>
      <c r="I55" s="30"/>
      <c r="J55" s="30"/>
      <c r="K55" s="30"/>
      <c r="L55" s="30"/>
      <c r="M55" s="30"/>
      <c r="N55" s="30"/>
      <c r="O55" s="30"/>
      <c r="P55" s="30"/>
      <c r="Q55" s="68" t="str">
        <f>IF(A55="","","Tipo da OS:")</f>
        <v/>
      </c>
      <c r="R55" s="31" t="str">
        <f>IF(A55="","",VLOOKUP(A55,OSS[],MATCH("Tipo",OSS[#Headers],0),FALSE))</f>
        <v/>
      </c>
      <c r="S55" s="30"/>
      <c r="T55" s="30"/>
      <c r="U55" s="30"/>
      <c r="V55" s="30"/>
      <c r="W55" s="30"/>
      <c r="X55" s="30"/>
      <c r="Y55" s="30"/>
      <c r="Z55" s="30"/>
      <c r="AA55" s="58" t="str">
        <f>IF(A55="","","Número de Inconformidades")</f>
        <v/>
      </c>
      <c r="AB55" s="30"/>
      <c r="AC55" s="30"/>
      <c r="AD55" s="30"/>
      <c r="AE55" s="30"/>
      <c r="AF55" s="30"/>
      <c r="AG55" s="32"/>
    </row>
    <row r="56" spans="1:33" ht="15.75" x14ac:dyDescent="0.25">
      <c r="B56" s="66" t="str">
        <f>IF(A55="","","PF Pago")</f>
        <v/>
      </c>
      <c r="D56" t="str">
        <f>IF(A55="","",VLOOKUP(A55,OSS[],MATCH("PF Pago",OSS[#Headers],0),FALSE))</f>
        <v/>
      </c>
      <c r="F56" s="36" t="str">
        <f>IF(A55="","",VLOOKUP(A55,OSS[],MATCH("Abertura da OS",OSS[#Headers],0),FALSE))</f>
        <v/>
      </c>
      <c r="G56" s="20" t="str">
        <f>IF(F56="","",WORKDAY(F56,IF(IF(P57="",P56,P57)&lt;150,5,10)))</f>
        <v/>
      </c>
      <c r="H56" s="20" t="str">
        <f>IF(G56="","",WORKDAY(G56,5))</f>
        <v/>
      </c>
      <c r="I56" s="20" t="str">
        <f>IF(G56="","",G56+ROUND((IF(P57="",P56,P57)/(19*LN(IF(P57="",P56,P57))-42))*30*SLA_PrazoEntrega,0))</f>
        <v/>
      </c>
      <c r="J56" s="20" t="str">
        <f>IF(I56="","",WORKDAY(I56,IF(IF(P57="",P56,P57)&lt;150,5,10)))</f>
        <v/>
      </c>
      <c r="K56" s="20" t="str">
        <f>IF(J56="","",J56+ROUND((IF(P57="",P56,P57)/(19*LN(IF(P57="",P56,P57))-42))*30*SLA_PrazoAceite,0))</f>
        <v/>
      </c>
      <c r="L56" s="20" t="str">
        <f>IF(G56="","",G56+ROUND((IF(P57="",P56,P57)/(19*LN(IF(P57="",P56,P57))-42))*30,0))</f>
        <v/>
      </c>
      <c r="M56" s="20" t="str">
        <f>IF(K56="","",WORKDAY(K56,1))</f>
        <v/>
      </c>
      <c r="N56" s="20" t="str">
        <f>IF(M56="","",M56+SLA_PrazoGarantia)</f>
        <v/>
      </c>
      <c r="O56" s="29" t="str">
        <f>IF(A55="","","Previsto")</f>
        <v/>
      </c>
      <c r="P56" s="21" t="str">
        <f>IF(A55="","",VLOOKUP(A55,OSS[],MATCH("PF Previsto",OSS[#Headers],0),FALSE))</f>
        <v/>
      </c>
      <c r="Q56" s="57" t="str">
        <f>IF(F56="","",ROUND((L56-G56)*SLA_ICA_EOS,1))</f>
        <v/>
      </c>
      <c r="R56" s="21" t="str">
        <f>IF(F56="","",SLA_ICP_CIHA)</f>
        <v/>
      </c>
      <c r="S56" s="21" t="str">
        <f>IF(F56="","",SLA_ICP_CIG)</f>
        <v/>
      </c>
      <c r="T56" s="57" t="str">
        <f>IF(F56="","",SLA_IQA_INGHA)</f>
        <v/>
      </c>
      <c r="U56" s="57" t="str">
        <f>IF(F56="","",SLA_IQA_IGHA)</f>
        <v/>
      </c>
      <c r="V56" s="57" t="str">
        <f>IF(F56="","",SLA_IQA_INGG)</f>
        <v/>
      </c>
      <c r="W56" s="57" t="str">
        <f>IF(F56="","",SLA_IQA_IGG)</f>
        <v/>
      </c>
      <c r="X56" s="57" t="str">
        <f>IF(F56="","",ROUND((G56-F56)*SLA_ICA_IOS,1))</f>
        <v/>
      </c>
      <c r="Y56" s="57" t="str">
        <f>IF(OR(R55="Hora Java",R55="Hora dotNet"),SLA_ICA_SP,"")</f>
        <v/>
      </c>
      <c r="Z56" s="57" t="str">
        <f>IF(F56="","",ROUND((L56-G56)*SLA_ICA_EOS,1))</f>
        <v/>
      </c>
      <c r="AA56" t="str">
        <f>IF(A55="","","Homologação")</f>
        <v/>
      </c>
      <c r="AB56" s="21" t="str">
        <f>IF(J57="","",VLOOKUP(A55,OSS[],MATCH("Não Grave - Homologação",OSS[#Headers],0),FALSE))</f>
        <v/>
      </c>
      <c r="AC56" s="21" t="str">
        <f>IF(J57="","",VLOOKUP(A55,OSS[],MATCH("Grave - Homologação",OSS[#Headers],0),FALSE))</f>
        <v/>
      </c>
      <c r="AD56" s="21" t="str">
        <f>IF(J57="","",AB56+AC56)</f>
        <v/>
      </c>
      <c r="AE56" s="26" t="str">
        <f>IF(J57="","",AD56/IF($P57="",$P56,$P57))</f>
        <v/>
      </c>
      <c r="AF56" s="21" t="str">
        <f>IF(J57="","",VLOOKUP(A55,OSS[],MATCH("Atrasos para Correção Homologação",OSS[#Headers],0),FALSE))</f>
        <v/>
      </c>
      <c r="AG56" t="str">
        <f>IF(Y56="","",VLOOKUP(A55,OSS[],MATCH("Atraso para Substituição",OSS[#Headers],0),FALSE))</f>
        <v/>
      </c>
    </row>
    <row r="57" spans="1:33" ht="15.75" x14ac:dyDescent="0.25">
      <c r="B57" s="66" t="str">
        <f>IF(A55="","","Saldo de PF")</f>
        <v/>
      </c>
      <c r="C57" s="37"/>
      <c r="D57" s="37" t="str">
        <f>IF(P56="","",IF($P57="",$P56,$P57)+IF(P58="",0,P58)-IF(D56="",0,D56))</f>
        <v/>
      </c>
      <c r="E57" s="37"/>
      <c r="G57" s="20" t="str">
        <f>IF(A55="","",IF(VLOOKUP(A55,OSS[],MATCH("Data de Inicio",OSS[#Headers],0),FALSE)="","",VLOOKUP(A55,OSS[],MATCH("Data de Inicio",OSS[#Headers],0),FALSE)))</f>
        <v/>
      </c>
      <c r="H57" s="20" t="str">
        <f>IF(A55="","",IF(VLOOKUP(A55,OSS[],MATCH("Entrega do Plano da OS",OSS[#Headers],0),FALSE)="","",VLOOKUP(A55,OSS[],MATCH("Entrega do Plano da OS",OSS[#Headers],0),FALSE)))</f>
        <v/>
      </c>
      <c r="I57" s="20" t="str">
        <f>IF(A55="","",IF(VLOOKUP(A55,OSS[],MATCH("Entrega da OS",OSS[#Headers],0),FALSE)="","",VLOOKUP(A55,OSS[],MATCH("Entrega da OS",OSS[#Headers],0),FALSE)))</f>
        <v/>
      </c>
      <c r="J57" s="20" t="str">
        <f>IF(A55="","",IF(VLOOKUP(A55,OSS[],MATCH("Recebimento da OS",OSS[#Headers],0),FALSE)="","",VLOOKUP(A55,OSS[],MATCH("Recebimento da OS",OSS[#Headers],0),FALSE)))</f>
        <v/>
      </c>
      <c r="K57" s="20" t="str">
        <f>IF(A55="","",IF(VLOOKUP(A55,OSS[],MATCH("Aceite da OS",OSS[#Headers],0),FALSE)="","",VLOOKUP(A55,OSS[],MATCH("Aceite da OS",OSS[#Headers],0),FALSE)))</f>
        <v/>
      </c>
      <c r="L57" s="20" t="str">
        <f>IF(A55="","",IF(VLOOKUP(A55,OSS[],MATCH("Data de Termino",OSS[#Headers],0),FALSE)="","",VLOOKUP(A55,OSS[],MATCH("Data de Termino",OSS[#Headers],0),FALSE)))</f>
        <v/>
      </c>
      <c r="M57" s="20" t="str">
        <f>IF(K57="","",K57)</f>
        <v/>
      </c>
      <c r="N57" s="20" t="str">
        <f>IF(M57="","",M57+180)</f>
        <v/>
      </c>
      <c r="O57" s="29" t="str">
        <f>IF(A55="","","Apurado")</f>
        <v/>
      </c>
      <c r="P57" s="21" t="str">
        <f>IF(A55="","",IF(VLOOKUP(A55,OSS[],MATCH("PF Apurado",OSS[#Headers],0),FALSE)="","",VLOOKUP(A55,OSS[],MATCH("PF Apurado",OSS[#Headers],0),FALSE)))</f>
        <v/>
      </c>
      <c r="Q57" s="57" t="str">
        <f>IF(F56="","",IF(G57="","",IF(L57="",IF(DataRef&lt;L56,L56,DataRef),L57)-L56))</f>
        <v/>
      </c>
      <c r="R57" s="21" t="str">
        <f>IF(J57="","",AF56)</f>
        <v/>
      </c>
      <c r="S57" s="21" t="str">
        <f>IF(K57="","",AF57)</f>
        <v/>
      </c>
      <c r="T57" s="57" t="str">
        <f>IF(J57="","",AB56/IF($P57="",$P56,$P57))</f>
        <v/>
      </c>
      <c r="U57" s="57" t="str">
        <f>IF(J57="","",AC56/IF($P57="",$P56,$P57))</f>
        <v/>
      </c>
      <c r="V57" s="57" t="str">
        <f>IF(K57="","",AB57/IF($P57="",$P56,$P57))</f>
        <v/>
      </c>
      <c r="W57" s="57" t="str">
        <f>IF(K57="","",AC57/IF($P57="",$P56,$P57))</f>
        <v/>
      </c>
      <c r="X57" s="57" t="str">
        <f>IF(F56="","",IF(G57="",IF(DataRef&lt;G56,"",DataRef-G56),G57-G56))</f>
        <v/>
      </c>
      <c r="Y57" s="57" t="str">
        <f>IF(OR(R55="Hora Java",R55="Hora dotNet"),AG56,"")</f>
        <v/>
      </c>
      <c r="Z57" s="57" t="str">
        <f>IF(F56="","",IF(L57="",IF(DataRef&lt;L56,L56,DataRef),L57)-L56)</f>
        <v/>
      </c>
      <c r="AA57" t="str">
        <f>IF(A55="","","Garantia")</f>
        <v/>
      </c>
      <c r="AB57" s="21" t="str">
        <f>IF(K57="","",VLOOKUP(A55,OSS[],MATCH("Não Grave - Garantia",OSS[#Headers],0),FALSE))</f>
        <v/>
      </c>
      <c r="AC57" s="21" t="str">
        <f>IF(K57="","",VLOOKUP(A55,OSS[],MATCH("Grave - Garantia",OSS[#Headers],0),FALSE))</f>
        <v/>
      </c>
      <c r="AD57" s="21" t="str">
        <f>IF(K57="","",AB57+AC57)</f>
        <v/>
      </c>
      <c r="AE57" s="26" t="str">
        <f>IF(K57="","",AD57/IF($P57="",$P56,$P57))</f>
        <v/>
      </c>
      <c r="AF57" s="21" t="str">
        <f>IF(K57="","",VLOOKUP(A55,OSS[],MATCH("Atrasos para Correção Garantia",OSS[#Headers],0),FALSE))</f>
        <v/>
      </c>
    </row>
    <row r="58" spans="1:33" ht="15.75" x14ac:dyDescent="0.25">
      <c r="B58" s="66" t="str">
        <f>IF(A55="","","PF a Pagar")</f>
        <v/>
      </c>
      <c r="C58" s="67" t="str">
        <f>IF(D57="","",IF(B55="Recebida",(P57*0.8),IF(B55="Aceita",D57,0))+IF(D57&lt;0,D57,0))</f>
        <v/>
      </c>
      <c r="E58" s="37"/>
      <c r="K58" s="69" t="str">
        <f>IF(A55="","","Prazo previsto para execução em dias corridos")</f>
        <v/>
      </c>
      <c r="L58" s="70" t="str">
        <f>IF(G56="","",ROUND((IF(P57="",P56,P57)/(19*LN(IF(P57="",P56,P57))-42))*30,0))</f>
        <v/>
      </c>
      <c r="O58" s="29" t="str">
        <f>IF(A55="","","Multa")</f>
        <v/>
      </c>
      <c r="P58" s="25" t="str">
        <f>IF(SUM(Q58:Z58)=0,"",-ROUND(SUM(Q58:Z58),0))</f>
        <v/>
      </c>
      <c r="Q58" s="57" t="str">
        <f>IF(Q57="","",IF(OR(Q56&gt;Q57,Z56&lt;Z57),"",ROUND(Q57*(IF($P57="",$P56,$P57)*SLA_ICA_EOS_Multa),2)))</f>
        <v/>
      </c>
      <c r="R58" s="57" t="str">
        <f>IF(R57="","",IF(R56&gt;R57,"",ROUND(R57*(IF($P57="",$P56,$P57)*SLA_ICP_CIHA_Multa),2)))</f>
        <v/>
      </c>
      <c r="S58" s="57" t="str">
        <f>IF(S57="","",IF(S56&gt;S57,"",ROUND(S57*(IF($P57="",$P56,$P57)*SLA_ICP_CIG_Multa),2)))</f>
        <v/>
      </c>
      <c r="T58" s="57" t="str">
        <f>IF(T57="","",IF(T56&gt;T57,"",ROUND(T57*(IF($P57="",$P56,$P57)*SLA_IQA_INGHA_Multa),2)))</f>
        <v/>
      </c>
      <c r="U58" s="57" t="str">
        <f>IF(U57="","",IF(U56&gt;U57,"",ROUND(U57*(IF($P57="",$P56,$P57)*SLA_IQA_IGHA_Multa),2)))</f>
        <v/>
      </c>
      <c r="V58" s="57" t="str">
        <f>IF(V57="","",IF(V56&gt;V57,"",ROUND(V57*(IF($P57="",$P56,$P57)*SLA_IQA_INGG_Multa),2)))</f>
        <v/>
      </c>
      <c r="W58" s="57" t="str">
        <f>IF(W57="","",IF(W56&gt;W57,"",ROUND(W57*(IF($P57="",$P56,$P57)*SLA_IQA_IGG_Multa),2)))</f>
        <v/>
      </c>
      <c r="X58" s="57" t="str">
        <f>IF(X57="","",IF(X56&gt;X57,"",ROUND(X57*(IF($P57="",$P56,$P57)*SLA_ICA_IOS_Multa),2)))</f>
        <v/>
      </c>
      <c r="Y58" s="57" t="str">
        <f>IF(Y57="","",IF(Y56&gt;Y57,"",ROUND(Y57*(IF($P57="",$P56,$P57)*SLA_ICA_SP_Multa),2)))</f>
        <v/>
      </c>
      <c r="Z58" s="57" t="str">
        <f>IF(Z57="","",IF(Z56&gt;Z57,"",ROUND(IF($P57="",$P56,$P57)*SLA_ICA_EOS_Multa,2)))</f>
        <v/>
      </c>
      <c r="AA58" t="str">
        <f>IF(A55="","","Total")</f>
        <v/>
      </c>
      <c r="AB58" s="21" t="str">
        <f>IF(SUM(AB56:AB57)=0,"",SUM(AB56:AB57))</f>
        <v/>
      </c>
      <c r="AC58" s="21" t="str">
        <f>IF(SUM(AC56:AC57)=0,"",SUM(AC56:AC57))</f>
        <v/>
      </c>
      <c r="AD58" s="21" t="str">
        <f>IF(SUM(AB58:AC58)=0,"",SUM(AB58:AC58))</f>
        <v/>
      </c>
      <c r="AE58" s="26" t="str">
        <f>IF(P56="","",IF(AD58="","",AD58/IF($P57="",$P56,$P57)))</f>
        <v/>
      </c>
    </row>
    <row r="59" spans="1:33" ht="15.75" x14ac:dyDescent="0.25">
      <c r="G59" s="20"/>
      <c r="H59" s="20"/>
      <c r="I59" s="20"/>
      <c r="J59" s="20"/>
      <c r="K59" s="20"/>
      <c r="L59" s="20"/>
      <c r="M59" s="20"/>
      <c r="N59" s="20"/>
      <c r="O59" s="35"/>
      <c r="P59" s="37"/>
    </row>
    <row r="60" spans="1:33" ht="15.75" x14ac:dyDescent="0.25">
      <c r="A60" s="54" t="str">
        <f>IF(ControleOSsMês!$G$1="Todas",IFERROR(INDEX(OSS[Número OS],INT((ROW()-ROW($A$3)-1)/5)+1,1),""),IFERROR(VLOOKUP(INT((ROW()-ROW($A$3)-1)/5)+1,OSMês[],2,FALSE),""))</f>
        <v/>
      </c>
      <c r="B60" s="71" t="str">
        <f>IF(A60="","",VLOOKUP(A60,OSS[],MATCH("Situação da OS",OSS[#Headers],0),FALSE))</f>
        <v/>
      </c>
      <c r="C60" s="71"/>
      <c r="D60" s="54" t="str">
        <f>IF(A60="","","em")</f>
        <v/>
      </c>
      <c r="E60" s="59" t="str">
        <f>IF(A60="","",VLOOKUP(A60,OSS[],MATCH("Data Situação",OSS[#Headers],0),FALSE))</f>
        <v/>
      </c>
      <c r="F60" s="68" t="str">
        <f>IF(A60="","","Titulo:")</f>
        <v/>
      </c>
      <c r="G60" s="31" t="str">
        <f>IF(A60="","",VLOOKUP(A60,OSS[],MATCH("Titulo",OSS[#Headers],0),FALSE))</f>
        <v/>
      </c>
      <c r="H60" s="30"/>
      <c r="I60" s="30"/>
      <c r="J60" s="30"/>
      <c r="K60" s="30"/>
      <c r="L60" s="30"/>
      <c r="M60" s="30"/>
      <c r="N60" s="30"/>
      <c r="O60" s="30"/>
      <c r="P60" s="30"/>
      <c r="Q60" s="68" t="str">
        <f>IF(A60="","","Tipo da OS:")</f>
        <v/>
      </c>
      <c r="R60" s="31" t="str">
        <f>IF(A60="","",VLOOKUP(A60,OSS[],MATCH("Tipo",OSS[#Headers],0),FALSE))</f>
        <v/>
      </c>
      <c r="S60" s="30"/>
      <c r="T60" s="30"/>
      <c r="U60" s="30"/>
      <c r="V60" s="30"/>
      <c r="W60" s="30"/>
      <c r="X60" s="30"/>
      <c r="Y60" s="30"/>
      <c r="Z60" s="30"/>
      <c r="AA60" s="58" t="str">
        <f>IF(A60="","","Número de Inconformidades")</f>
        <v/>
      </c>
      <c r="AB60" s="30"/>
      <c r="AC60" s="30"/>
      <c r="AD60" s="30"/>
      <c r="AE60" s="30"/>
      <c r="AF60" s="30"/>
      <c r="AG60" s="32"/>
    </row>
    <row r="61" spans="1:33" ht="15.75" x14ac:dyDescent="0.25">
      <c r="B61" s="66" t="str">
        <f>IF(A60="","","PF Pago")</f>
        <v/>
      </c>
      <c r="D61" t="str">
        <f>IF(A60="","",VLOOKUP(A60,OSS[],MATCH("PF Pago",OSS[#Headers],0),FALSE))</f>
        <v/>
      </c>
      <c r="F61" s="36" t="str">
        <f>IF(A60="","",VLOOKUP(A60,OSS[],MATCH("Abertura da OS",OSS[#Headers],0),FALSE))</f>
        <v/>
      </c>
      <c r="G61" s="20" t="str">
        <f>IF(F61="","",WORKDAY(F61,IF(IF(P62="",P61,P62)&lt;150,5,10)))</f>
        <v/>
      </c>
      <c r="H61" s="20" t="str">
        <f>IF(G61="","",WORKDAY(G61,5))</f>
        <v/>
      </c>
      <c r="I61" s="20" t="str">
        <f>IF(G61="","",G61+ROUND((IF(P62="",P61,P62)/(19*LN(IF(P62="",P61,P62))-42))*30*SLA_PrazoEntrega,0))</f>
        <v/>
      </c>
      <c r="J61" s="20" t="str">
        <f>IF(I61="","",WORKDAY(I61,IF(IF(P62="",P61,P62)&lt;150,5,10)))</f>
        <v/>
      </c>
      <c r="K61" s="20" t="str">
        <f>IF(J61="","",J61+ROUND((IF(P62="",P61,P62)/(19*LN(IF(P62="",P61,P62))-42))*30*SLA_PrazoAceite,0))</f>
        <v/>
      </c>
      <c r="L61" s="20" t="str">
        <f>IF(G61="","",G61+ROUND((IF(P62="",P61,P62)/(19*LN(IF(P62="",P61,P62))-42))*30,0))</f>
        <v/>
      </c>
      <c r="M61" s="20" t="str">
        <f>IF(K61="","",WORKDAY(K61,1))</f>
        <v/>
      </c>
      <c r="N61" s="20" t="str">
        <f>IF(M61="","",M61+SLA_PrazoGarantia)</f>
        <v/>
      </c>
      <c r="O61" s="29" t="str">
        <f>IF(A60="","","Previsto")</f>
        <v/>
      </c>
      <c r="P61" s="21" t="str">
        <f>IF(A60="","",VLOOKUP(A60,OSS[],MATCH("PF Previsto",OSS[#Headers],0),FALSE))</f>
        <v/>
      </c>
      <c r="Q61" s="57" t="str">
        <f>IF(F61="","",ROUND((L61-G61)*SLA_ICA_EOS,1))</f>
        <v/>
      </c>
      <c r="R61" s="21" t="str">
        <f>IF(F61="","",SLA_ICP_CIHA)</f>
        <v/>
      </c>
      <c r="S61" s="21" t="str">
        <f>IF(F61="","",SLA_ICP_CIG)</f>
        <v/>
      </c>
      <c r="T61" s="57" t="str">
        <f>IF(F61="","",SLA_IQA_INGHA)</f>
        <v/>
      </c>
      <c r="U61" s="57" t="str">
        <f>IF(F61="","",SLA_IQA_IGHA)</f>
        <v/>
      </c>
      <c r="V61" s="57" t="str">
        <f>IF(F61="","",SLA_IQA_INGG)</f>
        <v/>
      </c>
      <c r="W61" s="57" t="str">
        <f>IF(F61="","",SLA_IQA_IGG)</f>
        <v/>
      </c>
      <c r="X61" s="57" t="str">
        <f>IF(F61="","",ROUND((G61-F61)*SLA_ICA_IOS,1))</f>
        <v/>
      </c>
      <c r="Y61" s="57" t="str">
        <f>IF(OR(R60="Hora Java",R60="Hora dotNet"),SLA_ICA_SP,"")</f>
        <v/>
      </c>
      <c r="Z61" s="57" t="str">
        <f>IF(F61="","",ROUND((L61-G61)*SLA_ICA_EOS,1))</f>
        <v/>
      </c>
      <c r="AA61" t="str">
        <f>IF(A60="","","Homologação")</f>
        <v/>
      </c>
      <c r="AB61" s="21" t="str">
        <f>IF(J62="","",VLOOKUP(A60,OSS[],MATCH("Não Grave - Homologação",OSS[#Headers],0),FALSE))</f>
        <v/>
      </c>
      <c r="AC61" s="21" t="str">
        <f>IF(J62="","",VLOOKUP(A60,OSS[],MATCH("Grave - Homologação",OSS[#Headers],0),FALSE))</f>
        <v/>
      </c>
      <c r="AD61" s="21" t="str">
        <f>IF(J62="","",AB61+AC61)</f>
        <v/>
      </c>
      <c r="AE61" s="26" t="str">
        <f>IF(J62="","",AD61/IF($P62="",$P61,$P62))</f>
        <v/>
      </c>
      <c r="AF61" s="21" t="str">
        <f>IF(J62="","",VLOOKUP(A60,OSS[],MATCH("Atrasos para Correção Homologação",OSS[#Headers],0),FALSE))</f>
        <v/>
      </c>
      <c r="AG61" t="str">
        <f>IF(Y61="","",VLOOKUP(A60,OSS[],MATCH("Atraso para Substituição",OSS[#Headers],0),FALSE))</f>
        <v/>
      </c>
    </row>
    <row r="62" spans="1:33" ht="15.75" x14ac:dyDescent="0.25">
      <c r="B62" s="66" t="str">
        <f>IF(A60="","","Saldo de PF")</f>
        <v/>
      </c>
      <c r="C62" s="37"/>
      <c r="D62" s="37" t="str">
        <f>IF(P61="","",IF($P62="",$P61,$P62)+IF(P63="",0,P63)-IF(D61="",0,D61))</f>
        <v/>
      </c>
      <c r="E62" s="37"/>
      <c r="G62" s="20" t="str">
        <f>IF(A60="","",IF(VLOOKUP(A60,OSS[],MATCH("Data de Inicio",OSS[#Headers],0),FALSE)="","",VLOOKUP(A60,OSS[],MATCH("Data de Inicio",OSS[#Headers],0),FALSE)))</f>
        <v/>
      </c>
      <c r="H62" s="20" t="str">
        <f>IF(A60="","",IF(VLOOKUP(A60,OSS[],MATCH("Entrega do Plano da OS",OSS[#Headers],0),FALSE)="","",VLOOKUP(A60,OSS[],MATCH("Entrega do Plano da OS",OSS[#Headers],0),FALSE)))</f>
        <v/>
      </c>
      <c r="I62" s="20" t="str">
        <f>IF(A60="","",IF(VLOOKUP(A60,OSS[],MATCH("Entrega da OS",OSS[#Headers],0),FALSE)="","",VLOOKUP(A60,OSS[],MATCH("Entrega da OS",OSS[#Headers],0),FALSE)))</f>
        <v/>
      </c>
      <c r="J62" s="20" t="str">
        <f>IF(A60="","",IF(VLOOKUP(A60,OSS[],MATCH("Recebimento da OS",OSS[#Headers],0),FALSE)="","",VLOOKUP(A60,OSS[],MATCH("Recebimento da OS",OSS[#Headers],0),FALSE)))</f>
        <v/>
      </c>
      <c r="K62" s="20" t="str">
        <f>IF(A60="","",IF(VLOOKUP(A60,OSS[],MATCH("Aceite da OS",OSS[#Headers],0),FALSE)="","",VLOOKUP(A60,OSS[],MATCH("Aceite da OS",OSS[#Headers],0),FALSE)))</f>
        <v/>
      </c>
      <c r="L62" s="20" t="str">
        <f>IF(A60="","",IF(VLOOKUP(A60,OSS[],MATCH("Data de Termino",OSS[#Headers],0),FALSE)="","",VLOOKUP(A60,OSS[],MATCH("Data de Termino",OSS[#Headers],0),FALSE)))</f>
        <v/>
      </c>
      <c r="M62" s="20" t="str">
        <f>IF(K62="","",K62)</f>
        <v/>
      </c>
      <c r="N62" s="20" t="str">
        <f>IF(M62="","",M62+180)</f>
        <v/>
      </c>
      <c r="O62" s="29" t="str">
        <f>IF(A60="","","Apurado")</f>
        <v/>
      </c>
      <c r="P62" s="21" t="str">
        <f>IF(A60="","",IF(VLOOKUP(A60,OSS[],MATCH("PF Apurado",OSS[#Headers],0),FALSE)="","",VLOOKUP(A60,OSS[],MATCH("PF Apurado",OSS[#Headers],0),FALSE)))</f>
        <v/>
      </c>
      <c r="Q62" s="57" t="str">
        <f>IF(F61="","",IF(G62="","",IF(L62="",IF(DataRef&lt;L61,L61,DataRef),L62)-L61))</f>
        <v/>
      </c>
      <c r="R62" s="21" t="str">
        <f>IF(J62="","",AF61)</f>
        <v/>
      </c>
      <c r="S62" s="21" t="str">
        <f>IF(K62="","",AF62)</f>
        <v/>
      </c>
      <c r="T62" s="57" t="str">
        <f>IF(J62="","",AB61/IF($P62="",$P61,$P62))</f>
        <v/>
      </c>
      <c r="U62" s="57" t="str">
        <f>IF(J62="","",AC61/IF($P62="",$P61,$P62))</f>
        <v/>
      </c>
      <c r="V62" s="57" t="str">
        <f>IF(K62="","",AB62/IF($P62="",$P61,$P62))</f>
        <v/>
      </c>
      <c r="W62" s="57" t="str">
        <f>IF(K62="","",AC62/IF($P62="",$P61,$P62))</f>
        <v/>
      </c>
      <c r="X62" s="57" t="str">
        <f>IF(F61="","",IF(G62="",IF(DataRef&lt;G61,"",DataRef-G61),G62-G61))</f>
        <v/>
      </c>
      <c r="Y62" s="57" t="str">
        <f>IF(OR(R60="Hora Java",R60="Hora dotNet"),AG61,"")</f>
        <v/>
      </c>
      <c r="Z62" s="57" t="str">
        <f>IF(F61="","",IF(L62="",IF(DataRef&lt;L61,L61,DataRef),L62)-L61)</f>
        <v/>
      </c>
      <c r="AA62" t="str">
        <f>IF(A60="","","Garantia")</f>
        <v/>
      </c>
      <c r="AB62" s="21" t="str">
        <f>IF(K62="","",VLOOKUP(A60,OSS[],MATCH("Não Grave - Garantia",OSS[#Headers],0),FALSE))</f>
        <v/>
      </c>
      <c r="AC62" s="21" t="str">
        <f>IF(K62="","",VLOOKUP(A60,OSS[],MATCH("Grave - Garantia",OSS[#Headers],0),FALSE))</f>
        <v/>
      </c>
      <c r="AD62" s="21" t="str">
        <f>IF(K62="","",AB62+AC62)</f>
        <v/>
      </c>
      <c r="AE62" s="26" t="str">
        <f>IF(K62="","",AD62/IF($P62="",$P61,$P62))</f>
        <v/>
      </c>
      <c r="AF62" s="21" t="str">
        <f>IF(K62="","",VLOOKUP(A60,OSS[],MATCH("Atrasos para Correção Garantia",OSS[#Headers],0),FALSE))</f>
        <v/>
      </c>
    </row>
    <row r="63" spans="1:33" ht="15.75" x14ac:dyDescent="0.25">
      <c r="B63" s="66" t="str">
        <f>IF(A60="","","PF a Pagar")</f>
        <v/>
      </c>
      <c r="C63" s="67" t="str">
        <f>IF(D62="","",IF(B60="Recebida",(P62*0.8),IF(B60="Aceita",D62,0))+IF(D62&lt;0,D62,0))</f>
        <v/>
      </c>
      <c r="E63" s="37"/>
      <c r="K63" s="69" t="str">
        <f>IF(A60="","","Prazo previsto para execução em dias corridos")</f>
        <v/>
      </c>
      <c r="L63" s="70" t="str">
        <f>IF(G61="","",ROUND((IF(P62="",P61,P62)/(19*LN(IF(P62="",P61,P62))-42))*30,0))</f>
        <v/>
      </c>
      <c r="O63" s="29" t="str">
        <f>IF(A60="","","Multa")</f>
        <v/>
      </c>
      <c r="P63" s="25" t="str">
        <f>IF(SUM(Q63:Z63)=0,"",-ROUND(SUM(Q63:Z63),0))</f>
        <v/>
      </c>
      <c r="Q63" s="57" t="str">
        <f>IF(Q62="","",IF(OR(Q61&gt;Q62,Z61&lt;Z62),"",ROUND(Q62*(IF($P62="",$P61,$P62)*SLA_ICA_EOS_Multa),2)))</f>
        <v/>
      </c>
      <c r="R63" s="57" t="str">
        <f>IF(R62="","",IF(R61&gt;R62,"",ROUND(R62*(IF($P62="",$P61,$P62)*SLA_ICP_CIHA_Multa),2)))</f>
        <v/>
      </c>
      <c r="S63" s="57" t="str">
        <f>IF(S62="","",IF(S61&gt;S62,"",ROUND(S62*(IF($P62="",$P61,$P62)*SLA_ICP_CIG_Multa),2)))</f>
        <v/>
      </c>
      <c r="T63" s="57" t="str">
        <f>IF(T62="","",IF(T61&gt;T62,"",ROUND(T62*(IF($P62="",$P61,$P62)*SLA_IQA_INGHA_Multa),2)))</f>
        <v/>
      </c>
      <c r="U63" s="57" t="str">
        <f>IF(U62="","",IF(U61&gt;U62,"",ROUND(U62*(IF($P62="",$P61,$P62)*SLA_IQA_IGHA_Multa),2)))</f>
        <v/>
      </c>
      <c r="V63" s="57" t="str">
        <f>IF(V62="","",IF(V61&gt;V62,"",ROUND(V62*(IF($P62="",$P61,$P62)*SLA_IQA_INGG_Multa),2)))</f>
        <v/>
      </c>
      <c r="W63" s="57" t="str">
        <f>IF(W62="","",IF(W61&gt;W62,"",ROUND(W62*(IF($P62="",$P61,$P62)*SLA_IQA_IGG_Multa),2)))</f>
        <v/>
      </c>
      <c r="X63" s="57" t="str">
        <f>IF(X62="","",IF(X61&gt;X62,"",ROUND(X62*(IF($P62="",$P61,$P62)*SLA_ICA_IOS_Multa),2)))</f>
        <v/>
      </c>
      <c r="Y63" s="57" t="str">
        <f>IF(Y62="","",IF(Y61&gt;Y62,"",ROUND(Y62*(IF($P62="",$P61,$P62)*SLA_ICA_SP_Multa),2)))</f>
        <v/>
      </c>
      <c r="Z63" s="57" t="str">
        <f>IF(Z62="","",IF(Z61&gt;Z62,"",ROUND(IF($P62="",$P61,$P62)*SLA_ICA_EOS_Multa,2)))</f>
        <v/>
      </c>
      <c r="AA63" t="str">
        <f>IF(A60="","","Total")</f>
        <v/>
      </c>
      <c r="AB63" s="21" t="str">
        <f>IF(SUM(AB61:AB62)=0,"",SUM(AB61:AB62))</f>
        <v/>
      </c>
      <c r="AC63" s="21" t="str">
        <f>IF(SUM(AC61:AC62)=0,"",SUM(AC61:AC62))</f>
        <v/>
      </c>
      <c r="AD63" s="21" t="str">
        <f>IF(SUM(AB63:AC63)=0,"",SUM(AB63:AC63))</f>
        <v/>
      </c>
      <c r="AE63" s="26" t="str">
        <f>IF(P61="","",IF(AD63="","",AD63/IF($P62="",$P61,$P62)))</f>
        <v/>
      </c>
    </row>
    <row r="64" spans="1:33" ht="15.75" x14ac:dyDescent="0.25">
      <c r="G64" s="20"/>
      <c r="H64" s="20"/>
      <c r="I64" s="20"/>
      <c r="J64" s="20"/>
      <c r="K64" s="20"/>
      <c r="L64" s="20"/>
      <c r="M64" s="20"/>
      <c r="N64" s="20"/>
      <c r="O64" s="35"/>
      <c r="P64" s="37"/>
    </row>
    <row r="65" spans="1:33" ht="15.75" x14ac:dyDescent="0.25">
      <c r="A65" s="54" t="str">
        <f>IF(ControleOSsMês!$G$1="Todas",IFERROR(INDEX(OSS[Número OS],INT((ROW()-ROW($A$3)-1)/5)+1,1),""),IFERROR(VLOOKUP(INT((ROW()-ROW($A$3)-1)/5)+1,OSMês[],2,FALSE),""))</f>
        <v/>
      </c>
      <c r="B65" s="71" t="str">
        <f>IF(A65="","",VLOOKUP(A65,OSS[],MATCH("Situação da OS",OSS[#Headers],0),FALSE))</f>
        <v/>
      </c>
      <c r="C65" s="71"/>
      <c r="D65" s="54" t="str">
        <f>IF(A65="","","em")</f>
        <v/>
      </c>
      <c r="E65" s="59" t="str">
        <f>IF(A65="","",VLOOKUP(A65,OSS[],MATCH("Data Situação",OSS[#Headers],0),FALSE))</f>
        <v/>
      </c>
      <c r="F65" s="68" t="str">
        <f>IF(A65="","","Titulo:")</f>
        <v/>
      </c>
      <c r="G65" s="31" t="str">
        <f>IF(A65="","",VLOOKUP(A65,OSS[],MATCH("Titulo",OSS[#Headers],0),FALSE))</f>
        <v/>
      </c>
      <c r="H65" s="30"/>
      <c r="I65" s="30"/>
      <c r="J65" s="30"/>
      <c r="K65" s="30"/>
      <c r="L65" s="30"/>
      <c r="M65" s="30"/>
      <c r="N65" s="30"/>
      <c r="O65" s="30"/>
      <c r="P65" s="30"/>
      <c r="Q65" s="68" t="str">
        <f>IF(A65="","","Tipo da OS:")</f>
        <v/>
      </c>
      <c r="R65" s="31" t="str">
        <f>IF(A65="","",VLOOKUP(A65,OSS[],MATCH("Tipo",OSS[#Headers],0),FALSE))</f>
        <v/>
      </c>
      <c r="S65" s="30"/>
      <c r="T65" s="30"/>
      <c r="U65" s="30"/>
      <c r="V65" s="30"/>
      <c r="W65" s="30"/>
      <c r="X65" s="30"/>
      <c r="Y65" s="30"/>
      <c r="Z65" s="30"/>
      <c r="AA65" s="58" t="str">
        <f>IF(A65="","","Número de Inconformidades")</f>
        <v/>
      </c>
      <c r="AB65" s="30"/>
      <c r="AC65" s="30"/>
      <c r="AD65" s="30"/>
      <c r="AE65" s="30"/>
      <c r="AF65" s="30"/>
      <c r="AG65" s="32"/>
    </row>
    <row r="66" spans="1:33" ht="15.75" x14ac:dyDescent="0.25">
      <c r="B66" s="66" t="str">
        <f>IF(A65="","","PF Pago")</f>
        <v/>
      </c>
      <c r="D66" t="str">
        <f>IF(A65="","",VLOOKUP(A65,OSS[],MATCH("PF Pago",OSS[#Headers],0),FALSE))</f>
        <v/>
      </c>
      <c r="F66" s="36" t="str">
        <f>IF(A65="","",VLOOKUP(A65,OSS[],MATCH("Abertura da OS",OSS[#Headers],0),FALSE))</f>
        <v/>
      </c>
      <c r="G66" s="20" t="str">
        <f>IF(F66="","",WORKDAY(F66,IF(IF(P67="",P66,P67)&lt;150,5,10)))</f>
        <v/>
      </c>
      <c r="H66" s="20" t="str">
        <f>IF(G66="","",WORKDAY(G66,5))</f>
        <v/>
      </c>
      <c r="I66" s="20" t="str">
        <f>IF(G66="","",G66+ROUND((IF(P67="",P66,P67)/(19*LN(IF(P67="",P66,P67))-42))*30*SLA_PrazoEntrega,0))</f>
        <v/>
      </c>
      <c r="J66" s="20" t="str">
        <f>IF(I66="","",WORKDAY(I66,IF(IF(P67="",P66,P67)&lt;150,5,10)))</f>
        <v/>
      </c>
      <c r="K66" s="20" t="str">
        <f>IF(J66="","",J66+ROUND((IF(P67="",P66,P67)/(19*LN(IF(P67="",P66,P67))-42))*30*SLA_PrazoAceite,0))</f>
        <v/>
      </c>
      <c r="L66" s="20" t="str">
        <f>IF(G66="","",G66+ROUND((IF(P67="",P66,P67)/(19*LN(IF(P67="",P66,P67))-42))*30,0))</f>
        <v/>
      </c>
      <c r="M66" s="20" t="str">
        <f>IF(K66="","",WORKDAY(K66,1))</f>
        <v/>
      </c>
      <c r="N66" s="20" t="str">
        <f>IF(M66="","",M66+SLA_PrazoGarantia)</f>
        <v/>
      </c>
      <c r="O66" s="29" t="str">
        <f>IF(A65="","","Previsto")</f>
        <v/>
      </c>
      <c r="P66" s="21" t="str">
        <f>IF(A65="","",VLOOKUP(A65,OSS[],MATCH("PF Previsto",OSS[#Headers],0),FALSE))</f>
        <v/>
      </c>
      <c r="Q66" s="57" t="str">
        <f>IF(F66="","",ROUND((L66-G66)*SLA_ICA_EOS,1))</f>
        <v/>
      </c>
      <c r="R66" s="21" t="str">
        <f>IF(F66="","",SLA_ICP_CIHA)</f>
        <v/>
      </c>
      <c r="S66" s="21" t="str">
        <f>IF(F66="","",SLA_ICP_CIG)</f>
        <v/>
      </c>
      <c r="T66" s="57" t="str">
        <f>IF(F66="","",SLA_IQA_INGHA)</f>
        <v/>
      </c>
      <c r="U66" s="57" t="str">
        <f>IF(F66="","",SLA_IQA_IGHA)</f>
        <v/>
      </c>
      <c r="V66" s="57" t="str">
        <f>IF(F66="","",SLA_IQA_INGG)</f>
        <v/>
      </c>
      <c r="W66" s="57" t="str">
        <f>IF(F66="","",SLA_IQA_IGG)</f>
        <v/>
      </c>
      <c r="X66" s="57" t="str">
        <f>IF(F66="","",ROUND((G66-F66)*SLA_ICA_IOS,1))</f>
        <v/>
      </c>
      <c r="Y66" s="57" t="str">
        <f>IF(OR(R65="Hora Java",R65="Hora dotNet"),SLA_ICA_SP,"")</f>
        <v/>
      </c>
      <c r="Z66" s="57" t="str">
        <f>IF(F66="","",ROUND((L66-G66)*SLA_ICA_EOS,1))</f>
        <v/>
      </c>
      <c r="AA66" t="str">
        <f>IF(A65="","","Homologação")</f>
        <v/>
      </c>
      <c r="AB66" s="21" t="str">
        <f>IF(J67="","",VLOOKUP(A65,OSS[],MATCH("Não Grave - Homologação",OSS[#Headers],0),FALSE))</f>
        <v/>
      </c>
      <c r="AC66" s="21" t="str">
        <f>IF(J67="","",VLOOKUP(A65,OSS[],MATCH("Grave - Homologação",OSS[#Headers],0),FALSE))</f>
        <v/>
      </c>
      <c r="AD66" s="21" t="str">
        <f>IF(J67="","",AB66+AC66)</f>
        <v/>
      </c>
      <c r="AE66" s="26" t="str">
        <f>IF(J67="","",AD66/IF($P67="",$P66,$P67))</f>
        <v/>
      </c>
      <c r="AF66" s="21" t="str">
        <f>IF(J67="","",VLOOKUP(A65,OSS[],MATCH("Atrasos para Correção Homologação",OSS[#Headers],0),FALSE))</f>
        <v/>
      </c>
      <c r="AG66" t="str">
        <f>IF(Y66="","",VLOOKUP(A65,OSS[],MATCH("Atraso para Substituição",OSS[#Headers],0),FALSE))</f>
        <v/>
      </c>
    </row>
    <row r="67" spans="1:33" ht="15.75" x14ac:dyDescent="0.25">
      <c r="B67" s="66" t="str">
        <f>IF(A65="","","Saldo de PF")</f>
        <v/>
      </c>
      <c r="C67" s="37"/>
      <c r="D67" s="37" t="str">
        <f>IF(P66="","",IF($P67="",$P66,$P67)+IF(P68="",0,P68)-IF(D66="",0,D66))</f>
        <v/>
      </c>
      <c r="E67" s="37"/>
      <c r="G67" s="20" t="str">
        <f>IF(A65="","",IF(VLOOKUP(A65,OSS[],MATCH("Data de Inicio",OSS[#Headers],0),FALSE)="","",VLOOKUP(A65,OSS[],MATCH("Data de Inicio",OSS[#Headers],0),FALSE)))</f>
        <v/>
      </c>
      <c r="H67" s="20" t="str">
        <f>IF(A65="","",IF(VLOOKUP(A65,OSS[],MATCH("Entrega do Plano da OS",OSS[#Headers],0),FALSE)="","",VLOOKUP(A65,OSS[],MATCH("Entrega do Plano da OS",OSS[#Headers],0),FALSE)))</f>
        <v/>
      </c>
      <c r="I67" s="20" t="str">
        <f>IF(A65="","",IF(VLOOKUP(A65,OSS[],MATCH("Entrega da OS",OSS[#Headers],0),FALSE)="","",VLOOKUP(A65,OSS[],MATCH("Entrega da OS",OSS[#Headers],0),FALSE)))</f>
        <v/>
      </c>
      <c r="J67" s="20" t="str">
        <f>IF(A65="","",IF(VLOOKUP(A65,OSS[],MATCH("Recebimento da OS",OSS[#Headers],0),FALSE)="","",VLOOKUP(A65,OSS[],MATCH("Recebimento da OS",OSS[#Headers],0),FALSE)))</f>
        <v/>
      </c>
      <c r="K67" s="20" t="str">
        <f>IF(A65="","",IF(VLOOKUP(A65,OSS[],MATCH("Aceite da OS",OSS[#Headers],0),FALSE)="","",VLOOKUP(A65,OSS[],MATCH("Aceite da OS",OSS[#Headers],0),FALSE)))</f>
        <v/>
      </c>
      <c r="L67" s="20" t="str">
        <f>IF(A65="","",IF(VLOOKUP(A65,OSS[],MATCH("Data de Termino",OSS[#Headers],0),FALSE)="","",VLOOKUP(A65,OSS[],MATCH("Data de Termino",OSS[#Headers],0),FALSE)))</f>
        <v/>
      </c>
      <c r="M67" s="20" t="str">
        <f>IF(K67="","",K67)</f>
        <v/>
      </c>
      <c r="N67" s="20" t="str">
        <f>IF(M67="","",M67+180)</f>
        <v/>
      </c>
      <c r="O67" s="29" t="str">
        <f>IF(A65="","","Apurado")</f>
        <v/>
      </c>
      <c r="P67" s="21" t="str">
        <f>IF(A65="","",IF(VLOOKUP(A65,OSS[],MATCH("PF Apurado",OSS[#Headers],0),FALSE)="","",VLOOKUP(A65,OSS[],MATCH("PF Apurado",OSS[#Headers],0),FALSE)))</f>
        <v/>
      </c>
      <c r="Q67" s="57" t="str">
        <f>IF(F66="","",IF(G67="","",IF(L67="",IF(DataRef&lt;L66,L66,DataRef),L67)-L66))</f>
        <v/>
      </c>
      <c r="R67" s="21" t="str">
        <f>IF(J67="","",AF66)</f>
        <v/>
      </c>
      <c r="S67" s="21" t="str">
        <f>IF(K67="","",AF67)</f>
        <v/>
      </c>
      <c r="T67" s="57" t="str">
        <f>IF(J67="","",AB66/IF($P67="",$P66,$P67))</f>
        <v/>
      </c>
      <c r="U67" s="57" t="str">
        <f>IF(J67="","",AC66/IF($P67="",$P66,$P67))</f>
        <v/>
      </c>
      <c r="V67" s="57" t="str">
        <f>IF(K67="","",AB67/IF($P67="",$P66,$P67))</f>
        <v/>
      </c>
      <c r="W67" s="57" t="str">
        <f>IF(K67="","",AC67/IF($P67="",$P66,$P67))</f>
        <v/>
      </c>
      <c r="X67" s="57" t="str">
        <f>IF(F66="","",IF(G67="",IF(DataRef&lt;G66,"",DataRef-G66),G67-G66))</f>
        <v/>
      </c>
      <c r="Y67" s="57" t="str">
        <f>IF(OR(R65="Hora Java",R65="Hora dotNet"),AG66,"")</f>
        <v/>
      </c>
      <c r="Z67" s="57" t="str">
        <f>IF(F66="","",IF(L67="",IF(DataRef&lt;L66,L66,DataRef),L67)-L66)</f>
        <v/>
      </c>
      <c r="AA67" t="str">
        <f>IF(A65="","","Garantia")</f>
        <v/>
      </c>
      <c r="AB67" s="21" t="str">
        <f>IF(K67="","",VLOOKUP(A65,OSS[],MATCH("Não Grave - Garantia",OSS[#Headers],0),FALSE))</f>
        <v/>
      </c>
      <c r="AC67" s="21" t="str">
        <f>IF(K67="","",VLOOKUP(A65,OSS[],MATCH("Grave - Garantia",OSS[#Headers],0),FALSE))</f>
        <v/>
      </c>
      <c r="AD67" s="21" t="str">
        <f>IF(K67="","",AB67+AC67)</f>
        <v/>
      </c>
      <c r="AE67" s="26" t="str">
        <f>IF(K67="","",AD67/IF($P67="",$P66,$P67))</f>
        <v/>
      </c>
      <c r="AF67" s="21" t="str">
        <f>IF(K67="","",VLOOKUP(A65,OSS[],MATCH("Atrasos para Correção Garantia",OSS[#Headers],0),FALSE))</f>
        <v/>
      </c>
    </row>
    <row r="68" spans="1:33" ht="15.75" x14ac:dyDescent="0.25">
      <c r="B68" s="66" t="str">
        <f>IF(A65="","","PF a Pagar")</f>
        <v/>
      </c>
      <c r="C68" s="67" t="str">
        <f>IF(D67="","",IF(B65="Recebida",(P67*0.8),IF(B65="Aceita",D67,0))+IF(D67&lt;0,D67,0))</f>
        <v/>
      </c>
      <c r="E68" s="37"/>
      <c r="K68" s="69" t="str">
        <f>IF(A65="","","Prazo previsto para execução em dias corridos")</f>
        <v/>
      </c>
      <c r="L68" s="70" t="str">
        <f>IF(G66="","",ROUND((IF(P67="",P66,P67)/(19*LN(IF(P67="",P66,P67))-42))*30,0))</f>
        <v/>
      </c>
      <c r="O68" s="29" t="str">
        <f>IF(A65="","","Multa")</f>
        <v/>
      </c>
      <c r="P68" s="25" t="str">
        <f>IF(SUM(Q68:Z68)=0,"",-ROUND(SUM(Q68:Z68),0))</f>
        <v/>
      </c>
      <c r="Q68" s="57" t="str">
        <f>IF(Q67="","",IF(OR(Q66&gt;Q67,Z66&lt;Z67),"",ROUND(Q67*(IF($P67="",$P66,$P67)*SLA_ICA_EOS_Multa),2)))</f>
        <v/>
      </c>
      <c r="R68" s="57" t="str">
        <f>IF(R67="","",IF(R66&gt;R67,"",ROUND(R67*(IF($P67="",$P66,$P67)*SLA_ICP_CIHA_Multa),2)))</f>
        <v/>
      </c>
      <c r="S68" s="57" t="str">
        <f>IF(S67="","",IF(S66&gt;S67,"",ROUND(S67*(IF($P67="",$P66,$P67)*SLA_ICP_CIG_Multa),2)))</f>
        <v/>
      </c>
      <c r="T68" s="57" t="str">
        <f>IF(T67="","",IF(T66&gt;T67,"",ROUND(T67*(IF($P67="",$P66,$P67)*SLA_IQA_INGHA_Multa),2)))</f>
        <v/>
      </c>
      <c r="U68" s="57" t="str">
        <f>IF(U67="","",IF(U66&gt;U67,"",ROUND(U67*(IF($P67="",$P66,$P67)*SLA_IQA_IGHA_Multa),2)))</f>
        <v/>
      </c>
      <c r="V68" s="57" t="str">
        <f>IF(V67="","",IF(V66&gt;V67,"",ROUND(V67*(IF($P67="",$P66,$P67)*SLA_IQA_INGG_Multa),2)))</f>
        <v/>
      </c>
      <c r="W68" s="57" t="str">
        <f>IF(W67="","",IF(W66&gt;W67,"",ROUND(W67*(IF($P67="",$P66,$P67)*SLA_IQA_IGG_Multa),2)))</f>
        <v/>
      </c>
      <c r="X68" s="57" t="str">
        <f>IF(X67="","",IF(X66&gt;X67,"",ROUND(X67*(IF($P67="",$P66,$P67)*SLA_ICA_IOS_Multa),2)))</f>
        <v/>
      </c>
      <c r="Y68" s="57" t="str">
        <f>IF(Y67="","",IF(Y66&gt;Y67,"",ROUND(Y67*(IF($P67="",$P66,$P67)*SLA_ICA_SP_Multa),2)))</f>
        <v/>
      </c>
      <c r="Z68" s="57" t="str">
        <f>IF(Z67="","",IF(Z66&gt;Z67,"",ROUND(IF($P67="",$P66,$P67)*SLA_ICA_EOS_Multa,2)))</f>
        <v/>
      </c>
      <c r="AA68" t="str">
        <f>IF(A65="","","Total")</f>
        <v/>
      </c>
      <c r="AB68" s="21" t="str">
        <f>IF(SUM(AB66:AB67)=0,"",SUM(AB66:AB67))</f>
        <v/>
      </c>
      <c r="AC68" s="21" t="str">
        <f>IF(SUM(AC66:AC67)=0,"",SUM(AC66:AC67))</f>
        <v/>
      </c>
      <c r="AD68" s="21" t="str">
        <f>IF(SUM(AB68:AC68)=0,"",SUM(AB68:AC68))</f>
        <v/>
      </c>
      <c r="AE68" s="26" t="str">
        <f>IF(P66="","",IF(AD68="","",AD68/IF($P67="",$P66,$P67)))</f>
        <v/>
      </c>
    </row>
    <row r="69" spans="1:33" ht="15.75" x14ac:dyDescent="0.25">
      <c r="G69" s="20"/>
      <c r="H69" s="20"/>
      <c r="I69" s="20"/>
      <c r="J69" s="20"/>
      <c r="K69" s="20"/>
      <c r="L69" s="20"/>
      <c r="M69" s="20"/>
      <c r="N69" s="20"/>
      <c r="O69" s="35"/>
      <c r="P69" s="37"/>
    </row>
    <row r="70" spans="1:33" ht="15.75" x14ac:dyDescent="0.25">
      <c r="A70" s="54" t="str">
        <f>IF(ControleOSsMês!$G$1="Todas",IFERROR(INDEX(OSS[Número OS],INT((ROW()-ROW($A$3)-1)/5)+1,1),""),IFERROR(VLOOKUP(INT((ROW()-ROW($A$3)-1)/5)+1,OSMês[],2,FALSE),""))</f>
        <v/>
      </c>
      <c r="B70" s="71" t="str">
        <f>IF(A70="","",VLOOKUP(A70,OSS[],MATCH("Situação da OS",OSS[#Headers],0),FALSE))</f>
        <v/>
      </c>
      <c r="C70" s="71"/>
      <c r="D70" s="54" t="str">
        <f>IF(A70="","","em")</f>
        <v/>
      </c>
      <c r="E70" s="59" t="str">
        <f>IF(A70="","",VLOOKUP(A70,OSS[],MATCH("Data Situação",OSS[#Headers],0),FALSE))</f>
        <v/>
      </c>
      <c r="F70" s="68" t="str">
        <f>IF(A70="","","Titulo:")</f>
        <v/>
      </c>
      <c r="G70" s="31" t="str">
        <f>IF(A70="","",VLOOKUP(A70,OSS[],MATCH("Titulo",OSS[#Headers],0),FALSE))</f>
        <v/>
      </c>
      <c r="H70" s="30"/>
      <c r="I70" s="30"/>
      <c r="J70" s="30"/>
      <c r="K70" s="30"/>
      <c r="L70" s="30"/>
      <c r="M70" s="30"/>
      <c r="N70" s="30"/>
      <c r="O70" s="30"/>
      <c r="P70" s="30"/>
      <c r="Q70" s="68" t="str">
        <f>IF(A70="","","Tipo da OS:")</f>
        <v/>
      </c>
      <c r="R70" s="31" t="str">
        <f>IF(A70="","",VLOOKUP(A70,OSS[],MATCH("Tipo",OSS[#Headers],0),FALSE))</f>
        <v/>
      </c>
      <c r="S70" s="30"/>
      <c r="T70" s="30"/>
      <c r="U70" s="30"/>
      <c r="V70" s="30"/>
      <c r="W70" s="30"/>
      <c r="X70" s="30"/>
      <c r="Y70" s="30"/>
      <c r="Z70" s="30"/>
      <c r="AA70" s="58" t="str">
        <f>IF(A70="","","Número de Inconformidades")</f>
        <v/>
      </c>
      <c r="AB70" s="30"/>
      <c r="AC70" s="30"/>
      <c r="AD70" s="30"/>
      <c r="AE70" s="30"/>
      <c r="AF70" s="30"/>
      <c r="AG70" s="32"/>
    </row>
    <row r="71" spans="1:33" ht="15.75" x14ac:dyDescent="0.25">
      <c r="B71" s="66" t="str">
        <f>IF(A70="","","PF Pago")</f>
        <v/>
      </c>
      <c r="D71" t="str">
        <f>IF(A70="","",VLOOKUP(A70,OSS[],MATCH("PF Pago",OSS[#Headers],0),FALSE))</f>
        <v/>
      </c>
      <c r="F71" s="36" t="str">
        <f>IF(A70="","",VLOOKUP(A70,OSS[],MATCH("Abertura da OS",OSS[#Headers],0),FALSE))</f>
        <v/>
      </c>
      <c r="G71" s="20" t="str">
        <f>IF(F71="","",WORKDAY(F71,IF(IF(P72="",P71,P72)&lt;150,5,10)))</f>
        <v/>
      </c>
      <c r="H71" s="20" t="str">
        <f>IF(G71="","",WORKDAY(G71,5))</f>
        <v/>
      </c>
      <c r="I71" s="20" t="str">
        <f>IF(G71="","",G71+ROUND((IF(P72="",P71,P72)/(19*LN(IF(P72="",P71,P72))-42))*30*SLA_PrazoEntrega,0))</f>
        <v/>
      </c>
      <c r="J71" s="20" t="str">
        <f>IF(I71="","",WORKDAY(I71,IF(IF(P72="",P71,P72)&lt;150,5,10)))</f>
        <v/>
      </c>
      <c r="K71" s="20" t="str">
        <f>IF(J71="","",J71+ROUND((IF(P72="",P71,P72)/(19*LN(IF(P72="",P71,P72))-42))*30*SLA_PrazoAceite,0))</f>
        <v/>
      </c>
      <c r="L71" s="20" t="str">
        <f>IF(G71="","",G71+ROUND((IF(P72="",P71,P72)/(19*LN(IF(P72="",P71,P72))-42))*30,0))</f>
        <v/>
      </c>
      <c r="M71" s="20" t="str">
        <f>IF(K71="","",WORKDAY(K71,1))</f>
        <v/>
      </c>
      <c r="N71" s="20" t="str">
        <f>IF(M71="","",M71+SLA_PrazoGarantia)</f>
        <v/>
      </c>
      <c r="O71" s="29" t="str">
        <f>IF(A70="","","Previsto")</f>
        <v/>
      </c>
      <c r="P71" s="21" t="str">
        <f>IF(A70="","",VLOOKUP(A70,OSS[],MATCH("PF Previsto",OSS[#Headers],0),FALSE))</f>
        <v/>
      </c>
      <c r="Q71" s="57" t="str">
        <f>IF(F71="","",ROUND((L71-G71)*SLA_ICA_EOS,1))</f>
        <v/>
      </c>
      <c r="R71" s="21" t="str">
        <f>IF(F71="","",SLA_ICP_CIHA)</f>
        <v/>
      </c>
      <c r="S71" s="21" t="str">
        <f>IF(F71="","",SLA_ICP_CIG)</f>
        <v/>
      </c>
      <c r="T71" s="57" t="str">
        <f>IF(F71="","",SLA_IQA_INGHA)</f>
        <v/>
      </c>
      <c r="U71" s="57" t="str">
        <f>IF(F71="","",SLA_IQA_IGHA)</f>
        <v/>
      </c>
      <c r="V71" s="57" t="str">
        <f>IF(F71="","",SLA_IQA_INGG)</f>
        <v/>
      </c>
      <c r="W71" s="57" t="str">
        <f>IF(F71="","",SLA_IQA_IGG)</f>
        <v/>
      </c>
      <c r="X71" s="57" t="str">
        <f>IF(F71="","",ROUND((G71-F71)*SLA_ICA_IOS,1))</f>
        <v/>
      </c>
      <c r="Y71" s="57" t="str">
        <f>IF(OR(R70="Hora Java",R70="Hora dotNet"),SLA_ICA_SP,"")</f>
        <v/>
      </c>
      <c r="Z71" s="57" t="str">
        <f>IF(F71="","",ROUND((L71-G71)*SLA_ICA_EOS,1))</f>
        <v/>
      </c>
      <c r="AA71" t="str">
        <f>IF(A70="","","Homologação")</f>
        <v/>
      </c>
      <c r="AB71" s="21" t="str">
        <f>IF(J72="","",VLOOKUP(A70,OSS[],MATCH("Não Grave - Homologação",OSS[#Headers],0),FALSE))</f>
        <v/>
      </c>
      <c r="AC71" s="21" t="str">
        <f>IF(J72="","",VLOOKUP(A70,OSS[],MATCH("Grave - Homologação",OSS[#Headers],0),FALSE))</f>
        <v/>
      </c>
      <c r="AD71" s="21" t="str">
        <f>IF(J72="","",AB71+AC71)</f>
        <v/>
      </c>
      <c r="AE71" s="26" t="str">
        <f>IF(J72="","",AD71/IF($P72="",$P71,$P72))</f>
        <v/>
      </c>
      <c r="AF71" s="21" t="str">
        <f>IF(J72="","",VLOOKUP(A70,OSS[],MATCH("Atrasos para Correção Homologação",OSS[#Headers],0),FALSE))</f>
        <v/>
      </c>
      <c r="AG71" t="str">
        <f>IF(Y71="","",VLOOKUP(A70,OSS[],MATCH("Atraso para Substituição",OSS[#Headers],0),FALSE))</f>
        <v/>
      </c>
    </row>
    <row r="72" spans="1:33" ht="15.75" x14ac:dyDescent="0.25">
      <c r="B72" s="66" t="str">
        <f>IF(A70="","","Saldo de PF")</f>
        <v/>
      </c>
      <c r="C72" s="37"/>
      <c r="D72" s="37" t="str">
        <f>IF(P71="","",IF($P72="",$P71,$P72)+IF(P73="",0,P73)-IF(D71="",0,D71))</f>
        <v/>
      </c>
      <c r="E72" s="37"/>
      <c r="G72" s="20" t="str">
        <f>IF(A70="","",IF(VLOOKUP(A70,OSS[],MATCH("Data de Inicio",OSS[#Headers],0),FALSE)="","",VLOOKUP(A70,OSS[],MATCH("Data de Inicio",OSS[#Headers],0),FALSE)))</f>
        <v/>
      </c>
      <c r="H72" s="20" t="str">
        <f>IF(A70="","",IF(VLOOKUP(A70,OSS[],MATCH("Entrega do Plano da OS",OSS[#Headers],0),FALSE)="","",VLOOKUP(A70,OSS[],MATCH("Entrega do Plano da OS",OSS[#Headers],0),FALSE)))</f>
        <v/>
      </c>
      <c r="I72" s="20" t="str">
        <f>IF(A70="","",IF(VLOOKUP(A70,OSS[],MATCH("Entrega da OS",OSS[#Headers],0),FALSE)="","",VLOOKUP(A70,OSS[],MATCH("Entrega da OS",OSS[#Headers],0),FALSE)))</f>
        <v/>
      </c>
      <c r="J72" s="20" t="str">
        <f>IF(A70="","",IF(VLOOKUP(A70,OSS[],MATCH("Recebimento da OS",OSS[#Headers],0),FALSE)="","",VLOOKUP(A70,OSS[],MATCH("Recebimento da OS",OSS[#Headers],0),FALSE)))</f>
        <v/>
      </c>
      <c r="K72" s="20" t="str">
        <f>IF(A70="","",IF(VLOOKUP(A70,OSS[],MATCH("Aceite da OS",OSS[#Headers],0),FALSE)="","",VLOOKUP(A70,OSS[],MATCH("Aceite da OS",OSS[#Headers],0),FALSE)))</f>
        <v/>
      </c>
      <c r="L72" s="20" t="str">
        <f>IF(A70="","",IF(VLOOKUP(A70,OSS[],MATCH("Data de Termino",OSS[#Headers],0),FALSE)="","",VLOOKUP(A70,OSS[],MATCH("Data de Termino",OSS[#Headers],0),FALSE)))</f>
        <v/>
      </c>
      <c r="M72" s="20" t="str">
        <f>IF(K72="","",K72)</f>
        <v/>
      </c>
      <c r="N72" s="20" t="str">
        <f>IF(M72="","",M72+180)</f>
        <v/>
      </c>
      <c r="O72" s="29" t="str">
        <f>IF(A70="","","Apurado")</f>
        <v/>
      </c>
      <c r="P72" s="21" t="str">
        <f>IF(A70="","",IF(VLOOKUP(A70,OSS[],MATCH("PF Apurado",OSS[#Headers],0),FALSE)="","",VLOOKUP(A70,OSS[],MATCH("PF Apurado",OSS[#Headers],0),FALSE)))</f>
        <v/>
      </c>
      <c r="Q72" s="57" t="str">
        <f>IF(F71="","",IF(G72="","",IF(L72="",IF(DataRef&lt;L71,L71,DataRef),L72)-L71))</f>
        <v/>
      </c>
      <c r="R72" s="21" t="str">
        <f>IF(J72="","",AF71)</f>
        <v/>
      </c>
      <c r="S72" s="21" t="str">
        <f>IF(K72="","",AF72)</f>
        <v/>
      </c>
      <c r="T72" s="57" t="str">
        <f>IF(J72="","",AB71/IF($P72="",$P71,$P72))</f>
        <v/>
      </c>
      <c r="U72" s="57" t="str">
        <f>IF(J72="","",AC71/IF($P72="",$P71,$P72))</f>
        <v/>
      </c>
      <c r="V72" s="57" t="str">
        <f>IF(K72="","",AB72/IF($P72="",$P71,$P72))</f>
        <v/>
      </c>
      <c r="W72" s="57" t="str">
        <f>IF(K72="","",AC72/IF($P72="",$P71,$P72))</f>
        <v/>
      </c>
      <c r="X72" s="57" t="str">
        <f>IF(F71="","",IF(G72="",IF(DataRef&lt;G71,"",DataRef-G71),G72-G71))</f>
        <v/>
      </c>
      <c r="Y72" s="57" t="str">
        <f>IF(OR(R70="Hora Java",R70="Hora dotNet"),AG71,"")</f>
        <v/>
      </c>
      <c r="Z72" s="57" t="str">
        <f>IF(F71="","",IF(L72="",IF(DataRef&lt;L71,L71,DataRef),L72)-L71)</f>
        <v/>
      </c>
      <c r="AA72" t="str">
        <f>IF(A70="","","Garantia")</f>
        <v/>
      </c>
      <c r="AB72" s="21" t="str">
        <f>IF(K72="","",VLOOKUP(A70,OSS[],MATCH("Não Grave - Garantia",OSS[#Headers],0),FALSE))</f>
        <v/>
      </c>
      <c r="AC72" s="21" t="str">
        <f>IF(K72="","",VLOOKUP(A70,OSS[],MATCH("Grave - Garantia",OSS[#Headers],0),FALSE))</f>
        <v/>
      </c>
      <c r="AD72" s="21" t="str">
        <f>IF(K72="","",AB72+AC72)</f>
        <v/>
      </c>
      <c r="AE72" s="26" t="str">
        <f>IF(K72="","",AD72/IF($P72="",$P71,$P72))</f>
        <v/>
      </c>
      <c r="AF72" s="21" t="str">
        <f>IF(K72="","",VLOOKUP(A70,OSS[],MATCH("Atrasos para Correção Garantia",OSS[#Headers],0),FALSE))</f>
        <v/>
      </c>
    </row>
    <row r="73" spans="1:33" ht="15.75" x14ac:dyDescent="0.25">
      <c r="B73" s="66" t="str">
        <f>IF(A70="","","PF a Pagar")</f>
        <v/>
      </c>
      <c r="C73" s="67" t="str">
        <f>IF(D72="","",IF(B70="Recebida",(P72*0.8),IF(B70="Aceita",D72,0))+IF(D72&lt;0,D72,0))</f>
        <v/>
      </c>
      <c r="E73" s="37"/>
      <c r="K73" s="69" t="str">
        <f>IF(A70="","","Prazo previsto para execução em dias corridos")</f>
        <v/>
      </c>
      <c r="L73" s="70" t="str">
        <f>IF(G71="","",ROUND((IF(P72="",P71,P72)/(19*LN(IF(P72="",P71,P72))-42))*30,0))</f>
        <v/>
      </c>
      <c r="O73" s="29" t="str">
        <f>IF(A70="","","Multa")</f>
        <v/>
      </c>
      <c r="P73" s="25" t="str">
        <f>IF(SUM(Q73:Z73)=0,"",-ROUND(SUM(Q73:Z73),0))</f>
        <v/>
      </c>
      <c r="Q73" s="57" t="str">
        <f>IF(Q72="","",IF(OR(Q71&gt;Q72,Z71&lt;Z72),"",ROUND(Q72*(IF($P72="",$P71,$P72)*SLA_ICA_EOS_Multa),2)))</f>
        <v/>
      </c>
      <c r="R73" s="57" t="str">
        <f>IF(R72="","",IF(R71&gt;R72,"",ROUND(R72*(IF($P72="",$P71,$P72)*SLA_ICP_CIHA_Multa),2)))</f>
        <v/>
      </c>
      <c r="S73" s="57" t="str">
        <f>IF(S72="","",IF(S71&gt;S72,"",ROUND(S72*(IF($P72="",$P71,$P72)*SLA_ICP_CIG_Multa),2)))</f>
        <v/>
      </c>
      <c r="T73" s="57" t="str">
        <f>IF(T72="","",IF(T71&gt;T72,"",ROUND(T72*(IF($P72="",$P71,$P72)*SLA_IQA_INGHA_Multa),2)))</f>
        <v/>
      </c>
      <c r="U73" s="57" t="str">
        <f>IF(U72="","",IF(U71&gt;U72,"",ROUND(U72*(IF($P72="",$P71,$P72)*SLA_IQA_IGHA_Multa),2)))</f>
        <v/>
      </c>
      <c r="V73" s="57" t="str">
        <f>IF(V72="","",IF(V71&gt;V72,"",ROUND(V72*(IF($P72="",$P71,$P72)*SLA_IQA_INGG_Multa),2)))</f>
        <v/>
      </c>
      <c r="W73" s="57" t="str">
        <f>IF(W72="","",IF(W71&gt;W72,"",ROUND(W72*(IF($P72="",$P71,$P72)*SLA_IQA_IGG_Multa),2)))</f>
        <v/>
      </c>
      <c r="X73" s="57" t="str">
        <f>IF(X72="","",IF(X71&gt;X72,"",ROUND(X72*(IF($P72="",$P71,$P72)*SLA_ICA_IOS_Multa),2)))</f>
        <v/>
      </c>
      <c r="Y73" s="57" t="str">
        <f>IF(Y72="","",IF(Y71&gt;Y72,"",ROUND(Y72*(IF($P72="",$P71,$P72)*SLA_ICA_SP_Multa),2)))</f>
        <v/>
      </c>
      <c r="Z73" s="57" t="str">
        <f>IF(Z72="","",IF(Z71&gt;Z72,"",ROUND(IF($P72="",$P71,$P72)*SLA_ICA_EOS_Multa,2)))</f>
        <v/>
      </c>
      <c r="AA73" t="str">
        <f>IF(A70="","","Total")</f>
        <v/>
      </c>
      <c r="AB73" s="21" t="str">
        <f>IF(SUM(AB71:AB72)=0,"",SUM(AB71:AB72))</f>
        <v/>
      </c>
      <c r="AC73" s="21" t="str">
        <f>IF(SUM(AC71:AC72)=0,"",SUM(AC71:AC72))</f>
        <v/>
      </c>
      <c r="AD73" s="21" t="str">
        <f>IF(SUM(AB73:AC73)=0,"",SUM(AB73:AC73))</f>
        <v/>
      </c>
      <c r="AE73" s="26" t="str">
        <f>IF(P71="","",IF(AD73="","",AD73/IF($P72="",$P71,$P72)))</f>
        <v/>
      </c>
    </row>
    <row r="74" spans="1:33" ht="15.75" x14ac:dyDescent="0.25">
      <c r="G74" s="20"/>
      <c r="H74" s="20"/>
      <c r="I74" s="20"/>
      <c r="J74" s="20"/>
      <c r="K74" s="20"/>
      <c r="L74" s="20"/>
      <c r="M74" s="20"/>
      <c r="N74" s="20"/>
      <c r="O74" s="35"/>
      <c r="P74" s="37"/>
    </row>
    <row r="75" spans="1:33" ht="15.75" x14ac:dyDescent="0.25">
      <c r="A75" s="54" t="str">
        <f>IF(ControleOSsMês!$G$1="Todas",IFERROR(INDEX(OSS[Número OS],INT((ROW()-ROW($A$3)-1)/5)+1,1),""),IFERROR(VLOOKUP(INT((ROW()-ROW($A$3)-1)/5)+1,OSMês[],2,FALSE),""))</f>
        <v/>
      </c>
      <c r="B75" s="71" t="str">
        <f>IF(A75="","",VLOOKUP(A75,OSS[],MATCH("Situação da OS",OSS[#Headers],0),FALSE))</f>
        <v/>
      </c>
      <c r="C75" s="71"/>
      <c r="D75" s="54" t="str">
        <f>IF(A75="","","em")</f>
        <v/>
      </c>
      <c r="E75" s="59" t="str">
        <f>IF(A75="","",VLOOKUP(A75,OSS[],MATCH("Data Situação",OSS[#Headers],0),FALSE))</f>
        <v/>
      </c>
      <c r="F75" s="68" t="str">
        <f>IF(A75="","","Titulo:")</f>
        <v/>
      </c>
      <c r="G75" s="31" t="str">
        <f>IF(A75="","",VLOOKUP(A75,OSS[],MATCH("Titulo",OSS[#Headers],0),FALSE))</f>
        <v/>
      </c>
      <c r="H75" s="30"/>
      <c r="I75" s="30"/>
      <c r="J75" s="30"/>
      <c r="K75" s="30"/>
      <c r="L75" s="30"/>
      <c r="M75" s="30"/>
      <c r="N75" s="30"/>
      <c r="O75" s="30"/>
      <c r="P75" s="30"/>
      <c r="Q75" s="68" t="str">
        <f>IF(A75="","","Tipo da OS:")</f>
        <v/>
      </c>
      <c r="R75" s="31" t="str">
        <f>IF(A75="","",VLOOKUP(A75,OSS[],MATCH("Tipo",OSS[#Headers],0),FALSE))</f>
        <v/>
      </c>
      <c r="S75" s="30"/>
      <c r="T75" s="30"/>
      <c r="U75" s="30"/>
      <c r="V75" s="30"/>
      <c r="W75" s="30"/>
      <c r="X75" s="30"/>
      <c r="Y75" s="30"/>
      <c r="Z75" s="30"/>
      <c r="AA75" s="58" t="str">
        <f>IF(A75="","","Número de Inconformidades")</f>
        <v/>
      </c>
      <c r="AB75" s="30"/>
      <c r="AC75" s="30"/>
      <c r="AD75" s="30"/>
      <c r="AE75" s="30"/>
      <c r="AF75" s="30"/>
      <c r="AG75" s="32"/>
    </row>
    <row r="76" spans="1:33" ht="15.75" x14ac:dyDescent="0.25">
      <c r="B76" s="66" t="str">
        <f>IF(A75="","","PF Pago")</f>
        <v/>
      </c>
      <c r="D76" t="str">
        <f>IF(A75="","",VLOOKUP(A75,OSS[],MATCH("PF Pago",OSS[#Headers],0),FALSE))</f>
        <v/>
      </c>
      <c r="F76" s="36" t="str">
        <f>IF(A75="","",VLOOKUP(A75,OSS[],MATCH("Abertura da OS",OSS[#Headers],0),FALSE))</f>
        <v/>
      </c>
      <c r="G76" s="20" t="str">
        <f>IF(F76="","",WORKDAY(F76,IF(IF(P77="",P76,P77)&lt;150,5,10)))</f>
        <v/>
      </c>
      <c r="H76" s="20" t="str">
        <f>IF(G76="","",WORKDAY(G76,5))</f>
        <v/>
      </c>
      <c r="I76" s="20" t="str">
        <f>IF(G76="","",G76+ROUND((IF(P77="",P76,P77)/(19*LN(IF(P77="",P76,P77))-42))*30*SLA_PrazoEntrega,0))</f>
        <v/>
      </c>
      <c r="J76" s="20" t="str">
        <f>IF(I76="","",WORKDAY(I76,IF(IF(P77="",P76,P77)&lt;150,5,10)))</f>
        <v/>
      </c>
      <c r="K76" s="20" t="str">
        <f>IF(J76="","",J76+ROUND((IF(P77="",P76,P77)/(19*LN(IF(P77="",P76,P77))-42))*30*SLA_PrazoAceite,0))</f>
        <v/>
      </c>
      <c r="L76" s="20" t="str">
        <f>IF(G76="","",G76+ROUND((IF(P77="",P76,P77)/(19*LN(IF(P77="",P76,P77))-42))*30,0))</f>
        <v/>
      </c>
      <c r="M76" s="20" t="str">
        <f>IF(K76="","",WORKDAY(K76,1))</f>
        <v/>
      </c>
      <c r="N76" s="20" t="str">
        <f>IF(M76="","",M76+SLA_PrazoGarantia)</f>
        <v/>
      </c>
      <c r="O76" s="29" t="str">
        <f>IF(A75="","","Previsto")</f>
        <v/>
      </c>
      <c r="P76" s="21" t="str">
        <f>IF(A75="","",VLOOKUP(A75,OSS[],MATCH("PF Previsto",OSS[#Headers],0),FALSE))</f>
        <v/>
      </c>
      <c r="Q76" s="57" t="str">
        <f>IF(F76="","",ROUND((L76-G76)*SLA_ICA_EOS,1))</f>
        <v/>
      </c>
      <c r="R76" s="21" t="str">
        <f>IF(F76="","",SLA_ICP_CIHA)</f>
        <v/>
      </c>
      <c r="S76" s="21" t="str">
        <f>IF(F76="","",SLA_ICP_CIG)</f>
        <v/>
      </c>
      <c r="T76" s="57" t="str">
        <f>IF(F76="","",SLA_IQA_INGHA)</f>
        <v/>
      </c>
      <c r="U76" s="57" t="str">
        <f>IF(F76="","",SLA_IQA_IGHA)</f>
        <v/>
      </c>
      <c r="V76" s="57" t="str">
        <f>IF(F76="","",SLA_IQA_INGG)</f>
        <v/>
      </c>
      <c r="W76" s="57" t="str">
        <f>IF(F76="","",SLA_IQA_IGG)</f>
        <v/>
      </c>
      <c r="X76" s="57" t="str">
        <f>IF(F76="","",ROUND((G76-F76)*SLA_ICA_IOS,1))</f>
        <v/>
      </c>
      <c r="Y76" s="57" t="str">
        <f>IF(OR(R75="Hora Java",R75="Hora dotNet"),SLA_ICA_SP,"")</f>
        <v/>
      </c>
      <c r="Z76" s="57" t="str">
        <f>IF(F76="","",ROUND((L76-G76)*SLA_ICA_EOS,1))</f>
        <v/>
      </c>
      <c r="AA76" t="str">
        <f>IF(A75="","","Homologação")</f>
        <v/>
      </c>
      <c r="AB76" s="21" t="str">
        <f>IF(J77="","",VLOOKUP(A75,OSS[],MATCH("Não Grave - Homologação",OSS[#Headers],0),FALSE))</f>
        <v/>
      </c>
      <c r="AC76" s="21" t="str">
        <f>IF(J77="","",VLOOKUP(A75,OSS[],MATCH("Grave - Homologação",OSS[#Headers],0),FALSE))</f>
        <v/>
      </c>
      <c r="AD76" s="21" t="str">
        <f>IF(J77="","",AB76+AC76)</f>
        <v/>
      </c>
      <c r="AE76" s="26" t="str">
        <f>IF(J77="","",AD76/IF($P77="",$P76,$P77))</f>
        <v/>
      </c>
      <c r="AF76" s="21" t="str">
        <f>IF(J77="","",VLOOKUP(A75,OSS[],MATCH("Atrasos para Correção Homologação",OSS[#Headers],0),FALSE))</f>
        <v/>
      </c>
      <c r="AG76" t="str">
        <f>IF(Y76="","",VLOOKUP(A75,OSS[],MATCH("Atraso para Substituição",OSS[#Headers],0),FALSE))</f>
        <v/>
      </c>
    </row>
    <row r="77" spans="1:33" ht="15.75" x14ac:dyDescent="0.25">
      <c r="B77" s="66" t="str">
        <f>IF(A75="","","Saldo de PF")</f>
        <v/>
      </c>
      <c r="C77" s="37"/>
      <c r="D77" s="37" t="str">
        <f>IF(P76="","",IF($P77="",$P76,$P77)+IF(P78="",0,P78)-IF(D76="",0,D76))</f>
        <v/>
      </c>
      <c r="E77" s="37"/>
      <c r="G77" s="20" t="str">
        <f>IF(A75="","",IF(VLOOKUP(A75,OSS[],MATCH("Data de Inicio",OSS[#Headers],0),FALSE)="","",VLOOKUP(A75,OSS[],MATCH("Data de Inicio",OSS[#Headers],0),FALSE)))</f>
        <v/>
      </c>
      <c r="H77" s="20" t="str">
        <f>IF(A75="","",IF(VLOOKUP(A75,OSS[],MATCH("Entrega do Plano da OS",OSS[#Headers],0),FALSE)="","",VLOOKUP(A75,OSS[],MATCH("Entrega do Plano da OS",OSS[#Headers],0),FALSE)))</f>
        <v/>
      </c>
      <c r="I77" s="20" t="str">
        <f>IF(A75="","",IF(VLOOKUP(A75,OSS[],MATCH("Entrega da OS",OSS[#Headers],0),FALSE)="","",VLOOKUP(A75,OSS[],MATCH("Entrega da OS",OSS[#Headers],0),FALSE)))</f>
        <v/>
      </c>
      <c r="J77" s="20" t="str">
        <f>IF(A75="","",IF(VLOOKUP(A75,OSS[],MATCH("Recebimento da OS",OSS[#Headers],0),FALSE)="","",VLOOKUP(A75,OSS[],MATCH("Recebimento da OS",OSS[#Headers],0),FALSE)))</f>
        <v/>
      </c>
      <c r="K77" s="20" t="str">
        <f>IF(A75="","",IF(VLOOKUP(A75,OSS[],MATCH("Aceite da OS",OSS[#Headers],0),FALSE)="","",VLOOKUP(A75,OSS[],MATCH("Aceite da OS",OSS[#Headers],0),FALSE)))</f>
        <v/>
      </c>
      <c r="L77" s="20" t="str">
        <f>IF(A75="","",IF(VLOOKUP(A75,OSS[],MATCH("Data de Termino",OSS[#Headers],0),FALSE)="","",VLOOKUP(A75,OSS[],MATCH("Data de Termino",OSS[#Headers],0),FALSE)))</f>
        <v/>
      </c>
      <c r="M77" s="20" t="str">
        <f>IF(K77="","",K77)</f>
        <v/>
      </c>
      <c r="N77" s="20" t="str">
        <f>IF(M77="","",M77+180)</f>
        <v/>
      </c>
      <c r="O77" s="29" t="str">
        <f>IF(A75="","","Apurado")</f>
        <v/>
      </c>
      <c r="P77" s="21" t="str">
        <f>IF(A75="","",IF(VLOOKUP(A75,OSS[],MATCH("PF Apurado",OSS[#Headers],0),FALSE)="","",VLOOKUP(A75,OSS[],MATCH("PF Apurado",OSS[#Headers],0),FALSE)))</f>
        <v/>
      </c>
      <c r="Q77" s="57" t="str">
        <f>IF(F76="","",IF(G77="","",IF(L77="",IF(DataRef&lt;L76,L76,DataRef),L77)-L76))</f>
        <v/>
      </c>
      <c r="R77" s="21" t="str">
        <f>IF(J77="","",AF76)</f>
        <v/>
      </c>
      <c r="S77" s="21" t="str">
        <f>IF(K77="","",AF77)</f>
        <v/>
      </c>
      <c r="T77" s="57" t="str">
        <f>IF(J77="","",AB76/IF($P77="",$P76,$P77))</f>
        <v/>
      </c>
      <c r="U77" s="57" t="str">
        <f>IF(J77="","",AC76/IF($P77="",$P76,$P77))</f>
        <v/>
      </c>
      <c r="V77" s="57" t="str">
        <f>IF(K77="","",AB77/IF($P77="",$P76,$P77))</f>
        <v/>
      </c>
      <c r="W77" s="57" t="str">
        <f>IF(K77="","",AC77/IF($P77="",$P76,$P77))</f>
        <v/>
      </c>
      <c r="X77" s="57" t="str">
        <f>IF(F76="","",IF(G77="",IF(DataRef&lt;G76,"",DataRef-G76),G77-G76))</f>
        <v/>
      </c>
      <c r="Y77" s="57" t="str">
        <f>IF(OR(R75="Hora Java",R75="Hora dotNet"),AG76,"")</f>
        <v/>
      </c>
      <c r="Z77" s="57" t="str">
        <f>IF(F76="","",IF(L77="",IF(DataRef&lt;L76,L76,DataRef),L77)-L76)</f>
        <v/>
      </c>
      <c r="AA77" t="str">
        <f>IF(A75="","","Garantia")</f>
        <v/>
      </c>
      <c r="AB77" s="21" t="str">
        <f>IF(K77="","",VLOOKUP(A75,OSS[],MATCH("Não Grave - Garantia",OSS[#Headers],0),FALSE))</f>
        <v/>
      </c>
      <c r="AC77" s="21" t="str">
        <f>IF(K77="","",VLOOKUP(A75,OSS[],MATCH("Grave - Garantia",OSS[#Headers],0),FALSE))</f>
        <v/>
      </c>
      <c r="AD77" s="21" t="str">
        <f>IF(K77="","",AB77+AC77)</f>
        <v/>
      </c>
      <c r="AE77" s="26" t="str">
        <f>IF(K77="","",AD77/IF($P77="",$P76,$P77))</f>
        <v/>
      </c>
      <c r="AF77" s="21" t="str">
        <f>IF(K77="","",VLOOKUP(A75,OSS[],MATCH("Atrasos para Correção Garantia",OSS[#Headers],0),FALSE))</f>
        <v/>
      </c>
    </row>
    <row r="78" spans="1:33" ht="15.75" x14ac:dyDescent="0.25">
      <c r="B78" s="66" t="str">
        <f>IF(A75="","","PF a Pagar")</f>
        <v/>
      </c>
      <c r="C78" s="67" t="str">
        <f>IF(D77="","",IF(B75="Recebida",(P77*0.8),IF(B75="Aceita",D77,0))+IF(D77&lt;0,D77,0))</f>
        <v/>
      </c>
      <c r="E78" s="37"/>
      <c r="K78" s="69" t="str">
        <f>IF(A75="","","Prazo previsto para execução em dias corridos")</f>
        <v/>
      </c>
      <c r="L78" s="70" t="str">
        <f>IF(G76="","",ROUND((IF(P77="",P76,P77)/(19*LN(IF(P77="",P76,P77))-42))*30,0))</f>
        <v/>
      </c>
      <c r="O78" s="29" t="str">
        <f>IF(A75="","","Multa")</f>
        <v/>
      </c>
      <c r="P78" s="25" t="str">
        <f>IF(SUM(Q78:Z78)=0,"",-ROUND(SUM(Q78:Z78),0))</f>
        <v/>
      </c>
      <c r="Q78" s="57" t="str">
        <f>IF(Q77="","",IF(OR(Q76&gt;Q77,Z76&lt;Z77),"",ROUND(Q77*(IF($P77="",$P76,$P77)*SLA_ICA_EOS_Multa),2)))</f>
        <v/>
      </c>
      <c r="R78" s="57" t="str">
        <f>IF(R77="","",IF(R76&gt;R77,"",ROUND(R77*(IF($P77="",$P76,$P77)*SLA_ICP_CIHA_Multa),2)))</f>
        <v/>
      </c>
      <c r="S78" s="57" t="str">
        <f>IF(S77="","",IF(S76&gt;S77,"",ROUND(S77*(IF($P77="",$P76,$P77)*SLA_ICP_CIG_Multa),2)))</f>
        <v/>
      </c>
      <c r="T78" s="57" t="str">
        <f>IF(T77="","",IF(T76&gt;T77,"",ROUND(T77*(IF($P77="",$P76,$P77)*SLA_IQA_INGHA_Multa),2)))</f>
        <v/>
      </c>
      <c r="U78" s="57" t="str">
        <f>IF(U77="","",IF(U76&gt;U77,"",ROUND(U77*(IF($P77="",$P76,$P77)*SLA_IQA_IGHA_Multa),2)))</f>
        <v/>
      </c>
      <c r="V78" s="57" t="str">
        <f>IF(V77="","",IF(V76&gt;V77,"",ROUND(V77*(IF($P77="",$P76,$P77)*SLA_IQA_INGG_Multa),2)))</f>
        <v/>
      </c>
      <c r="W78" s="57" t="str">
        <f>IF(W77="","",IF(W76&gt;W77,"",ROUND(W77*(IF($P77="",$P76,$P77)*SLA_IQA_IGG_Multa),2)))</f>
        <v/>
      </c>
      <c r="X78" s="57" t="str">
        <f>IF(X77="","",IF(X76&gt;X77,"",ROUND(X77*(IF($P77="",$P76,$P77)*SLA_ICA_IOS_Multa),2)))</f>
        <v/>
      </c>
      <c r="Y78" s="57" t="str">
        <f>IF(Y77="","",IF(Y76&gt;Y77,"",ROUND(Y77*(IF($P77="",$P76,$P77)*SLA_ICA_SP_Multa),2)))</f>
        <v/>
      </c>
      <c r="Z78" s="57" t="str">
        <f>IF(Z77="","",IF(Z76&gt;Z77,"",ROUND(IF($P77="",$P76,$P77)*SLA_ICA_EOS_Multa,2)))</f>
        <v/>
      </c>
      <c r="AA78" t="str">
        <f>IF(A75="","","Total")</f>
        <v/>
      </c>
      <c r="AB78" s="21" t="str">
        <f>IF(SUM(AB76:AB77)=0,"",SUM(AB76:AB77))</f>
        <v/>
      </c>
      <c r="AC78" s="21" t="str">
        <f>IF(SUM(AC76:AC77)=0,"",SUM(AC76:AC77))</f>
        <v/>
      </c>
      <c r="AD78" s="21" t="str">
        <f>IF(SUM(AB78:AC78)=0,"",SUM(AB78:AC78))</f>
        <v/>
      </c>
      <c r="AE78" s="26" t="str">
        <f>IF(P76="","",IF(AD78="","",AD78/IF($P77="",$P76,$P77)))</f>
        <v/>
      </c>
    </row>
    <row r="79" spans="1:33" ht="15.75" x14ac:dyDescent="0.25">
      <c r="G79" s="20"/>
      <c r="H79" s="20"/>
      <c r="I79" s="20"/>
      <c r="J79" s="20"/>
      <c r="K79" s="20"/>
      <c r="L79" s="20"/>
      <c r="M79" s="20"/>
      <c r="N79" s="20"/>
      <c r="O79" s="35"/>
      <c r="P79" s="37"/>
    </row>
    <row r="80" spans="1:33" ht="15.75" x14ac:dyDescent="0.25">
      <c r="A80" s="54" t="str">
        <f>IF(ControleOSsMês!$G$1="Todas",IFERROR(INDEX(OSS[Número OS],INT((ROW()-ROW($A$3)-1)/5)+1,1),""),IFERROR(VLOOKUP(INT((ROW()-ROW($A$3)-1)/5)+1,OSMês[],2,FALSE),""))</f>
        <v/>
      </c>
      <c r="B80" s="71" t="str">
        <f>IF(A80="","",VLOOKUP(A80,OSS[],MATCH("Situação da OS",OSS[#Headers],0),FALSE))</f>
        <v/>
      </c>
      <c r="C80" s="71"/>
      <c r="D80" s="54" t="str">
        <f>IF(A80="","","em")</f>
        <v/>
      </c>
      <c r="E80" s="59" t="str">
        <f>IF(A80="","",VLOOKUP(A80,OSS[],MATCH("Data Situação",OSS[#Headers],0),FALSE))</f>
        <v/>
      </c>
      <c r="F80" s="68" t="str">
        <f>IF(A80="","","Titulo:")</f>
        <v/>
      </c>
      <c r="G80" s="31" t="str">
        <f>IF(A80="","",VLOOKUP(A80,OSS[],MATCH("Titulo",OSS[#Headers],0),FALSE))</f>
        <v/>
      </c>
      <c r="H80" s="30"/>
      <c r="I80" s="30"/>
      <c r="J80" s="30"/>
      <c r="K80" s="30"/>
      <c r="L80" s="30"/>
      <c r="M80" s="30"/>
      <c r="N80" s="30"/>
      <c r="O80" s="30"/>
      <c r="P80" s="30"/>
      <c r="Q80" s="68" t="str">
        <f>IF(A80="","","Tipo da OS:")</f>
        <v/>
      </c>
      <c r="R80" s="31" t="str">
        <f>IF(A80="","",VLOOKUP(A80,OSS[],MATCH("Tipo",OSS[#Headers],0),FALSE))</f>
        <v/>
      </c>
      <c r="S80" s="30"/>
      <c r="T80" s="30"/>
      <c r="U80" s="30"/>
      <c r="V80" s="30"/>
      <c r="W80" s="30"/>
      <c r="X80" s="30"/>
      <c r="Y80" s="30"/>
      <c r="Z80" s="30"/>
      <c r="AA80" s="58" t="str">
        <f>IF(A80="","","Número de Inconformidades")</f>
        <v/>
      </c>
      <c r="AB80" s="30"/>
      <c r="AC80" s="30"/>
      <c r="AD80" s="30"/>
      <c r="AE80" s="30"/>
      <c r="AF80" s="30"/>
      <c r="AG80" s="32"/>
    </row>
    <row r="81" spans="1:33" ht="15.75" x14ac:dyDescent="0.25">
      <c r="B81" s="66" t="str">
        <f>IF(A80="","","PF Pago")</f>
        <v/>
      </c>
      <c r="D81" t="str">
        <f>IF(A80="","",VLOOKUP(A80,OSS[],MATCH("PF Pago",OSS[#Headers],0),FALSE))</f>
        <v/>
      </c>
      <c r="F81" s="36" t="str">
        <f>IF(A80="","",VLOOKUP(A80,OSS[],MATCH("Abertura da OS",OSS[#Headers],0),FALSE))</f>
        <v/>
      </c>
      <c r="G81" s="20" t="str">
        <f>IF(F81="","",WORKDAY(F81,IF(IF(P82="",P81,P82)&lt;150,5,10)))</f>
        <v/>
      </c>
      <c r="H81" s="20" t="str">
        <f>IF(G81="","",WORKDAY(G81,5))</f>
        <v/>
      </c>
      <c r="I81" s="20" t="str">
        <f>IF(G81="","",G81+ROUND((IF(P82="",P81,P82)/(19*LN(IF(P82="",P81,P82))-42))*30*SLA_PrazoEntrega,0))</f>
        <v/>
      </c>
      <c r="J81" s="20" t="str">
        <f>IF(I81="","",WORKDAY(I81,IF(IF(P82="",P81,P82)&lt;150,5,10)))</f>
        <v/>
      </c>
      <c r="K81" s="20" t="str">
        <f>IF(J81="","",J81+ROUND((IF(P82="",P81,P82)/(19*LN(IF(P82="",P81,P82))-42))*30*SLA_PrazoAceite,0))</f>
        <v/>
      </c>
      <c r="L81" s="20" t="str">
        <f>IF(G81="","",G81+ROUND((IF(P82="",P81,P82)/(19*LN(IF(P82="",P81,P82))-42))*30,0))</f>
        <v/>
      </c>
      <c r="M81" s="20" t="str">
        <f>IF(K81="","",WORKDAY(K81,1))</f>
        <v/>
      </c>
      <c r="N81" s="20" t="str">
        <f>IF(M81="","",M81+SLA_PrazoGarantia)</f>
        <v/>
      </c>
      <c r="O81" s="29" t="str">
        <f>IF(A80="","","Previsto")</f>
        <v/>
      </c>
      <c r="P81" s="21" t="str">
        <f>IF(A80="","",VLOOKUP(A80,OSS[],MATCH("PF Previsto",OSS[#Headers],0),FALSE))</f>
        <v/>
      </c>
      <c r="Q81" s="57" t="str">
        <f>IF(F81="","",ROUND((L81-G81)*SLA_ICA_EOS,1))</f>
        <v/>
      </c>
      <c r="R81" s="21" t="str">
        <f>IF(F81="","",SLA_ICP_CIHA)</f>
        <v/>
      </c>
      <c r="S81" s="21" t="str">
        <f>IF(F81="","",SLA_ICP_CIG)</f>
        <v/>
      </c>
      <c r="T81" s="57" t="str">
        <f>IF(F81="","",SLA_IQA_INGHA)</f>
        <v/>
      </c>
      <c r="U81" s="57" t="str">
        <f>IF(F81="","",SLA_IQA_IGHA)</f>
        <v/>
      </c>
      <c r="V81" s="57" t="str">
        <f>IF(F81="","",SLA_IQA_INGG)</f>
        <v/>
      </c>
      <c r="W81" s="57" t="str">
        <f>IF(F81="","",SLA_IQA_IGG)</f>
        <v/>
      </c>
      <c r="X81" s="57" t="str">
        <f>IF(F81="","",ROUND((G81-F81)*SLA_ICA_IOS,1))</f>
        <v/>
      </c>
      <c r="Y81" s="57" t="str">
        <f>IF(OR(R80="Hora Java",R80="Hora dotNet"),SLA_ICA_SP,"")</f>
        <v/>
      </c>
      <c r="Z81" s="57" t="str">
        <f>IF(F81="","",ROUND((L81-G81)*SLA_ICA_EOS,1))</f>
        <v/>
      </c>
      <c r="AA81" t="str">
        <f>IF(A80="","","Homologação")</f>
        <v/>
      </c>
      <c r="AB81" s="21" t="str">
        <f>IF(J82="","",VLOOKUP(A80,OSS[],MATCH("Não Grave - Homologação",OSS[#Headers],0),FALSE))</f>
        <v/>
      </c>
      <c r="AC81" s="21" t="str">
        <f>IF(J82="","",VLOOKUP(A80,OSS[],MATCH("Grave - Homologação",OSS[#Headers],0),FALSE))</f>
        <v/>
      </c>
      <c r="AD81" s="21" t="str">
        <f>IF(J82="","",AB81+AC81)</f>
        <v/>
      </c>
      <c r="AE81" s="26" t="str">
        <f>IF(J82="","",AD81/IF($P82="",$P81,$P82))</f>
        <v/>
      </c>
      <c r="AF81" s="21" t="str">
        <f>IF(J82="","",VLOOKUP(A80,OSS[],MATCH("Atrasos para Correção Homologação",OSS[#Headers],0),FALSE))</f>
        <v/>
      </c>
      <c r="AG81" t="str">
        <f>IF(Y81="","",VLOOKUP(A80,OSS[],MATCH("Atraso para Substituição",OSS[#Headers],0),FALSE))</f>
        <v/>
      </c>
    </row>
    <row r="82" spans="1:33" ht="15.75" x14ac:dyDescent="0.25">
      <c r="B82" s="66" t="str">
        <f>IF(A80="","","Saldo de PF")</f>
        <v/>
      </c>
      <c r="C82" s="37"/>
      <c r="D82" s="37" t="str">
        <f>IF(P81="","",IF($P82="",$P81,$P82)+IF(P83="",0,P83)-IF(D81="",0,D81))</f>
        <v/>
      </c>
      <c r="E82" s="37"/>
      <c r="G82" s="20" t="str">
        <f>IF(A80="","",IF(VLOOKUP(A80,OSS[],MATCH("Data de Inicio",OSS[#Headers],0),FALSE)="","",VLOOKUP(A80,OSS[],MATCH("Data de Inicio",OSS[#Headers],0),FALSE)))</f>
        <v/>
      </c>
      <c r="H82" s="20" t="str">
        <f>IF(A80="","",IF(VLOOKUP(A80,OSS[],MATCH("Entrega do Plano da OS",OSS[#Headers],0),FALSE)="","",VLOOKUP(A80,OSS[],MATCH("Entrega do Plano da OS",OSS[#Headers],0),FALSE)))</f>
        <v/>
      </c>
      <c r="I82" s="20" t="str">
        <f>IF(A80="","",IF(VLOOKUP(A80,OSS[],MATCH("Entrega da OS",OSS[#Headers],0),FALSE)="","",VLOOKUP(A80,OSS[],MATCH("Entrega da OS",OSS[#Headers],0),FALSE)))</f>
        <v/>
      </c>
      <c r="J82" s="20" t="str">
        <f>IF(A80="","",IF(VLOOKUP(A80,OSS[],MATCH("Recebimento da OS",OSS[#Headers],0),FALSE)="","",VLOOKUP(A80,OSS[],MATCH("Recebimento da OS",OSS[#Headers],0),FALSE)))</f>
        <v/>
      </c>
      <c r="K82" s="20" t="str">
        <f>IF(A80="","",IF(VLOOKUP(A80,OSS[],MATCH("Aceite da OS",OSS[#Headers],0),FALSE)="","",VLOOKUP(A80,OSS[],MATCH("Aceite da OS",OSS[#Headers],0),FALSE)))</f>
        <v/>
      </c>
      <c r="L82" s="20" t="str">
        <f>IF(A80="","",IF(VLOOKUP(A80,OSS[],MATCH("Data de Termino",OSS[#Headers],0),FALSE)="","",VLOOKUP(A80,OSS[],MATCH("Data de Termino",OSS[#Headers],0),FALSE)))</f>
        <v/>
      </c>
      <c r="M82" s="20" t="str">
        <f>IF(K82="","",K82)</f>
        <v/>
      </c>
      <c r="N82" s="20" t="str">
        <f>IF(M82="","",M82+180)</f>
        <v/>
      </c>
      <c r="O82" s="29" t="str">
        <f>IF(A80="","","Apurado")</f>
        <v/>
      </c>
      <c r="P82" s="21" t="str">
        <f>IF(A80="","",IF(VLOOKUP(A80,OSS[],MATCH("PF Apurado",OSS[#Headers],0),FALSE)="","",VLOOKUP(A80,OSS[],MATCH("PF Apurado",OSS[#Headers],0),FALSE)))</f>
        <v/>
      </c>
      <c r="Q82" s="57" t="str">
        <f>IF(F81="","",IF(G82="","",IF(L82="",IF(DataRef&lt;L81,L81,DataRef),L82)-L81))</f>
        <v/>
      </c>
      <c r="R82" s="21" t="str">
        <f>IF(J82="","",AF81)</f>
        <v/>
      </c>
      <c r="S82" s="21" t="str">
        <f>IF(K82="","",AF82)</f>
        <v/>
      </c>
      <c r="T82" s="57" t="str">
        <f>IF(J82="","",AB81/IF($P82="",$P81,$P82))</f>
        <v/>
      </c>
      <c r="U82" s="57" t="str">
        <f>IF(J82="","",AC81/IF($P82="",$P81,$P82))</f>
        <v/>
      </c>
      <c r="V82" s="57" t="str">
        <f>IF(K82="","",AB82/IF($P82="",$P81,$P82))</f>
        <v/>
      </c>
      <c r="W82" s="57" t="str">
        <f>IF(K82="","",AC82/IF($P82="",$P81,$P82))</f>
        <v/>
      </c>
      <c r="X82" s="57" t="str">
        <f>IF(F81="","",IF(G82="",IF(DataRef&lt;G81,"",DataRef-G81),G82-G81))</f>
        <v/>
      </c>
      <c r="Y82" s="57" t="str">
        <f>IF(OR(R80="Hora Java",R80="Hora dotNet"),AG81,"")</f>
        <v/>
      </c>
      <c r="Z82" s="57" t="str">
        <f>IF(F81="","",IF(L82="",IF(DataRef&lt;L81,L81,DataRef),L82)-L81)</f>
        <v/>
      </c>
      <c r="AA82" t="str">
        <f>IF(A80="","","Garantia")</f>
        <v/>
      </c>
      <c r="AB82" s="21" t="str">
        <f>IF(K82="","",VLOOKUP(A80,OSS[],MATCH("Não Grave - Garantia",OSS[#Headers],0),FALSE))</f>
        <v/>
      </c>
      <c r="AC82" s="21" t="str">
        <f>IF(K82="","",VLOOKUP(A80,OSS[],MATCH("Grave - Garantia",OSS[#Headers],0),FALSE))</f>
        <v/>
      </c>
      <c r="AD82" s="21" t="str">
        <f>IF(K82="","",AB82+AC82)</f>
        <v/>
      </c>
      <c r="AE82" s="26" t="str">
        <f>IF(K82="","",AD82/IF($P82="",$P81,$P82))</f>
        <v/>
      </c>
      <c r="AF82" s="21" t="str">
        <f>IF(K82="","",VLOOKUP(A80,OSS[],MATCH("Atrasos para Correção Garantia",OSS[#Headers],0),FALSE))</f>
        <v/>
      </c>
    </row>
    <row r="83" spans="1:33" ht="15.75" x14ac:dyDescent="0.25">
      <c r="B83" s="66" t="str">
        <f>IF(A80="","","PF a Pagar")</f>
        <v/>
      </c>
      <c r="C83" s="67" t="str">
        <f>IF(D82="","",IF(B80="Recebida",(P82*0.8),IF(B80="Aceita",D82,0))+IF(D82&lt;0,D82,0))</f>
        <v/>
      </c>
      <c r="E83" s="37"/>
      <c r="K83" s="69" t="str">
        <f>IF(A80="","","Prazo previsto para execução em dias corridos")</f>
        <v/>
      </c>
      <c r="L83" s="70" t="str">
        <f>IF(G81="","",ROUND((IF(P82="",P81,P82)/(19*LN(IF(P82="",P81,P82))-42))*30,0))</f>
        <v/>
      </c>
      <c r="O83" s="29" t="str">
        <f>IF(A80="","","Multa")</f>
        <v/>
      </c>
      <c r="P83" s="25" t="str">
        <f>IF(SUM(Q83:Z83)=0,"",-ROUND(SUM(Q83:Z83),0))</f>
        <v/>
      </c>
      <c r="Q83" s="57" t="str">
        <f>IF(Q82="","",IF(OR(Q81&gt;Q82,Z81&lt;Z82),"",ROUND(Q82*(IF($P82="",$P81,$P82)*SLA_ICA_EOS_Multa),2)))</f>
        <v/>
      </c>
      <c r="R83" s="57" t="str">
        <f>IF(R82="","",IF(R81&gt;R82,"",ROUND(R82*(IF($P82="",$P81,$P82)*SLA_ICP_CIHA_Multa),2)))</f>
        <v/>
      </c>
      <c r="S83" s="57" t="str">
        <f>IF(S82="","",IF(S81&gt;S82,"",ROUND(S82*(IF($P82="",$P81,$P82)*SLA_ICP_CIG_Multa),2)))</f>
        <v/>
      </c>
      <c r="T83" s="57" t="str">
        <f>IF(T82="","",IF(T81&gt;T82,"",ROUND(T82*(IF($P82="",$P81,$P82)*SLA_IQA_INGHA_Multa),2)))</f>
        <v/>
      </c>
      <c r="U83" s="57" t="str">
        <f>IF(U82="","",IF(U81&gt;U82,"",ROUND(U82*(IF($P82="",$P81,$P82)*SLA_IQA_IGHA_Multa),2)))</f>
        <v/>
      </c>
      <c r="V83" s="57" t="str">
        <f>IF(V82="","",IF(V81&gt;V82,"",ROUND(V82*(IF($P82="",$P81,$P82)*SLA_IQA_INGG_Multa),2)))</f>
        <v/>
      </c>
      <c r="W83" s="57" t="str">
        <f>IF(W82="","",IF(W81&gt;W82,"",ROUND(W82*(IF($P82="",$P81,$P82)*SLA_IQA_IGG_Multa),2)))</f>
        <v/>
      </c>
      <c r="X83" s="57" t="str">
        <f>IF(X82="","",IF(X81&gt;X82,"",ROUND(X82*(IF($P82="",$P81,$P82)*SLA_ICA_IOS_Multa),2)))</f>
        <v/>
      </c>
      <c r="Y83" s="57" t="str">
        <f>IF(Y82="","",IF(Y81&gt;Y82,"",ROUND(Y82*(IF($P82="",$P81,$P82)*SLA_ICA_SP_Multa),2)))</f>
        <v/>
      </c>
      <c r="Z83" s="57" t="str">
        <f>IF(Z82="","",IF(Z81&gt;Z82,"",ROUND(IF($P82="",$P81,$P82)*SLA_ICA_EOS_Multa,2)))</f>
        <v/>
      </c>
      <c r="AA83" t="str">
        <f>IF(A80="","","Total")</f>
        <v/>
      </c>
      <c r="AB83" s="21" t="str">
        <f>IF(SUM(AB81:AB82)=0,"",SUM(AB81:AB82))</f>
        <v/>
      </c>
      <c r="AC83" s="21" t="str">
        <f>IF(SUM(AC81:AC82)=0,"",SUM(AC81:AC82))</f>
        <v/>
      </c>
      <c r="AD83" s="21" t="str">
        <f>IF(SUM(AB83:AC83)=0,"",SUM(AB83:AC83))</f>
        <v/>
      </c>
      <c r="AE83" s="26" t="str">
        <f>IF(P81="","",IF(AD83="","",AD83/IF($P82="",$P81,$P82)))</f>
        <v/>
      </c>
    </row>
    <row r="84" spans="1:33" ht="15.75" x14ac:dyDescent="0.25">
      <c r="G84" s="20"/>
      <c r="H84" s="20"/>
      <c r="I84" s="20"/>
      <c r="J84" s="20"/>
      <c r="K84" s="20"/>
      <c r="L84" s="20"/>
      <c r="M84" s="20"/>
      <c r="N84" s="20"/>
      <c r="O84" s="35"/>
      <c r="P84" s="37"/>
    </row>
    <row r="85" spans="1:33" ht="15.75" x14ac:dyDescent="0.25">
      <c r="A85" s="54" t="str">
        <f>IF(ControleOSsMês!$G$1="Todas",IFERROR(INDEX(OSS[Número OS],INT((ROW()-ROW($A$3)-1)/5)+1,1),""),IFERROR(VLOOKUP(INT((ROW()-ROW($A$3)-1)/5)+1,OSMês[],2,FALSE),""))</f>
        <v/>
      </c>
      <c r="B85" s="71" t="str">
        <f>IF(A85="","",VLOOKUP(A85,OSS[],MATCH("Situação da OS",OSS[#Headers],0),FALSE))</f>
        <v/>
      </c>
      <c r="C85" s="71"/>
      <c r="D85" s="54" t="str">
        <f>IF(A85="","","em")</f>
        <v/>
      </c>
      <c r="E85" s="59" t="str">
        <f>IF(A85="","",VLOOKUP(A85,OSS[],MATCH("Data Situação",OSS[#Headers],0),FALSE))</f>
        <v/>
      </c>
      <c r="F85" s="68" t="str">
        <f>IF(A85="","","Titulo:")</f>
        <v/>
      </c>
      <c r="G85" s="31" t="str">
        <f>IF(A85="","",VLOOKUP(A85,OSS[],MATCH("Titulo",OSS[#Headers],0),FALSE))</f>
        <v/>
      </c>
      <c r="H85" s="30"/>
      <c r="I85" s="30"/>
      <c r="J85" s="30"/>
      <c r="K85" s="30"/>
      <c r="L85" s="30"/>
      <c r="M85" s="30"/>
      <c r="N85" s="30"/>
      <c r="O85" s="30"/>
      <c r="P85" s="30"/>
      <c r="Q85" s="68" t="str">
        <f>IF(A85="","","Tipo da OS:")</f>
        <v/>
      </c>
      <c r="R85" s="31" t="str">
        <f>IF(A85="","",VLOOKUP(A85,OSS[],MATCH("Tipo",OSS[#Headers],0),FALSE))</f>
        <v/>
      </c>
      <c r="S85" s="30"/>
      <c r="T85" s="30"/>
      <c r="U85" s="30"/>
      <c r="V85" s="30"/>
      <c r="W85" s="30"/>
      <c r="X85" s="30"/>
      <c r="Y85" s="30"/>
      <c r="Z85" s="30"/>
      <c r="AA85" s="58" t="str">
        <f>IF(A85="","","Número de Inconformidades")</f>
        <v/>
      </c>
      <c r="AB85" s="30"/>
      <c r="AC85" s="30"/>
      <c r="AD85" s="30"/>
      <c r="AE85" s="30"/>
      <c r="AF85" s="30"/>
      <c r="AG85" s="32"/>
    </row>
    <row r="86" spans="1:33" ht="15.75" x14ac:dyDescent="0.25">
      <c r="B86" s="66" t="str">
        <f>IF(A85="","","PF Pago")</f>
        <v/>
      </c>
      <c r="D86" t="str">
        <f>IF(A85="","",VLOOKUP(A85,OSS[],MATCH("PF Pago",OSS[#Headers],0),FALSE))</f>
        <v/>
      </c>
      <c r="F86" s="36" t="str">
        <f>IF(A85="","",VLOOKUP(A85,OSS[],MATCH("Abertura da OS",OSS[#Headers],0),FALSE))</f>
        <v/>
      </c>
      <c r="G86" s="20" t="str">
        <f>IF(F86="","",WORKDAY(F86,IF(IF(P87="",P86,P87)&lt;150,5,10)))</f>
        <v/>
      </c>
      <c r="H86" s="20" t="str">
        <f>IF(G86="","",WORKDAY(G86,5))</f>
        <v/>
      </c>
      <c r="I86" s="20" t="str">
        <f>IF(G86="","",G86+ROUND((IF(P87="",P86,P87)/(19*LN(IF(P87="",P86,P87))-42))*30*SLA_PrazoEntrega,0))</f>
        <v/>
      </c>
      <c r="J86" s="20" t="str">
        <f>IF(I86="","",WORKDAY(I86,IF(IF(P87="",P86,P87)&lt;150,5,10)))</f>
        <v/>
      </c>
      <c r="K86" s="20" t="str">
        <f>IF(J86="","",J86+ROUND((IF(P87="",P86,P87)/(19*LN(IF(P87="",P86,P87))-42))*30*SLA_PrazoAceite,0))</f>
        <v/>
      </c>
      <c r="L86" s="20" t="str">
        <f>IF(G86="","",G86+ROUND((IF(P87="",P86,P87)/(19*LN(IF(P87="",P86,P87))-42))*30,0))</f>
        <v/>
      </c>
      <c r="M86" s="20" t="str">
        <f>IF(K86="","",WORKDAY(K86,1))</f>
        <v/>
      </c>
      <c r="N86" s="20" t="str">
        <f>IF(M86="","",M86+SLA_PrazoGarantia)</f>
        <v/>
      </c>
      <c r="O86" s="29" t="str">
        <f>IF(A85="","","Previsto")</f>
        <v/>
      </c>
      <c r="P86" s="21" t="str">
        <f>IF(A85="","",VLOOKUP(A85,OSS[],MATCH("PF Previsto",OSS[#Headers],0),FALSE))</f>
        <v/>
      </c>
      <c r="Q86" s="57" t="str">
        <f>IF(F86="","",ROUND((L86-G86)*SLA_ICA_EOS,1))</f>
        <v/>
      </c>
      <c r="R86" s="21" t="str">
        <f>IF(F86="","",SLA_ICP_CIHA)</f>
        <v/>
      </c>
      <c r="S86" s="21" t="str">
        <f>IF(F86="","",SLA_ICP_CIG)</f>
        <v/>
      </c>
      <c r="T86" s="57" t="str">
        <f>IF(F86="","",SLA_IQA_INGHA)</f>
        <v/>
      </c>
      <c r="U86" s="57" t="str">
        <f>IF(F86="","",SLA_IQA_IGHA)</f>
        <v/>
      </c>
      <c r="V86" s="57" t="str">
        <f>IF(F86="","",SLA_IQA_INGG)</f>
        <v/>
      </c>
      <c r="W86" s="57" t="str">
        <f>IF(F86="","",SLA_IQA_IGG)</f>
        <v/>
      </c>
      <c r="X86" s="57" t="str">
        <f>IF(F86="","",ROUND((G86-F86)*SLA_ICA_IOS,1))</f>
        <v/>
      </c>
      <c r="Y86" s="57" t="str">
        <f>IF(OR(R85="Hora Java",R85="Hora dotNet"),SLA_ICA_SP,"")</f>
        <v/>
      </c>
      <c r="Z86" s="57" t="str">
        <f>IF(F86="","",ROUND((L86-G86)*SLA_ICA_EOS,1))</f>
        <v/>
      </c>
      <c r="AA86" t="str">
        <f>IF(A85="","","Homologação")</f>
        <v/>
      </c>
      <c r="AB86" s="21" t="str">
        <f>IF(J87="","",VLOOKUP(A85,OSS[],MATCH("Não Grave - Homologação",OSS[#Headers],0),FALSE))</f>
        <v/>
      </c>
      <c r="AC86" s="21" t="str">
        <f>IF(J87="","",VLOOKUP(A85,OSS[],MATCH("Grave - Homologação",OSS[#Headers],0),FALSE))</f>
        <v/>
      </c>
      <c r="AD86" s="21" t="str">
        <f>IF(J87="","",AB86+AC86)</f>
        <v/>
      </c>
      <c r="AE86" s="26" t="str">
        <f>IF(J87="","",AD86/IF($P87="",$P86,$P87))</f>
        <v/>
      </c>
      <c r="AF86" s="21" t="str">
        <f>IF(J87="","",VLOOKUP(A85,OSS[],MATCH("Atrasos para Correção Homologação",OSS[#Headers],0),FALSE))</f>
        <v/>
      </c>
      <c r="AG86" t="str">
        <f>IF(Y86="","",VLOOKUP(A85,OSS[],MATCH("Atraso para Substituição",OSS[#Headers],0),FALSE))</f>
        <v/>
      </c>
    </row>
    <row r="87" spans="1:33" ht="15.75" x14ac:dyDescent="0.25">
      <c r="B87" s="66" t="str">
        <f>IF(A85="","","Saldo de PF")</f>
        <v/>
      </c>
      <c r="C87" s="37"/>
      <c r="D87" s="37" t="str">
        <f>IF(P86="","",IF($P87="",$P86,$P87)+IF(P88="",0,P88)-IF(D86="",0,D86))</f>
        <v/>
      </c>
      <c r="E87" s="37"/>
      <c r="G87" s="20" t="str">
        <f>IF(A85="","",IF(VLOOKUP(A85,OSS[],MATCH("Data de Inicio",OSS[#Headers],0),FALSE)="","",VLOOKUP(A85,OSS[],MATCH("Data de Inicio",OSS[#Headers],0),FALSE)))</f>
        <v/>
      </c>
      <c r="H87" s="20" t="str">
        <f>IF(A85="","",IF(VLOOKUP(A85,OSS[],MATCH("Entrega do Plano da OS",OSS[#Headers],0),FALSE)="","",VLOOKUP(A85,OSS[],MATCH("Entrega do Plano da OS",OSS[#Headers],0),FALSE)))</f>
        <v/>
      </c>
      <c r="I87" s="20" t="str">
        <f>IF(A85="","",IF(VLOOKUP(A85,OSS[],MATCH("Entrega da OS",OSS[#Headers],0),FALSE)="","",VLOOKUP(A85,OSS[],MATCH("Entrega da OS",OSS[#Headers],0),FALSE)))</f>
        <v/>
      </c>
      <c r="J87" s="20" t="str">
        <f>IF(A85="","",IF(VLOOKUP(A85,OSS[],MATCH("Recebimento da OS",OSS[#Headers],0),FALSE)="","",VLOOKUP(A85,OSS[],MATCH("Recebimento da OS",OSS[#Headers],0),FALSE)))</f>
        <v/>
      </c>
      <c r="K87" s="20" t="str">
        <f>IF(A85="","",IF(VLOOKUP(A85,OSS[],MATCH("Aceite da OS",OSS[#Headers],0),FALSE)="","",VLOOKUP(A85,OSS[],MATCH("Aceite da OS",OSS[#Headers],0),FALSE)))</f>
        <v/>
      </c>
      <c r="L87" s="20" t="str">
        <f>IF(A85="","",IF(VLOOKUP(A85,OSS[],MATCH("Data de Termino",OSS[#Headers],0),FALSE)="","",VLOOKUP(A85,OSS[],MATCH("Data de Termino",OSS[#Headers],0),FALSE)))</f>
        <v/>
      </c>
      <c r="M87" s="20" t="str">
        <f>IF(K87="","",K87)</f>
        <v/>
      </c>
      <c r="N87" s="20" t="str">
        <f>IF(M87="","",M87+180)</f>
        <v/>
      </c>
      <c r="O87" s="29" t="str">
        <f>IF(A85="","","Apurado")</f>
        <v/>
      </c>
      <c r="P87" s="21" t="str">
        <f>IF(A85="","",IF(VLOOKUP(A85,OSS[],MATCH("PF Apurado",OSS[#Headers],0),FALSE)="","",VLOOKUP(A85,OSS[],MATCH("PF Apurado",OSS[#Headers],0),FALSE)))</f>
        <v/>
      </c>
      <c r="Q87" s="57" t="str">
        <f>IF(F86="","",IF(G87="","",IF(L87="",IF(DataRef&lt;L86,L86,DataRef),L87)-L86))</f>
        <v/>
      </c>
      <c r="R87" s="21" t="str">
        <f>IF(J87="","",AF86)</f>
        <v/>
      </c>
      <c r="S87" s="21" t="str">
        <f>IF(K87="","",AF87)</f>
        <v/>
      </c>
      <c r="T87" s="57" t="str">
        <f>IF(J87="","",AB86/IF($P87="",$P86,$P87))</f>
        <v/>
      </c>
      <c r="U87" s="57" t="str">
        <f>IF(J87="","",AC86/IF($P87="",$P86,$P87))</f>
        <v/>
      </c>
      <c r="V87" s="57" t="str">
        <f>IF(K87="","",AB87/IF($P87="",$P86,$P87))</f>
        <v/>
      </c>
      <c r="W87" s="57" t="str">
        <f>IF(K87="","",AC87/IF($P87="",$P86,$P87))</f>
        <v/>
      </c>
      <c r="X87" s="57" t="str">
        <f>IF(F86="","",IF(G87="",IF(DataRef&lt;G86,"",DataRef-G86),G87-G86))</f>
        <v/>
      </c>
      <c r="Y87" s="57" t="str">
        <f>IF(OR(R85="Hora Java",R85="Hora dotNet"),AG86,"")</f>
        <v/>
      </c>
      <c r="Z87" s="57" t="str">
        <f>IF(F86="","",IF(L87="",IF(DataRef&lt;L86,L86,DataRef),L87)-L86)</f>
        <v/>
      </c>
      <c r="AA87" t="str">
        <f>IF(A85="","","Garantia")</f>
        <v/>
      </c>
      <c r="AB87" s="21" t="str">
        <f>IF(K87="","",VLOOKUP(A85,OSS[],MATCH("Não Grave - Garantia",OSS[#Headers],0),FALSE))</f>
        <v/>
      </c>
      <c r="AC87" s="21" t="str">
        <f>IF(K87="","",VLOOKUP(A85,OSS[],MATCH("Grave - Garantia",OSS[#Headers],0),FALSE))</f>
        <v/>
      </c>
      <c r="AD87" s="21" t="str">
        <f>IF(K87="","",AB87+AC87)</f>
        <v/>
      </c>
      <c r="AE87" s="26" t="str">
        <f>IF(K87="","",AD87/IF($P87="",$P86,$P87))</f>
        <v/>
      </c>
      <c r="AF87" s="21" t="str">
        <f>IF(K87="","",VLOOKUP(A85,OSS[],MATCH("Atrasos para Correção Garantia",OSS[#Headers],0),FALSE))</f>
        <v/>
      </c>
    </row>
    <row r="88" spans="1:33" ht="15.75" x14ac:dyDescent="0.25">
      <c r="B88" s="66" t="str">
        <f>IF(A85="","","PF a Pagar")</f>
        <v/>
      </c>
      <c r="C88" s="67" t="str">
        <f>IF(D87="","",IF(B85="Recebida",(P87*0.8),IF(B85="Aceita",D87,0))+IF(D87&lt;0,D87,0))</f>
        <v/>
      </c>
      <c r="E88" s="37"/>
      <c r="K88" s="69" t="str">
        <f>IF(A85="","","Prazo previsto para execução em dias corridos")</f>
        <v/>
      </c>
      <c r="L88" s="70" t="str">
        <f>IF(G86="","",ROUND((IF(P87="",P86,P87)/(19*LN(IF(P87="",P86,P87))-42))*30,0))</f>
        <v/>
      </c>
      <c r="O88" s="29" t="str">
        <f>IF(A85="","","Multa")</f>
        <v/>
      </c>
      <c r="P88" s="25" t="str">
        <f>IF(SUM(Q88:Z88)=0,"",-ROUND(SUM(Q88:Z88),0))</f>
        <v/>
      </c>
      <c r="Q88" s="57" t="str">
        <f>IF(Q87="","",IF(OR(Q86&gt;Q87,Z86&lt;Z87),"",ROUND(Q87*(IF($P87="",$P86,$P87)*SLA_ICA_EOS_Multa),2)))</f>
        <v/>
      </c>
      <c r="R88" s="57" t="str">
        <f>IF(R87="","",IF(R86&gt;R87,"",ROUND(R87*(IF($P87="",$P86,$P87)*SLA_ICP_CIHA_Multa),2)))</f>
        <v/>
      </c>
      <c r="S88" s="57" t="str">
        <f>IF(S87="","",IF(S86&gt;S87,"",ROUND(S87*(IF($P87="",$P86,$P87)*SLA_ICP_CIG_Multa),2)))</f>
        <v/>
      </c>
      <c r="T88" s="57" t="str">
        <f>IF(T87="","",IF(T86&gt;T87,"",ROUND(T87*(IF($P87="",$P86,$P87)*SLA_IQA_INGHA_Multa),2)))</f>
        <v/>
      </c>
      <c r="U88" s="57" t="str">
        <f>IF(U87="","",IF(U86&gt;U87,"",ROUND(U87*(IF($P87="",$P86,$P87)*SLA_IQA_IGHA_Multa),2)))</f>
        <v/>
      </c>
      <c r="V88" s="57" t="str">
        <f>IF(V87="","",IF(V86&gt;V87,"",ROUND(V87*(IF($P87="",$P86,$P87)*SLA_IQA_INGG_Multa),2)))</f>
        <v/>
      </c>
      <c r="W88" s="57" t="str">
        <f>IF(W87="","",IF(W86&gt;W87,"",ROUND(W87*(IF($P87="",$P86,$P87)*SLA_IQA_IGG_Multa),2)))</f>
        <v/>
      </c>
      <c r="X88" s="57" t="str">
        <f>IF(X87="","",IF(X86&gt;X87,"",ROUND(X87*(IF($P87="",$P86,$P87)*SLA_ICA_IOS_Multa),2)))</f>
        <v/>
      </c>
      <c r="Y88" s="57" t="str">
        <f>IF(Y87="","",IF(Y86&gt;Y87,"",ROUND(Y87*(IF($P87="",$P86,$P87)*SLA_ICA_SP_Multa),2)))</f>
        <v/>
      </c>
      <c r="Z88" s="57" t="str">
        <f>IF(Z87="","",IF(Z86&gt;Z87,"",ROUND(IF($P87="",$P86,$P87)*SLA_ICA_EOS_Multa,2)))</f>
        <v/>
      </c>
      <c r="AA88" t="str">
        <f>IF(A85="","","Total")</f>
        <v/>
      </c>
      <c r="AB88" s="21" t="str">
        <f>IF(SUM(AB86:AB87)=0,"",SUM(AB86:AB87))</f>
        <v/>
      </c>
      <c r="AC88" s="21" t="str">
        <f>IF(SUM(AC86:AC87)=0,"",SUM(AC86:AC87))</f>
        <v/>
      </c>
      <c r="AD88" s="21" t="str">
        <f>IF(SUM(AB88:AC88)=0,"",SUM(AB88:AC88))</f>
        <v/>
      </c>
      <c r="AE88" s="26" t="str">
        <f>IF(P86="","",IF(AD88="","",AD88/IF($P87="",$P86,$P87)))</f>
        <v/>
      </c>
    </row>
    <row r="89" spans="1:33" ht="15.75" x14ac:dyDescent="0.25">
      <c r="G89" s="20"/>
      <c r="H89" s="20"/>
      <c r="I89" s="20"/>
      <c r="J89" s="20"/>
      <c r="K89" s="20"/>
      <c r="L89" s="20"/>
      <c r="M89" s="20"/>
      <c r="N89" s="20"/>
      <c r="O89" s="35"/>
      <c r="P89" s="37"/>
    </row>
    <row r="90" spans="1:33" ht="15.75" x14ac:dyDescent="0.25">
      <c r="A90" s="54" t="str">
        <f>IF(ControleOSsMês!$G$1="Todas",IFERROR(INDEX(OSS[Número OS],INT((ROW()-ROW($A$3)-1)/5)+1,1),""),IFERROR(VLOOKUP(INT((ROW()-ROW($A$3)-1)/5)+1,OSMês[],2,FALSE),""))</f>
        <v/>
      </c>
      <c r="B90" s="71" t="str">
        <f>IF(A90="","",VLOOKUP(A90,OSS[],MATCH("Situação da OS",OSS[#Headers],0),FALSE))</f>
        <v/>
      </c>
      <c r="C90" s="71"/>
      <c r="D90" s="54" t="str">
        <f>IF(A90="","","em")</f>
        <v/>
      </c>
      <c r="E90" s="59" t="str">
        <f>IF(A90="","",VLOOKUP(A90,OSS[],MATCH("Data Situação",OSS[#Headers],0),FALSE))</f>
        <v/>
      </c>
      <c r="F90" s="68" t="str">
        <f>IF(A90="","","Titulo:")</f>
        <v/>
      </c>
      <c r="G90" s="31" t="str">
        <f>IF(A90="","",VLOOKUP(A90,OSS[],MATCH("Titulo",OSS[#Headers],0),FALSE))</f>
        <v/>
      </c>
      <c r="H90" s="30"/>
      <c r="I90" s="30"/>
      <c r="J90" s="30"/>
      <c r="K90" s="30"/>
      <c r="L90" s="30"/>
      <c r="M90" s="30"/>
      <c r="N90" s="30"/>
      <c r="O90" s="30"/>
      <c r="P90" s="30"/>
      <c r="Q90" s="68" t="str">
        <f>IF(A90="","","Tipo da OS:")</f>
        <v/>
      </c>
      <c r="R90" s="31" t="str">
        <f>IF(A90="","",VLOOKUP(A90,OSS[],MATCH("Tipo",OSS[#Headers],0),FALSE))</f>
        <v/>
      </c>
      <c r="S90" s="30"/>
      <c r="T90" s="30"/>
      <c r="U90" s="30"/>
      <c r="V90" s="30"/>
      <c r="W90" s="30"/>
      <c r="X90" s="30"/>
      <c r="Y90" s="30"/>
      <c r="Z90" s="30"/>
      <c r="AA90" s="58" t="str">
        <f>IF(A90="","","Número de Inconformidades")</f>
        <v/>
      </c>
      <c r="AB90" s="30"/>
      <c r="AC90" s="30"/>
      <c r="AD90" s="30"/>
      <c r="AE90" s="30"/>
      <c r="AF90" s="30"/>
      <c r="AG90" s="32"/>
    </row>
    <row r="91" spans="1:33" ht="15.75" x14ac:dyDescent="0.25">
      <c r="B91" s="66" t="str">
        <f>IF(A90="","","PF Pago")</f>
        <v/>
      </c>
      <c r="D91" t="str">
        <f>IF(A90="","",VLOOKUP(A90,OSS[],MATCH("PF Pago",OSS[#Headers],0),FALSE))</f>
        <v/>
      </c>
      <c r="F91" s="36" t="str">
        <f>IF(A90="","",VLOOKUP(A90,OSS[],MATCH("Abertura da OS",OSS[#Headers],0),FALSE))</f>
        <v/>
      </c>
      <c r="G91" s="20" t="str">
        <f>IF(F91="","",WORKDAY(F91,IF(IF(P92="",P91,P92)&lt;150,5,10)))</f>
        <v/>
      </c>
      <c r="H91" s="20" t="str">
        <f>IF(G91="","",WORKDAY(G91,5))</f>
        <v/>
      </c>
      <c r="I91" s="20" t="str">
        <f>IF(G91="","",G91+ROUND((IF(P92="",P91,P92)/(19*LN(IF(P92="",P91,P92))-42))*30*SLA_PrazoEntrega,0))</f>
        <v/>
      </c>
      <c r="J91" s="20" t="str">
        <f>IF(I91="","",WORKDAY(I91,IF(IF(P92="",P91,P92)&lt;150,5,10)))</f>
        <v/>
      </c>
      <c r="K91" s="20" t="str">
        <f>IF(J91="","",J91+ROUND((IF(P92="",P91,P92)/(19*LN(IF(P92="",P91,P92))-42))*30*SLA_PrazoAceite,0))</f>
        <v/>
      </c>
      <c r="L91" s="20" t="str">
        <f>IF(G91="","",G91+ROUND((IF(P92="",P91,P92)/(19*LN(IF(P92="",P91,P92))-42))*30,0))</f>
        <v/>
      </c>
      <c r="M91" s="20" t="str">
        <f>IF(K91="","",WORKDAY(K91,1))</f>
        <v/>
      </c>
      <c r="N91" s="20" t="str">
        <f>IF(M91="","",M91+SLA_PrazoGarantia)</f>
        <v/>
      </c>
      <c r="O91" s="29" t="str">
        <f>IF(A90="","","Previsto")</f>
        <v/>
      </c>
      <c r="P91" s="21" t="str">
        <f>IF(A90="","",VLOOKUP(A90,OSS[],MATCH("PF Previsto",OSS[#Headers],0),FALSE))</f>
        <v/>
      </c>
      <c r="Q91" s="57" t="str">
        <f>IF(F91="","",ROUND((L91-G91)*SLA_ICA_EOS,1))</f>
        <v/>
      </c>
      <c r="R91" s="21" t="str">
        <f>IF(F91="","",SLA_ICP_CIHA)</f>
        <v/>
      </c>
      <c r="S91" s="21" t="str">
        <f>IF(F91="","",SLA_ICP_CIG)</f>
        <v/>
      </c>
      <c r="T91" s="57" t="str">
        <f>IF(F91="","",SLA_IQA_INGHA)</f>
        <v/>
      </c>
      <c r="U91" s="57" t="str">
        <f>IF(F91="","",SLA_IQA_IGHA)</f>
        <v/>
      </c>
      <c r="V91" s="57" t="str">
        <f>IF(F91="","",SLA_IQA_INGG)</f>
        <v/>
      </c>
      <c r="W91" s="57" t="str">
        <f>IF(F91="","",SLA_IQA_IGG)</f>
        <v/>
      </c>
      <c r="X91" s="57" t="str">
        <f>IF(F91="","",ROUND((G91-F91)*SLA_ICA_IOS,1))</f>
        <v/>
      </c>
      <c r="Y91" s="57" t="str">
        <f>IF(OR(R90="Hora Java",R90="Hora dotNet"),SLA_ICA_SP,"")</f>
        <v/>
      </c>
      <c r="Z91" s="57" t="str">
        <f>IF(F91="","",ROUND((L91-G91)*SLA_ICA_EOS,1))</f>
        <v/>
      </c>
      <c r="AA91" t="str">
        <f>IF(A90="","","Homologação")</f>
        <v/>
      </c>
      <c r="AB91" s="21" t="str">
        <f>IF(J92="","",VLOOKUP(A90,OSS[],MATCH("Não Grave - Homologação",OSS[#Headers],0),FALSE))</f>
        <v/>
      </c>
      <c r="AC91" s="21" t="str">
        <f>IF(J92="","",VLOOKUP(A90,OSS[],MATCH("Grave - Homologação",OSS[#Headers],0),FALSE))</f>
        <v/>
      </c>
      <c r="AD91" s="21" t="str">
        <f>IF(J92="","",AB91+AC91)</f>
        <v/>
      </c>
      <c r="AE91" s="26" t="str">
        <f>IF(J92="","",AD91/IF($P92="",$P91,$P92))</f>
        <v/>
      </c>
      <c r="AF91" s="21" t="str">
        <f>IF(J92="","",VLOOKUP(A90,OSS[],MATCH("Atrasos para Correção Homologação",OSS[#Headers],0),FALSE))</f>
        <v/>
      </c>
      <c r="AG91" t="str">
        <f>IF(Y91="","",VLOOKUP(A90,OSS[],MATCH("Atraso para Substituição",OSS[#Headers],0),FALSE))</f>
        <v/>
      </c>
    </row>
    <row r="92" spans="1:33" ht="15.75" x14ac:dyDescent="0.25">
      <c r="B92" s="66" t="str">
        <f>IF(A90="","","Saldo de PF")</f>
        <v/>
      </c>
      <c r="C92" s="37"/>
      <c r="D92" s="37" t="str">
        <f>IF(P91="","",IF($P92="",$P91,$P92)+IF(P93="",0,P93)-IF(D91="",0,D91))</f>
        <v/>
      </c>
      <c r="E92" s="37"/>
      <c r="G92" s="20" t="str">
        <f>IF(A90="","",IF(VLOOKUP(A90,OSS[],MATCH("Data de Inicio",OSS[#Headers],0),FALSE)="","",VLOOKUP(A90,OSS[],MATCH("Data de Inicio",OSS[#Headers],0),FALSE)))</f>
        <v/>
      </c>
      <c r="H92" s="20" t="str">
        <f>IF(A90="","",IF(VLOOKUP(A90,OSS[],MATCH("Entrega do Plano da OS",OSS[#Headers],0),FALSE)="","",VLOOKUP(A90,OSS[],MATCH("Entrega do Plano da OS",OSS[#Headers],0),FALSE)))</f>
        <v/>
      </c>
      <c r="I92" s="20" t="str">
        <f>IF(A90="","",IF(VLOOKUP(A90,OSS[],MATCH("Entrega da OS",OSS[#Headers],0),FALSE)="","",VLOOKUP(A90,OSS[],MATCH("Entrega da OS",OSS[#Headers],0),FALSE)))</f>
        <v/>
      </c>
      <c r="J92" s="20" t="str">
        <f>IF(A90="","",IF(VLOOKUP(A90,OSS[],MATCH("Recebimento da OS",OSS[#Headers],0),FALSE)="","",VLOOKUP(A90,OSS[],MATCH("Recebimento da OS",OSS[#Headers],0),FALSE)))</f>
        <v/>
      </c>
      <c r="K92" s="20" t="str">
        <f>IF(A90="","",IF(VLOOKUP(A90,OSS[],MATCH("Aceite da OS",OSS[#Headers],0),FALSE)="","",VLOOKUP(A90,OSS[],MATCH("Aceite da OS",OSS[#Headers],0),FALSE)))</f>
        <v/>
      </c>
      <c r="L92" s="20" t="str">
        <f>IF(A90="","",IF(VLOOKUP(A90,OSS[],MATCH("Data de Termino",OSS[#Headers],0),FALSE)="","",VLOOKUP(A90,OSS[],MATCH("Data de Termino",OSS[#Headers],0),FALSE)))</f>
        <v/>
      </c>
      <c r="M92" s="20" t="str">
        <f>IF(K92="","",K92)</f>
        <v/>
      </c>
      <c r="N92" s="20" t="str">
        <f>IF(M92="","",M92+180)</f>
        <v/>
      </c>
      <c r="O92" s="29" t="str">
        <f>IF(A90="","","Apurado")</f>
        <v/>
      </c>
      <c r="P92" s="21" t="str">
        <f>IF(A90="","",IF(VLOOKUP(A90,OSS[],MATCH("PF Apurado",OSS[#Headers],0),FALSE)="","",VLOOKUP(A90,OSS[],MATCH("PF Apurado",OSS[#Headers],0),FALSE)))</f>
        <v/>
      </c>
      <c r="Q92" s="57" t="str">
        <f>IF(F91="","",IF(G92="","",IF(L92="",IF(DataRef&lt;L91,L91,DataRef),L92)-L91))</f>
        <v/>
      </c>
      <c r="R92" s="21" t="str">
        <f>IF(J92="","",AF91)</f>
        <v/>
      </c>
      <c r="S92" s="21" t="str">
        <f>IF(K92="","",AF92)</f>
        <v/>
      </c>
      <c r="T92" s="57" t="str">
        <f>IF(J92="","",AB91/IF($P92="",$P91,$P92))</f>
        <v/>
      </c>
      <c r="U92" s="57" t="str">
        <f>IF(J92="","",AC91/IF($P92="",$P91,$P92))</f>
        <v/>
      </c>
      <c r="V92" s="57" t="str">
        <f>IF(K92="","",AB92/IF($P92="",$P91,$P92))</f>
        <v/>
      </c>
      <c r="W92" s="57" t="str">
        <f>IF(K92="","",AC92/IF($P92="",$P91,$P92))</f>
        <v/>
      </c>
      <c r="X92" s="57" t="str">
        <f>IF(F91="","",IF(G92="",IF(DataRef&lt;G91,"",DataRef-G91),G92-G91))</f>
        <v/>
      </c>
      <c r="Y92" s="57" t="str">
        <f>IF(OR(R90="Hora Java",R90="Hora dotNet"),AG91,"")</f>
        <v/>
      </c>
      <c r="Z92" s="57" t="str">
        <f>IF(F91="","",IF(L92="",IF(DataRef&lt;L91,L91,DataRef),L92)-L91)</f>
        <v/>
      </c>
      <c r="AA92" t="str">
        <f>IF(A90="","","Garantia")</f>
        <v/>
      </c>
      <c r="AB92" s="21" t="str">
        <f>IF(K92="","",VLOOKUP(A90,OSS[],MATCH("Não Grave - Garantia",OSS[#Headers],0),FALSE))</f>
        <v/>
      </c>
      <c r="AC92" s="21" t="str">
        <f>IF(K92="","",VLOOKUP(A90,OSS[],MATCH("Grave - Garantia",OSS[#Headers],0),FALSE))</f>
        <v/>
      </c>
      <c r="AD92" s="21" t="str">
        <f>IF(K92="","",AB92+AC92)</f>
        <v/>
      </c>
      <c r="AE92" s="26" t="str">
        <f>IF(K92="","",AD92/IF($P92="",$P91,$P92))</f>
        <v/>
      </c>
      <c r="AF92" s="21" t="str">
        <f>IF(K92="","",VLOOKUP(A90,OSS[],MATCH("Atrasos para Correção Garantia",OSS[#Headers],0),FALSE))</f>
        <v/>
      </c>
    </row>
    <row r="93" spans="1:33" ht="15.75" x14ac:dyDescent="0.25">
      <c r="B93" s="66" t="str">
        <f>IF(A90="","","PF a Pagar")</f>
        <v/>
      </c>
      <c r="C93" s="67" t="str">
        <f>IF(D92="","",IF(B90="Recebida",(P92*0.8),IF(B90="Aceita",D92,0))+IF(D92&lt;0,D92,0))</f>
        <v/>
      </c>
      <c r="E93" s="37"/>
      <c r="K93" s="69" t="str">
        <f>IF(A90="","","Prazo previsto para execução em dias corridos")</f>
        <v/>
      </c>
      <c r="L93" s="70" t="str">
        <f>IF(G91="","",ROUND((IF(P92="",P91,P92)/(19*LN(IF(P92="",P91,P92))-42))*30,0))</f>
        <v/>
      </c>
      <c r="O93" s="29" t="str">
        <f>IF(A90="","","Multa")</f>
        <v/>
      </c>
      <c r="P93" s="25" t="str">
        <f>IF(SUM(Q93:Z93)=0,"",-ROUND(SUM(Q93:Z93),0))</f>
        <v/>
      </c>
      <c r="Q93" s="57" t="str">
        <f>IF(Q92="","",IF(OR(Q91&gt;Q92,Z91&lt;Z92),"",ROUND(Q92*(IF($P92="",$P91,$P92)*SLA_ICA_EOS_Multa),2)))</f>
        <v/>
      </c>
      <c r="R93" s="57" t="str">
        <f>IF(R92="","",IF(R91&gt;R92,"",ROUND(R92*(IF($P92="",$P91,$P92)*SLA_ICP_CIHA_Multa),2)))</f>
        <v/>
      </c>
      <c r="S93" s="57" t="str">
        <f>IF(S92="","",IF(S91&gt;S92,"",ROUND(S92*(IF($P92="",$P91,$P92)*SLA_ICP_CIG_Multa),2)))</f>
        <v/>
      </c>
      <c r="T93" s="57" t="str">
        <f>IF(T92="","",IF(T91&gt;T92,"",ROUND(T92*(IF($P92="",$P91,$P92)*SLA_IQA_INGHA_Multa),2)))</f>
        <v/>
      </c>
      <c r="U93" s="57" t="str">
        <f>IF(U92="","",IF(U91&gt;U92,"",ROUND(U92*(IF($P92="",$P91,$P92)*SLA_IQA_IGHA_Multa),2)))</f>
        <v/>
      </c>
      <c r="V93" s="57" t="str">
        <f>IF(V92="","",IF(V91&gt;V92,"",ROUND(V92*(IF($P92="",$P91,$P92)*SLA_IQA_INGG_Multa),2)))</f>
        <v/>
      </c>
      <c r="W93" s="57" t="str">
        <f>IF(W92="","",IF(W91&gt;W92,"",ROUND(W92*(IF($P92="",$P91,$P92)*SLA_IQA_IGG_Multa),2)))</f>
        <v/>
      </c>
      <c r="X93" s="57" t="str">
        <f>IF(X92="","",IF(X91&gt;X92,"",ROUND(X92*(IF($P92="",$P91,$P92)*SLA_ICA_IOS_Multa),2)))</f>
        <v/>
      </c>
      <c r="Y93" s="57" t="str">
        <f>IF(Y92="","",IF(Y91&gt;Y92,"",ROUND(Y92*(IF($P92="",$P91,$P92)*SLA_ICA_SP_Multa),2)))</f>
        <v/>
      </c>
      <c r="Z93" s="57" t="str">
        <f>IF(Z92="","",IF(Z91&gt;Z92,"",ROUND(IF($P92="",$P91,$P92)*SLA_ICA_EOS_Multa,2)))</f>
        <v/>
      </c>
      <c r="AA93" t="str">
        <f>IF(A90="","","Total")</f>
        <v/>
      </c>
      <c r="AB93" s="21" t="str">
        <f>IF(SUM(AB91:AB92)=0,"",SUM(AB91:AB92))</f>
        <v/>
      </c>
      <c r="AC93" s="21" t="str">
        <f>IF(SUM(AC91:AC92)=0,"",SUM(AC91:AC92))</f>
        <v/>
      </c>
      <c r="AD93" s="21" t="str">
        <f>IF(SUM(AB93:AC93)=0,"",SUM(AB93:AC93))</f>
        <v/>
      </c>
      <c r="AE93" s="26" t="str">
        <f>IF(P91="","",IF(AD93="","",AD93/IF($P92="",$P91,$P92)))</f>
        <v/>
      </c>
    </row>
    <row r="94" spans="1:33" ht="15.75" x14ac:dyDescent="0.25">
      <c r="G94" s="20"/>
      <c r="H94" s="20"/>
      <c r="I94" s="20"/>
      <c r="J94" s="20"/>
      <c r="K94" s="20"/>
      <c r="L94" s="20"/>
      <c r="M94" s="20"/>
      <c r="N94" s="20"/>
      <c r="O94" s="35"/>
      <c r="P94" s="37"/>
    </row>
    <row r="95" spans="1:33" ht="15.75" x14ac:dyDescent="0.25">
      <c r="A95" s="54" t="str">
        <f>IF(ControleOSsMês!$G$1="Todas",IFERROR(INDEX(OSS[Número OS],INT((ROW()-ROW($A$3)-1)/5)+1,1),""),IFERROR(VLOOKUP(INT((ROW()-ROW($A$3)-1)/5)+1,OSMês[],2,FALSE),""))</f>
        <v/>
      </c>
      <c r="B95" s="71" t="str">
        <f>IF(A95="","",VLOOKUP(A95,OSS[],MATCH("Situação da OS",OSS[#Headers],0),FALSE))</f>
        <v/>
      </c>
      <c r="C95" s="71"/>
      <c r="D95" s="54" t="str">
        <f>IF(A95="","","em")</f>
        <v/>
      </c>
      <c r="E95" s="59" t="str">
        <f>IF(A95="","",VLOOKUP(A95,OSS[],MATCH("Data Situação",OSS[#Headers],0),FALSE))</f>
        <v/>
      </c>
      <c r="F95" s="68" t="str">
        <f>IF(A95="","","Titulo:")</f>
        <v/>
      </c>
      <c r="G95" s="31" t="str">
        <f>IF(A95="","",VLOOKUP(A95,OSS[],MATCH("Titulo",OSS[#Headers],0),FALSE))</f>
        <v/>
      </c>
      <c r="H95" s="30"/>
      <c r="I95" s="30"/>
      <c r="J95" s="30"/>
      <c r="K95" s="30"/>
      <c r="L95" s="30"/>
      <c r="M95" s="30"/>
      <c r="N95" s="30"/>
      <c r="O95" s="30"/>
      <c r="P95" s="30"/>
      <c r="Q95" s="68" t="str">
        <f>IF(A95="","","Tipo da OS:")</f>
        <v/>
      </c>
      <c r="R95" s="31" t="str">
        <f>IF(A95="","",VLOOKUP(A95,OSS[],MATCH("Tipo",OSS[#Headers],0),FALSE))</f>
        <v/>
      </c>
      <c r="S95" s="30"/>
      <c r="T95" s="30"/>
      <c r="U95" s="30"/>
      <c r="V95" s="30"/>
      <c r="W95" s="30"/>
      <c r="X95" s="30"/>
      <c r="Y95" s="30"/>
      <c r="Z95" s="30"/>
      <c r="AA95" s="58" t="str">
        <f>IF(A95="","","Número de Inconformidades")</f>
        <v/>
      </c>
      <c r="AB95" s="30"/>
      <c r="AC95" s="30"/>
      <c r="AD95" s="30"/>
      <c r="AE95" s="30"/>
      <c r="AF95" s="30"/>
      <c r="AG95" s="32"/>
    </row>
    <row r="96" spans="1:33" ht="15.75" x14ac:dyDescent="0.25">
      <c r="B96" s="66" t="str">
        <f>IF(A95="","","PF Pago")</f>
        <v/>
      </c>
      <c r="D96" t="str">
        <f>IF(A95="","",VLOOKUP(A95,OSS[],MATCH("PF Pago",OSS[#Headers],0),FALSE))</f>
        <v/>
      </c>
      <c r="F96" s="36" t="str">
        <f>IF(A95="","",VLOOKUP(A95,OSS[],MATCH("Abertura da OS",OSS[#Headers],0),FALSE))</f>
        <v/>
      </c>
      <c r="G96" s="20" t="str">
        <f>IF(F96="","",WORKDAY(F96,IF(IF(P97="",P96,P97)&lt;150,5,10)))</f>
        <v/>
      </c>
      <c r="H96" s="20" t="str">
        <f>IF(G96="","",WORKDAY(G96,5))</f>
        <v/>
      </c>
      <c r="I96" s="20" t="str">
        <f>IF(G96="","",G96+ROUND((IF(P97="",P96,P97)/(19*LN(IF(P97="",P96,P97))-42))*30*SLA_PrazoEntrega,0))</f>
        <v/>
      </c>
      <c r="J96" s="20" t="str">
        <f>IF(I96="","",WORKDAY(I96,IF(IF(P97="",P96,P97)&lt;150,5,10)))</f>
        <v/>
      </c>
      <c r="K96" s="20" t="str">
        <f>IF(J96="","",J96+ROUND((IF(P97="",P96,P97)/(19*LN(IF(P97="",P96,P97))-42))*30*SLA_PrazoAceite,0))</f>
        <v/>
      </c>
      <c r="L96" s="20" t="str">
        <f>IF(G96="","",G96+ROUND((IF(P97="",P96,P97)/(19*LN(IF(P97="",P96,P97))-42))*30,0))</f>
        <v/>
      </c>
      <c r="M96" s="20" t="str">
        <f>IF(K96="","",WORKDAY(K96,1))</f>
        <v/>
      </c>
      <c r="N96" s="20" t="str">
        <f>IF(M96="","",M96+SLA_PrazoGarantia)</f>
        <v/>
      </c>
      <c r="O96" s="29" t="str">
        <f>IF(A95="","","Previsto")</f>
        <v/>
      </c>
      <c r="P96" s="21" t="str">
        <f>IF(A95="","",VLOOKUP(A95,OSS[],MATCH("PF Previsto",OSS[#Headers],0),FALSE))</f>
        <v/>
      </c>
      <c r="Q96" s="57" t="str">
        <f>IF(F96="","",ROUND((L96-G96)*SLA_ICA_EOS,1))</f>
        <v/>
      </c>
      <c r="R96" s="21" t="str">
        <f>IF(F96="","",SLA_ICP_CIHA)</f>
        <v/>
      </c>
      <c r="S96" s="21" t="str">
        <f>IF(F96="","",SLA_ICP_CIG)</f>
        <v/>
      </c>
      <c r="T96" s="57" t="str">
        <f>IF(F96="","",SLA_IQA_INGHA)</f>
        <v/>
      </c>
      <c r="U96" s="57" t="str">
        <f>IF(F96="","",SLA_IQA_IGHA)</f>
        <v/>
      </c>
      <c r="V96" s="57" t="str">
        <f>IF(F96="","",SLA_IQA_INGG)</f>
        <v/>
      </c>
      <c r="W96" s="57" t="str">
        <f>IF(F96="","",SLA_IQA_IGG)</f>
        <v/>
      </c>
      <c r="X96" s="57" t="str">
        <f>IF(F96="","",ROUND((G96-F96)*SLA_ICA_IOS,1))</f>
        <v/>
      </c>
      <c r="Y96" s="57" t="str">
        <f>IF(OR(R95="Hora Java",R95="Hora dotNet"),SLA_ICA_SP,"")</f>
        <v/>
      </c>
      <c r="Z96" s="57" t="str">
        <f>IF(F96="","",ROUND((L96-G96)*SLA_ICA_EOS,1))</f>
        <v/>
      </c>
      <c r="AA96" t="str">
        <f>IF(A95="","","Homologação")</f>
        <v/>
      </c>
      <c r="AB96" s="21" t="str">
        <f>IF(J97="","",VLOOKUP(A95,OSS[],MATCH("Não Grave - Homologação",OSS[#Headers],0),FALSE))</f>
        <v/>
      </c>
      <c r="AC96" s="21" t="str">
        <f>IF(J97="","",VLOOKUP(A95,OSS[],MATCH("Grave - Homologação",OSS[#Headers],0),FALSE))</f>
        <v/>
      </c>
      <c r="AD96" s="21" t="str">
        <f>IF(J97="","",AB96+AC96)</f>
        <v/>
      </c>
      <c r="AE96" s="26" t="str">
        <f>IF(J97="","",AD96/IF($P97="",$P96,$P97))</f>
        <v/>
      </c>
      <c r="AF96" s="21" t="str">
        <f>IF(J97="","",VLOOKUP(A95,OSS[],MATCH("Atrasos para Correção Homologação",OSS[#Headers],0),FALSE))</f>
        <v/>
      </c>
      <c r="AG96" t="str">
        <f>IF(Y96="","",VLOOKUP(A95,OSS[],MATCH("Atraso para Substituição",OSS[#Headers],0),FALSE))</f>
        <v/>
      </c>
    </row>
    <row r="97" spans="1:33" ht="15.75" x14ac:dyDescent="0.25">
      <c r="B97" s="66" t="str">
        <f>IF(A95="","","Saldo de PF")</f>
        <v/>
      </c>
      <c r="C97" s="37"/>
      <c r="D97" s="37" t="str">
        <f>IF(P96="","",IF($P97="",$P96,$P97)+IF(P98="",0,P98)-IF(D96="",0,D96))</f>
        <v/>
      </c>
      <c r="E97" s="37"/>
      <c r="G97" s="20" t="str">
        <f>IF(A95="","",IF(VLOOKUP(A95,OSS[],MATCH("Data de Inicio",OSS[#Headers],0),FALSE)="","",VLOOKUP(A95,OSS[],MATCH("Data de Inicio",OSS[#Headers],0),FALSE)))</f>
        <v/>
      </c>
      <c r="H97" s="20" t="str">
        <f>IF(A95="","",IF(VLOOKUP(A95,OSS[],MATCH("Entrega do Plano da OS",OSS[#Headers],0),FALSE)="","",VLOOKUP(A95,OSS[],MATCH("Entrega do Plano da OS",OSS[#Headers],0),FALSE)))</f>
        <v/>
      </c>
      <c r="I97" s="20" t="str">
        <f>IF(A95="","",IF(VLOOKUP(A95,OSS[],MATCH("Entrega da OS",OSS[#Headers],0),FALSE)="","",VLOOKUP(A95,OSS[],MATCH("Entrega da OS",OSS[#Headers],0),FALSE)))</f>
        <v/>
      </c>
      <c r="J97" s="20" t="str">
        <f>IF(A95="","",IF(VLOOKUP(A95,OSS[],MATCH("Recebimento da OS",OSS[#Headers],0),FALSE)="","",VLOOKUP(A95,OSS[],MATCH("Recebimento da OS",OSS[#Headers],0),FALSE)))</f>
        <v/>
      </c>
      <c r="K97" s="20" t="str">
        <f>IF(A95="","",IF(VLOOKUP(A95,OSS[],MATCH("Aceite da OS",OSS[#Headers],0),FALSE)="","",VLOOKUP(A95,OSS[],MATCH("Aceite da OS",OSS[#Headers],0),FALSE)))</f>
        <v/>
      </c>
      <c r="L97" s="20" t="str">
        <f>IF(A95="","",IF(VLOOKUP(A95,OSS[],MATCH("Data de Termino",OSS[#Headers],0),FALSE)="","",VLOOKUP(A95,OSS[],MATCH("Data de Termino",OSS[#Headers],0),FALSE)))</f>
        <v/>
      </c>
      <c r="M97" s="20" t="str">
        <f>IF(K97="","",K97)</f>
        <v/>
      </c>
      <c r="N97" s="20" t="str">
        <f>IF(M97="","",M97+180)</f>
        <v/>
      </c>
      <c r="O97" s="29" t="str">
        <f>IF(A95="","","Apurado")</f>
        <v/>
      </c>
      <c r="P97" s="21" t="str">
        <f>IF(A95="","",IF(VLOOKUP(A95,OSS[],MATCH("PF Apurado",OSS[#Headers],0),FALSE)="","",VLOOKUP(A95,OSS[],MATCH("PF Apurado",OSS[#Headers],0),FALSE)))</f>
        <v/>
      </c>
      <c r="Q97" s="57" t="str">
        <f>IF(F96="","",IF(G97="","",IF(L97="",IF(DataRef&lt;L96,L96,DataRef),L97)-L96))</f>
        <v/>
      </c>
      <c r="R97" s="21" t="str">
        <f>IF(J97="","",AF96)</f>
        <v/>
      </c>
      <c r="S97" s="21" t="str">
        <f>IF(K97="","",AF97)</f>
        <v/>
      </c>
      <c r="T97" s="57" t="str">
        <f>IF(J97="","",AB96/IF($P97="",$P96,$P97))</f>
        <v/>
      </c>
      <c r="U97" s="57" t="str">
        <f>IF(J97="","",AC96/IF($P97="",$P96,$P97))</f>
        <v/>
      </c>
      <c r="V97" s="57" t="str">
        <f>IF(K97="","",AB97/IF($P97="",$P96,$P97))</f>
        <v/>
      </c>
      <c r="W97" s="57" t="str">
        <f>IF(K97="","",AC97/IF($P97="",$P96,$P97))</f>
        <v/>
      </c>
      <c r="X97" s="57" t="str">
        <f>IF(F96="","",IF(G97="",IF(DataRef&lt;G96,"",DataRef-G96),G97-G96))</f>
        <v/>
      </c>
      <c r="Y97" s="57" t="str">
        <f>IF(OR(R95="Hora Java",R95="Hora dotNet"),AG96,"")</f>
        <v/>
      </c>
      <c r="Z97" s="57" t="str">
        <f>IF(F96="","",IF(L97="",IF(DataRef&lt;L96,L96,DataRef),L97)-L96)</f>
        <v/>
      </c>
      <c r="AA97" t="str">
        <f>IF(A95="","","Garantia")</f>
        <v/>
      </c>
      <c r="AB97" s="21" t="str">
        <f>IF(K97="","",VLOOKUP(A95,OSS[],MATCH("Não Grave - Garantia",OSS[#Headers],0),FALSE))</f>
        <v/>
      </c>
      <c r="AC97" s="21" t="str">
        <f>IF(K97="","",VLOOKUP(A95,OSS[],MATCH("Grave - Garantia",OSS[#Headers],0),FALSE))</f>
        <v/>
      </c>
      <c r="AD97" s="21" t="str">
        <f>IF(K97="","",AB97+AC97)</f>
        <v/>
      </c>
      <c r="AE97" s="26" t="str">
        <f>IF(K97="","",AD97/IF($P97="",$P96,$P97))</f>
        <v/>
      </c>
      <c r="AF97" s="21" t="str">
        <f>IF(K97="","",VLOOKUP(A95,OSS[],MATCH("Atrasos para Correção Garantia",OSS[#Headers],0),FALSE))</f>
        <v/>
      </c>
    </row>
    <row r="98" spans="1:33" ht="15.75" x14ac:dyDescent="0.25">
      <c r="B98" s="66" t="str">
        <f>IF(A95="","","PF a Pagar")</f>
        <v/>
      </c>
      <c r="C98" s="67" t="str">
        <f>IF(D97="","",IF(B95="Recebida",(P97*0.8),IF(B95="Aceita",D97,0))+IF(D97&lt;0,D97,0))</f>
        <v/>
      </c>
      <c r="E98" s="37"/>
      <c r="K98" s="69" t="str">
        <f>IF(A95="","","Prazo previsto para execução em dias corridos")</f>
        <v/>
      </c>
      <c r="L98" s="70" t="str">
        <f>IF(G96="","",ROUND((IF(P97="",P96,P97)/(19*LN(IF(P97="",P96,P97))-42))*30,0))</f>
        <v/>
      </c>
      <c r="O98" s="29" t="str">
        <f>IF(A95="","","Multa")</f>
        <v/>
      </c>
      <c r="P98" s="25" t="str">
        <f>IF(SUM(Q98:Z98)=0,"",-ROUND(SUM(Q98:Z98),0))</f>
        <v/>
      </c>
      <c r="Q98" s="57" t="str">
        <f>IF(Q97="","",IF(OR(Q96&gt;Q97,Z96&lt;Z97),"",ROUND(Q97*(IF($P97="",$P96,$P97)*SLA_ICA_EOS_Multa),2)))</f>
        <v/>
      </c>
      <c r="R98" s="57" t="str">
        <f>IF(R97="","",IF(R96&gt;R97,"",ROUND(R97*(IF($P97="",$P96,$P97)*SLA_ICP_CIHA_Multa),2)))</f>
        <v/>
      </c>
      <c r="S98" s="57" t="str">
        <f>IF(S97="","",IF(S96&gt;S97,"",ROUND(S97*(IF($P97="",$P96,$P97)*SLA_ICP_CIG_Multa),2)))</f>
        <v/>
      </c>
      <c r="T98" s="57" t="str">
        <f>IF(T97="","",IF(T96&gt;T97,"",ROUND(T97*(IF($P97="",$P96,$P97)*SLA_IQA_INGHA_Multa),2)))</f>
        <v/>
      </c>
      <c r="U98" s="57" t="str">
        <f>IF(U97="","",IF(U96&gt;U97,"",ROUND(U97*(IF($P97="",$P96,$P97)*SLA_IQA_IGHA_Multa),2)))</f>
        <v/>
      </c>
      <c r="V98" s="57" t="str">
        <f>IF(V97="","",IF(V96&gt;V97,"",ROUND(V97*(IF($P97="",$P96,$P97)*SLA_IQA_INGG_Multa),2)))</f>
        <v/>
      </c>
      <c r="W98" s="57" t="str">
        <f>IF(W97="","",IF(W96&gt;W97,"",ROUND(W97*(IF($P97="",$P96,$P97)*SLA_IQA_IGG_Multa),2)))</f>
        <v/>
      </c>
      <c r="X98" s="57" t="str">
        <f>IF(X97="","",IF(X96&gt;X97,"",ROUND(X97*(IF($P97="",$P96,$P97)*SLA_ICA_IOS_Multa),2)))</f>
        <v/>
      </c>
      <c r="Y98" s="57" t="str">
        <f>IF(Y97="","",IF(Y96&gt;Y97,"",ROUND(Y97*(IF($P97="",$P96,$P97)*SLA_ICA_SP_Multa),2)))</f>
        <v/>
      </c>
      <c r="Z98" s="57" t="str">
        <f>IF(Z97="","",IF(Z96&gt;Z97,"",ROUND(IF($P97="",$P96,$P97)*SLA_ICA_EOS_Multa,2)))</f>
        <v/>
      </c>
      <c r="AA98" t="str">
        <f>IF(A95="","","Total")</f>
        <v/>
      </c>
      <c r="AB98" s="21" t="str">
        <f>IF(SUM(AB96:AB97)=0,"",SUM(AB96:AB97))</f>
        <v/>
      </c>
      <c r="AC98" s="21" t="str">
        <f>IF(SUM(AC96:AC97)=0,"",SUM(AC96:AC97))</f>
        <v/>
      </c>
      <c r="AD98" s="21" t="str">
        <f>IF(SUM(AB98:AC98)=0,"",SUM(AB98:AC98))</f>
        <v/>
      </c>
      <c r="AE98" s="26" t="str">
        <f>IF(P96="","",IF(AD98="","",AD98/IF($P97="",$P96,$P97)))</f>
        <v/>
      </c>
    </row>
    <row r="99" spans="1:33" ht="15.75" x14ac:dyDescent="0.25">
      <c r="G99" s="20"/>
      <c r="H99" s="20"/>
      <c r="I99" s="20"/>
      <c r="J99" s="20"/>
      <c r="K99" s="20"/>
      <c r="L99" s="20"/>
      <c r="M99" s="20"/>
      <c r="N99" s="20"/>
      <c r="O99" s="35"/>
      <c r="P99" s="37"/>
    </row>
    <row r="100" spans="1:33" ht="15.75" x14ac:dyDescent="0.25">
      <c r="A100" s="54" t="str">
        <f>IF(ControleOSsMês!$G$1="Todas",IFERROR(INDEX(OSS[Número OS],INT((ROW()-ROW($A$3)-1)/5)+1,1),""),IFERROR(VLOOKUP(INT((ROW()-ROW($A$3)-1)/5)+1,OSMês[],2,FALSE),""))</f>
        <v/>
      </c>
      <c r="B100" s="71" t="str">
        <f>IF(A100="","",VLOOKUP(A100,OSS[],MATCH("Situação da OS",OSS[#Headers],0),FALSE))</f>
        <v/>
      </c>
      <c r="C100" s="71"/>
      <c r="D100" s="54" t="str">
        <f>IF(A100="","","em")</f>
        <v/>
      </c>
      <c r="E100" s="59" t="str">
        <f>IF(A100="","",VLOOKUP(A100,OSS[],MATCH("Data Situação",OSS[#Headers],0),FALSE))</f>
        <v/>
      </c>
      <c r="F100" s="68" t="str">
        <f>IF(A100="","","Titulo:")</f>
        <v/>
      </c>
      <c r="G100" s="31" t="str">
        <f>IF(A100="","",VLOOKUP(A100,OSS[],MATCH("Titulo",OSS[#Headers],0),FALSE))</f>
        <v/>
      </c>
      <c r="H100" s="30"/>
      <c r="I100" s="30"/>
      <c r="J100" s="30"/>
      <c r="K100" s="30"/>
      <c r="L100" s="30"/>
      <c r="M100" s="30"/>
      <c r="N100" s="30"/>
      <c r="O100" s="30"/>
      <c r="P100" s="30"/>
      <c r="Q100" s="68" t="str">
        <f>IF(A100="","","Tipo da OS:")</f>
        <v/>
      </c>
      <c r="R100" s="31" t="str">
        <f>IF(A100="","",VLOOKUP(A100,OSS[],MATCH("Tipo",OSS[#Headers],0),FALSE))</f>
        <v/>
      </c>
      <c r="S100" s="30"/>
      <c r="T100" s="30"/>
      <c r="U100" s="30"/>
      <c r="V100" s="30"/>
      <c r="W100" s="30"/>
      <c r="X100" s="30"/>
      <c r="Y100" s="30"/>
      <c r="Z100" s="30"/>
      <c r="AA100" s="58" t="str">
        <f>IF(A100="","","Número de Inconformidades")</f>
        <v/>
      </c>
      <c r="AB100" s="30"/>
      <c r="AC100" s="30"/>
      <c r="AD100" s="30"/>
      <c r="AE100" s="30"/>
      <c r="AF100" s="30"/>
      <c r="AG100" s="32"/>
    </row>
    <row r="101" spans="1:33" ht="15.75" x14ac:dyDescent="0.25">
      <c r="B101" s="66" t="str">
        <f>IF(A100="","","PF Pago")</f>
        <v/>
      </c>
      <c r="D101" t="str">
        <f>IF(A100="","",VLOOKUP(A100,OSS[],MATCH("PF Pago",OSS[#Headers],0),FALSE))</f>
        <v/>
      </c>
      <c r="F101" s="36" t="str">
        <f>IF(A100="","",VLOOKUP(A100,OSS[],MATCH("Abertura da OS",OSS[#Headers],0),FALSE))</f>
        <v/>
      </c>
      <c r="G101" s="20" t="str">
        <f>IF(F101="","",WORKDAY(F101,IF(IF(P102="",P101,P102)&lt;150,5,10)))</f>
        <v/>
      </c>
      <c r="H101" s="20" t="str">
        <f>IF(G101="","",WORKDAY(G101,5))</f>
        <v/>
      </c>
      <c r="I101" s="20" t="str">
        <f>IF(G101="","",G101+ROUND((IF(P102="",P101,P102)/(19*LN(IF(P102="",P101,P102))-42))*30*SLA_PrazoEntrega,0))</f>
        <v/>
      </c>
      <c r="J101" s="20" t="str">
        <f>IF(I101="","",WORKDAY(I101,IF(IF(P102="",P101,P102)&lt;150,5,10)))</f>
        <v/>
      </c>
      <c r="K101" s="20" t="str">
        <f>IF(J101="","",J101+ROUND((IF(P102="",P101,P102)/(19*LN(IF(P102="",P101,P102))-42))*30*SLA_PrazoAceite,0))</f>
        <v/>
      </c>
      <c r="L101" s="20" t="str">
        <f>IF(G101="","",G101+ROUND((IF(P102="",P101,P102)/(19*LN(IF(P102="",P101,P102))-42))*30,0))</f>
        <v/>
      </c>
      <c r="M101" s="20" t="str">
        <f>IF(K101="","",WORKDAY(K101,1))</f>
        <v/>
      </c>
      <c r="N101" s="20" t="str">
        <f>IF(M101="","",M101+SLA_PrazoGarantia)</f>
        <v/>
      </c>
      <c r="O101" s="29" t="str">
        <f>IF(A100="","","Previsto")</f>
        <v/>
      </c>
      <c r="P101" s="21" t="str">
        <f>IF(A100="","",VLOOKUP(A100,OSS[],MATCH("PF Previsto",OSS[#Headers],0),FALSE))</f>
        <v/>
      </c>
      <c r="Q101" s="57" t="str">
        <f>IF(F101="","",ROUND((L101-G101)*SLA_ICA_EOS,1))</f>
        <v/>
      </c>
      <c r="R101" s="21" t="str">
        <f>IF(F101="","",SLA_ICP_CIHA)</f>
        <v/>
      </c>
      <c r="S101" s="21" t="str">
        <f>IF(F101="","",SLA_ICP_CIG)</f>
        <v/>
      </c>
      <c r="T101" s="57" t="str">
        <f>IF(F101="","",SLA_IQA_INGHA)</f>
        <v/>
      </c>
      <c r="U101" s="57" t="str">
        <f>IF(F101="","",SLA_IQA_IGHA)</f>
        <v/>
      </c>
      <c r="V101" s="57" t="str">
        <f>IF(F101="","",SLA_IQA_INGG)</f>
        <v/>
      </c>
      <c r="W101" s="57" t="str">
        <f>IF(F101="","",SLA_IQA_IGG)</f>
        <v/>
      </c>
      <c r="X101" s="57" t="str">
        <f>IF(F101="","",ROUND((G101-F101)*SLA_ICA_IOS,1))</f>
        <v/>
      </c>
      <c r="Y101" s="57" t="str">
        <f>IF(OR(R100="Hora Java",R100="Hora dotNet"),SLA_ICA_SP,"")</f>
        <v/>
      </c>
      <c r="Z101" s="57" t="str">
        <f>IF(F101="","",ROUND((L101-G101)*SLA_ICA_EOS,1))</f>
        <v/>
      </c>
      <c r="AA101" t="str">
        <f>IF(A100="","","Homologação")</f>
        <v/>
      </c>
      <c r="AB101" s="21" t="str">
        <f>IF(J102="","",VLOOKUP(A100,OSS[],MATCH("Não Grave - Homologação",OSS[#Headers],0),FALSE))</f>
        <v/>
      </c>
      <c r="AC101" s="21" t="str">
        <f>IF(J102="","",VLOOKUP(A100,OSS[],MATCH("Grave - Homologação",OSS[#Headers],0),FALSE))</f>
        <v/>
      </c>
      <c r="AD101" s="21" t="str">
        <f>IF(J102="","",AB101+AC101)</f>
        <v/>
      </c>
      <c r="AE101" s="26" t="str">
        <f>IF(J102="","",AD101/IF($P102="",$P101,$P102))</f>
        <v/>
      </c>
      <c r="AF101" s="21" t="str">
        <f>IF(J102="","",VLOOKUP(A100,OSS[],MATCH("Atrasos para Correção Homologação",OSS[#Headers],0),FALSE))</f>
        <v/>
      </c>
      <c r="AG101" t="str">
        <f>IF(Y101="","",VLOOKUP(A100,OSS[],MATCH("Atraso para Substituição",OSS[#Headers],0),FALSE))</f>
        <v/>
      </c>
    </row>
    <row r="102" spans="1:33" ht="15.75" x14ac:dyDescent="0.25">
      <c r="B102" s="66" t="str">
        <f>IF(A100="","","Saldo de PF")</f>
        <v/>
      </c>
      <c r="C102" s="37"/>
      <c r="D102" s="37" t="str">
        <f>IF(P101="","",IF($P102="",$P101,$P102)+IF(P103="",0,P103)-IF(D101="",0,D101))</f>
        <v/>
      </c>
      <c r="E102" s="37"/>
      <c r="G102" s="20" t="str">
        <f>IF(A100="","",IF(VLOOKUP(A100,OSS[],MATCH("Data de Inicio",OSS[#Headers],0),FALSE)="","",VLOOKUP(A100,OSS[],MATCH("Data de Inicio",OSS[#Headers],0),FALSE)))</f>
        <v/>
      </c>
      <c r="H102" s="20" t="str">
        <f>IF(A100="","",IF(VLOOKUP(A100,OSS[],MATCH("Entrega do Plano da OS",OSS[#Headers],0),FALSE)="","",VLOOKUP(A100,OSS[],MATCH("Entrega do Plano da OS",OSS[#Headers],0),FALSE)))</f>
        <v/>
      </c>
      <c r="I102" s="20" t="str">
        <f>IF(A100="","",IF(VLOOKUP(A100,OSS[],MATCH("Entrega da OS",OSS[#Headers],0),FALSE)="","",VLOOKUP(A100,OSS[],MATCH("Entrega da OS",OSS[#Headers],0),FALSE)))</f>
        <v/>
      </c>
      <c r="J102" s="20" t="str">
        <f>IF(A100="","",IF(VLOOKUP(A100,OSS[],MATCH("Recebimento da OS",OSS[#Headers],0),FALSE)="","",VLOOKUP(A100,OSS[],MATCH("Recebimento da OS",OSS[#Headers],0),FALSE)))</f>
        <v/>
      </c>
      <c r="K102" s="20" t="str">
        <f>IF(A100="","",IF(VLOOKUP(A100,OSS[],MATCH("Aceite da OS",OSS[#Headers],0),FALSE)="","",VLOOKUP(A100,OSS[],MATCH("Aceite da OS",OSS[#Headers],0),FALSE)))</f>
        <v/>
      </c>
      <c r="L102" s="20" t="str">
        <f>IF(A100="","",IF(VLOOKUP(A100,OSS[],MATCH("Data de Termino",OSS[#Headers],0),FALSE)="","",VLOOKUP(A100,OSS[],MATCH("Data de Termino",OSS[#Headers],0),FALSE)))</f>
        <v/>
      </c>
      <c r="M102" s="20" t="str">
        <f>IF(K102="","",K102)</f>
        <v/>
      </c>
      <c r="N102" s="20" t="str">
        <f>IF(M102="","",M102+180)</f>
        <v/>
      </c>
      <c r="O102" s="29" t="str">
        <f>IF(A100="","","Apurado")</f>
        <v/>
      </c>
      <c r="P102" s="21" t="str">
        <f>IF(A100="","",IF(VLOOKUP(A100,OSS[],MATCH("PF Apurado",OSS[#Headers],0),FALSE)="","",VLOOKUP(A100,OSS[],MATCH("PF Apurado",OSS[#Headers],0),FALSE)))</f>
        <v/>
      </c>
      <c r="Q102" s="57" t="str">
        <f>IF(F101="","",IF(G102="","",IF(L102="",IF(DataRef&lt;L101,L101,DataRef),L102)-L101))</f>
        <v/>
      </c>
      <c r="R102" s="21" t="str">
        <f>IF(J102="","",AF101)</f>
        <v/>
      </c>
      <c r="S102" s="21" t="str">
        <f>IF(K102="","",AF102)</f>
        <v/>
      </c>
      <c r="T102" s="57" t="str">
        <f>IF(J102="","",AB101/IF($P102="",$P101,$P102))</f>
        <v/>
      </c>
      <c r="U102" s="57" t="str">
        <f>IF(J102="","",AC101/IF($P102="",$P101,$P102))</f>
        <v/>
      </c>
      <c r="V102" s="57" t="str">
        <f>IF(K102="","",AB102/IF($P102="",$P101,$P102))</f>
        <v/>
      </c>
      <c r="W102" s="57" t="str">
        <f>IF(K102="","",AC102/IF($P102="",$P101,$P102))</f>
        <v/>
      </c>
      <c r="X102" s="57" t="str">
        <f>IF(F101="","",IF(G102="",IF(DataRef&lt;G101,"",DataRef-G101),G102-G101))</f>
        <v/>
      </c>
      <c r="Y102" s="57" t="str">
        <f>IF(OR(R100="Hora Java",R100="Hora dotNet"),AG101,"")</f>
        <v/>
      </c>
      <c r="Z102" s="57" t="str">
        <f>IF(F101="","",IF(L102="",IF(DataRef&lt;L101,L101,DataRef),L102)-L101)</f>
        <v/>
      </c>
      <c r="AA102" t="str">
        <f>IF(A100="","","Garantia")</f>
        <v/>
      </c>
      <c r="AB102" s="21" t="str">
        <f>IF(K102="","",VLOOKUP(A100,OSS[],MATCH("Não Grave - Garantia",OSS[#Headers],0),FALSE))</f>
        <v/>
      </c>
      <c r="AC102" s="21" t="str">
        <f>IF(K102="","",VLOOKUP(A100,OSS[],MATCH("Grave - Garantia",OSS[#Headers],0),FALSE))</f>
        <v/>
      </c>
      <c r="AD102" s="21" t="str">
        <f>IF(K102="","",AB102+AC102)</f>
        <v/>
      </c>
      <c r="AE102" s="26" t="str">
        <f>IF(K102="","",AD102/IF($P102="",$P101,$P102))</f>
        <v/>
      </c>
      <c r="AF102" s="21" t="str">
        <f>IF(K102="","",VLOOKUP(A100,OSS[],MATCH("Atrasos para Correção Garantia",OSS[#Headers],0),FALSE))</f>
        <v/>
      </c>
    </row>
    <row r="103" spans="1:33" ht="15.75" x14ac:dyDescent="0.25">
      <c r="B103" s="66" t="str">
        <f>IF(A100="","","PF a Pagar")</f>
        <v/>
      </c>
      <c r="C103" s="67" t="str">
        <f>IF(D102="","",IF(B100="Recebida",(P102*0.8),IF(B100="Aceita",D102,0))+IF(D102&lt;0,D102,0))</f>
        <v/>
      </c>
      <c r="E103" s="37"/>
      <c r="K103" s="69" t="str">
        <f>IF(A100="","","Prazo previsto para execução em dias corridos")</f>
        <v/>
      </c>
      <c r="L103" s="70" t="str">
        <f>IF(G101="","",ROUND((IF(P102="",P101,P102)/(19*LN(IF(P102="",P101,P102))-42))*30,0))</f>
        <v/>
      </c>
      <c r="O103" s="29" t="str">
        <f>IF(A100="","","Multa")</f>
        <v/>
      </c>
      <c r="P103" s="25" t="str">
        <f>IF(SUM(Q103:Z103)=0,"",-ROUND(SUM(Q103:Z103),0))</f>
        <v/>
      </c>
      <c r="Q103" s="57" t="str">
        <f>IF(Q102="","",IF(OR(Q101&gt;Q102,Z101&lt;Z102),"",ROUND(Q102*(IF($P102="",$P101,$P102)*SLA_ICA_EOS_Multa),2)))</f>
        <v/>
      </c>
      <c r="R103" s="57" t="str">
        <f>IF(R102="","",IF(R101&gt;R102,"",ROUND(R102*(IF($P102="",$P101,$P102)*SLA_ICP_CIHA_Multa),2)))</f>
        <v/>
      </c>
      <c r="S103" s="57" t="str">
        <f>IF(S102="","",IF(S101&gt;S102,"",ROUND(S102*(IF($P102="",$P101,$P102)*SLA_ICP_CIG_Multa),2)))</f>
        <v/>
      </c>
      <c r="T103" s="57" t="str">
        <f>IF(T102="","",IF(T101&gt;T102,"",ROUND(T102*(IF($P102="",$P101,$P102)*SLA_IQA_INGHA_Multa),2)))</f>
        <v/>
      </c>
      <c r="U103" s="57" t="str">
        <f>IF(U102="","",IF(U101&gt;U102,"",ROUND(U102*(IF($P102="",$P101,$P102)*SLA_IQA_IGHA_Multa),2)))</f>
        <v/>
      </c>
      <c r="V103" s="57" t="str">
        <f>IF(V102="","",IF(V101&gt;V102,"",ROUND(V102*(IF($P102="",$P101,$P102)*SLA_IQA_INGG_Multa),2)))</f>
        <v/>
      </c>
      <c r="W103" s="57" t="str">
        <f>IF(W102="","",IF(W101&gt;W102,"",ROUND(W102*(IF($P102="",$P101,$P102)*SLA_IQA_IGG_Multa),2)))</f>
        <v/>
      </c>
      <c r="X103" s="57" t="str">
        <f>IF(X102="","",IF(X101&gt;X102,"",ROUND(X102*(IF($P102="",$P101,$P102)*SLA_ICA_IOS_Multa),2)))</f>
        <v/>
      </c>
      <c r="Y103" s="57" t="str">
        <f>IF(Y102="","",IF(Y101&gt;Y102,"",ROUND(Y102*(IF($P102="",$P101,$P102)*SLA_ICA_SP_Multa),2)))</f>
        <v/>
      </c>
      <c r="Z103" s="57" t="str">
        <f>IF(Z102="","",IF(Z101&gt;Z102,"",ROUND(IF($P102="",$P101,$P102)*SLA_ICA_EOS_Multa,2)))</f>
        <v/>
      </c>
      <c r="AA103" t="str">
        <f>IF(A100="","","Total")</f>
        <v/>
      </c>
      <c r="AB103" s="21" t="str">
        <f>IF(SUM(AB101:AB102)=0,"",SUM(AB101:AB102))</f>
        <v/>
      </c>
      <c r="AC103" s="21" t="str">
        <f>IF(SUM(AC101:AC102)=0,"",SUM(AC101:AC102))</f>
        <v/>
      </c>
      <c r="AD103" s="21" t="str">
        <f>IF(SUM(AB103:AC103)=0,"",SUM(AB103:AC103))</f>
        <v/>
      </c>
      <c r="AE103" s="26" t="str">
        <f>IF(P101="","",IF(AD103="","",AD103/IF($P102="",$P101,$P102)))</f>
        <v/>
      </c>
    </row>
    <row r="104" spans="1:33" ht="15.75" x14ac:dyDescent="0.25">
      <c r="G104" s="20"/>
      <c r="H104" s="20"/>
      <c r="I104" s="20"/>
      <c r="J104" s="20"/>
      <c r="K104" s="20"/>
      <c r="L104" s="20"/>
      <c r="M104" s="20"/>
      <c r="N104" s="20"/>
      <c r="O104" s="35"/>
      <c r="P104" s="37"/>
    </row>
    <row r="105" spans="1:33" ht="15.75" x14ac:dyDescent="0.25">
      <c r="A105" s="54" t="str">
        <f>IF(ControleOSsMês!$G$1="Todas",IFERROR(INDEX(OSS[Número OS],INT((ROW()-ROW($A$3)-1)/5)+1,1),""),IFERROR(VLOOKUP(INT((ROW()-ROW($A$3)-1)/5)+1,OSMês[],2,FALSE),""))</f>
        <v/>
      </c>
      <c r="B105" s="71" t="str">
        <f>IF(A105="","",VLOOKUP(A105,OSS[],MATCH("Situação da OS",OSS[#Headers],0),FALSE))</f>
        <v/>
      </c>
      <c r="C105" s="71"/>
      <c r="D105" s="54" t="str">
        <f>IF(A105="","","em")</f>
        <v/>
      </c>
      <c r="E105" s="59" t="str">
        <f>IF(A105="","",VLOOKUP(A105,OSS[],MATCH("Data Situação",OSS[#Headers],0),FALSE))</f>
        <v/>
      </c>
      <c r="F105" s="68" t="str">
        <f>IF(A105="","","Titulo:")</f>
        <v/>
      </c>
      <c r="G105" s="31" t="str">
        <f>IF(A105="","",VLOOKUP(A105,OSS[],MATCH("Titulo",OSS[#Headers],0),FALSE))</f>
        <v/>
      </c>
      <c r="H105" s="30"/>
      <c r="I105" s="30"/>
      <c r="J105" s="30"/>
      <c r="K105" s="30"/>
      <c r="L105" s="30"/>
      <c r="M105" s="30"/>
      <c r="N105" s="30"/>
      <c r="O105" s="30"/>
      <c r="P105" s="30"/>
      <c r="Q105" s="68" t="str">
        <f>IF(A105="","","Tipo da OS:")</f>
        <v/>
      </c>
      <c r="R105" s="31" t="str">
        <f>IF(A105="","",VLOOKUP(A105,OSS[],MATCH("Tipo",OSS[#Headers],0),FALSE))</f>
        <v/>
      </c>
      <c r="S105" s="30"/>
      <c r="T105" s="30"/>
      <c r="U105" s="30"/>
      <c r="V105" s="30"/>
      <c r="W105" s="30"/>
      <c r="X105" s="30"/>
      <c r="Y105" s="30"/>
      <c r="Z105" s="30"/>
      <c r="AA105" s="58" t="str">
        <f>IF(A105="","","Número de Inconformidades")</f>
        <v/>
      </c>
      <c r="AB105" s="30"/>
      <c r="AC105" s="30"/>
      <c r="AD105" s="30"/>
      <c r="AE105" s="30"/>
      <c r="AF105" s="30"/>
      <c r="AG105" s="32"/>
    </row>
    <row r="106" spans="1:33" ht="15.75" x14ac:dyDescent="0.25">
      <c r="B106" s="66" t="str">
        <f>IF(A105="","","PF Pago")</f>
        <v/>
      </c>
      <c r="D106" t="str">
        <f>IF(A105="","",VLOOKUP(A105,OSS[],MATCH("PF Pago",OSS[#Headers],0),FALSE))</f>
        <v/>
      </c>
      <c r="F106" s="36" t="str">
        <f>IF(A105="","",VLOOKUP(A105,OSS[],MATCH("Abertura da OS",OSS[#Headers],0),FALSE))</f>
        <v/>
      </c>
      <c r="G106" s="20" t="str">
        <f>IF(F106="","",WORKDAY(F106,IF(IF(P107="",P106,P107)&lt;150,5,10)))</f>
        <v/>
      </c>
      <c r="H106" s="20" t="str">
        <f>IF(G106="","",WORKDAY(G106,5))</f>
        <v/>
      </c>
      <c r="I106" s="20" t="str">
        <f>IF(G106="","",G106+ROUND((IF(P107="",P106,P107)/(19*LN(IF(P107="",P106,P107))-42))*30*SLA_PrazoEntrega,0))</f>
        <v/>
      </c>
      <c r="J106" s="20" t="str">
        <f>IF(I106="","",WORKDAY(I106,IF(IF(P107="",P106,P107)&lt;150,5,10)))</f>
        <v/>
      </c>
      <c r="K106" s="20" t="str">
        <f>IF(J106="","",J106+ROUND((IF(P107="",P106,P107)/(19*LN(IF(P107="",P106,P107))-42))*30*SLA_PrazoAceite,0))</f>
        <v/>
      </c>
      <c r="L106" s="20" t="str">
        <f>IF(G106="","",G106+ROUND((IF(P107="",P106,P107)/(19*LN(IF(P107="",P106,P107))-42))*30,0))</f>
        <v/>
      </c>
      <c r="M106" s="20" t="str">
        <f>IF(K106="","",WORKDAY(K106,1))</f>
        <v/>
      </c>
      <c r="N106" s="20" t="str">
        <f>IF(M106="","",M106+SLA_PrazoGarantia)</f>
        <v/>
      </c>
      <c r="O106" s="29" t="str">
        <f>IF(A105="","","Previsto")</f>
        <v/>
      </c>
      <c r="P106" s="21" t="str">
        <f>IF(A105="","",VLOOKUP(A105,OSS[],MATCH("PF Previsto",OSS[#Headers],0),FALSE))</f>
        <v/>
      </c>
      <c r="Q106" s="57" t="str">
        <f>IF(F106="","",ROUND((L106-G106)*SLA_ICA_EOS,1))</f>
        <v/>
      </c>
      <c r="R106" s="21" t="str">
        <f>IF(F106="","",SLA_ICP_CIHA)</f>
        <v/>
      </c>
      <c r="S106" s="21" t="str">
        <f>IF(F106="","",SLA_ICP_CIG)</f>
        <v/>
      </c>
      <c r="T106" s="57" t="str">
        <f>IF(F106="","",SLA_IQA_INGHA)</f>
        <v/>
      </c>
      <c r="U106" s="57" t="str">
        <f>IF(F106="","",SLA_IQA_IGHA)</f>
        <v/>
      </c>
      <c r="V106" s="57" t="str">
        <f>IF(F106="","",SLA_IQA_INGG)</f>
        <v/>
      </c>
      <c r="W106" s="57" t="str">
        <f>IF(F106="","",SLA_IQA_IGG)</f>
        <v/>
      </c>
      <c r="X106" s="57" t="str">
        <f>IF(F106="","",ROUND((G106-F106)*SLA_ICA_IOS,1))</f>
        <v/>
      </c>
      <c r="Y106" s="57" t="str">
        <f>IF(OR(R105="Hora Java",R105="Hora dotNet"),SLA_ICA_SP,"")</f>
        <v/>
      </c>
      <c r="Z106" s="57" t="str">
        <f>IF(F106="","",ROUND((L106-G106)*SLA_ICA_EOS,1))</f>
        <v/>
      </c>
      <c r="AA106" t="str">
        <f>IF(A105="","","Homologação")</f>
        <v/>
      </c>
      <c r="AB106" s="21" t="str">
        <f>IF(J107="","",VLOOKUP(A105,OSS[],MATCH("Não Grave - Homologação",OSS[#Headers],0),FALSE))</f>
        <v/>
      </c>
      <c r="AC106" s="21" t="str">
        <f>IF(J107="","",VLOOKUP(A105,OSS[],MATCH("Grave - Homologação",OSS[#Headers],0),FALSE))</f>
        <v/>
      </c>
      <c r="AD106" s="21" t="str">
        <f>IF(J107="","",AB106+AC106)</f>
        <v/>
      </c>
      <c r="AE106" s="26" t="str">
        <f>IF(J107="","",AD106/IF($P107="",$P106,$P107))</f>
        <v/>
      </c>
      <c r="AF106" s="21" t="str">
        <f>IF(J107="","",VLOOKUP(A105,OSS[],MATCH("Atrasos para Correção Homologação",OSS[#Headers],0),FALSE))</f>
        <v/>
      </c>
      <c r="AG106" t="str">
        <f>IF(Y106="","",VLOOKUP(A105,OSS[],MATCH("Atraso para Substituição",OSS[#Headers],0),FALSE))</f>
        <v/>
      </c>
    </row>
    <row r="107" spans="1:33" ht="15.75" x14ac:dyDescent="0.25">
      <c r="B107" s="66" t="str">
        <f>IF(A105="","","Saldo de PF")</f>
        <v/>
      </c>
      <c r="C107" s="37"/>
      <c r="D107" s="37" t="str">
        <f>IF(P106="","",IF($P107="",$P106,$P107)+IF(P108="",0,P108)-IF(D106="",0,D106))</f>
        <v/>
      </c>
      <c r="E107" s="37"/>
      <c r="G107" s="20" t="str">
        <f>IF(A105="","",IF(VLOOKUP(A105,OSS[],MATCH("Data de Inicio",OSS[#Headers],0),FALSE)="","",VLOOKUP(A105,OSS[],MATCH("Data de Inicio",OSS[#Headers],0),FALSE)))</f>
        <v/>
      </c>
      <c r="H107" s="20" t="str">
        <f>IF(A105="","",IF(VLOOKUP(A105,OSS[],MATCH("Entrega do Plano da OS",OSS[#Headers],0),FALSE)="","",VLOOKUP(A105,OSS[],MATCH("Entrega do Plano da OS",OSS[#Headers],0),FALSE)))</f>
        <v/>
      </c>
      <c r="I107" s="20" t="str">
        <f>IF(A105="","",IF(VLOOKUP(A105,OSS[],MATCH("Entrega da OS",OSS[#Headers],0),FALSE)="","",VLOOKUP(A105,OSS[],MATCH("Entrega da OS",OSS[#Headers],0),FALSE)))</f>
        <v/>
      </c>
      <c r="J107" s="20" t="str">
        <f>IF(A105="","",IF(VLOOKUP(A105,OSS[],MATCH("Recebimento da OS",OSS[#Headers],0),FALSE)="","",VLOOKUP(A105,OSS[],MATCH("Recebimento da OS",OSS[#Headers],0),FALSE)))</f>
        <v/>
      </c>
      <c r="K107" s="20" t="str">
        <f>IF(A105="","",IF(VLOOKUP(A105,OSS[],MATCH("Aceite da OS",OSS[#Headers],0),FALSE)="","",VLOOKUP(A105,OSS[],MATCH("Aceite da OS",OSS[#Headers],0),FALSE)))</f>
        <v/>
      </c>
      <c r="L107" s="20" t="str">
        <f>IF(A105="","",IF(VLOOKUP(A105,OSS[],MATCH("Data de Termino",OSS[#Headers],0),FALSE)="","",VLOOKUP(A105,OSS[],MATCH("Data de Termino",OSS[#Headers],0),FALSE)))</f>
        <v/>
      </c>
      <c r="M107" s="20" t="str">
        <f>IF(K107="","",K107)</f>
        <v/>
      </c>
      <c r="N107" s="20" t="str">
        <f>IF(M107="","",M107+180)</f>
        <v/>
      </c>
      <c r="O107" s="29" t="str">
        <f>IF(A105="","","Apurado")</f>
        <v/>
      </c>
      <c r="P107" s="21" t="str">
        <f>IF(A105="","",IF(VLOOKUP(A105,OSS[],MATCH("PF Apurado",OSS[#Headers],0),FALSE)="","",VLOOKUP(A105,OSS[],MATCH("PF Apurado",OSS[#Headers],0),FALSE)))</f>
        <v/>
      </c>
      <c r="Q107" s="57" t="str">
        <f>IF(F106="","",IF(G107="","",IF(L107="",IF(DataRef&lt;L106,L106,DataRef),L107)-L106))</f>
        <v/>
      </c>
      <c r="R107" s="21" t="str">
        <f>IF(J107="","",AF106)</f>
        <v/>
      </c>
      <c r="S107" s="21" t="str">
        <f>IF(K107="","",AF107)</f>
        <v/>
      </c>
      <c r="T107" s="57" t="str">
        <f>IF(J107="","",AB106/IF($P107="",$P106,$P107))</f>
        <v/>
      </c>
      <c r="U107" s="57" t="str">
        <f>IF(J107="","",AC106/IF($P107="",$P106,$P107))</f>
        <v/>
      </c>
      <c r="V107" s="57" t="str">
        <f>IF(K107="","",AB107/IF($P107="",$P106,$P107))</f>
        <v/>
      </c>
      <c r="W107" s="57" t="str">
        <f>IF(K107="","",AC107/IF($P107="",$P106,$P107))</f>
        <v/>
      </c>
      <c r="X107" s="57" t="str">
        <f>IF(F106="","",IF(G107="",IF(DataRef&lt;G106,"",DataRef-G106),G107-G106))</f>
        <v/>
      </c>
      <c r="Y107" s="57" t="str">
        <f>IF(OR(R105="Hora Java",R105="Hora dotNet"),AG106,"")</f>
        <v/>
      </c>
      <c r="Z107" s="57" t="str">
        <f>IF(F106="","",IF(L107="",IF(DataRef&lt;L106,L106,DataRef),L107)-L106)</f>
        <v/>
      </c>
      <c r="AA107" t="str">
        <f>IF(A105="","","Garantia")</f>
        <v/>
      </c>
      <c r="AB107" s="21" t="str">
        <f>IF(K107="","",VLOOKUP(A105,OSS[],MATCH("Não Grave - Garantia",OSS[#Headers],0),FALSE))</f>
        <v/>
      </c>
      <c r="AC107" s="21" t="str">
        <f>IF(K107="","",VLOOKUP(A105,OSS[],MATCH("Grave - Garantia",OSS[#Headers],0),FALSE))</f>
        <v/>
      </c>
      <c r="AD107" s="21" t="str">
        <f>IF(K107="","",AB107+AC107)</f>
        <v/>
      </c>
      <c r="AE107" s="26" t="str">
        <f>IF(K107="","",AD107/IF($P107="",$P106,$P107))</f>
        <v/>
      </c>
      <c r="AF107" s="21" t="str">
        <f>IF(K107="","",VLOOKUP(A105,OSS[],MATCH("Atrasos para Correção Garantia",OSS[#Headers],0),FALSE))</f>
        <v/>
      </c>
    </row>
    <row r="108" spans="1:33" ht="15.75" x14ac:dyDescent="0.25">
      <c r="B108" s="66" t="str">
        <f>IF(A105="","","PF a Pagar")</f>
        <v/>
      </c>
      <c r="C108" s="67" t="str">
        <f>IF(D107="","",IF(B105="Recebida",(P107*0.8),IF(B105="Aceita",D107,0))+IF(D107&lt;0,D107,0))</f>
        <v/>
      </c>
      <c r="E108" s="37"/>
      <c r="K108" s="69" t="str">
        <f>IF(A105="","","Prazo previsto para execução em dias corridos")</f>
        <v/>
      </c>
      <c r="L108" s="70" t="str">
        <f>IF(G106="","",ROUND((IF(P107="",P106,P107)/(19*LN(IF(P107="",P106,P107))-42))*30,0))</f>
        <v/>
      </c>
      <c r="O108" s="29" t="str">
        <f>IF(A105="","","Multa")</f>
        <v/>
      </c>
      <c r="P108" s="25" t="str">
        <f>IF(SUM(Q108:Z108)=0,"",-ROUND(SUM(Q108:Z108),0))</f>
        <v/>
      </c>
      <c r="Q108" s="57" t="str">
        <f>IF(Q107="","",IF(OR(Q106&gt;Q107,Z106&lt;Z107),"",ROUND(Q107*(IF($P107="",$P106,$P107)*SLA_ICA_EOS_Multa),2)))</f>
        <v/>
      </c>
      <c r="R108" s="57" t="str">
        <f>IF(R107="","",IF(R106&gt;R107,"",ROUND(R107*(IF($P107="",$P106,$P107)*SLA_ICP_CIHA_Multa),2)))</f>
        <v/>
      </c>
      <c r="S108" s="57" t="str">
        <f>IF(S107="","",IF(S106&gt;S107,"",ROUND(S107*(IF($P107="",$P106,$P107)*SLA_ICP_CIG_Multa),2)))</f>
        <v/>
      </c>
      <c r="T108" s="57" t="str">
        <f>IF(T107="","",IF(T106&gt;T107,"",ROUND(T107*(IF($P107="",$P106,$P107)*SLA_IQA_INGHA_Multa),2)))</f>
        <v/>
      </c>
      <c r="U108" s="57" t="str">
        <f>IF(U107="","",IF(U106&gt;U107,"",ROUND(U107*(IF($P107="",$P106,$P107)*SLA_IQA_IGHA_Multa),2)))</f>
        <v/>
      </c>
      <c r="V108" s="57" t="str">
        <f>IF(V107="","",IF(V106&gt;V107,"",ROUND(V107*(IF($P107="",$P106,$P107)*SLA_IQA_INGG_Multa),2)))</f>
        <v/>
      </c>
      <c r="W108" s="57" t="str">
        <f>IF(W107="","",IF(W106&gt;W107,"",ROUND(W107*(IF($P107="",$P106,$P107)*SLA_IQA_IGG_Multa),2)))</f>
        <v/>
      </c>
      <c r="X108" s="57" t="str">
        <f>IF(X107="","",IF(X106&gt;X107,"",ROUND(X107*(IF($P107="",$P106,$P107)*SLA_ICA_IOS_Multa),2)))</f>
        <v/>
      </c>
      <c r="Y108" s="57" t="str">
        <f>IF(Y107="","",IF(Y106&gt;Y107,"",ROUND(Y107*(IF($P107="",$P106,$P107)*SLA_ICA_SP_Multa),2)))</f>
        <v/>
      </c>
      <c r="Z108" s="57" t="str">
        <f>IF(Z107="","",IF(Z106&gt;Z107,"",ROUND(IF($P107="",$P106,$P107)*SLA_ICA_EOS_Multa,2)))</f>
        <v/>
      </c>
      <c r="AA108" t="str">
        <f>IF(A105="","","Total")</f>
        <v/>
      </c>
      <c r="AB108" s="21" t="str">
        <f>IF(SUM(AB106:AB107)=0,"",SUM(AB106:AB107))</f>
        <v/>
      </c>
      <c r="AC108" s="21" t="str">
        <f>IF(SUM(AC106:AC107)=0,"",SUM(AC106:AC107))</f>
        <v/>
      </c>
      <c r="AD108" s="21" t="str">
        <f>IF(SUM(AB108:AC108)=0,"",SUM(AB108:AC108))</f>
        <v/>
      </c>
      <c r="AE108" s="26" t="str">
        <f>IF(P106="","",IF(AD108="","",AD108/IF($P107="",$P106,$P107)))</f>
        <v/>
      </c>
    </row>
    <row r="109" spans="1:33" ht="15.75" x14ac:dyDescent="0.25">
      <c r="G109" s="20"/>
      <c r="H109" s="20"/>
      <c r="I109" s="20"/>
      <c r="J109" s="20"/>
      <c r="K109" s="20"/>
      <c r="L109" s="20"/>
      <c r="M109" s="20"/>
      <c r="N109" s="20"/>
      <c r="O109" s="35"/>
      <c r="P109" s="37"/>
    </row>
    <row r="110" spans="1:33" ht="15.75" x14ac:dyDescent="0.25">
      <c r="A110" s="54" t="str">
        <f>IF(ControleOSsMês!$G$1="Todas",IFERROR(INDEX(OSS[Número OS],INT((ROW()-ROW($A$3)-1)/5)+1,1),""),IFERROR(VLOOKUP(INT((ROW()-ROW($A$3)-1)/5)+1,OSMês[],2,FALSE),""))</f>
        <v/>
      </c>
      <c r="B110" s="71" t="str">
        <f>IF(A110="","",VLOOKUP(A110,OSS[],MATCH("Situação da OS",OSS[#Headers],0),FALSE))</f>
        <v/>
      </c>
      <c r="C110" s="71"/>
      <c r="D110" s="54" t="str">
        <f>IF(A110="","","em")</f>
        <v/>
      </c>
      <c r="E110" s="59" t="str">
        <f>IF(A110="","",VLOOKUP(A110,OSS[],MATCH("Data Situação",OSS[#Headers],0),FALSE))</f>
        <v/>
      </c>
      <c r="F110" s="68" t="str">
        <f>IF(A110="","","Titulo:")</f>
        <v/>
      </c>
      <c r="G110" s="31" t="str">
        <f>IF(A110="","",VLOOKUP(A110,OSS[],MATCH("Titulo",OSS[#Headers],0),FALSE))</f>
        <v/>
      </c>
      <c r="H110" s="30"/>
      <c r="I110" s="30"/>
      <c r="J110" s="30"/>
      <c r="K110" s="30"/>
      <c r="L110" s="30"/>
      <c r="M110" s="30"/>
      <c r="N110" s="30"/>
      <c r="O110" s="30"/>
      <c r="P110" s="30"/>
      <c r="Q110" s="68" t="str">
        <f>IF(A110="","","Tipo da OS:")</f>
        <v/>
      </c>
      <c r="R110" s="31" t="str">
        <f>IF(A110="","",VLOOKUP(A110,OSS[],MATCH("Tipo",OSS[#Headers],0),FALSE))</f>
        <v/>
      </c>
      <c r="S110" s="30"/>
      <c r="T110" s="30"/>
      <c r="U110" s="30"/>
      <c r="V110" s="30"/>
      <c r="W110" s="30"/>
      <c r="X110" s="30"/>
      <c r="Y110" s="30"/>
      <c r="Z110" s="30"/>
      <c r="AA110" s="58" t="str">
        <f>IF(A110="","","Número de Inconformidades")</f>
        <v/>
      </c>
      <c r="AB110" s="30"/>
      <c r="AC110" s="30"/>
      <c r="AD110" s="30"/>
      <c r="AE110" s="30"/>
      <c r="AF110" s="30"/>
      <c r="AG110" s="32"/>
    </row>
    <row r="111" spans="1:33" ht="15.75" x14ac:dyDescent="0.25">
      <c r="B111" s="66" t="str">
        <f>IF(A110="","","PF Pago")</f>
        <v/>
      </c>
      <c r="D111" t="str">
        <f>IF(A110="","",VLOOKUP(A110,OSS[],MATCH("PF Pago",OSS[#Headers],0),FALSE))</f>
        <v/>
      </c>
      <c r="F111" s="36" t="str">
        <f>IF(A110="","",VLOOKUP(A110,OSS[],MATCH("Abertura da OS",OSS[#Headers],0),FALSE))</f>
        <v/>
      </c>
      <c r="G111" s="20" t="str">
        <f>IF(F111="","",WORKDAY(F111,IF(IF(P112="",P111,P112)&lt;150,5,10)))</f>
        <v/>
      </c>
      <c r="H111" s="20" t="str">
        <f>IF(G111="","",WORKDAY(G111,5))</f>
        <v/>
      </c>
      <c r="I111" s="20" t="str">
        <f>IF(G111="","",G111+ROUND((IF(P112="",P111,P112)/(19*LN(IF(P112="",P111,P112))-42))*30*SLA_PrazoEntrega,0))</f>
        <v/>
      </c>
      <c r="J111" s="20" t="str">
        <f>IF(I111="","",WORKDAY(I111,IF(IF(P112="",P111,P112)&lt;150,5,10)))</f>
        <v/>
      </c>
      <c r="K111" s="20" t="str">
        <f>IF(J111="","",J111+ROUND((IF(P112="",P111,P112)/(19*LN(IF(P112="",P111,P112))-42))*30*SLA_PrazoAceite,0))</f>
        <v/>
      </c>
      <c r="L111" s="20" t="str">
        <f>IF(G111="","",G111+ROUND((IF(P112="",P111,P112)/(19*LN(IF(P112="",P111,P112))-42))*30,0))</f>
        <v/>
      </c>
      <c r="M111" s="20" t="str">
        <f>IF(K111="","",WORKDAY(K111,1))</f>
        <v/>
      </c>
      <c r="N111" s="20" t="str">
        <f>IF(M111="","",M111+SLA_PrazoGarantia)</f>
        <v/>
      </c>
      <c r="O111" s="29" t="str">
        <f>IF(A110="","","Previsto")</f>
        <v/>
      </c>
      <c r="P111" s="21" t="str">
        <f>IF(A110="","",VLOOKUP(A110,OSS[],MATCH("PF Previsto",OSS[#Headers],0),FALSE))</f>
        <v/>
      </c>
      <c r="Q111" s="57" t="str">
        <f>IF(F111="","",ROUND((L111-G111)*SLA_ICA_EOS,1))</f>
        <v/>
      </c>
      <c r="R111" s="21" t="str">
        <f>IF(F111="","",SLA_ICP_CIHA)</f>
        <v/>
      </c>
      <c r="S111" s="21" t="str">
        <f>IF(F111="","",SLA_ICP_CIG)</f>
        <v/>
      </c>
      <c r="T111" s="57" t="str">
        <f>IF(F111="","",SLA_IQA_INGHA)</f>
        <v/>
      </c>
      <c r="U111" s="57" t="str">
        <f>IF(F111="","",SLA_IQA_IGHA)</f>
        <v/>
      </c>
      <c r="V111" s="57" t="str">
        <f>IF(F111="","",SLA_IQA_INGG)</f>
        <v/>
      </c>
      <c r="W111" s="57" t="str">
        <f>IF(F111="","",SLA_IQA_IGG)</f>
        <v/>
      </c>
      <c r="X111" s="57" t="str">
        <f>IF(F111="","",ROUND((G111-F111)*SLA_ICA_IOS,1))</f>
        <v/>
      </c>
      <c r="Y111" s="57" t="str">
        <f>IF(OR(R110="Hora Java",R110="Hora dotNet"),SLA_ICA_SP,"")</f>
        <v/>
      </c>
      <c r="Z111" s="57" t="str">
        <f>IF(F111="","",ROUND((L111-G111)*SLA_ICA_EOS,1))</f>
        <v/>
      </c>
      <c r="AA111" t="str">
        <f>IF(A110="","","Homologação")</f>
        <v/>
      </c>
      <c r="AB111" s="21" t="str">
        <f>IF(J112="","",VLOOKUP(A110,OSS[],MATCH("Não Grave - Homologação",OSS[#Headers],0),FALSE))</f>
        <v/>
      </c>
      <c r="AC111" s="21" t="str">
        <f>IF(J112="","",VLOOKUP(A110,OSS[],MATCH("Grave - Homologação",OSS[#Headers],0),FALSE))</f>
        <v/>
      </c>
      <c r="AD111" s="21" t="str">
        <f>IF(J112="","",AB111+AC111)</f>
        <v/>
      </c>
      <c r="AE111" s="26" t="str">
        <f>IF(J112="","",AD111/IF($P112="",$P111,$P112))</f>
        <v/>
      </c>
      <c r="AF111" s="21" t="str">
        <f>IF(J112="","",VLOOKUP(A110,OSS[],MATCH("Atrasos para Correção Homologação",OSS[#Headers],0),FALSE))</f>
        <v/>
      </c>
      <c r="AG111" t="str">
        <f>IF(Y111="","",VLOOKUP(A110,OSS[],MATCH("Atraso para Substituição",OSS[#Headers],0),FALSE))</f>
        <v/>
      </c>
    </row>
    <row r="112" spans="1:33" ht="15.75" x14ac:dyDescent="0.25">
      <c r="B112" s="66" t="str">
        <f>IF(A110="","","Saldo de PF")</f>
        <v/>
      </c>
      <c r="C112" s="37"/>
      <c r="D112" s="37" t="str">
        <f>IF(P111="","",IF($P112="",$P111,$P112)+IF(P113="",0,P113)-IF(D111="",0,D111))</f>
        <v/>
      </c>
      <c r="E112" s="37"/>
      <c r="G112" s="20" t="str">
        <f>IF(A110="","",IF(VLOOKUP(A110,OSS[],MATCH("Data de Inicio",OSS[#Headers],0),FALSE)="","",VLOOKUP(A110,OSS[],MATCH("Data de Inicio",OSS[#Headers],0),FALSE)))</f>
        <v/>
      </c>
      <c r="H112" s="20" t="str">
        <f>IF(A110="","",IF(VLOOKUP(A110,OSS[],MATCH("Entrega do Plano da OS",OSS[#Headers],0),FALSE)="","",VLOOKUP(A110,OSS[],MATCH("Entrega do Plano da OS",OSS[#Headers],0),FALSE)))</f>
        <v/>
      </c>
      <c r="I112" s="20" t="str">
        <f>IF(A110="","",IF(VLOOKUP(A110,OSS[],MATCH("Entrega da OS",OSS[#Headers],0),FALSE)="","",VLOOKUP(A110,OSS[],MATCH("Entrega da OS",OSS[#Headers],0),FALSE)))</f>
        <v/>
      </c>
      <c r="J112" s="20" t="str">
        <f>IF(A110="","",IF(VLOOKUP(A110,OSS[],MATCH("Recebimento da OS",OSS[#Headers],0),FALSE)="","",VLOOKUP(A110,OSS[],MATCH("Recebimento da OS",OSS[#Headers],0),FALSE)))</f>
        <v/>
      </c>
      <c r="K112" s="20" t="str">
        <f>IF(A110="","",IF(VLOOKUP(A110,OSS[],MATCH("Aceite da OS",OSS[#Headers],0),FALSE)="","",VLOOKUP(A110,OSS[],MATCH("Aceite da OS",OSS[#Headers],0),FALSE)))</f>
        <v/>
      </c>
      <c r="L112" s="20" t="str">
        <f>IF(A110="","",IF(VLOOKUP(A110,OSS[],MATCH("Data de Termino",OSS[#Headers],0),FALSE)="","",VLOOKUP(A110,OSS[],MATCH("Data de Termino",OSS[#Headers],0),FALSE)))</f>
        <v/>
      </c>
      <c r="M112" s="20" t="str">
        <f>IF(K112="","",K112)</f>
        <v/>
      </c>
      <c r="N112" s="20" t="str">
        <f>IF(M112="","",M112+180)</f>
        <v/>
      </c>
      <c r="O112" s="29" t="str">
        <f>IF(A110="","","Apurado")</f>
        <v/>
      </c>
      <c r="P112" s="21" t="str">
        <f>IF(A110="","",IF(VLOOKUP(A110,OSS[],MATCH("PF Apurado",OSS[#Headers],0),FALSE)="","",VLOOKUP(A110,OSS[],MATCH("PF Apurado",OSS[#Headers],0),FALSE)))</f>
        <v/>
      </c>
      <c r="Q112" s="57" t="str">
        <f>IF(F111="","",IF(G112="","",IF(L112="",IF(DataRef&lt;L111,L111,DataRef),L112)-L111))</f>
        <v/>
      </c>
      <c r="R112" s="21" t="str">
        <f>IF(J112="","",AF111)</f>
        <v/>
      </c>
      <c r="S112" s="21" t="str">
        <f>IF(K112="","",AF112)</f>
        <v/>
      </c>
      <c r="T112" s="57" t="str">
        <f>IF(J112="","",AB111/IF($P112="",$P111,$P112))</f>
        <v/>
      </c>
      <c r="U112" s="57" t="str">
        <f>IF(J112="","",AC111/IF($P112="",$P111,$P112))</f>
        <v/>
      </c>
      <c r="V112" s="57" t="str">
        <f>IF(K112="","",AB112/IF($P112="",$P111,$P112))</f>
        <v/>
      </c>
      <c r="W112" s="57" t="str">
        <f>IF(K112="","",AC112/IF($P112="",$P111,$P112))</f>
        <v/>
      </c>
      <c r="X112" s="57" t="str">
        <f>IF(F111="","",IF(G112="",IF(DataRef&lt;G111,"",DataRef-G111),G112-G111))</f>
        <v/>
      </c>
      <c r="Y112" s="57" t="str">
        <f>IF(OR(R110="Hora Java",R110="Hora dotNet"),AG111,"")</f>
        <v/>
      </c>
      <c r="Z112" s="57" t="str">
        <f>IF(F111="","",IF(L112="",IF(DataRef&lt;L111,L111,DataRef),L112)-L111)</f>
        <v/>
      </c>
      <c r="AA112" t="str">
        <f>IF(A110="","","Garantia")</f>
        <v/>
      </c>
      <c r="AB112" s="21" t="str">
        <f>IF(K112="","",VLOOKUP(A110,OSS[],MATCH("Não Grave - Garantia",OSS[#Headers],0),FALSE))</f>
        <v/>
      </c>
      <c r="AC112" s="21" t="str">
        <f>IF(K112="","",VLOOKUP(A110,OSS[],MATCH("Grave - Garantia",OSS[#Headers],0),FALSE))</f>
        <v/>
      </c>
      <c r="AD112" s="21" t="str">
        <f>IF(K112="","",AB112+AC112)</f>
        <v/>
      </c>
      <c r="AE112" s="26" t="str">
        <f>IF(K112="","",AD112/IF($P112="",$P111,$P112))</f>
        <v/>
      </c>
      <c r="AF112" s="21" t="str">
        <f>IF(K112="","",VLOOKUP(A110,OSS[],MATCH("Atrasos para Correção Garantia",OSS[#Headers],0),FALSE))</f>
        <v/>
      </c>
    </row>
    <row r="113" spans="1:33" ht="15.75" x14ac:dyDescent="0.25">
      <c r="B113" s="66" t="str">
        <f>IF(A110="","","PF a Pagar")</f>
        <v/>
      </c>
      <c r="C113" s="67" t="str">
        <f>IF(D112="","",IF(B110="Recebida",(P112*0.8),IF(B110="Aceita",D112,0))+IF(D112&lt;0,D112,0))</f>
        <v/>
      </c>
      <c r="E113" s="37"/>
      <c r="K113" s="69" t="str">
        <f>IF(A110="","","Prazo previsto para execução em dias corridos")</f>
        <v/>
      </c>
      <c r="L113" s="70" t="str">
        <f>IF(G111="","",ROUND((IF(P112="",P111,P112)/(19*LN(IF(P112="",P111,P112))-42))*30,0))</f>
        <v/>
      </c>
      <c r="O113" s="29" t="str">
        <f>IF(A110="","","Multa")</f>
        <v/>
      </c>
      <c r="P113" s="25" t="str">
        <f>IF(SUM(Q113:Z113)=0,"",-ROUND(SUM(Q113:Z113),0))</f>
        <v/>
      </c>
      <c r="Q113" s="57" t="str">
        <f>IF(Q112="","",IF(OR(Q111&gt;Q112,Z111&lt;Z112),"",ROUND(Q112*(IF($P112="",$P111,$P112)*SLA_ICA_EOS_Multa),2)))</f>
        <v/>
      </c>
      <c r="R113" s="57" t="str">
        <f>IF(R112="","",IF(R111&gt;R112,"",ROUND(R112*(IF($P112="",$P111,$P112)*SLA_ICP_CIHA_Multa),2)))</f>
        <v/>
      </c>
      <c r="S113" s="57" t="str">
        <f>IF(S112="","",IF(S111&gt;S112,"",ROUND(S112*(IF($P112="",$P111,$P112)*SLA_ICP_CIG_Multa),2)))</f>
        <v/>
      </c>
      <c r="T113" s="57" t="str">
        <f>IF(T112="","",IF(T111&gt;T112,"",ROUND(T112*(IF($P112="",$P111,$P112)*SLA_IQA_INGHA_Multa),2)))</f>
        <v/>
      </c>
      <c r="U113" s="57" t="str">
        <f>IF(U112="","",IF(U111&gt;U112,"",ROUND(U112*(IF($P112="",$P111,$P112)*SLA_IQA_IGHA_Multa),2)))</f>
        <v/>
      </c>
      <c r="V113" s="57" t="str">
        <f>IF(V112="","",IF(V111&gt;V112,"",ROUND(V112*(IF($P112="",$P111,$P112)*SLA_IQA_INGG_Multa),2)))</f>
        <v/>
      </c>
      <c r="W113" s="57" t="str">
        <f>IF(W112="","",IF(W111&gt;W112,"",ROUND(W112*(IF($P112="",$P111,$P112)*SLA_IQA_IGG_Multa),2)))</f>
        <v/>
      </c>
      <c r="X113" s="57" t="str">
        <f>IF(X112="","",IF(X111&gt;X112,"",ROUND(X112*(IF($P112="",$P111,$P112)*SLA_ICA_IOS_Multa),2)))</f>
        <v/>
      </c>
      <c r="Y113" s="57" t="str">
        <f>IF(Y112="","",IF(Y111&gt;Y112,"",ROUND(Y112*(IF($P112="",$P111,$P112)*SLA_ICA_SP_Multa),2)))</f>
        <v/>
      </c>
      <c r="Z113" s="57" t="str">
        <f>IF(Z112="","",IF(Z111&gt;Z112,"",ROUND(IF($P112="",$P111,$P112)*SLA_ICA_EOS_Multa,2)))</f>
        <v/>
      </c>
      <c r="AA113" t="str">
        <f>IF(A110="","","Total")</f>
        <v/>
      </c>
      <c r="AB113" s="21" t="str">
        <f>IF(SUM(AB111:AB112)=0,"",SUM(AB111:AB112))</f>
        <v/>
      </c>
      <c r="AC113" s="21" t="str">
        <f>IF(SUM(AC111:AC112)=0,"",SUM(AC111:AC112))</f>
        <v/>
      </c>
      <c r="AD113" s="21" t="str">
        <f>IF(SUM(AB113:AC113)=0,"",SUM(AB113:AC113))</f>
        <v/>
      </c>
      <c r="AE113" s="26" t="str">
        <f>IF(P111="","",IF(AD113="","",AD113/IF($P112="",$P111,$P112)))</f>
        <v/>
      </c>
    </row>
    <row r="114" spans="1:33" ht="15.75" x14ac:dyDescent="0.25">
      <c r="G114" s="20"/>
      <c r="H114" s="20"/>
      <c r="I114" s="20"/>
      <c r="J114" s="20"/>
      <c r="K114" s="20"/>
      <c r="L114" s="20"/>
      <c r="M114" s="20"/>
      <c r="N114" s="20"/>
      <c r="O114" s="35"/>
      <c r="P114" s="37"/>
    </row>
    <row r="115" spans="1:33" ht="15.75" x14ac:dyDescent="0.25">
      <c r="A115" s="54" t="str">
        <f>IF(ControleOSsMês!$G$1="Todas",IFERROR(INDEX(OSS[Número OS],INT((ROW()-ROW($A$3)-1)/5)+1,1),""),IFERROR(VLOOKUP(INT((ROW()-ROW($A$3)-1)/5)+1,OSMês[],2,FALSE),""))</f>
        <v/>
      </c>
      <c r="B115" s="71" t="str">
        <f>IF(A115="","",VLOOKUP(A115,OSS[],MATCH("Situação da OS",OSS[#Headers],0),FALSE))</f>
        <v/>
      </c>
      <c r="C115" s="71"/>
      <c r="D115" s="54" t="str">
        <f>IF(A115="","","em")</f>
        <v/>
      </c>
      <c r="E115" s="59" t="str">
        <f>IF(A115="","",VLOOKUP(A115,OSS[],MATCH("Data Situação",OSS[#Headers],0),FALSE))</f>
        <v/>
      </c>
      <c r="F115" s="68" t="str">
        <f>IF(A115="","","Titulo:")</f>
        <v/>
      </c>
      <c r="G115" s="31" t="str">
        <f>IF(A115="","",VLOOKUP(A115,OSS[],MATCH("Titulo",OSS[#Headers],0),FALSE))</f>
        <v/>
      </c>
      <c r="H115" s="30"/>
      <c r="I115" s="30"/>
      <c r="J115" s="30"/>
      <c r="K115" s="30"/>
      <c r="L115" s="30"/>
      <c r="M115" s="30"/>
      <c r="N115" s="30"/>
      <c r="O115" s="30"/>
      <c r="P115" s="30"/>
      <c r="Q115" s="68" t="str">
        <f>IF(A115="","","Tipo da OS:")</f>
        <v/>
      </c>
      <c r="R115" s="31" t="str">
        <f>IF(A115="","",VLOOKUP(A115,OSS[],MATCH("Tipo",OSS[#Headers],0),FALSE))</f>
        <v/>
      </c>
      <c r="S115" s="30"/>
      <c r="T115" s="30"/>
      <c r="U115" s="30"/>
      <c r="V115" s="30"/>
      <c r="W115" s="30"/>
      <c r="X115" s="30"/>
      <c r="Y115" s="30"/>
      <c r="Z115" s="30"/>
      <c r="AA115" s="58" t="str">
        <f>IF(A115="","","Número de Inconformidades")</f>
        <v/>
      </c>
      <c r="AB115" s="30"/>
      <c r="AC115" s="30"/>
      <c r="AD115" s="30"/>
      <c r="AE115" s="30"/>
      <c r="AF115" s="30"/>
      <c r="AG115" s="32"/>
    </row>
    <row r="116" spans="1:33" ht="15.75" x14ac:dyDescent="0.25">
      <c r="B116" s="66" t="str">
        <f>IF(A115="","","PF Pago")</f>
        <v/>
      </c>
      <c r="D116" t="str">
        <f>IF(A115="","",VLOOKUP(A115,OSS[],MATCH("PF Pago",OSS[#Headers],0),FALSE))</f>
        <v/>
      </c>
      <c r="F116" s="36" t="str">
        <f>IF(A115="","",VLOOKUP(A115,OSS[],MATCH("Abertura da OS",OSS[#Headers],0),FALSE))</f>
        <v/>
      </c>
      <c r="G116" s="20" t="str">
        <f>IF(F116="","",WORKDAY(F116,IF(IF(P117="",P116,P117)&lt;150,5,10)))</f>
        <v/>
      </c>
      <c r="H116" s="20" t="str">
        <f>IF(G116="","",WORKDAY(G116,5))</f>
        <v/>
      </c>
      <c r="I116" s="20" t="str">
        <f>IF(G116="","",G116+ROUND((IF(P117="",P116,P117)/(19*LN(IF(P117="",P116,P117))-42))*30*SLA_PrazoEntrega,0))</f>
        <v/>
      </c>
      <c r="J116" s="20" t="str">
        <f>IF(I116="","",WORKDAY(I116,IF(IF(P117="",P116,P117)&lt;150,5,10)))</f>
        <v/>
      </c>
      <c r="K116" s="20" t="str">
        <f>IF(J116="","",J116+ROUND((IF(P117="",P116,P117)/(19*LN(IF(P117="",P116,P117))-42))*30*SLA_PrazoAceite,0))</f>
        <v/>
      </c>
      <c r="L116" s="20" t="str">
        <f>IF(G116="","",G116+ROUND((IF(P117="",P116,P117)/(19*LN(IF(P117="",P116,P117))-42))*30,0))</f>
        <v/>
      </c>
      <c r="M116" s="20" t="str">
        <f>IF(K116="","",WORKDAY(K116,1))</f>
        <v/>
      </c>
      <c r="N116" s="20" t="str">
        <f>IF(M116="","",M116+SLA_PrazoGarantia)</f>
        <v/>
      </c>
      <c r="O116" s="29" t="str">
        <f>IF(A115="","","Previsto")</f>
        <v/>
      </c>
      <c r="P116" s="21" t="str">
        <f>IF(A115="","",VLOOKUP(A115,OSS[],MATCH("PF Previsto",OSS[#Headers],0),FALSE))</f>
        <v/>
      </c>
      <c r="Q116" s="57" t="str">
        <f>IF(F116="","",ROUND((L116-G116)*SLA_ICA_EOS,1))</f>
        <v/>
      </c>
      <c r="R116" s="21" t="str">
        <f>IF(F116="","",SLA_ICP_CIHA)</f>
        <v/>
      </c>
      <c r="S116" s="21" t="str">
        <f>IF(F116="","",SLA_ICP_CIG)</f>
        <v/>
      </c>
      <c r="T116" s="57" t="str">
        <f>IF(F116="","",SLA_IQA_INGHA)</f>
        <v/>
      </c>
      <c r="U116" s="57" t="str">
        <f>IF(F116="","",SLA_IQA_IGHA)</f>
        <v/>
      </c>
      <c r="V116" s="57" t="str">
        <f>IF(F116="","",SLA_IQA_INGG)</f>
        <v/>
      </c>
      <c r="W116" s="57" t="str">
        <f>IF(F116="","",SLA_IQA_IGG)</f>
        <v/>
      </c>
      <c r="X116" s="57" t="str">
        <f>IF(F116="","",ROUND((G116-F116)*SLA_ICA_IOS,1))</f>
        <v/>
      </c>
      <c r="Y116" s="57" t="str">
        <f>IF(OR(R115="Hora Java",R115="Hora dotNet"),SLA_ICA_SP,"")</f>
        <v/>
      </c>
      <c r="Z116" s="57" t="str">
        <f>IF(F116="","",ROUND((L116-G116)*SLA_ICA_EOS,1))</f>
        <v/>
      </c>
      <c r="AA116" t="str">
        <f>IF(A115="","","Homologação")</f>
        <v/>
      </c>
      <c r="AB116" s="21" t="str">
        <f>IF(J117="","",VLOOKUP(A115,OSS[],MATCH("Não Grave - Homologação",OSS[#Headers],0),FALSE))</f>
        <v/>
      </c>
      <c r="AC116" s="21" t="str">
        <f>IF(J117="","",VLOOKUP(A115,OSS[],MATCH("Grave - Homologação",OSS[#Headers],0),FALSE))</f>
        <v/>
      </c>
      <c r="AD116" s="21" t="str">
        <f>IF(J117="","",AB116+AC116)</f>
        <v/>
      </c>
      <c r="AE116" s="26" t="str">
        <f>IF(J117="","",AD116/IF($P117="",$P116,$P117))</f>
        <v/>
      </c>
      <c r="AF116" s="21" t="str">
        <f>IF(J117="","",VLOOKUP(A115,OSS[],MATCH("Atrasos para Correção Homologação",OSS[#Headers],0),FALSE))</f>
        <v/>
      </c>
      <c r="AG116" t="str">
        <f>IF(Y116="","",VLOOKUP(A115,OSS[],MATCH("Atraso para Substituição",OSS[#Headers],0),FALSE))</f>
        <v/>
      </c>
    </row>
    <row r="117" spans="1:33" ht="15.75" x14ac:dyDescent="0.25">
      <c r="B117" s="66" t="str">
        <f>IF(A115="","","Saldo de PF")</f>
        <v/>
      </c>
      <c r="C117" s="37"/>
      <c r="D117" s="37" t="str">
        <f>IF(P116="","",IF($P117="",$P116,$P117)+IF(P118="",0,P118)-IF(D116="",0,D116))</f>
        <v/>
      </c>
      <c r="E117" s="37"/>
      <c r="G117" s="20" t="str">
        <f>IF(A115="","",IF(VLOOKUP(A115,OSS[],MATCH("Data de Inicio",OSS[#Headers],0),FALSE)="","",VLOOKUP(A115,OSS[],MATCH("Data de Inicio",OSS[#Headers],0),FALSE)))</f>
        <v/>
      </c>
      <c r="H117" s="20" t="str">
        <f>IF(A115="","",IF(VLOOKUP(A115,OSS[],MATCH("Entrega do Plano da OS",OSS[#Headers],0),FALSE)="","",VLOOKUP(A115,OSS[],MATCH("Entrega do Plano da OS",OSS[#Headers],0),FALSE)))</f>
        <v/>
      </c>
      <c r="I117" s="20" t="str">
        <f>IF(A115="","",IF(VLOOKUP(A115,OSS[],MATCH("Entrega da OS",OSS[#Headers],0),FALSE)="","",VLOOKUP(A115,OSS[],MATCH("Entrega da OS",OSS[#Headers],0),FALSE)))</f>
        <v/>
      </c>
      <c r="J117" s="20" t="str">
        <f>IF(A115="","",IF(VLOOKUP(A115,OSS[],MATCH("Recebimento da OS",OSS[#Headers],0),FALSE)="","",VLOOKUP(A115,OSS[],MATCH("Recebimento da OS",OSS[#Headers],0),FALSE)))</f>
        <v/>
      </c>
      <c r="K117" s="20" t="str">
        <f>IF(A115="","",IF(VLOOKUP(A115,OSS[],MATCH("Aceite da OS",OSS[#Headers],0),FALSE)="","",VLOOKUP(A115,OSS[],MATCH("Aceite da OS",OSS[#Headers],0),FALSE)))</f>
        <v/>
      </c>
      <c r="L117" s="20" t="str">
        <f>IF(A115="","",IF(VLOOKUP(A115,OSS[],MATCH("Data de Termino",OSS[#Headers],0),FALSE)="","",VLOOKUP(A115,OSS[],MATCH("Data de Termino",OSS[#Headers],0),FALSE)))</f>
        <v/>
      </c>
      <c r="M117" s="20" t="str">
        <f>IF(K117="","",K117)</f>
        <v/>
      </c>
      <c r="N117" s="20" t="str">
        <f>IF(M117="","",M117+180)</f>
        <v/>
      </c>
      <c r="O117" s="29" t="str">
        <f>IF(A115="","","Apurado")</f>
        <v/>
      </c>
      <c r="P117" s="21" t="str">
        <f>IF(A115="","",IF(VLOOKUP(A115,OSS[],MATCH("PF Apurado",OSS[#Headers],0),FALSE)="","",VLOOKUP(A115,OSS[],MATCH("PF Apurado",OSS[#Headers],0),FALSE)))</f>
        <v/>
      </c>
      <c r="Q117" s="57" t="str">
        <f>IF(F116="","",IF(G117="","",IF(L117="",IF(DataRef&lt;L116,L116,DataRef),L117)-L116))</f>
        <v/>
      </c>
      <c r="R117" s="21" t="str">
        <f>IF(J117="","",AF116)</f>
        <v/>
      </c>
      <c r="S117" s="21" t="str">
        <f>IF(K117="","",AF117)</f>
        <v/>
      </c>
      <c r="T117" s="57" t="str">
        <f>IF(J117="","",AB116/IF($P117="",$P116,$P117))</f>
        <v/>
      </c>
      <c r="U117" s="57" t="str">
        <f>IF(J117="","",AC116/IF($P117="",$P116,$P117))</f>
        <v/>
      </c>
      <c r="V117" s="57" t="str">
        <f>IF(K117="","",AB117/IF($P117="",$P116,$P117))</f>
        <v/>
      </c>
      <c r="W117" s="57" t="str">
        <f>IF(K117="","",AC117/IF($P117="",$P116,$P117))</f>
        <v/>
      </c>
      <c r="X117" s="57" t="str">
        <f>IF(F116="","",IF(G117="",IF(DataRef&lt;G116,"",DataRef-G116),G117-G116))</f>
        <v/>
      </c>
      <c r="Y117" s="57" t="str">
        <f>IF(OR(R115="Hora Java",R115="Hora dotNet"),AG116,"")</f>
        <v/>
      </c>
      <c r="Z117" s="57" t="str">
        <f>IF(F116="","",IF(L117="",IF(DataRef&lt;L116,L116,DataRef),L117)-L116)</f>
        <v/>
      </c>
      <c r="AA117" t="str">
        <f>IF(A115="","","Garantia")</f>
        <v/>
      </c>
      <c r="AB117" s="21" t="str">
        <f>IF(K117="","",VLOOKUP(A115,OSS[],MATCH("Não Grave - Garantia",OSS[#Headers],0),FALSE))</f>
        <v/>
      </c>
      <c r="AC117" s="21" t="str">
        <f>IF(K117="","",VLOOKUP(A115,OSS[],MATCH("Grave - Garantia",OSS[#Headers],0),FALSE))</f>
        <v/>
      </c>
      <c r="AD117" s="21" t="str">
        <f>IF(K117="","",AB117+AC117)</f>
        <v/>
      </c>
      <c r="AE117" s="26" t="str">
        <f>IF(K117="","",AD117/IF($P117="",$P116,$P117))</f>
        <v/>
      </c>
      <c r="AF117" s="21" t="str">
        <f>IF(K117="","",VLOOKUP(A115,OSS[],MATCH("Atrasos para Correção Garantia",OSS[#Headers],0),FALSE))</f>
        <v/>
      </c>
    </row>
    <row r="118" spans="1:33" ht="15.75" x14ac:dyDescent="0.25">
      <c r="B118" s="66" t="str">
        <f>IF(A115="","","PF a Pagar")</f>
        <v/>
      </c>
      <c r="C118" s="67" t="str">
        <f>IF(D117="","",IF(B115="Recebida",(P117*0.8),IF(B115="Aceita",D117,0))+IF(D117&lt;0,D117,0))</f>
        <v/>
      </c>
      <c r="E118" s="37"/>
      <c r="K118" s="69" t="str">
        <f>IF(A115="","","Prazo previsto para execução em dias corridos")</f>
        <v/>
      </c>
      <c r="L118" s="70" t="str">
        <f>IF(G116="","",ROUND((IF(P117="",P116,P117)/(19*LN(IF(P117="",P116,P117))-42))*30,0))</f>
        <v/>
      </c>
      <c r="O118" s="29" t="str">
        <f>IF(A115="","","Multa")</f>
        <v/>
      </c>
      <c r="P118" s="25" t="str">
        <f>IF(SUM(Q118:Z118)=0,"",-ROUND(SUM(Q118:Z118),0))</f>
        <v/>
      </c>
      <c r="Q118" s="57" t="str">
        <f>IF(Q117="","",IF(OR(Q116&gt;Q117,Z116&lt;Z117),"",ROUND(Q117*(IF($P117="",$P116,$P117)*SLA_ICA_EOS_Multa),2)))</f>
        <v/>
      </c>
      <c r="R118" s="57" t="str">
        <f>IF(R117="","",IF(R116&gt;R117,"",ROUND(R117*(IF($P117="",$P116,$P117)*SLA_ICP_CIHA_Multa),2)))</f>
        <v/>
      </c>
      <c r="S118" s="57" t="str">
        <f>IF(S117="","",IF(S116&gt;S117,"",ROUND(S117*(IF($P117="",$P116,$P117)*SLA_ICP_CIG_Multa),2)))</f>
        <v/>
      </c>
      <c r="T118" s="57" t="str">
        <f>IF(T117="","",IF(T116&gt;T117,"",ROUND(T117*(IF($P117="",$P116,$P117)*SLA_IQA_INGHA_Multa),2)))</f>
        <v/>
      </c>
      <c r="U118" s="57" t="str">
        <f>IF(U117="","",IF(U116&gt;U117,"",ROUND(U117*(IF($P117="",$P116,$P117)*SLA_IQA_IGHA_Multa),2)))</f>
        <v/>
      </c>
      <c r="V118" s="57" t="str">
        <f>IF(V117="","",IF(V116&gt;V117,"",ROUND(V117*(IF($P117="",$P116,$P117)*SLA_IQA_INGG_Multa),2)))</f>
        <v/>
      </c>
      <c r="W118" s="57" t="str">
        <f>IF(W117="","",IF(W116&gt;W117,"",ROUND(W117*(IF($P117="",$P116,$P117)*SLA_IQA_IGG_Multa),2)))</f>
        <v/>
      </c>
      <c r="X118" s="57" t="str">
        <f>IF(X117="","",IF(X116&gt;X117,"",ROUND(X117*(IF($P117="",$P116,$P117)*SLA_ICA_IOS_Multa),2)))</f>
        <v/>
      </c>
      <c r="Y118" s="57" t="str">
        <f>IF(Y117="","",IF(Y116&gt;Y117,"",ROUND(Y117*(IF($P117="",$P116,$P117)*SLA_ICA_SP_Multa),2)))</f>
        <v/>
      </c>
      <c r="Z118" s="57" t="str">
        <f>IF(Z117="","",IF(Z116&gt;Z117,"",ROUND(IF($P117="",$P116,$P117)*SLA_ICA_EOS_Multa,2)))</f>
        <v/>
      </c>
      <c r="AA118" t="str">
        <f>IF(A115="","","Total")</f>
        <v/>
      </c>
      <c r="AB118" s="21" t="str">
        <f>IF(SUM(AB116:AB117)=0,"",SUM(AB116:AB117))</f>
        <v/>
      </c>
      <c r="AC118" s="21" t="str">
        <f>IF(SUM(AC116:AC117)=0,"",SUM(AC116:AC117))</f>
        <v/>
      </c>
      <c r="AD118" s="21" t="str">
        <f>IF(SUM(AB118:AC118)=0,"",SUM(AB118:AC118))</f>
        <v/>
      </c>
      <c r="AE118" s="26" t="str">
        <f>IF(P116="","",IF(AD118="","",AD118/IF($P117="",$P116,$P117)))</f>
        <v/>
      </c>
    </row>
    <row r="119" spans="1:33" ht="15.75" x14ac:dyDescent="0.25">
      <c r="G119" s="20"/>
      <c r="H119" s="20"/>
      <c r="I119" s="20"/>
      <c r="J119" s="20"/>
      <c r="K119" s="20"/>
      <c r="L119" s="20"/>
      <c r="M119" s="20"/>
      <c r="N119" s="20"/>
      <c r="O119" s="35"/>
      <c r="P119" s="37"/>
    </row>
    <row r="120" spans="1:33" ht="15.75" x14ac:dyDescent="0.25">
      <c r="A120" s="54" t="str">
        <f>IF(ControleOSsMês!$G$1="Todas",IFERROR(INDEX(OSS[Número OS],INT((ROW()-ROW($A$3)-1)/5)+1,1),""),IFERROR(VLOOKUP(INT((ROW()-ROW($A$3)-1)/5)+1,OSMês[],2,FALSE),""))</f>
        <v/>
      </c>
      <c r="B120" s="71" t="str">
        <f>IF(A120="","",VLOOKUP(A120,OSS[],MATCH("Situação da OS",OSS[#Headers],0),FALSE))</f>
        <v/>
      </c>
      <c r="C120" s="71"/>
      <c r="D120" s="54" t="str">
        <f>IF(A120="","","em")</f>
        <v/>
      </c>
      <c r="E120" s="59" t="str">
        <f>IF(A120="","",VLOOKUP(A120,OSS[],MATCH("Data Situação",OSS[#Headers],0),FALSE))</f>
        <v/>
      </c>
      <c r="F120" s="68" t="str">
        <f>IF(A120="","","Titulo:")</f>
        <v/>
      </c>
      <c r="G120" s="31" t="str">
        <f>IF(A120="","",VLOOKUP(A120,OSS[],MATCH("Titulo",OSS[#Headers],0),FALSE))</f>
        <v/>
      </c>
      <c r="H120" s="30"/>
      <c r="I120" s="30"/>
      <c r="J120" s="30"/>
      <c r="K120" s="30"/>
      <c r="L120" s="30"/>
      <c r="M120" s="30"/>
      <c r="N120" s="30"/>
      <c r="O120" s="30"/>
      <c r="P120" s="30"/>
      <c r="Q120" s="68" t="str">
        <f>IF(A120="","","Tipo da OS:")</f>
        <v/>
      </c>
      <c r="R120" s="31" t="str">
        <f>IF(A120="","",VLOOKUP(A120,OSS[],MATCH("Tipo",OSS[#Headers],0),FALSE))</f>
        <v/>
      </c>
      <c r="S120" s="30"/>
      <c r="T120" s="30"/>
      <c r="U120" s="30"/>
      <c r="V120" s="30"/>
      <c r="W120" s="30"/>
      <c r="X120" s="30"/>
      <c r="Y120" s="30"/>
      <c r="Z120" s="30"/>
      <c r="AA120" s="58" t="str">
        <f>IF(A120="","","Número de Inconformidades")</f>
        <v/>
      </c>
      <c r="AB120" s="30"/>
      <c r="AC120" s="30"/>
      <c r="AD120" s="30"/>
      <c r="AE120" s="30"/>
      <c r="AF120" s="30"/>
      <c r="AG120" s="32"/>
    </row>
    <row r="121" spans="1:33" ht="15.75" x14ac:dyDescent="0.25">
      <c r="B121" s="66" t="str">
        <f>IF(A120="","","PF Pago")</f>
        <v/>
      </c>
      <c r="D121" t="str">
        <f>IF(A120="","",VLOOKUP(A120,OSS[],MATCH("PF Pago",OSS[#Headers],0),FALSE))</f>
        <v/>
      </c>
      <c r="F121" s="36" t="str">
        <f>IF(A120="","",VLOOKUP(A120,OSS[],MATCH("Abertura da OS",OSS[#Headers],0),FALSE))</f>
        <v/>
      </c>
      <c r="G121" s="20" t="str">
        <f>IF(F121="","",WORKDAY(F121,IF(IF(P122="",P121,P122)&lt;150,5,10)))</f>
        <v/>
      </c>
      <c r="H121" s="20" t="str">
        <f>IF(G121="","",WORKDAY(G121,5))</f>
        <v/>
      </c>
      <c r="I121" s="20" t="str">
        <f>IF(G121="","",G121+ROUND((IF(P122="",P121,P122)/(19*LN(IF(P122="",P121,P122))-42))*30*SLA_PrazoEntrega,0))</f>
        <v/>
      </c>
      <c r="J121" s="20" t="str">
        <f>IF(I121="","",WORKDAY(I121,IF(IF(P122="",P121,P122)&lt;150,5,10)))</f>
        <v/>
      </c>
      <c r="K121" s="20" t="str">
        <f>IF(J121="","",J121+ROUND((IF(P122="",P121,P122)/(19*LN(IF(P122="",P121,P122))-42))*30*SLA_PrazoAceite,0))</f>
        <v/>
      </c>
      <c r="L121" s="20" t="str">
        <f>IF(G121="","",G121+ROUND((IF(P122="",P121,P122)/(19*LN(IF(P122="",P121,P122))-42))*30,0))</f>
        <v/>
      </c>
      <c r="M121" s="20" t="str">
        <f>IF(K121="","",WORKDAY(K121,1))</f>
        <v/>
      </c>
      <c r="N121" s="20" t="str">
        <f>IF(M121="","",M121+SLA_PrazoGarantia)</f>
        <v/>
      </c>
      <c r="O121" s="29" t="str">
        <f>IF(A120="","","Previsto")</f>
        <v/>
      </c>
      <c r="P121" s="21" t="str">
        <f>IF(A120="","",VLOOKUP(A120,OSS[],MATCH("PF Previsto",OSS[#Headers],0),FALSE))</f>
        <v/>
      </c>
      <c r="Q121" s="57" t="str">
        <f>IF(F121="","",ROUND((L121-G121)*SLA_ICA_EOS,1))</f>
        <v/>
      </c>
      <c r="R121" s="21" t="str">
        <f>IF(F121="","",SLA_ICP_CIHA)</f>
        <v/>
      </c>
      <c r="S121" s="21" t="str">
        <f>IF(F121="","",SLA_ICP_CIG)</f>
        <v/>
      </c>
      <c r="T121" s="57" t="str">
        <f>IF(F121="","",SLA_IQA_INGHA)</f>
        <v/>
      </c>
      <c r="U121" s="57" t="str">
        <f>IF(F121="","",SLA_IQA_IGHA)</f>
        <v/>
      </c>
      <c r="V121" s="57" t="str">
        <f>IF(F121="","",SLA_IQA_INGG)</f>
        <v/>
      </c>
      <c r="W121" s="57" t="str">
        <f>IF(F121="","",SLA_IQA_IGG)</f>
        <v/>
      </c>
      <c r="X121" s="57" t="str">
        <f>IF(F121="","",ROUND((G121-F121)*SLA_ICA_IOS,1))</f>
        <v/>
      </c>
      <c r="Y121" s="57" t="str">
        <f>IF(OR(R120="Hora Java",R120="Hora dotNet"),SLA_ICA_SP,"")</f>
        <v/>
      </c>
      <c r="Z121" s="57" t="str">
        <f>IF(F121="","",ROUND((L121-G121)*SLA_ICA_EOS,1))</f>
        <v/>
      </c>
      <c r="AA121" t="str">
        <f>IF(A120="","","Homologação")</f>
        <v/>
      </c>
      <c r="AB121" s="21" t="str">
        <f>IF(J122="","",VLOOKUP(A120,OSS[],MATCH("Não Grave - Homologação",OSS[#Headers],0),FALSE))</f>
        <v/>
      </c>
      <c r="AC121" s="21" t="str">
        <f>IF(J122="","",VLOOKUP(A120,OSS[],MATCH("Grave - Homologação",OSS[#Headers],0),FALSE))</f>
        <v/>
      </c>
      <c r="AD121" s="21" t="str">
        <f>IF(J122="","",AB121+AC121)</f>
        <v/>
      </c>
      <c r="AE121" s="26" t="str">
        <f>IF(J122="","",AD121/IF($P122="",$P121,$P122))</f>
        <v/>
      </c>
      <c r="AF121" s="21" t="str">
        <f>IF(J122="","",VLOOKUP(A120,OSS[],MATCH("Atrasos para Correção Homologação",OSS[#Headers],0),FALSE))</f>
        <v/>
      </c>
      <c r="AG121" t="str">
        <f>IF(Y121="","",VLOOKUP(A120,OSS[],MATCH("Atraso para Substituição",OSS[#Headers],0),FALSE))</f>
        <v/>
      </c>
    </row>
    <row r="122" spans="1:33" ht="15.75" x14ac:dyDescent="0.25">
      <c r="B122" s="66" t="str">
        <f>IF(A120="","","Saldo de PF")</f>
        <v/>
      </c>
      <c r="C122" s="37"/>
      <c r="D122" s="37" t="str">
        <f>IF(P121="","",IF($P122="",$P121,$P122)+IF(P123="",0,P123)-IF(D121="",0,D121))</f>
        <v/>
      </c>
      <c r="E122" s="37"/>
      <c r="G122" s="20" t="str">
        <f>IF(A120="","",IF(VLOOKUP(A120,OSS[],MATCH("Data de Inicio",OSS[#Headers],0),FALSE)="","",VLOOKUP(A120,OSS[],MATCH("Data de Inicio",OSS[#Headers],0),FALSE)))</f>
        <v/>
      </c>
      <c r="H122" s="20" t="str">
        <f>IF(A120="","",IF(VLOOKUP(A120,OSS[],MATCH("Entrega do Plano da OS",OSS[#Headers],0),FALSE)="","",VLOOKUP(A120,OSS[],MATCH("Entrega do Plano da OS",OSS[#Headers],0),FALSE)))</f>
        <v/>
      </c>
      <c r="I122" s="20" t="str">
        <f>IF(A120="","",IF(VLOOKUP(A120,OSS[],MATCH("Entrega da OS",OSS[#Headers],0),FALSE)="","",VLOOKUP(A120,OSS[],MATCH("Entrega da OS",OSS[#Headers],0),FALSE)))</f>
        <v/>
      </c>
      <c r="J122" s="20" t="str">
        <f>IF(A120="","",IF(VLOOKUP(A120,OSS[],MATCH("Recebimento da OS",OSS[#Headers],0),FALSE)="","",VLOOKUP(A120,OSS[],MATCH("Recebimento da OS",OSS[#Headers],0),FALSE)))</f>
        <v/>
      </c>
      <c r="K122" s="20" t="str">
        <f>IF(A120="","",IF(VLOOKUP(A120,OSS[],MATCH("Aceite da OS",OSS[#Headers],0),FALSE)="","",VLOOKUP(A120,OSS[],MATCH("Aceite da OS",OSS[#Headers],0),FALSE)))</f>
        <v/>
      </c>
      <c r="L122" s="20" t="str">
        <f>IF(A120="","",IF(VLOOKUP(A120,OSS[],MATCH("Data de Termino",OSS[#Headers],0),FALSE)="","",VLOOKUP(A120,OSS[],MATCH("Data de Termino",OSS[#Headers],0),FALSE)))</f>
        <v/>
      </c>
      <c r="M122" s="20" t="str">
        <f>IF(K122="","",K122)</f>
        <v/>
      </c>
      <c r="N122" s="20" t="str">
        <f>IF(M122="","",M122+180)</f>
        <v/>
      </c>
      <c r="O122" s="29" t="str">
        <f>IF(A120="","","Apurado")</f>
        <v/>
      </c>
      <c r="P122" s="21" t="str">
        <f>IF(A120="","",IF(VLOOKUP(A120,OSS[],MATCH("PF Apurado",OSS[#Headers],0),FALSE)="","",VLOOKUP(A120,OSS[],MATCH("PF Apurado",OSS[#Headers],0),FALSE)))</f>
        <v/>
      </c>
      <c r="Q122" s="57" t="str">
        <f>IF(F121="","",IF(G122="","",IF(L122="",IF(DataRef&lt;L121,L121,DataRef),L122)-L121))</f>
        <v/>
      </c>
      <c r="R122" s="21" t="str">
        <f>IF(J122="","",AF121)</f>
        <v/>
      </c>
      <c r="S122" s="21" t="str">
        <f>IF(K122="","",AF122)</f>
        <v/>
      </c>
      <c r="T122" s="57" t="str">
        <f>IF(J122="","",AB121/IF($P122="",$P121,$P122))</f>
        <v/>
      </c>
      <c r="U122" s="57" t="str">
        <f>IF(J122="","",AC121/IF($P122="",$P121,$P122))</f>
        <v/>
      </c>
      <c r="V122" s="57" t="str">
        <f>IF(K122="","",AB122/IF($P122="",$P121,$P122))</f>
        <v/>
      </c>
      <c r="W122" s="57" t="str">
        <f>IF(K122="","",AC122/IF($P122="",$P121,$P122))</f>
        <v/>
      </c>
      <c r="X122" s="57" t="str">
        <f>IF(F121="","",IF(G122="",IF(DataRef&lt;G121,"",DataRef-G121),G122-G121))</f>
        <v/>
      </c>
      <c r="Y122" s="57" t="str">
        <f>IF(OR(R120="Hora Java",R120="Hora dotNet"),AG121,"")</f>
        <v/>
      </c>
      <c r="Z122" s="57" t="str">
        <f>IF(F121="","",IF(L122="",IF(DataRef&lt;L121,L121,DataRef),L122)-L121)</f>
        <v/>
      </c>
      <c r="AA122" t="str">
        <f>IF(A120="","","Garantia")</f>
        <v/>
      </c>
      <c r="AB122" s="21" t="str">
        <f>IF(K122="","",VLOOKUP(A120,OSS[],MATCH("Não Grave - Garantia",OSS[#Headers],0),FALSE))</f>
        <v/>
      </c>
      <c r="AC122" s="21" t="str">
        <f>IF(K122="","",VLOOKUP(A120,OSS[],MATCH("Grave - Garantia",OSS[#Headers],0),FALSE))</f>
        <v/>
      </c>
      <c r="AD122" s="21" t="str">
        <f>IF(K122="","",AB122+AC122)</f>
        <v/>
      </c>
      <c r="AE122" s="26" t="str">
        <f>IF(K122="","",AD122/IF($P122="",$P121,$P122))</f>
        <v/>
      </c>
      <c r="AF122" s="21" t="str">
        <f>IF(K122="","",VLOOKUP(A120,OSS[],MATCH("Atrasos para Correção Garantia",OSS[#Headers],0),FALSE))</f>
        <v/>
      </c>
    </row>
    <row r="123" spans="1:33" ht="15.75" x14ac:dyDescent="0.25">
      <c r="B123" s="66" t="str">
        <f>IF(A120="","","PF a Pagar")</f>
        <v/>
      </c>
      <c r="C123" s="67" t="str">
        <f>IF(D122="","",IF(B120="Recebida",(P122*0.8),IF(B120="Aceita",D122,0))+IF(D122&lt;0,D122,0))</f>
        <v/>
      </c>
      <c r="E123" s="37"/>
      <c r="K123" s="69" t="str">
        <f>IF(A120="","","Prazo previsto para execução em dias corridos")</f>
        <v/>
      </c>
      <c r="L123" s="70" t="str">
        <f>IF(G121="","",ROUND((IF(P122="",P121,P122)/(19*LN(IF(P122="",P121,P122))-42))*30,0))</f>
        <v/>
      </c>
      <c r="O123" s="29" t="str">
        <f>IF(A120="","","Multa")</f>
        <v/>
      </c>
      <c r="P123" s="25" t="str">
        <f>IF(SUM(Q123:Z123)=0,"",-ROUND(SUM(Q123:Z123),0))</f>
        <v/>
      </c>
      <c r="Q123" s="57" t="str">
        <f>IF(Q122="","",IF(OR(Q121&gt;Q122,Z121&lt;Z122),"",ROUND(Q122*(IF($P122="",$P121,$P122)*SLA_ICA_EOS_Multa),2)))</f>
        <v/>
      </c>
      <c r="R123" s="57" t="str">
        <f>IF(R122="","",IF(R121&gt;R122,"",ROUND(R122*(IF($P122="",$P121,$P122)*SLA_ICP_CIHA_Multa),2)))</f>
        <v/>
      </c>
      <c r="S123" s="57" t="str">
        <f>IF(S122="","",IF(S121&gt;S122,"",ROUND(S122*(IF($P122="",$P121,$P122)*SLA_ICP_CIG_Multa),2)))</f>
        <v/>
      </c>
      <c r="T123" s="57" t="str">
        <f>IF(T122="","",IF(T121&gt;T122,"",ROUND(T122*(IF($P122="",$P121,$P122)*SLA_IQA_INGHA_Multa),2)))</f>
        <v/>
      </c>
      <c r="U123" s="57" t="str">
        <f>IF(U122="","",IF(U121&gt;U122,"",ROUND(U122*(IF($P122="",$P121,$P122)*SLA_IQA_IGHA_Multa),2)))</f>
        <v/>
      </c>
      <c r="V123" s="57" t="str">
        <f>IF(V122="","",IF(V121&gt;V122,"",ROUND(V122*(IF($P122="",$P121,$P122)*SLA_IQA_INGG_Multa),2)))</f>
        <v/>
      </c>
      <c r="W123" s="57" t="str">
        <f>IF(W122="","",IF(W121&gt;W122,"",ROUND(W122*(IF($P122="",$P121,$P122)*SLA_IQA_IGG_Multa),2)))</f>
        <v/>
      </c>
      <c r="X123" s="57" t="str">
        <f>IF(X122="","",IF(X121&gt;X122,"",ROUND(X122*(IF($P122="",$P121,$P122)*SLA_ICA_IOS_Multa),2)))</f>
        <v/>
      </c>
      <c r="Y123" s="57" t="str">
        <f>IF(Y122="","",IF(Y121&gt;Y122,"",ROUND(Y122*(IF($P122="",$P121,$P122)*SLA_ICA_SP_Multa),2)))</f>
        <v/>
      </c>
      <c r="Z123" s="57" t="str">
        <f>IF(Z122="","",IF(Z121&gt;Z122,"",ROUND(IF($P122="",$P121,$P122)*SLA_ICA_EOS_Multa,2)))</f>
        <v/>
      </c>
      <c r="AA123" t="str">
        <f>IF(A120="","","Total")</f>
        <v/>
      </c>
      <c r="AB123" s="21" t="str">
        <f>IF(SUM(AB121:AB122)=0,"",SUM(AB121:AB122))</f>
        <v/>
      </c>
      <c r="AC123" s="21" t="str">
        <f>IF(SUM(AC121:AC122)=0,"",SUM(AC121:AC122))</f>
        <v/>
      </c>
      <c r="AD123" s="21" t="str">
        <f>IF(SUM(AB123:AC123)=0,"",SUM(AB123:AC123))</f>
        <v/>
      </c>
      <c r="AE123" s="26" t="str">
        <f>IF(P121="","",IF(AD123="","",AD123/IF($P122="",$P121,$P122)))</f>
        <v/>
      </c>
    </row>
    <row r="124" spans="1:33" ht="15.75" x14ac:dyDescent="0.25">
      <c r="G124" s="20"/>
      <c r="H124" s="20"/>
      <c r="I124" s="20"/>
      <c r="J124" s="20"/>
      <c r="K124" s="20"/>
      <c r="L124" s="20"/>
      <c r="M124" s="20"/>
      <c r="N124" s="20"/>
      <c r="O124" s="35"/>
      <c r="P124" s="37"/>
    </row>
    <row r="125" spans="1:33" ht="15.75" x14ac:dyDescent="0.25">
      <c r="A125" s="54" t="str">
        <f>IF(ControleOSsMês!$G$1="Todas",IFERROR(INDEX(OSS[Número OS],INT((ROW()-ROW($A$3)-1)/5)+1,1),""),IFERROR(VLOOKUP(INT((ROW()-ROW($A$3)-1)/5)+1,OSMês[],2,FALSE),""))</f>
        <v/>
      </c>
      <c r="B125" s="71" t="str">
        <f>IF(A125="","",VLOOKUP(A125,OSS[],MATCH("Situação da OS",OSS[#Headers],0),FALSE))</f>
        <v/>
      </c>
      <c r="C125" s="71"/>
      <c r="D125" s="54" t="str">
        <f>IF(A125="","","em")</f>
        <v/>
      </c>
      <c r="E125" s="59" t="str">
        <f>IF(A125="","",VLOOKUP(A125,OSS[],MATCH("Data Situação",OSS[#Headers],0),FALSE))</f>
        <v/>
      </c>
      <c r="F125" s="68" t="str">
        <f>IF(A125="","","Titulo:")</f>
        <v/>
      </c>
      <c r="G125" s="31" t="str">
        <f>IF(A125="","",VLOOKUP(A125,OSS[],MATCH("Titulo",OSS[#Headers],0),FALSE))</f>
        <v/>
      </c>
      <c r="H125" s="30"/>
      <c r="I125" s="30"/>
      <c r="J125" s="30"/>
      <c r="K125" s="30"/>
      <c r="L125" s="30"/>
      <c r="M125" s="30"/>
      <c r="N125" s="30"/>
      <c r="O125" s="30"/>
      <c r="P125" s="30"/>
      <c r="Q125" s="68" t="str">
        <f>IF(A125="","","Tipo da OS:")</f>
        <v/>
      </c>
      <c r="R125" s="31" t="str">
        <f>IF(A125="","",VLOOKUP(A125,OSS[],MATCH("Tipo",OSS[#Headers],0),FALSE))</f>
        <v/>
      </c>
      <c r="S125" s="30"/>
      <c r="T125" s="30"/>
      <c r="U125" s="30"/>
      <c r="V125" s="30"/>
      <c r="W125" s="30"/>
      <c r="X125" s="30"/>
      <c r="Y125" s="30"/>
      <c r="Z125" s="30"/>
      <c r="AA125" s="58" t="str">
        <f>IF(A125="","","Número de Inconformidades")</f>
        <v/>
      </c>
      <c r="AB125" s="30"/>
      <c r="AC125" s="30"/>
      <c r="AD125" s="30"/>
      <c r="AE125" s="30"/>
      <c r="AF125" s="30"/>
      <c r="AG125" s="32"/>
    </row>
    <row r="126" spans="1:33" ht="15.75" x14ac:dyDescent="0.25">
      <c r="B126" s="66" t="str">
        <f>IF(A125="","","PF Pago")</f>
        <v/>
      </c>
      <c r="D126" t="str">
        <f>IF(A125="","",VLOOKUP(A125,OSS[],MATCH("PF Pago",OSS[#Headers],0),FALSE))</f>
        <v/>
      </c>
      <c r="F126" s="36" t="str">
        <f>IF(A125="","",VLOOKUP(A125,OSS[],MATCH("Abertura da OS",OSS[#Headers],0),FALSE))</f>
        <v/>
      </c>
      <c r="G126" s="20" t="str">
        <f>IF(F126="","",WORKDAY(F126,IF(IF(P127="",P126,P127)&lt;150,5,10)))</f>
        <v/>
      </c>
      <c r="H126" s="20" t="str">
        <f>IF(G126="","",WORKDAY(G126,5))</f>
        <v/>
      </c>
      <c r="I126" s="20" t="str">
        <f>IF(G126="","",G126+ROUND((IF(P127="",P126,P127)/(19*LN(IF(P127="",P126,P127))-42))*30*SLA_PrazoEntrega,0))</f>
        <v/>
      </c>
      <c r="J126" s="20" t="str">
        <f>IF(I126="","",WORKDAY(I126,IF(IF(P127="",P126,P127)&lt;150,5,10)))</f>
        <v/>
      </c>
      <c r="K126" s="20" t="str">
        <f>IF(J126="","",J126+ROUND((IF(P127="",P126,P127)/(19*LN(IF(P127="",P126,P127))-42))*30*SLA_PrazoAceite,0))</f>
        <v/>
      </c>
      <c r="L126" s="20" t="str">
        <f>IF(G126="","",G126+ROUND((IF(P127="",P126,P127)/(19*LN(IF(P127="",P126,P127))-42))*30,0))</f>
        <v/>
      </c>
      <c r="M126" s="20" t="str">
        <f>IF(K126="","",WORKDAY(K126,1))</f>
        <v/>
      </c>
      <c r="N126" s="20" t="str">
        <f>IF(M126="","",M126+SLA_PrazoGarantia)</f>
        <v/>
      </c>
      <c r="O126" s="29" t="str">
        <f>IF(A125="","","Previsto")</f>
        <v/>
      </c>
      <c r="P126" s="21" t="str">
        <f>IF(A125="","",VLOOKUP(A125,OSS[],MATCH("PF Previsto",OSS[#Headers],0),FALSE))</f>
        <v/>
      </c>
      <c r="Q126" s="57" t="str">
        <f>IF(F126="","",ROUND((L126-G126)*SLA_ICA_EOS,1))</f>
        <v/>
      </c>
      <c r="R126" s="21" t="str">
        <f>IF(F126="","",SLA_ICP_CIHA)</f>
        <v/>
      </c>
      <c r="S126" s="21" t="str">
        <f>IF(F126="","",SLA_ICP_CIG)</f>
        <v/>
      </c>
      <c r="T126" s="57" t="str">
        <f>IF(F126="","",SLA_IQA_INGHA)</f>
        <v/>
      </c>
      <c r="U126" s="57" t="str">
        <f>IF(F126="","",SLA_IQA_IGHA)</f>
        <v/>
      </c>
      <c r="V126" s="57" t="str">
        <f>IF(F126="","",SLA_IQA_INGG)</f>
        <v/>
      </c>
      <c r="W126" s="57" t="str">
        <f>IF(F126="","",SLA_IQA_IGG)</f>
        <v/>
      </c>
      <c r="X126" s="57" t="str">
        <f>IF(F126="","",ROUND((G126-F126)*SLA_ICA_IOS,1))</f>
        <v/>
      </c>
      <c r="Y126" s="57" t="str">
        <f>IF(OR(R125="Hora Java",R125="Hora dotNet"),SLA_ICA_SP,"")</f>
        <v/>
      </c>
      <c r="Z126" s="57" t="str">
        <f>IF(F126="","",ROUND((L126-G126)*SLA_ICA_EOS,1))</f>
        <v/>
      </c>
      <c r="AA126" t="str">
        <f>IF(A125="","","Homologação")</f>
        <v/>
      </c>
      <c r="AB126" s="21" t="str">
        <f>IF(J127="","",VLOOKUP(A125,OSS[],MATCH("Não Grave - Homologação",OSS[#Headers],0),FALSE))</f>
        <v/>
      </c>
      <c r="AC126" s="21" t="str">
        <f>IF(J127="","",VLOOKUP(A125,OSS[],MATCH("Grave - Homologação",OSS[#Headers],0),FALSE))</f>
        <v/>
      </c>
      <c r="AD126" s="21" t="str">
        <f>IF(J127="","",AB126+AC126)</f>
        <v/>
      </c>
      <c r="AE126" s="26" t="str">
        <f>IF(J127="","",AD126/IF($P127="",$P126,$P127))</f>
        <v/>
      </c>
      <c r="AF126" s="21" t="str">
        <f>IF(J127="","",VLOOKUP(A125,OSS[],MATCH("Atrasos para Correção Homologação",OSS[#Headers],0),FALSE))</f>
        <v/>
      </c>
      <c r="AG126" t="str">
        <f>IF(Y126="","",VLOOKUP(A125,OSS[],MATCH("Atraso para Substituição",OSS[#Headers],0),FALSE))</f>
        <v/>
      </c>
    </row>
    <row r="127" spans="1:33" ht="15.75" x14ac:dyDescent="0.25">
      <c r="B127" s="66" t="str">
        <f>IF(A125="","","Saldo de PF")</f>
        <v/>
      </c>
      <c r="C127" s="37"/>
      <c r="D127" s="37" t="str">
        <f>IF(P126="","",IF($P127="",$P126,$P127)+IF(P128="",0,P128)-IF(D126="",0,D126))</f>
        <v/>
      </c>
      <c r="E127" s="37"/>
      <c r="G127" s="20" t="str">
        <f>IF(A125="","",IF(VLOOKUP(A125,OSS[],MATCH("Data de Inicio",OSS[#Headers],0),FALSE)="","",VLOOKUP(A125,OSS[],MATCH("Data de Inicio",OSS[#Headers],0),FALSE)))</f>
        <v/>
      </c>
      <c r="H127" s="20" t="str">
        <f>IF(A125="","",IF(VLOOKUP(A125,OSS[],MATCH("Entrega do Plano da OS",OSS[#Headers],0),FALSE)="","",VLOOKUP(A125,OSS[],MATCH("Entrega do Plano da OS",OSS[#Headers],0),FALSE)))</f>
        <v/>
      </c>
      <c r="I127" s="20" t="str">
        <f>IF(A125="","",IF(VLOOKUP(A125,OSS[],MATCH("Entrega da OS",OSS[#Headers],0),FALSE)="","",VLOOKUP(A125,OSS[],MATCH("Entrega da OS",OSS[#Headers],0),FALSE)))</f>
        <v/>
      </c>
      <c r="J127" s="20" t="str">
        <f>IF(A125="","",IF(VLOOKUP(A125,OSS[],MATCH("Recebimento da OS",OSS[#Headers],0),FALSE)="","",VLOOKUP(A125,OSS[],MATCH("Recebimento da OS",OSS[#Headers],0),FALSE)))</f>
        <v/>
      </c>
      <c r="K127" s="20" t="str">
        <f>IF(A125="","",IF(VLOOKUP(A125,OSS[],MATCH("Aceite da OS",OSS[#Headers],0),FALSE)="","",VLOOKUP(A125,OSS[],MATCH("Aceite da OS",OSS[#Headers],0),FALSE)))</f>
        <v/>
      </c>
      <c r="L127" s="20" t="str">
        <f>IF(A125="","",IF(VLOOKUP(A125,OSS[],MATCH("Data de Termino",OSS[#Headers],0),FALSE)="","",VLOOKUP(A125,OSS[],MATCH("Data de Termino",OSS[#Headers],0),FALSE)))</f>
        <v/>
      </c>
      <c r="M127" s="20" t="str">
        <f>IF(K127="","",K127)</f>
        <v/>
      </c>
      <c r="N127" s="20" t="str">
        <f>IF(M127="","",M127+180)</f>
        <v/>
      </c>
      <c r="O127" s="29" t="str">
        <f>IF(A125="","","Apurado")</f>
        <v/>
      </c>
      <c r="P127" s="21" t="str">
        <f>IF(A125="","",IF(VLOOKUP(A125,OSS[],MATCH("PF Apurado",OSS[#Headers],0),FALSE)="","",VLOOKUP(A125,OSS[],MATCH("PF Apurado",OSS[#Headers],0),FALSE)))</f>
        <v/>
      </c>
      <c r="Q127" s="57" t="str">
        <f>IF(F126="","",IF(G127="","",IF(L127="",IF(DataRef&lt;L126,L126,DataRef),L127)-L126))</f>
        <v/>
      </c>
      <c r="R127" s="21" t="str">
        <f>IF(J127="","",AF126)</f>
        <v/>
      </c>
      <c r="S127" s="21" t="str">
        <f>IF(K127="","",AF127)</f>
        <v/>
      </c>
      <c r="T127" s="57" t="str">
        <f>IF(J127="","",AB126/IF($P127="",$P126,$P127))</f>
        <v/>
      </c>
      <c r="U127" s="57" t="str">
        <f>IF(J127="","",AC126/IF($P127="",$P126,$P127))</f>
        <v/>
      </c>
      <c r="V127" s="57" t="str">
        <f>IF(K127="","",AB127/IF($P127="",$P126,$P127))</f>
        <v/>
      </c>
      <c r="W127" s="57" t="str">
        <f>IF(K127="","",AC127/IF($P127="",$P126,$P127))</f>
        <v/>
      </c>
      <c r="X127" s="57" t="str">
        <f>IF(F126="","",IF(G127="",IF(DataRef&lt;G126,"",DataRef-G126),G127-G126))</f>
        <v/>
      </c>
      <c r="Y127" s="57" t="str">
        <f>IF(OR(R125="Hora Java",R125="Hora dotNet"),AG126,"")</f>
        <v/>
      </c>
      <c r="Z127" s="57" t="str">
        <f>IF(F126="","",IF(L127="",IF(DataRef&lt;L126,L126,DataRef),L127)-L126)</f>
        <v/>
      </c>
      <c r="AA127" t="str">
        <f>IF(A125="","","Garantia")</f>
        <v/>
      </c>
      <c r="AB127" s="21" t="str">
        <f>IF(K127="","",VLOOKUP(A125,OSS[],MATCH("Não Grave - Garantia",OSS[#Headers],0),FALSE))</f>
        <v/>
      </c>
      <c r="AC127" s="21" t="str">
        <f>IF(K127="","",VLOOKUP(A125,OSS[],MATCH("Grave - Garantia",OSS[#Headers],0),FALSE))</f>
        <v/>
      </c>
      <c r="AD127" s="21" t="str">
        <f>IF(K127="","",AB127+AC127)</f>
        <v/>
      </c>
      <c r="AE127" s="26" t="str">
        <f>IF(K127="","",AD127/IF($P127="",$P126,$P127))</f>
        <v/>
      </c>
      <c r="AF127" s="21" t="str">
        <f>IF(K127="","",VLOOKUP(A125,OSS[],MATCH("Atrasos para Correção Garantia",OSS[#Headers],0),FALSE))</f>
        <v/>
      </c>
    </row>
    <row r="128" spans="1:33" ht="15.75" x14ac:dyDescent="0.25">
      <c r="B128" s="66" t="str">
        <f>IF(A125="","","PF a Pagar")</f>
        <v/>
      </c>
      <c r="C128" s="67" t="str">
        <f>IF(D127="","",IF(B125="Recebida",(P127*0.8),IF(B125="Aceita",D127,0))+IF(D127&lt;0,D127,0))</f>
        <v/>
      </c>
      <c r="E128" s="37"/>
      <c r="K128" s="69" t="str">
        <f>IF(A125="","","Prazo previsto para execução em dias corridos")</f>
        <v/>
      </c>
      <c r="L128" s="70" t="str">
        <f>IF(G126="","",ROUND((IF(P127="",P126,P127)/(19*LN(IF(P127="",P126,P127))-42))*30,0))</f>
        <v/>
      </c>
      <c r="O128" s="29" t="str">
        <f>IF(A125="","","Multa")</f>
        <v/>
      </c>
      <c r="P128" s="25" t="str">
        <f>IF(SUM(Q128:Z128)=0,"",-ROUND(SUM(Q128:Z128),0))</f>
        <v/>
      </c>
      <c r="Q128" s="57" t="str">
        <f>IF(Q127="","",IF(OR(Q126&gt;Q127,Z126&lt;Z127),"",ROUND(Q127*(IF($P127="",$P126,$P127)*SLA_ICA_EOS_Multa),2)))</f>
        <v/>
      </c>
      <c r="R128" s="57" t="str">
        <f>IF(R127="","",IF(R126&gt;R127,"",ROUND(R127*(IF($P127="",$P126,$P127)*SLA_ICP_CIHA_Multa),2)))</f>
        <v/>
      </c>
      <c r="S128" s="57" t="str">
        <f>IF(S127="","",IF(S126&gt;S127,"",ROUND(S127*(IF($P127="",$P126,$P127)*SLA_ICP_CIG_Multa),2)))</f>
        <v/>
      </c>
      <c r="T128" s="57" t="str">
        <f>IF(T127="","",IF(T126&gt;T127,"",ROUND(T127*(IF($P127="",$P126,$P127)*SLA_IQA_INGHA_Multa),2)))</f>
        <v/>
      </c>
      <c r="U128" s="57" t="str">
        <f>IF(U127="","",IF(U126&gt;U127,"",ROUND(U127*(IF($P127="",$P126,$P127)*SLA_IQA_IGHA_Multa),2)))</f>
        <v/>
      </c>
      <c r="V128" s="57" t="str">
        <f>IF(V127="","",IF(V126&gt;V127,"",ROUND(V127*(IF($P127="",$P126,$P127)*SLA_IQA_INGG_Multa),2)))</f>
        <v/>
      </c>
      <c r="W128" s="57" t="str">
        <f>IF(W127="","",IF(W126&gt;W127,"",ROUND(W127*(IF($P127="",$P126,$P127)*SLA_IQA_IGG_Multa),2)))</f>
        <v/>
      </c>
      <c r="X128" s="57" t="str">
        <f>IF(X127="","",IF(X126&gt;X127,"",ROUND(X127*(IF($P127="",$P126,$P127)*SLA_ICA_IOS_Multa),2)))</f>
        <v/>
      </c>
      <c r="Y128" s="57" t="str">
        <f>IF(Y127="","",IF(Y126&gt;Y127,"",ROUND(Y127*(IF($P127="",$P126,$P127)*SLA_ICA_SP_Multa),2)))</f>
        <v/>
      </c>
      <c r="Z128" s="57" t="str">
        <f>IF(Z127="","",IF(Z126&gt;Z127,"",ROUND(IF($P127="",$P126,$P127)*SLA_ICA_EOS_Multa,2)))</f>
        <v/>
      </c>
      <c r="AA128" t="str">
        <f>IF(A125="","","Total")</f>
        <v/>
      </c>
      <c r="AB128" s="21" t="str">
        <f>IF(SUM(AB126:AB127)=0,"",SUM(AB126:AB127))</f>
        <v/>
      </c>
      <c r="AC128" s="21" t="str">
        <f>IF(SUM(AC126:AC127)=0,"",SUM(AC126:AC127))</f>
        <v/>
      </c>
      <c r="AD128" s="21" t="str">
        <f>IF(SUM(AB128:AC128)=0,"",SUM(AB128:AC128))</f>
        <v/>
      </c>
      <c r="AE128" s="26" t="str">
        <f>IF(P126="","",IF(AD128="","",AD128/IF($P127="",$P126,$P127)))</f>
        <v/>
      </c>
    </row>
    <row r="129" spans="1:33" ht="15.75" x14ac:dyDescent="0.25">
      <c r="G129" s="20"/>
      <c r="H129" s="20"/>
      <c r="I129" s="20"/>
      <c r="J129" s="20"/>
      <c r="K129" s="20"/>
      <c r="L129" s="20"/>
      <c r="M129" s="20"/>
      <c r="N129" s="20"/>
      <c r="O129" s="35"/>
      <c r="P129" s="37"/>
    </row>
    <row r="130" spans="1:33" ht="15.75" x14ac:dyDescent="0.25">
      <c r="A130" s="54" t="str">
        <f>IF(ControleOSsMês!$G$1="Todas",IFERROR(INDEX(OSS[Número OS],INT((ROW()-ROW($A$3)-1)/5)+1,1),""),IFERROR(VLOOKUP(INT((ROW()-ROW($A$3)-1)/5)+1,OSMês[],2,FALSE),""))</f>
        <v/>
      </c>
      <c r="B130" s="71" t="str">
        <f>IF(A130="","",VLOOKUP(A130,OSS[],MATCH("Situação da OS",OSS[#Headers],0),FALSE))</f>
        <v/>
      </c>
      <c r="C130" s="71"/>
      <c r="D130" s="54" t="str">
        <f>IF(A130="","","em")</f>
        <v/>
      </c>
      <c r="E130" s="59" t="str">
        <f>IF(A130="","",VLOOKUP(A130,OSS[],MATCH("Data Situação",OSS[#Headers],0),FALSE))</f>
        <v/>
      </c>
      <c r="F130" s="68" t="str">
        <f>IF(A130="","","Titulo:")</f>
        <v/>
      </c>
      <c r="G130" s="31" t="str">
        <f>IF(A130="","",VLOOKUP(A130,OSS[],MATCH("Titulo",OSS[#Headers],0),FALSE))</f>
        <v/>
      </c>
      <c r="H130" s="30"/>
      <c r="I130" s="30"/>
      <c r="J130" s="30"/>
      <c r="K130" s="30"/>
      <c r="L130" s="30"/>
      <c r="M130" s="30"/>
      <c r="N130" s="30"/>
      <c r="O130" s="30"/>
      <c r="P130" s="30"/>
      <c r="Q130" s="68" t="str">
        <f>IF(A130="","","Tipo da OS:")</f>
        <v/>
      </c>
      <c r="R130" s="31" t="str">
        <f>IF(A130="","",VLOOKUP(A130,OSS[],MATCH("Tipo",OSS[#Headers],0),FALSE))</f>
        <v/>
      </c>
      <c r="S130" s="30"/>
      <c r="T130" s="30"/>
      <c r="U130" s="30"/>
      <c r="V130" s="30"/>
      <c r="W130" s="30"/>
      <c r="X130" s="30"/>
      <c r="Y130" s="30"/>
      <c r="Z130" s="30"/>
      <c r="AA130" s="58" t="str">
        <f>IF(A130="","","Número de Inconformidades")</f>
        <v/>
      </c>
      <c r="AB130" s="30"/>
      <c r="AC130" s="30"/>
      <c r="AD130" s="30"/>
      <c r="AE130" s="30"/>
      <c r="AF130" s="30"/>
      <c r="AG130" s="32"/>
    </row>
    <row r="131" spans="1:33" ht="15.75" x14ac:dyDescent="0.25">
      <c r="B131" s="66" t="str">
        <f>IF(A130="","","PF Pago")</f>
        <v/>
      </c>
      <c r="D131" t="str">
        <f>IF(A130="","",VLOOKUP(A130,OSS[],MATCH("PF Pago",OSS[#Headers],0),FALSE))</f>
        <v/>
      </c>
      <c r="F131" s="36" t="str">
        <f>IF(A130="","",VLOOKUP(A130,OSS[],MATCH("Abertura da OS",OSS[#Headers],0),FALSE))</f>
        <v/>
      </c>
      <c r="G131" s="20" t="str">
        <f>IF(F131="","",WORKDAY(F131,IF(IF(P132="",P131,P132)&lt;150,5,10)))</f>
        <v/>
      </c>
      <c r="H131" s="20" t="str">
        <f>IF(G131="","",WORKDAY(G131,5))</f>
        <v/>
      </c>
      <c r="I131" s="20" t="str">
        <f>IF(G131="","",G131+ROUND((IF(P132="",P131,P132)/(19*LN(IF(P132="",P131,P132))-42))*30*SLA_PrazoEntrega,0))</f>
        <v/>
      </c>
      <c r="J131" s="20" t="str">
        <f>IF(I131="","",WORKDAY(I131,IF(IF(P132="",P131,P132)&lt;150,5,10)))</f>
        <v/>
      </c>
      <c r="K131" s="20" t="str">
        <f>IF(J131="","",J131+ROUND((IF(P132="",P131,P132)/(19*LN(IF(P132="",P131,P132))-42))*30*SLA_PrazoAceite,0))</f>
        <v/>
      </c>
      <c r="L131" s="20" t="str">
        <f>IF(G131="","",G131+ROUND((IF(P132="",P131,P132)/(19*LN(IF(P132="",P131,P132))-42))*30,0))</f>
        <v/>
      </c>
      <c r="M131" s="20" t="str">
        <f>IF(K131="","",WORKDAY(K131,1))</f>
        <v/>
      </c>
      <c r="N131" s="20" t="str">
        <f>IF(M131="","",M131+SLA_PrazoGarantia)</f>
        <v/>
      </c>
      <c r="O131" s="29" t="str">
        <f>IF(A130="","","Previsto")</f>
        <v/>
      </c>
      <c r="P131" s="21" t="str">
        <f>IF(A130="","",VLOOKUP(A130,OSS[],MATCH("PF Previsto",OSS[#Headers],0),FALSE))</f>
        <v/>
      </c>
      <c r="Q131" s="57" t="str">
        <f>IF(F131="","",ROUND((L131-G131)*SLA_ICA_EOS,1))</f>
        <v/>
      </c>
      <c r="R131" s="21" t="str">
        <f>IF(F131="","",SLA_ICP_CIHA)</f>
        <v/>
      </c>
      <c r="S131" s="21" t="str">
        <f>IF(F131="","",SLA_ICP_CIG)</f>
        <v/>
      </c>
      <c r="T131" s="57" t="str">
        <f>IF(F131="","",SLA_IQA_INGHA)</f>
        <v/>
      </c>
      <c r="U131" s="57" t="str">
        <f>IF(F131="","",SLA_IQA_IGHA)</f>
        <v/>
      </c>
      <c r="V131" s="57" t="str">
        <f>IF(F131="","",SLA_IQA_INGG)</f>
        <v/>
      </c>
      <c r="W131" s="57" t="str">
        <f>IF(F131="","",SLA_IQA_IGG)</f>
        <v/>
      </c>
      <c r="X131" s="57" t="str">
        <f>IF(F131="","",ROUND((G131-F131)*SLA_ICA_IOS,1))</f>
        <v/>
      </c>
      <c r="Y131" s="57" t="str">
        <f>IF(OR(R130="Hora Java",R130="Hora dotNet"),SLA_ICA_SP,"")</f>
        <v/>
      </c>
      <c r="Z131" s="57" t="str">
        <f>IF(F131="","",ROUND((L131-G131)*SLA_ICA_EOS,1))</f>
        <v/>
      </c>
      <c r="AA131" t="str">
        <f>IF(A130="","","Homologação")</f>
        <v/>
      </c>
      <c r="AB131" s="21" t="str">
        <f>IF(J132="","",VLOOKUP(A130,OSS[],MATCH("Não Grave - Homologação",OSS[#Headers],0),FALSE))</f>
        <v/>
      </c>
      <c r="AC131" s="21" t="str">
        <f>IF(J132="","",VLOOKUP(A130,OSS[],MATCH("Grave - Homologação",OSS[#Headers],0),FALSE))</f>
        <v/>
      </c>
      <c r="AD131" s="21" t="str">
        <f>IF(J132="","",AB131+AC131)</f>
        <v/>
      </c>
      <c r="AE131" s="26" t="str">
        <f>IF(J132="","",AD131/IF($P132="",$P131,$P132))</f>
        <v/>
      </c>
      <c r="AF131" s="21" t="str">
        <f>IF(J132="","",VLOOKUP(A130,OSS[],MATCH("Atrasos para Correção Homologação",OSS[#Headers],0),FALSE))</f>
        <v/>
      </c>
      <c r="AG131" t="str">
        <f>IF(Y131="","",VLOOKUP(A130,OSS[],MATCH("Atraso para Substituição",OSS[#Headers],0),FALSE))</f>
        <v/>
      </c>
    </row>
    <row r="132" spans="1:33" ht="15.75" x14ac:dyDescent="0.25">
      <c r="B132" s="66" t="str">
        <f>IF(A130="","","Saldo de PF")</f>
        <v/>
      </c>
      <c r="C132" s="37"/>
      <c r="D132" s="37" t="str">
        <f>IF(P131="","",IF($P132="",$P131,$P132)+IF(P133="",0,P133)-IF(D131="",0,D131))</f>
        <v/>
      </c>
      <c r="E132" s="37"/>
      <c r="G132" s="20" t="str">
        <f>IF(A130="","",IF(VLOOKUP(A130,OSS[],MATCH("Data de Inicio",OSS[#Headers],0),FALSE)="","",VLOOKUP(A130,OSS[],MATCH("Data de Inicio",OSS[#Headers],0),FALSE)))</f>
        <v/>
      </c>
      <c r="H132" s="20" t="str">
        <f>IF(A130="","",IF(VLOOKUP(A130,OSS[],MATCH("Entrega do Plano da OS",OSS[#Headers],0),FALSE)="","",VLOOKUP(A130,OSS[],MATCH("Entrega do Plano da OS",OSS[#Headers],0),FALSE)))</f>
        <v/>
      </c>
      <c r="I132" s="20" t="str">
        <f>IF(A130="","",IF(VLOOKUP(A130,OSS[],MATCH("Entrega da OS",OSS[#Headers],0),FALSE)="","",VLOOKUP(A130,OSS[],MATCH("Entrega da OS",OSS[#Headers],0),FALSE)))</f>
        <v/>
      </c>
      <c r="J132" s="20" t="str">
        <f>IF(A130="","",IF(VLOOKUP(A130,OSS[],MATCH("Recebimento da OS",OSS[#Headers],0),FALSE)="","",VLOOKUP(A130,OSS[],MATCH("Recebimento da OS",OSS[#Headers],0),FALSE)))</f>
        <v/>
      </c>
      <c r="K132" s="20" t="str">
        <f>IF(A130="","",IF(VLOOKUP(A130,OSS[],MATCH("Aceite da OS",OSS[#Headers],0),FALSE)="","",VLOOKUP(A130,OSS[],MATCH("Aceite da OS",OSS[#Headers],0),FALSE)))</f>
        <v/>
      </c>
      <c r="L132" s="20" t="str">
        <f>IF(A130="","",IF(VLOOKUP(A130,OSS[],MATCH("Data de Termino",OSS[#Headers],0),FALSE)="","",VLOOKUP(A130,OSS[],MATCH("Data de Termino",OSS[#Headers],0),FALSE)))</f>
        <v/>
      </c>
      <c r="M132" s="20" t="str">
        <f>IF(K132="","",K132)</f>
        <v/>
      </c>
      <c r="N132" s="20" t="str">
        <f>IF(M132="","",M132+180)</f>
        <v/>
      </c>
      <c r="O132" s="29" t="str">
        <f>IF(A130="","","Apurado")</f>
        <v/>
      </c>
      <c r="P132" s="21" t="str">
        <f>IF(A130="","",IF(VLOOKUP(A130,OSS[],MATCH("PF Apurado",OSS[#Headers],0),FALSE)="","",VLOOKUP(A130,OSS[],MATCH("PF Apurado",OSS[#Headers],0),FALSE)))</f>
        <v/>
      </c>
      <c r="Q132" s="57" t="str">
        <f>IF(F131="","",IF(G132="","",IF(L132="",IF(DataRef&lt;L131,L131,DataRef),L132)-L131))</f>
        <v/>
      </c>
      <c r="R132" s="21" t="str">
        <f>IF(J132="","",AF131)</f>
        <v/>
      </c>
      <c r="S132" s="21" t="str">
        <f>IF(K132="","",AF132)</f>
        <v/>
      </c>
      <c r="T132" s="57" t="str">
        <f>IF(J132="","",AB131/IF($P132="",$P131,$P132))</f>
        <v/>
      </c>
      <c r="U132" s="57" t="str">
        <f>IF(J132="","",AC131/IF($P132="",$P131,$P132))</f>
        <v/>
      </c>
      <c r="V132" s="57" t="str">
        <f>IF(K132="","",AB132/IF($P132="",$P131,$P132))</f>
        <v/>
      </c>
      <c r="W132" s="57" t="str">
        <f>IF(K132="","",AC132/IF($P132="",$P131,$P132))</f>
        <v/>
      </c>
      <c r="X132" s="57" t="str">
        <f>IF(F131="","",IF(G132="",IF(DataRef&lt;G131,"",DataRef-G131),G132-G131))</f>
        <v/>
      </c>
      <c r="Y132" s="57" t="str">
        <f>IF(OR(R130="Hora Java",R130="Hora dotNet"),AG131,"")</f>
        <v/>
      </c>
      <c r="Z132" s="57" t="str">
        <f>IF(F131="","",IF(L132="",IF(DataRef&lt;L131,L131,DataRef),L132)-L131)</f>
        <v/>
      </c>
      <c r="AA132" t="str">
        <f>IF(A130="","","Garantia")</f>
        <v/>
      </c>
      <c r="AB132" s="21" t="str">
        <f>IF(K132="","",VLOOKUP(A130,OSS[],MATCH("Não Grave - Garantia",OSS[#Headers],0),FALSE))</f>
        <v/>
      </c>
      <c r="AC132" s="21" t="str">
        <f>IF(K132="","",VLOOKUP(A130,OSS[],MATCH("Grave - Garantia",OSS[#Headers],0),FALSE))</f>
        <v/>
      </c>
      <c r="AD132" s="21" t="str">
        <f>IF(K132="","",AB132+AC132)</f>
        <v/>
      </c>
      <c r="AE132" s="26" t="str">
        <f>IF(K132="","",AD132/IF($P132="",$P131,$P132))</f>
        <v/>
      </c>
      <c r="AF132" s="21" t="str">
        <f>IF(K132="","",VLOOKUP(A130,OSS[],MATCH("Atrasos para Correção Garantia",OSS[#Headers],0),FALSE))</f>
        <v/>
      </c>
    </row>
    <row r="133" spans="1:33" ht="15.75" x14ac:dyDescent="0.25">
      <c r="B133" s="66" t="str">
        <f>IF(A130="","","PF a Pagar")</f>
        <v/>
      </c>
      <c r="C133" s="67" t="str">
        <f>IF(D132="","",IF(B130="Recebida",(P132*0.8),IF(B130="Aceita",D132,0))+IF(D132&lt;0,D132,0))</f>
        <v/>
      </c>
      <c r="E133" s="37"/>
      <c r="K133" s="69" t="str">
        <f>IF(A130="","","Prazo previsto para execução em dias corridos")</f>
        <v/>
      </c>
      <c r="L133" s="70" t="str">
        <f>IF(G131="","",ROUND((IF(P132="",P131,P132)/(19*LN(IF(P132="",P131,P132))-42))*30,0))</f>
        <v/>
      </c>
      <c r="O133" s="29" t="str">
        <f>IF(A130="","","Multa")</f>
        <v/>
      </c>
      <c r="P133" s="25" t="str">
        <f>IF(SUM(Q133:Z133)=0,"",-ROUND(SUM(Q133:Z133),0))</f>
        <v/>
      </c>
      <c r="Q133" s="57" t="str">
        <f>IF(Q132="","",IF(OR(Q131&gt;Q132,Z131&lt;Z132),"",ROUND(Q132*(IF($P132="",$P131,$P132)*SLA_ICA_EOS_Multa),2)))</f>
        <v/>
      </c>
      <c r="R133" s="57" t="str">
        <f>IF(R132="","",IF(R131&gt;R132,"",ROUND(R132*(IF($P132="",$P131,$P132)*SLA_ICP_CIHA_Multa),2)))</f>
        <v/>
      </c>
      <c r="S133" s="57" t="str">
        <f>IF(S132="","",IF(S131&gt;S132,"",ROUND(S132*(IF($P132="",$P131,$P132)*SLA_ICP_CIG_Multa),2)))</f>
        <v/>
      </c>
      <c r="T133" s="57" t="str">
        <f>IF(T132="","",IF(T131&gt;T132,"",ROUND(T132*(IF($P132="",$P131,$P132)*SLA_IQA_INGHA_Multa),2)))</f>
        <v/>
      </c>
      <c r="U133" s="57" t="str">
        <f>IF(U132="","",IF(U131&gt;U132,"",ROUND(U132*(IF($P132="",$P131,$P132)*SLA_IQA_IGHA_Multa),2)))</f>
        <v/>
      </c>
      <c r="V133" s="57" t="str">
        <f>IF(V132="","",IF(V131&gt;V132,"",ROUND(V132*(IF($P132="",$P131,$P132)*SLA_IQA_INGG_Multa),2)))</f>
        <v/>
      </c>
      <c r="W133" s="57" t="str">
        <f>IF(W132="","",IF(W131&gt;W132,"",ROUND(W132*(IF($P132="",$P131,$P132)*SLA_IQA_IGG_Multa),2)))</f>
        <v/>
      </c>
      <c r="X133" s="57" t="str">
        <f>IF(X132="","",IF(X131&gt;X132,"",ROUND(X132*(IF($P132="",$P131,$P132)*SLA_ICA_IOS_Multa),2)))</f>
        <v/>
      </c>
      <c r="Y133" s="57" t="str">
        <f>IF(Y132="","",IF(Y131&gt;Y132,"",ROUND(Y132*(IF($P132="",$P131,$P132)*SLA_ICA_SP_Multa),2)))</f>
        <v/>
      </c>
      <c r="Z133" s="57" t="str">
        <f>IF(Z132="","",IF(Z131&gt;Z132,"",ROUND(IF($P132="",$P131,$P132)*SLA_ICA_EOS_Multa,2)))</f>
        <v/>
      </c>
      <c r="AA133" t="str">
        <f>IF(A130="","","Total")</f>
        <v/>
      </c>
      <c r="AB133" s="21" t="str">
        <f>IF(SUM(AB131:AB132)=0,"",SUM(AB131:AB132))</f>
        <v/>
      </c>
      <c r="AC133" s="21" t="str">
        <f>IF(SUM(AC131:AC132)=0,"",SUM(AC131:AC132))</f>
        <v/>
      </c>
      <c r="AD133" s="21" t="str">
        <f>IF(SUM(AB133:AC133)=0,"",SUM(AB133:AC133))</f>
        <v/>
      </c>
      <c r="AE133" s="26" t="str">
        <f>IF(P131="","",IF(AD133="","",AD133/IF($P132="",$P131,$P132)))</f>
        <v/>
      </c>
    </row>
    <row r="134" spans="1:33" ht="15.75" x14ac:dyDescent="0.25">
      <c r="G134" s="20"/>
      <c r="H134" s="20"/>
      <c r="I134" s="20"/>
      <c r="J134" s="20"/>
      <c r="K134" s="20"/>
      <c r="L134" s="20"/>
      <c r="M134" s="20"/>
      <c r="N134" s="20"/>
      <c r="O134" s="35"/>
      <c r="P134" s="37"/>
    </row>
    <row r="135" spans="1:33" ht="15.75" x14ac:dyDescent="0.25">
      <c r="A135" s="54" t="str">
        <f>IF(ControleOSsMês!$G$1="Todas",IFERROR(INDEX(OSS[Número OS],INT((ROW()-ROW($A$3)-1)/5)+1,1),""),IFERROR(VLOOKUP(INT((ROW()-ROW($A$3)-1)/5)+1,OSMês[],2,FALSE),""))</f>
        <v/>
      </c>
      <c r="B135" s="71" t="str">
        <f>IF(A135="","",VLOOKUP(A135,OSS[],MATCH("Situação da OS",OSS[#Headers],0),FALSE))</f>
        <v/>
      </c>
      <c r="C135" s="71"/>
      <c r="D135" s="54" t="str">
        <f>IF(A135="","","em")</f>
        <v/>
      </c>
      <c r="E135" s="59" t="str">
        <f>IF(A135="","",VLOOKUP(A135,OSS[],MATCH("Data Situação",OSS[#Headers],0),FALSE))</f>
        <v/>
      </c>
      <c r="F135" s="68" t="str">
        <f>IF(A135="","","Titulo:")</f>
        <v/>
      </c>
      <c r="G135" s="31" t="str">
        <f>IF(A135="","",VLOOKUP(A135,OSS[],MATCH("Titulo",OSS[#Headers],0),FALSE))</f>
        <v/>
      </c>
      <c r="H135" s="30"/>
      <c r="I135" s="30"/>
      <c r="J135" s="30"/>
      <c r="K135" s="30"/>
      <c r="L135" s="30"/>
      <c r="M135" s="30"/>
      <c r="N135" s="30"/>
      <c r="O135" s="30"/>
      <c r="P135" s="30"/>
      <c r="Q135" s="68" t="str">
        <f>IF(A135="","","Tipo da OS:")</f>
        <v/>
      </c>
      <c r="R135" s="31" t="str">
        <f>IF(A135="","",VLOOKUP(A135,OSS[],MATCH("Tipo",OSS[#Headers],0),FALSE))</f>
        <v/>
      </c>
      <c r="S135" s="30"/>
      <c r="T135" s="30"/>
      <c r="U135" s="30"/>
      <c r="V135" s="30"/>
      <c r="W135" s="30"/>
      <c r="X135" s="30"/>
      <c r="Y135" s="30"/>
      <c r="Z135" s="30"/>
      <c r="AA135" s="58" t="str">
        <f>IF(A135="","","Número de Inconformidades")</f>
        <v/>
      </c>
      <c r="AB135" s="30"/>
      <c r="AC135" s="30"/>
      <c r="AD135" s="30"/>
      <c r="AE135" s="30"/>
      <c r="AF135" s="30"/>
      <c r="AG135" s="32"/>
    </row>
    <row r="136" spans="1:33" ht="15.75" x14ac:dyDescent="0.25">
      <c r="B136" s="66" t="str">
        <f>IF(A135="","","PF Pago")</f>
        <v/>
      </c>
      <c r="D136" t="str">
        <f>IF(A135="","",VLOOKUP(A135,OSS[],MATCH("PF Pago",OSS[#Headers],0),FALSE))</f>
        <v/>
      </c>
      <c r="F136" s="36" t="str">
        <f>IF(A135="","",VLOOKUP(A135,OSS[],MATCH("Abertura da OS",OSS[#Headers],0),FALSE))</f>
        <v/>
      </c>
      <c r="G136" s="20" t="str">
        <f>IF(F136="","",WORKDAY(F136,IF(IF(P137="",P136,P137)&lt;150,5,10)))</f>
        <v/>
      </c>
      <c r="H136" s="20" t="str">
        <f>IF(G136="","",WORKDAY(G136,5))</f>
        <v/>
      </c>
      <c r="I136" s="20" t="str">
        <f>IF(G136="","",G136+ROUND((IF(P137="",P136,P137)/(19*LN(IF(P137="",P136,P137))-42))*30*SLA_PrazoEntrega,0))</f>
        <v/>
      </c>
      <c r="J136" s="20" t="str">
        <f>IF(I136="","",WORKDAY(I136,IF(IF(P137="",P136,P137)&lt;150,5,10)))</f>
        <v/>
      </c>
      <c r="K136" s="20" t="str">
        <f>IF(J136="","",J136+ROUND((IF(P137="",P136,P137)/(19*LN(IF(P137="",P136,P137))-42))*30*SLA_PrazoAceite,0))</f>
        <v/>
      </c>
      <c r="L136" s="20" t="str">
        <f>IF(G136="","",G136+ROUND((IF(P137="",P136,P137)/(19*LN(IF(P137="",P136,P137))-42))*30,0))</f>
        <v/>
      </c>
      <c r="M136" s="20" t="str">
        <f>IF(K136="","",WORKDAY(K136,1))</f>
        <v/>
      </c>
      <c r="N136" s="20" t="str">
        <f>IF(M136="","",M136+SLA_PrazoGarantia)</f>
        <v/>
      </c>
      <c r="O136" s="29" t="str">
        <f>IF(A135="","","Previsto")</f>
        <v/>
      </c>
      <c r="P136" s="21" t="str">
        <f>IF(A135="","",VLOOKUP(A135,OSS[],MATCH("PF Previsto",OSS[#Headers],0),FALSE))</f>
        <v/>
      </c>
      <c r="Q136" s="57" t="str">
        <f>IF(F136="","",ROUND((L136-G136)*SLA_ICA_EOS,1))</f>
        <v/>
      </c>
      <c r="R136" s="21" t="str">
        <f>IF(F136="","",SLA_ICP_CIHA)</f>
        <v/>
      </c>
      <c r="S136" s="21" t="str">
        <f>IF(F136="","",SLA_ICP_CIG)</f>
        <v/>
      </c>
      <c r="T136" s="57" t="str">
        <f>IF(F136="","",SLA_IQA_INGHA)</f>
        <v/>
      </c>
      <c r="U136" s="57" t="str">
        <f>IF(F136="","",SLA_IQA_IGHA)</f>
        <v/>
      </c>
      <c r="V136" s="57" t="str">
        <f>IF(F136="","",SLA_IQA_INGG)</f>
        <v/>
      </c>
      <c r="W136" s="57" t="str">
        <f>IF(F136="","",SLA_IQA_IGG)</f>
        <v/>
      </c>
      <c r="X136" s="57" t="str">
        <f>IF(F136="","",ROUND((G136-F136)*SLA_ICA_IOS,1))</f>
        <v/>
      </c>
      <c r="Y136" s="57" t="str">
        <f>IF(OR(R135="Hora Java",R135="Hora dotNet"),SLA_ICA_SP,"")</f>
        <v/>
      </c>
      <c r="Z136" s="57" t="str">
        <f>IF(F136="","",ROUND((L136-G136)*SLA_ICA_EOS,1))</f>
        <v/>
      </c>
      <c r="AA136" t="str">
        <f>IF(A135="","","Homologação")</f>
        <v/>
      </c>
      <c r="AB136" s="21" t="str">
        <f>IF(J137="","",VLOOKUP(A135,OSS[],MATCH("Não Grave - Homologação",OSS[#Headers],0),FALSE))</f>
        <v/>
      </c>
      <c r="AC136" s="21" t="str">
        <f>IF(J137="","",VLOOKUP(A135,OSS[],MATCH("Grave - Homologação",OSS[#Headers],0),FALSE))</f>
        <v/>
      </c>
      <c r="AD136" s="21" t="str">
        <f>IF(J137="","",AB136+AC136)</f>
        <v/>
      </c>
      <c r="AE136" s="26" t="str">
        <f>IF(J137="","",AD136/IF($P137="",$P136,$P137))</f>
        <v/>
      </c>
      <c r="AF136" s="21" t="str">
        <f>IF(J137="","",VLOOKUP(A135,OSS[],MATCH("Atrasos para Correção Homologação",OSS[#Headers],0),FALSE))</f>
        <v/>
      </c>
      <c r="AG136" t="str">
        <f>IF(Y136="","",VLOOKUP(A135,OSS[],MATCH("Atraso para Substituição",OSS[#Headers],0),FALSE))</f>
        <v/>
      </c>
    </row>
    <row r="137" spans="1:33" ht="15.75" x14ac:dyDescent="0.25">
      <c r="B137" s="66" t="str">
        <f>IF(A135="","","Saldo de PF")</f>
        <v/>
      </c>
      <c r="C137" s="37"/>
      <c r="D137" s="37" t="str">
        <f>IF(P136="","",IF($P137="",$P136,$P137)+IF(P138="",0,P138)-IF(D136="",0,D136))</f>
        <v/>
      </c>
      <c r="E137" s="37"/>
      <c r="G137" s="20" t="str">
        <f>IF(A135="","",IF(VLOOKUP(A135,OSS[],MATCH("Data de Inicio",OSS[#Headers],0),FALSE)="","",VLOOKUP(A135,OSS[],MATCH("Data de Inicio",OSS[#Headers],0),FALSE)))</f>
        <v/>
      </c>
      <c r="H137" s="20" t="str">
        <f>IF(A135="","",IF(VLOOKUP(A135,OSS[],MATCH("Entrega do Plano da OS",OSS[#Headers],0),FALSE)="","",VLOOKUP(A135,OSS[],MATCH("Entrega do Plano da OS",OSS[#Headers],0),FALSE)))</f>
        <v/>
      </c>
      <c r="I137" s="20" t="str">
        <f>IF(A135="","",IF(VLOOKUP(A135,OSS[],MATCH("Entrega da OS",OSS[#Headers],0),FALSE)="","",VLOOKUP(A135,OSS[],MATCH("Entrega da OS",OSS[#Headers],0),FALSE)))</f>
        <v/>
      </c>
      <c r="J137" s="20" t="str">
        <f>IF(A135="","",IF(VLOOKUP(A135,OSS[],MATCH("Recebimento da OS",OSS[#Headers],0),FALSE)="","",VLOOKUP(A135,OSS[],MATCH("Recebimento da OS",OSS[#Headers],0),FALSE)))</f>
        <v/>
      </c>
      <c r="K137" s="20" t="str">
        <f>IF(A135="","",IF(VLOOKUP(A135,OSS[],MATCH("Aceite da OS",OSS[#Headers],0),FALSE)="","",VLOOKUP(A135,OSS[],MATCH("Aceite da OS",OSS[#Headers],0),FALSE)))</f>
        <v/>
      </c>
      <c r="L137" s="20" t="str">
        <f>IF(A135="","",IF(VLOOKUP(A135,OSS[],MATCH("Data de Termino",OSS[#Headers],0),FALSE)="","",VLOOKUP(A135,OSS[],MATCH("Data de Termino",OSS[#Headers],0),FALSE)))</f>
        <v/>
      </c>
      <c r="M137" s="20" t="str">
        <f>IF(K137="","",K137)</f>
        <v/>
      </c>
      <c r="N137" s="20" t="str">
        <f>IF(M137="","",M137+180)</f>
        <v/>
      </c>
      <c r="O137" s="29" t="str">
        <f>IF(A135="","","Apurado")</f>
        <v/>
      </c>
      <c r="P137" s="21" t="str">
        <f>IF(A135="","",IF(VLOOKUP(A135,OSS[],MATCH("PF Apurado",OSS[#Headers],0),FALSE)="","",VLOOKUP(A135,OSS[],MATCH("PF Apurado",OSS[#Headers],0),FALSE)))</f>
        <v/>
      </c>
      <c r="Q137" s="57" t="str">
        <f>IF(F136="","",IF(G137="","",IF(L137="",IF(DataRef&lt;L136,L136,DataRef),L137)-L136))</f>
        <v/>
      </c>
      <c r="R137" s="21" t="str">
        <f>IF(J137="","",AF136)</f>
        <v/>
      </c>
      <c r="S137" s="21" t="str">
        <f>IF(K137="","",AF137)</f>
        <v/>
      </c>
      <c r="T137" s="57" t="str">
        <f>IF(J137="","",AB136/IF($P137="",$P136,$P137))</f>
        <v/>
      </c>
      <c r="U137" s="57" t="str">
        <f>IF(J137="","",AC136/IF($P137="",$P136,$P137))</f>
        <v/>
      </c>
      <c r="V137" s="57" t="str">
        <f>IF(K137="","",AB137/IF($P137="",$P136,$P137))</f>
        <v/>
      </c>
      <c r="W137" s="57" t="str">
        <f>IF(K137="","",AC137/IF($P137="",$P136,$P137))</f>
        <v/>
      </c>
      <c r="X137" s="57" t="str">
        <f>IF(F136="","",IF(G137="",IF(DataRef&lt;G136,"",DataRef-G136),G137-G136))</f>
        <v/>
      </c>
      <c r="Y137" s="57" t="str">
        <f>IF(OR(R135="Hora Java",R135="Hora dotNet"),AG136,"")</f>
        <v/>
      </c>
      <c r="Z137" s="57" t="str">
        <f>IF(F136="","",IF(L137="",IF(DataRef&lt;L136,L136,DataRef),L137)-L136)</f>
        <v/>
      </c>
      <c r="AA137" t="str">
        <f>IF(A135="","","Garantia")</f>
        <v/>
      </c>
      <c r="AB137" s="21" t="str">
        <f>IF(K137="","",VLOOKUP(A135,OSS[],MATCH("Não Grave - Garantia",OSS[#Headers],0),FALSE))</f>
        <v/>
      </c>
      <c r="AC137" s="21" t="str">
        <f>IF(K137="","",VLOOKUP(A135,OSS[],MATCH("Grave - Garantia",OSS[#Headers],0),FALSE))</f>
        <v/>
      </c>
      <c r="AD137" s="21" t="str">
        <f>IF(K137="","",AB137+AC137)</f>
        <v/>
      </c>
      <c r="AE137" s="26" t="str">
        <f>IF(K137="","",AD137/IF($P137="",$P136,$P137))</f>
        <v/>
      </c>
      <c r="AF137" s="21" t="str">
        <f>IF(K137="","",VLOOKUP(A135,OSS[],MATCH("Atrasos para Correção Garantia",OSS[#Headers],0),FALSE))</f>
        <v/>
      </c>
    </row>
    <row r="138" spans="1:33" ht="15.75" x14ac:dyDescent="0.25">
      <c r="B138" s="66" t="str">
        <f>IF(A135="","","PF a Pagar")</f>
        <v/>
      </c>
      <c r="C138" s="67" t="str">
        <f>IF(D137="","",IF(B135="Recebida",(P137*0.8),IF(B135="Aceita",D137,0))+IF(D137&lt;0,D137,0))</f>
        <v/>
      </c>
      <c r="E138" s="37"/>
      <c r="K138" s="69" t="str">
        <f>IF(A135="","","Prazo previsto para execução em dias corridos")</f>
        <v/>
      </c>
      <c r="L138" s="70" t="str">
        <f>IF(G136="","",ROUND((IF(P137="",P136,P137)/(19*LN(IF(P137="",P136,P137))-42))*30,0))</f>
        <v/>
      </c>
      <c r="O138" s="29" t="str">
        <f>IF(A135="","","Multa")</f>
        <v/>
      </c>
      <c r="P138" s="25" t="str">
        <f>IF(SUM(Q138:Z138)=0,"",-ROUND(SUM(Q138:Z138),0))</f>
        <v/>
      </c>
      <c r="Q138" s="57" t="str">
        <f>IF(Q137="","",IF(OR(Q136&gt;Q137,Z136&lt;Z137),"",ROUND(Q137*(IF($P137="",$P136,$P137)*SLA_ICA_EOS_Multa),2)))</f>
        <v/>
      </c>
      <c r="R138" s="57" t="str">
        <f>IF(R137="","",IF(R136&gt;R137,"",ROUND(R137*(IF($P137="",$P136,$P137)*SLA_ICP_CIHA_Multa),2)))</f>
        <v/>
      </c>
      <c r="S138" s="57" t="str">
        <f>IF(S137="","",IF(S136&gt;S137,"",ROUND(S137*(IF($P137="",$P136,$P137)*SLA_ICP_CIG_Multa),2)))</f>
        <v/>
      </c>
      <c r="T138" s="57" t="str">
        <f>IF(T137="","",IF(T136&gt;T137,"",ROUND(T137*(IF($P137="",$P136,$P137)*SLA_IQA_INGHA_Multa),2)))</f>
        <v/>
      </c>
      <c r="U138" s="57" t="str">
        <f>IF(U137="","",IF(U136&gt;U137,"",ROUND(U137*(IF($P137="",$P136,$P137)*SLA_IQA_IGHA_Multa),2)))</f>
        <v/>
      </c>
      <c r="V138" s="57" t="str">
        <f>IF(V137="","",IF(V136&gt;V137,"",ROUND(V137*(IF($P137="",$P136,$P137)*SLA_IQA_INGG_Multa),2)))</f>
        <v/>
      </c>
      <c r="W138" s="57" t="str">
        <f>IF(W137="","",IF(W136&gt;W137,"",ROUND(W137*(IF($P137="",$P136,$P137)*SLA_IQA_IGG_Multa),2)))</f>
        <v/>
      </c>
      <c r="X138" s="57" t="str">
        <f>IF(X137="","",IF(X136&gt;X137,"",ROUND(X137*(IF($P137="",$P136,$P137)*SLA_ICA_IOS_Multa),2)))</f>
        <v/>
      </c>
      <c r="Y138" s="57" t="str">
        <f>IF(Y137="","",IF(Y136&gt;Y137,"",ROUND(Y137*(IF($P137="",$P136,$P137)*SLA_ICA_SP_Multa),2)))</f>
        <v/>
      </c>
      <c r="Z138" s="57" t="str">
        <f>IF(Z137="","",IF(Z136&gt;Z137,"",ROUND(IF($P137="",$P136,$P137)*SLA_ICA_EOS_Multa,2)))</f>
        <v/>
      </c>
      <c r="AA138" t="str">
        <f>IF(A135="","","Total")</f>
        <v/>
      </c>
      <c r="AB138" s="21" t="str">
        <f>IF(SUM(AB136:AB137)=0,"",SUM(AB136:AB137))</f>
        <v/>
      </c>
      <c r="AC138" s="21" t="str">
        <f>IF(SUM(AC136:AC137)=0,"",SUM(AC136:AC137))</f>
        <v/>
      </c>
      <c r="AD138" s="21" t="str">
        <f>IF(SUM(AB138:AC138)=0,"",SUM(AB138:AC138))</f>
        <v/>
      </c>
      <c r="AE138" s="26" t="str">
        <f>IF(P136="","",IF(AD138="","",AD138/IF($P137="",$P136,$P137)))</f>
        <v/>
      </c>
    </row>
    <row r="139" spans="1:33" ht="15.75" x14ac:dyDescent="0.25">
      <c r="G139" s="20"/>
      <c r="H139" s="20"/>
      <c r="I139" s="20"/>
      <c r="J139" s="20"/>
      <c r="K139" s="20"/>
      <c r="L139" s="20"/>
      <c r="M139" s="20"/>
      <c r="N139" s="20"/>
      <c r="O139" s="35"/>
      <c r="P139" s="37"/>
    </row>
    <row r="140" spans="1:33" ht="15.75" x14ac:dyDescent="0.25">
      <c r="A140" s="54" t="str">
        <f>IF(ControleOSsMês!$G$1="Todas",IFERROR(INDEX(OSS[Número OS],INT((ROW()-ROW($A$3)-1)/5)+1,1),""),IFERROR(VLOOKUP(INT((ROW()-ROW($A$3)-1)/5)+1,OSMês[],2,FALSE),""))</f>
        <v/>
      </c>
      <c r="B140" s="71" t="str">
        <f>IF(A140="","",VLOOKUP(A140,OSS[],MATCH("Situação da OS",OSS[#Headers],0),FALSE))</f>
        <v/>
      </c>
      <c r="C140" s="71"/>
      <c r="D140" s="54" t="str">
        <f>IF(A140="","","em")</f>
        <v/>
      </c>
      <c r="E140" s="59" t="str">
        <f>IF(A140="","",VLOOKUP(A140,OSS[],MATCH("Data Situação",OSS[#Headers],0),FALSE))</f>
        <v/>
      </c>
      <c r="F140" s="68" t="str">
        <f>IF(A140="","","Titulo:")</f>
        <v/>
      </c>
      <c r="G140" s="31" t="str">
        <f>IF(A140="","",VLOOKUP(A140,OSS[],MATCH("Titulo",OSS[#Headers],0),FALSE))</f>
        <v/>
      </c>
      <c r="H140" s="30"/>
      <c r="I140" s="30"/>
      <c r="J140" s="30"/>
      <c r="K140" s="30"/>
      <c r="L140" s="30"/>
      <c r="M140" s="30"/>
      <c r="N140" s="30"/>
      <c r="O140" s="30"/>
      <c r="P140" s="30"/>
      <c r="Q140" s="68" t="str">
        <f>IF(A140="","","Tipo da OS:")</f>
        <v/>
      </c>
      <c r="R140" s="31" t="str">
        <f>IF(A140="","",VLOOKUP(A140,OSS[],MATCH("Tipo",OSS[#Headers],0),FALSE))</f>
        <v/>
      </c>
      <c r="S140" s="30"/>
      <c r="T140" s="30"/>
      <c r="U140" s="30"/>
      <c r="V140" s="30"/>
      <c r="W140" s="30"/>
      <c r="X140" s="30"/>
      <c r="Y140" s="30"/>
      <c r="Z140" s="30"/>
      <c r="AA140" s="58" t="str">
        <f>IF(A140="","","Número de Inconformidades")</f>
        <v/>
      </c>
      <c r="AB140" s="30"/>
      <c r="AC140" s="30"/>
      <c r="AD140" s="30"/>
      <c r="AE140" s="30"/>
      <c r="AF140" s="30"/>
      <c r="AG140" s="32"/>
    </row>
    <row r="141" spans="1:33" ht="15.75" x14ac:dyDescent="0.25">
      <c r="B141" s="66" t="str">
        <f>IF(A140="","","PF Pago")</f>
        <v/>
      </c>
      <c r="D141" t="str">
        <f>IF(A140="","",VLOOKUP(A140,OSS[],MATCH("PF Pago",OSS[#Headers],0),FALSE))</f>
        <v/>
      </c>
      <c r="F141" s="36" t="str">
        <f>IF(A140="","",VLOOKUP(A140,OSS[],MATCH("Abertura da OS",OSS[#Headers],0),FALSE))</f>
        <v/>
      </c>
      <c r="G141" s="20" t="str">
        <f>IF(F141="","",WORKDAY(F141,IF(IF(P142="",P141,P142)&lt;150,5,10)))</f>
        <v/>
      </c>
      <c r="H141" s="20" t="str">
        <f>IF(G141="","",WORKDAY(G141,5))</f>
        <v/>
      </c>
      <c r="I141" s="20" t="str">
        <f>IF(G141="","",G141+ROUND((IF(P142="",P141,P142)/(19*LN(IF(P142="",P141,P142))-42))*30*SLA_PrazoEntrega,0))</f>
        <v/>
      </c>
      <c r="J141" s="20" t="str">
        <f>IF(I141="","",WORKDAY(I141,IF(IF(P142="",P141,P142)&lt;150,5,10)))</f>
        <v/>
      </c>
      <c r="K141" s="20" t="str">
        <f>IF(J141="","",J141+ROUND((IF(P142="",P141,P142)/(19*LN(IF(P142="",P141,P142))-42))*30*SLA_PrazoAceite,0))</f>
        <v/>
      </c>
      <c r="L141" s="20" t="str">
        <f>IF(G141="","",G141+ROUND((IF(P142="",P141,P142)/(19*LN(IF(P142="",P141,P142))-42))*30,0))</f>
        <v/>
      </c>
      <c r="M141" s="20" t="str">
        <f>IF(K141="","",WORKDAY(K141,1))</f>
        <v/>
      </c>
      <c r="N141" s="20" t="str">
        <f>IF(M141="","",M141+SLA_PrazoGarantia)</f>
        <v/>
      </c>
      <c r="O141" s="29" t="str">
        <f>IF(A140="","","Previsto")</f>
        <v/>
      </c>
      <c r="P141" s="21" t="str">
        <f>IF(A140="","",VLOOKUP(A140,OSS[],MATCH("PF Previsto",OSS[#Headers],0),FALSE))</f>
        <v/>
      </c>
      <c r="Q141" s="57" t="str">
        <f>IF(F141="","",ROUND((L141-G141)*SLA_ICA_EOS,1))</f>
        <v/>
      </c>
      <c r="R141" s="21" t="str">
        <f>IF(F141="","",SLA_ICP_CIHA)</f>
        <v/>
      </c>
      <c r="S141" s="21" t="str">
        <f>IF(F141="","",SLA_ICP_CIG)</f>
        <v/>
      </c>
      <c r="T141" s="57" t="str">
        <f>IF(F141="","",SLA_IQA_INGHA)</f>
        <v/>
      </c>
      <c r="U141" s="57" t="str">
        <f>IF(F141="","",SLA_IQA_IGHA)</f>
        <v/>
      </c>
      <c r="V141" s="57" t="str">
        <f>IF(F141="","",SLA_IQA_INGG)</f>
        <v/>
      </c>
      <c r="W141" s="57" t="str">
        <f>IF(F141="","",SLA_IQA_IGG)</f>
        <v/>
      </c>
      <c r="X141" s="57" t="str">
        <f>IF(F141="","",ROUND((G141-F141)*SLA_ICA_IOS,1))</f>
        <v/>
      </c>
      <c r="Y141" s="57" t="str">
        <f>IF(OR(R140="Hora Java",R140="Hora dotNet"),SLA_ICA_SP,"")</f>
        <v/>
      </c>
      <c r="Z141" s="57" t="str">
        <f>IF(F141="","",ROUND((L141-G141)*SLA_ICA_EOS,1))</f>
        <v/>
      </c>
      <c r="AA141" t="str">
        <f>IF(A140="","","Homologação")</f>
        <v/>
      </c>
      <c r="AB141" s="21" t="str">
        <f>IF(J142="","",VLOOKUP(A140,OSS[],MATCH("Não Grave - Homologação",OSS[#Headers],0),FALSE))</f>
        <v/>
      </c>
      <c r="AC141" s="21" t="str">
        <f>IF(J142="","",VLOOKUP(A140,OSS[],MATCH("Grave - Homologação",OSS[#Headers],0),FALSE))</f>
        <v/>
      </c>
      <c r="AD141" s="21" t="str">
        <f>IF(J142="","",AB141+AC141)</f>
        <v/>
      </c>
      <c r="AE141" s="26" t="str">
        <f>IF(J142="","",AD141/IF($P142="",$P141,$P142))</f>
        <v/>
      </c>
      <c r="AF141" s="21" t="str">
        <f>IF(J142="","",VLOOKUP(A140,OSS[],MATCH("Atrasos para Correção Homologação",OSS[#Headers],0),FALSE))</f>
        <v/>
      </c>
      <c r="AG141" t="str">
        <f>IF(Y141="","",VLOOKUP(A140,OSS[],MATCH("Atraso para Substituição",OSS[#Headers],0),FALSE))</f>
        <v/>
      </c>
    </row>
    <row r="142" spans="1:33" ht="15.75" x14ac:dyDescent="0.25">
      <c r="B142" s="66" t="str">
        <f>IF(A140="","","Saldo de PF")</f>
        <v/>
      </c>
      <c r="C142" s="37"/>
      <c r="D142" s="37" t="str">
        <f>IF(P141="","",IF($P142="",$P141,$P142)+IF(P143="",0,P143)-IF(D141="",0,D141))</f>
        <v/>
      </c>
      <c r="E142" s="37"/>
      <c r="G142" s="20" t="str">
        <f>IF(A140="","",IF(VLOOKUP(A140,OSS[],MATCH("Data de Inicio",OSS[#Headers],0),FALSE)="","",VLOOKUP(A140,OSS[],MATCH("Data de Inicio",OSS[#Headers],0),FALSE)))</f>
        <v/>
      </c>
      <c r="H142" s="20" t="str">
        <f>IF(A140="","",IF(VLOOKUP(A140,OSS[],MATCH("Entrega do Plano da OS",OSS[#Headers],0),FALSE)="","",VLOOKUP(A140,OSS[],MATCH("Entrega do Plano da OS",OSS[#Headers],0),FALSE)))</f>
        <v/>
      </c>
      <c r="I142" s="20" t="str">
        <f>IF(A140="","",IF(VLOOKUP(A140,OSS[],MATCH("Entrega da OS",OSS[#Headers],0),FALSE)="","",VLOOKUP(A140,OSS[],MATCH("Entrega da OS",OSS[#Headers],0),FALSE)))</f>
        <v/>
      </c>
      <c r="J142" s="20" t="str">
        <f>IF(A140="","",IF(VLOOKUP(A140,OSS[],MATCH("Recebimento da OS",OSS[#Headers],0),FALSE)="","",VLOOKUP(A140,OSS[],MATCH("Recebimento da OS",OSS[#Headers],0),FALSE)))</f>
        <v/>
      </c>
      <c r="K142" s="20" t="str">
        <f>IF(A140="","",IF(VLOOKUP(A140,OSS[],MATCH("Aceite da OS",OSS[#Headers],0),FALSE)="","",VLOOKUP(A140,OSS[],MATCH("Aceite da OS",OSS[#Headers],0),FALSE)))</f>
        <v/>
      </c>
      <c r="L142" s="20" t="str">
        <f>IF(A140="","",IF(VLOOKUP(A140,OSS[],MATCH("Data de Termino",OSS[#Headers],0),FALSE)="","",VLOOKUP(A140,OSS[],MATCH("Data de Termino",OSS[#Headers],0),FALSE)))</f>
        <v/>
      </c>
      <c r="M142" s="20" t="str">
        <f>IF(K142="","",K142)</f>
        <v/>
      </c>
      <c r="N142" s="20" t="str">
        <f>IF(M142="","",M142+180)</f>
        <v/>
      </c>
      <c r="O142" s="29" t="str">
        <f>IF(A140="","","Apurado")</f>
        <v/>
      </c>
      <c r="P142" s="21" t="str">
        <f>IF(A140="","",IF(VLOOKUP(A140,OSS[],MATCH("PF Apurado",OSS[#Headers],0),FALSE)="","",VLOOKUP(A140,OSS[],MATCH("PF Apurado",OSS[#Headers],0),FALSE)))</f>
        <v/>
      </c>
      <c r="Q142" s="57" t="str">
        <f>IF(F141="","",IF(G142="","",IF(L142="",IF(DataRef&lt;L141,L141,DataRef),L142)-L141))</f>
        <v/>
      </c>
      <c r="R142" s="21" t="str">
        <f>IF(J142="","",AF141)</f>
        <v/>
      </c>
      <c r="S142" s="21" t="str">
        <f>IF(K142="","",AF142)</f>
        <v/>
      </c>
      <c r="T142" s="57" t="str">
        <f>IF(J142="","",AB141/IF($P142="",$P141,$P142))</f>
        <v/>
      </c>
      <c r="U142" s="57" t="str">
        <f>IF(J142="","",AC141/IF($P142="",$P141,$P142))</f>
        <v/>
      </c>
      <c r="V142" s="57" t="str">
        <f>IF(K142="","",AB142/IF($P142="",$P141,$P142))</f>
        <v/>
      </c>
      <c r="W142" s="57" t="str">
        <f>IF(K142="","",AC142/IF($P142="",$P141,$P142))</f>
        <v/>
      </c>
      <c r="X142" s="57" t="str">
        <f>IF(F141="","",IF(G142="",IF(DataRef&lt;G141,"",DataRef-G141),G142-G141))</f>
        <v/>
      </c>
      <c r="Y142" s="57" t="str">
        <f>IF(OR(R140="Hora Java",R140="Hora dotNet"),AG141,"")</f>
        <v/>
      </c>
      <c r="Z142" s="57" t="str">
        <f>IF(F141="","",IF(L142="",IF(DataRef&lt;L141,L141,DataRef),L142)-L141)</f>
        <v/>
      </c>
      <c r="AA142" t="str">
        <f>IF(A140="","","Garantia")</f>
        <v/>
      </c>
      <c r="AB142" s="21" t="str">
        <f>IF(K142="","",VLOOKUP(A140,OSS[],MATCH("Não Grave - Garantia",OSS[#Headers],0),FALSE))</f>
        <v/>
      </c>
      <c r="AC142" s="21" t="str">
        <f>IF(K142="","",VLOOKUP(A140,OSS[],MATCH("Grave - Garantia",OSS[#Headers],0),FALSE))</f>
        <v/>
      </c>
      <c r="AD142" s="21" t="str">
        <f>IF(K142="","",AB142+AC142)</f>
        <v/>
      </c>
      <c r="AE142" s="26" t="str">
        <f>IF(K142="","",AD142/IF($P142="",$P141,$P142))</f>
        <v/>
      </c>
      <c r="AF142" s="21" t="str">
        <f>IF(K142="","",VLOOKUP(A140,OSS[],MATCH("Atrasos para Correção Garantia",OSS[#Headers],0),FALSE))</f>
        <v/>
      </c>
    </row>
    <row r="143" spans="1:33" ht="15.75" x14ac:dyDescent="0.25">
      <c r="B143" s="66" t="str">
        <f>IF(A140="","","PF a Pagar")</f>
        <v/>
      </c>
      <c r="C143" s="67" t="str">
        <f>IF(D142="","",IF(B140="Recebida",(P142*0.8),IF(B140="Aceita",D142,0))+IF(D142&lt;0,D142,0))</f>
        <v/>
      </c>
      <c r="E143" s="37"/>
      <c r="K143" s="69" t="str">
        <f>IF(A140="","","Prazo previsto para execução em dias corridos")</f>
        <v/>
      </c>
      <c r="L143" s="70" t="str">
        <f>IF(G141="","",ROUND((IF(P142="",P141,P142)/(19*LN(IF(P142="",P141,P142))-42))*30,0))</f>
        <v/>
      </c>
      <c r="O143" s="29" t="str">
        <f>IF(A140="","","Multa")</f>
        <v/>
      </c>
      <c r="P143" s="25" t="str">
        <f>IF(SUM(Q143:Z143)=0,"",-ROUND(SUM(Q143:Z143),0))</f>
        <v/>
      </c>
      <c r="Q143" s="57" t="str">
        <f>IF(Q142="","",IF(OR(Q141&gt;Q142,Z141&lt;Z142),"",ROUND(Q142*(IF($P142="",$P141,$P142)*SLA_ICA_EOS_Multa),2)))</f>
        <v/>
      </c>
      <c r="R143" s="57" t="str">
        <f>IF(R142="","",IF(R141&gt;R142,"",ROUND(R142*(IF($P142="",$P141,$P142)*SLA_ICP_CIHA_Multa),2)))</f>
        <v/>
      </c>
      <c r="S143" s="57" t="str">
        <f>IF(S142="","",IF(S141&gt;S142,"",ROUND(S142*(IF($P142="",$P141,$P142)*SLA_ICP_CIG_Multa),2)))</f>
        <v/>
      </c>
      <c r="T143" s="57" t="str">
        <f>IF(T142="","",IF(T141&gt;T142,"",ROUND(T142*(IF($P142="",$P141,$P142)*SLA_IQA_INGHA_Multa),2)))</f>
        <v/>
      </c>
      <c r="U143" s="57" t="str">
        <f>IF(U142="","",IF(U141&gt;U142,"",ROUND(U142*(IF($P142="",$P141,$P142)*SLA_IQA_IGHA_Multa),2)))</f>
        <v/>
      </c>
      <c r="V143" s="57" t="str">
        <f>IF(V142="","",IF(V141&gt;V142,"",ROUND(V142*(IF($P142="",$P141,$P142)*SLA_IQA_INGG_Multa),2)))</f>
        <v/>
      </c>
      <c r="W143" s="57" t="str">
        <f>IF(W142="","",IF(W141&gt;W142,"",ROUND(W142*(IF($P142="",$P141,$P142)*SLA_IQA_IGG_Multa),2)))</f>
        <v/>
      </c>
      <c r="X143" s="57" t="str">
        <f>IF(X142="","",IF(X141&gt;X142,"",ROUND(X142*(IF($P142="",$P141,$P142)*SLA_ICA_IOS_Multa),2)))</f>
        <v/>
      </c>
      <c r="Y143" s="57" t="str">
        <f>IF(Y142="","",IF(Y141&gt;Y142,"",ROUND(Y142*(IF($P142="",$P141,$P142)*SLA_ICA_SP_Multa),2)))</f>
        <v/>
      </c>
      <c r="Z143" s="57" t="str">
        <f>IF(Z142="","",IF(Z141&gt;Z142,"",ROUND(IF($P142="",$P141,$P142)*SLA_ICA_EOS_Multa,2)))</f>
        <v/>
      </c>
      <c r="AA143" t="str">
        <f>IF(A140="","","Total")</f>
        <v/>
      </c>
      <c r="AB143" s="21" t="str">
        <f>IF(SUM(AB141:AB142)=0,"",SUM(AB141:AB142))</f>
        <v/>
      </c>
      <c r="AC143" s="21" t="str">
        <f>IF(SUM(AC141:AC142)=0,"",SUM(AC141:AC142))</f>
        <v/>
      </c>
      <c r="AD143" s="21" t="str">
        <f>IF(SUM(AB143:AC143)=0,"",SUM(AB143:AC143))</f>
        <v/>
      </c>
      <c r="AE143" s="26" t="str">
        <f>IF(P141="","",IF(AD143="","",AD143/IF($P142="",$P141,$P142)))</f>
        <v/>
      </c>
    </row>
    <row r="144" spans="1:33" ht="15.75" x14ac:dyDescent="0.25">
      <c r="G144" s="20"/>
      <c r="H144" s="20"/>
      <c r="I144" s="20"/>
      <c r="J144" s="20"/>
      <c r="K144" s="20"/>
      <c r="L144" s="20"/>
      <c r="M144" s="20"/>
      <c r="N144" s="20"/>
      <c r="O144" s="35"/>
      <c r="P144" s="37"/>
    </row>
    <row r="145" spans="1:33" ht="15.75" x14ac:dyDescent="0.25">
      <c r="A145" s="54" t="str">
        <f>IF(ControleOSsMês!$G$1="Todas",IFERROR(INDEX(OSS[Número OS],INT((ROW()-ROW($A$3)-1)/5)+1,1),""),IFERROR(VLOOKUP(INT((ROW()-ROW($A$3)-1)/5)+1,OSMês[],2,FALSE),""))</f>
        <v/>
      </c>
      <c r="B145" s="71" t="str">
        <f>IF(A145="","",VLOOKUP(A145,OSS[],MATCH("Situação da OS",OSS[#Headers],0),FALSE))</f>
        <v/>
      </c>
      <c r="C145" s="71"/>
      <c r="D145" s="54" t="str">
        <f>IF(A145="","","em")</f>
        <v/>
      </c>
      <c r="E145" s="59" t="str">
        <f>IF(A145="","",VLOOKUP(A145,OSS[],MATCH("Data Situação",OSS[#Headers],0),FALSE))</f>
        <v/>
      </c>
      <c r="F145" s="68" t="str">
        <f>IF(A145="","","Titulo:")</f>
        <v/>
      </c>
      <c r="G145" s="31" t="str">
        <f>IF(A145="","",VLOOKUP(A145,OSS[],MATCH("Titulo",OSS[#Headers],0),FALSE))</f>
        <v/>
      </c>
      <c r="H145" s="30"/>
      <c r="I145" s="30"/>
      <c r="J145" s="30"/>
      <c r="K145" s="30"/>
      <c r="L145" s="30"/>
      <c r="M145" s="30"/>
      <c r="N145" s="30"/>
      <c r="O145" s="30"/>
      <c r="P145" s="30"/>
      <c r="Q145" s="68" t="str">
        <f>IF(A145="","","Tipo da OS:")</f>
        <v/>
      </c>
      <c r="R145" s="31" t="str">
        <f>IF(A145="","",VLOOKUP(A145,OSS[],MATCH("Tipo",OSS[#Headers],0),FALSE))</f>
        <v/>
      </c>
      <c r="S145" s="30"/>
      <c r="T145" s="30"/>
      <c r="U145" s="30"/>
      <c r="V145" s="30"/>
      <c r="W145" s="30"/>
      <c r="X145" s="30"/>
      <c r="Y145" s="30"/>
      <c r="Z145" s="30"/>
      <c r="AA145" s="58" t="str">
        <f>IF(A145="","","Número de Inconformidades")</f>
        <v/>
      </c>
      <c r="AB145" s="30"/>
      <c r="AC145" s="30"/>
      <c r="AD145" s="30"/>
      <c r="AE145" s="30"/>
      <c r="AF145" s="30"/>
      <c r="AG145" s="32"/>
    </row>
    <row r="146" spans="1:33" ht="15.75" x14ac:dyDescent="0.25">
      <c r="B146" s="66" t="str">
        <f>IF(A145="","","PF Pago")</f>
        <v/>
      </c>
      <c r="D146" t="str">
        <f>IF(A145="","",VLOOKUP(A145,OSS[],MATCH("PF Pago",OSS[#Headers],0),FALSE))</f>
        <v/>
      </c>
      <c r="F146" s="36" t="str">
        <f>IF(A145="","",VLOOKUP(A145,OSS[],MATCH("Abertura da OS",OSS[#Headers],0),FALSE))</f>
        <v/>
      </c>
      <c r="G146" s="20" t="str">
        <f>IF(F146="","",WORKDAY(F146,IF(IF(P147="",P146,P147)&lt;150,5,10)))</f>
        <v/>
      </c>
      <c r="H146" s="20" t="str">
        <f>IF(G146="","",WORKDAY(G146,5))</f>
        <v/>
      </c>
      <c r="I146" s="20" t="str">
        <f>IF(G146="","",G146+ROUND((IF(P147="",P146,P147)/(19*LN(IF(P147="",P146,P147))-42))*30*SLA_PrazoEntrega,0))</f>
        <v/>
      </c>
      <c r="J146" s="20" t="str">
        <f>IF(I146="","",WORKDAY(I146,IF(IF(P147="",P146,P147)&lt;150,5,10)))</f>
        <v/>
      </c>
      <c r="K146" s="20" t="str">
        <f>IF(J146="","",J146+ROUND((IF(P147="",P146,P147)/(19*LN(IF(P147="",P146,P147))-42))*30*SLA_PrazoAceite,0))</f>
        <v/>
      </c>
      <c r="L146" s="20" t="str">
        <f>IF(G146="","",G146+ROUND((IF(P147="",P146,P147)/(19*LN(IF(P147="",P146,P147))-42))*30,0))</f>
        <v/>
      </c>
      <c r="M146" s="20" t="str">
        <f>IF(K146="","",WORKDAY(K146,1))</f>
        <v/>
      </c>
      <c r="N146" s="20" t="str">
        <f>IF(M146="","",M146+SLA_PrazoGarantia)</f>
        <v/>
      </c>
      <c r="O146" s="29" t="str">
        <f>IF(A145="","","Previsto")</f>
        <v/>
      </c>
      <c r="P146" s="21" t="str">
        <f>IF(A145="","",VLOOKUP(A145,OSS[],MATCH("PF Previsto",OSS[#Headers],0),FALSE))</f>
        <v/>
      </c>
      <c r="Q146" s="57" t="str">
        <f>IF(F146="","",ROUND((L146-G146)*SLA_ICA_EOS,1))</f>
        <v/>
      </c>
      <c r="R146" s="21" t="str">
        <f>IF(F146="","",SLA_ICP_CIHA)</f>
        <v/>
      </c>
      <c r="S146" s="21" t="str">
        <f>IF(F146="","",SLA_ICP_CIG)</f>
        <v/>
      </c>
      <c r="T146" s="57" t="str">
        <f>IF(F146="","",SLA_IQA_INGHA)</f>
        <v/>
      </c>
      <c r="U146" s="57" t="str">
        <f>IF(F146="","",SLA_IQA_IGHA)</f>
        <v/>
      </c>
      <c r="V146" s="57" t="str">
        <f>IF(F146="","",SLA_IQA_INGG)</f>
        <v/>
      </c>
      <c r="W146" s="57" t="str">
        <f>IF(F146="","",SLA_IQA_IGG)</f>
        <v/>
      </c>
      <c r="X146" s="57" t="str">
        <f>IF(F146="","",ROUND((G146-F146)*SLA_ICA_IOS,1))</f>
        <v/>
      </c>
      <c r="Y146" s="57" t="str">
        <f>IF(OR(R145="Hora Java",R145="Hora dotNet"),SLA_ICA_SP,"")</f>
        <v/>
      </c>
      <c r="Z146" s="57" t="str">
        <f>IF(F146="","",ROUND((L146-G146)*SLA_ICA_EOS,1))</f>
        <v/>
      </c>
      <c r="AA146" t="str">
        <f>IF(A145="","","Homologação")</f>
        <v/>
      </c>
      <c r="AB146" s="21" t="str">
        <f>IF(J147="","",VLOOKUP(A145,OSS[],MATCH("Não Grave - Homologação",OSS[#Headers],0),FALSE))</f>
        <v/>
      </c>
      <c r="AC146" s="21" t="str">
        <f>IF(J147="","",VLOOKUP(A145,OSS[],MATCH("Grave - Homologação",OSS[#Headers],0),FALSE))</f>
        <v/>
      </c>
      <c r="AD146" s="21" t="str">
        <f>IF(J147="","",AB146+AC146)</f>
        <v/>
      </c>
      <c r="AE146" s="26" t="str">
        <f>IF(J147="","",AD146/IF($P147="",$P146,$P147))</f>
        <v/>
      </c>
      <c r="AF146" s="21" t="str">
        <f>IF(J147="","",VLOOKUP(A145,OSS[],MATCH("Atrasos para Correção Homologação",OSS[#Headers],0),FALSE))</f>
        <v/>
      </c>
      <c r="AG146" t="str">
        <f>IF(Y146="","",VLOOKUP(A145,OSS[],MATCH("Atraso para Substituição",OSS[#Headers],0),FALSE))</f>
        <v/>
      </c>
    </row>
    <row r="147" spans="1:33" ht="15.75" x14ac:dyDescent="0.25">
      <c r="B147" s="66" t="str">
        <f>IF(A145="","","Saldo de PF")</f>
        <v/>
      </c>
      <c r="C147" s="37"/>
      <c r="D147" s="37" t="str">
        <f>IF(P146="","",IF($P147="",$P146,$P147)+IF(P148="",0,P148)-IF(D146="",0,D146))</f>
        <v/>
      </c>
      <c r="E147" s="37"/>
      <c r="G147" s="20" t="str">
        <f>IF(A145="","",IF(VLOOKUP(A145,OSS[],MATCH("Data de Inicio",OSS[#Headers],0),FALSE)="","",VLOOKUP(A145,OSS[],MATCH("Data de Inicio",OSS[#Headers],0),FALSE)))</f>
        <v/>
      </c>
      <c r="H147" s="20" t="str">
        <f>IF(A145="","",IF(VLOOKUP(A145,OSS[],MATCH("Entrega do Plano da OS",OSS[#Headers],0),FALSE)="","",VLOOKUP(A145,OSS[],MATCH("Entrega do Plano da OS",OSS[#Headers],0),FALSE)))</f>
        <v/>
      </c>
      <c r="I147" s="20" t="str">
        <f>IF(A145="","",IF(VLOOKUP(A145,OSS[],MATCH("Entrega da OS",OSS[#Headers],0),FALSE)="","",VLOOKUP(A145,OSS[],MATCH("Entrega da OS",OSS[#Headers],0),FALSE)))</f>
        <v/>
      </c>
      <c r="J147" s="20" t="str">
        <f>IF(A145="","",IF(VLOOKUP(A145,OSS[],MATCH("Recebimento da OS",OSS[#Headers],0),FALSE)="","",VLOOKUP(A145,OSS[],MATCH("Recebimento da OS",OSS[#Headers],0),FALSE)))</f>
        <v/>
      </c>
      <c r="K147" s="20" t="str">
        <f>IF(A145="","",IF(VLOOKUP(A145,OSS[],MATCH("Aceite da OS",OSS[#Headers],0),FALSE)="","",VLOOKUP(A145,OSS[],MATCH("Aceite da OS",OSS[#Headers],0),FALSE)))</f>
        <v/>
      </c>
      <c r="L147" s="20" t="str">
        <f>IF(A145="","",IF(VLOOKUP(A145,OSS[],MATCH("Data de Termino",OSS[#Headers],0),FALSE)="","",VLOOKUP(A145,OSS[],MATCH("Data de Termino",OSS[#Headers],0),FALSE)))</f>
        <v/>
      </c>
      <c r="M147" s="20" t="str">
        <f>IF(K147="","",K147)</f>
        <v/>
      </c>
      <c r="N147" s="20" t="str">
        <f>IF(M147="","",M147+180)</f>
        <v/>
      </c>
      <c r="O147" s="29" t="str">
        <f>IF(A145="","","Apurado")</f>
        <v/>
      </c>
      <c r="P147" s="21" t="str">
        <f>IF(A145="","",IF(VLOOKUP(A145,OSS[],MATCH("PF Apurado",OSS[#Headers],0),FALSE)="","",VLOOKUP(A145,OSS[],MATCH("PF Apurado",OSS[#Headers],0),FALSE)))</f>
        <v/>
      </c>
      <c r="Q147" s="57" t="str">
        <f>IF(F146="","",IF(G147="","",IF(L147="",IF(DataRef&lt;L146,L146,DataRef),L147)-L146))</f>
        <v/>
      </c>
      <c r="R147" s="21" t="str">
        <f>IF(J147="","",AF146)</f>
        <v/>
      </c>
      <c r="S147" s="21" t="str">
        <f>IF(K147="","",AF147)</f>
        <v/>
      </c>
      <c r="T147" s="57" t="str">
        <f>IF(J147="","",AB146/IF($P147="",$P146,$P147))</f>
        <v/>
      </c>
      <c r="U147" s="57" t="str">
        <f>IF(J147="","",AC146/IF($P147="",$P146,$P147))</f>
        <v/>
      </c>
      <c r="V147" s="57" t="str">
        <f>IF(K147="","",AB147/IF($P147="",$P146,$P147))</f>
        <v/>
      </c>
      <c r="W147" s="57" t="str">
        <f>IF(K147="","",AC147/IF($P147="",$P146,$P147))</f>
        <v/>
      </c>
      <c r="X147" s="57" t="str">
        <f>IF(F146="","",IF(G147="",IF(DataRef&lt;G146,"",DataRef-G146),G147-G146))</f>
        <v/>
      </c>
      <c r="Y147" s="57" t="str">
        <f>IF(OR(R145="Hora Java",R145="Hora dotNet"),AG146,"")</f>
        <v/>
      </c>
      <c r="Z147" s="57" t="str">
        <f>IF(F146="","",IF(L147="",IF(DataRef&lt;L146,L146,DataRef),L147)-L146)</f>
        <v/>
      </c>
      <c r="AA147" t="str">
        <f>IF(A145="","","Garantia")</f>
        <v/>
      </c>
      <c r="AB147" s="21" t="str">
        <f>IF(K147="","",VLOOKUP(A145,OSS[],MATCH("Não Grave - Garantia",OSS[#Headers],0),FALSE))</f>
        <v/>
      </c>
      <c r="AC147" s="21" t="str">
        <f>IF(K147="","",VLOOKUP(A145,OSS[],MATCH("Grave - Garantia",OSS[#Headers],0),FALSE))</f>
        <v/>
      </c>
      <c r="AD147" s="21" t="str">
        <f>IF(K147="","",AB147+AC147)</f>
        <v/>
      </c>
      <c r="AE147" s="26" t="str">
        <f>IF(K147="","",AD147/IF($P147="",$P146,$P147))</f>
        <v/>
      </c>
      <c r="AF147" s="21" t="str">
        <f>IF(K147="","",VLOOKUP(A145,OSS[],MATCH("Atrasos para Correção Garantia",OSS[#Headers],0),FALSE))</f>
        <v/>
      </c>
    </row>
    <row r="148" spans="1:33" ht="15.75" x14ac:dyDescent="0.25">
      <c r="B148" s="66" t="str">
        <f>IF(A145="","","PF a Pagar")</f>
        <v/>
      </c>
      <c r="C148" s="67" t="str">
        <f>IF(D147="","",IF(B145="Recebida",(P147*0.8),IF(B145="Aceita",D147,0))+IF(D147&lt;0,D147,0))</f>
        <v/>
      </c>
      <c r="E148" s="37"/>
      <c r="K148" s="69" t="str">
        <f>IF(A145="","","Prazo previsto para execução em dias corridos")</f>
        <v/>
      </c>
      <c r="L148" s="70" t="str">
        <f>IF(G146="","",ROUND((IF(P147="",P146,P147)/(19*LN(IF(P147="",P146,P147))-42))*30,0))</f>
        <v/>
      </c>
      <c r="O148" s="29" t="str">
        <f>IF(A145="","","Multa")</f>
        <v/>
      </c>
      <c r="P148" s="25" t="str">
        <f>IF(SUM(Q148:Z148)=0,"",-ROUND(SUM(Q148:Z148),0))</f>
        <v/>
      </c>
      <c r="Q148" s="57" t="str">
        <f>IF(Q147="","",IF(OR(Q146&gt;Q147,Z146&lt;Z147),"",ROUND(Q147*(IF($P147="",$P146,$P147)*SLA_ICA_EOS_Multa),2)))</f>
        <v/>
      </c>
      <c r="R148" s="57" t="str">
        <f>IF(R147="","",IF(R146&gt;R147,"",ROUND(R147*(IF($P147="",$P146,$P147)*SLA_ICP_CIHA_Multa),2)))</f>
        <v/>
      </c>
      <c r="S148" s="57" t="str">
        <f>IF(S147="","",IF(S146&gt;S147,"",ROUND(S147*(IF($P147="",$P146,$P147)*SLA_ICP_CIG_Multa),2)))</f>
        <v/>
      </c>
      <c r="T148" s="57" t="str">
        <f>IF(T147="","",IF(T146&gt;T147,"",ROUND(T147*(IF($P147="",$P146,$P147)*SLA_IQA_INGHA_Multa),2)))</f>
        <v/>
      </c>
      <c r="U148" s="57" t="str">
        <f>IF(U147="","",IF(U146&gt;U147,"",ROUND(U147*(IF($P147="",$P146,$P147)*SLA_IQA_IGHA_Multa),2)))</f>
        <v/>
      </c>
      <c r="V148" s="57" t="str">
        <f>IF(V147="","",IF(V146&gt;V147,"",ROUND(V147*(IF($P147="",$P146,$P147)*SLA_IQA_INGG_Multa),2)))</f>
        <v/>
      </c>
      <c r="W148" s="57" t="str">
        <f>IF(W147="","",IF(W146&gt;W147,"",ROUND(W147*(IF($P147="",$P146,$P147)*SLA_IQA_IGG_Multa),2)))</f>
        <v/>
      </c>
      <c r="X148" s="57" t="str">
        <f>IF(X147="","",IF(X146&gt;X147,"",ROUND(X147*(IF($P147="",$P146,$P147)*SLA_ICA_IOS_Multa),2)))</f>
        <v/>
      </c>
      <c r="Y148" s="57" t="str">
        <f>IF(Y147="","",IF(Y146&gt;Y147,"",ROUND(Y147*(IF($P147="",$P146,$P147)*SLA_ICA_SP_Multa),2)))</f>
        <v/>
      </c>
      <c r="Z148" s="57" t="str">
        <f>IF(Z147="","",IF(Z146&gt;Z147,"",ROUND(IF($P147="",$P146,$P147)*SLA_ICA_EOS_Multa,2)))</f>
        <v/>
      </c>
      <c r="AA148" t="str">
        <f>IF(A145="","","Total")</f>
        <v/>
      </c>
      <c r="AB148" s="21" t="str">
        <f>IF(SUM(AB146:AB147)=0,"",SUM(AB146:AB147))</f>
        <v/>
      </c>
      <c r="AC148" s="21" t="str">
        <f>IF(SUM(AC146:AC147)=0,"",SUM(AC146:AC147))</f>
        <v/>
      </c>
      <c r="AD148" s="21" t="str">
        <f>IF(SUM(AB148:AC148)=0,"",SUM(AB148:AC148))</f>
        <v/>
      </c>
      <c r="AE148" s="26" t="str">
        <f>IF(P146="","",IF(AD148="","",AD148/IF($P147="",$P146,$P147)))</f>
        <v/>
      </c>
    </row>
    <row r="149" spans="1:33" ht="15.75" x14ac:dyDescent="0.25">
      <c r="G149" s="20"/>
      <c r="H149" s="20"/>
      <c r="I149" s="20"/>
      <c r="J149" s="20"/>
      <c r="K149" s="20"/>
      <c r="L149" s="20"/>
      <c r="M149" s="20"/>
      <c r="N149" s="20"/>
      <c r="O149" s="35"/>
      <c r="P149" s="37"/>
    </row>
    <row r="150" spans="1:33" ht="15.75" x14ac:dyDescent="0.25">
      <c r="A150" s="54" t="str">
        <f>IF(ControleOSsMês!$G$1="Todas",IFERROR(INDEX(OSS[Número OS],INT((ROW()-ROW($A$3)-1)/5)+1,1),""),IFERROR(VLOOKUP(INT((ROW()-ROW($A$3)-1)/5)+1,OSMês[],2,FALSE),""))</f>
        <v/>
      </c>
      <c r="B150" s="71" t="str">
        <f>IF(A150="","",VLOOKUP(A150,OSS[],MATCH("Situação da OS",OSS[#Headers],0),FALSE))</f>
        <v/>
      </c>
      <c r="C150" s="71"/>
      <c r="D150" s="54" t="str">
        <f>IF(A150="","","em")</f>
        <v/>
      </c>
      <c r="E150" s="59" t="str">
        <f>IF(A150="","",VLOOKUP(A150,OSS[],MATCH("Data Situação",OSS[#Headers],0),FALSE))</f>
        <v/>
      </c>
      <c r="F150" s="68" t="str">
        <f>IF(A150="","","Titulo:")</f>
        <v/>
      </c>
      <c r="G150" s="31" t="str">
        <f>IF(A150="","",VLOOKUP(A150,OSS[],MATCH("Titulo",OSS[#Headers],0),FALSE))</f>
        <v/>
      </c>
      <c r="H150" s="30"/>
      <c r="I150" s="30"/>
      <c r="J150" s="30"/>
      <c r="K150" s="30"/>
      <c r="L150" s="30"/>
      <c r="M150" s="30"/>
      <c r="N150" s="30"/>
      <c r="O150" s="30"/>
      <c r="P150" s="30"/>
      <c r="Q150" s="68" t="str">
        <f>IF(A150="","","Tipo da OS:")</f>
        <v/>
      </c>
      <c r="R150" s="31" t="str">
        <f>IF(A150="","",VLOOKUP(A150,OSS[],MATCH("Tipo",OSS[#Headers],0),FALSE))</f>
        <v/>
      </c>
      <c r="S150" s="30"/>
      <c r="T150" s="30"/>
      <c r="U150" s="30"/>
      <c r="V150" s="30"/>
      <c r="W150" s="30"/>
      <c r="X150" s="30"/>
      <c r="Y150" s="30"/>
      <c r="Z150" s="30"/>
      <c r="AA150" s="58" t="str">
        <f>IF(A150="","","Número de Inconformidades")</f>
        <v/>
      </c>
      <c r="AB150" s="30"/>
      <c r="AC150" s="30"/>
      <c r="AD150" s="30"/>
      <c r="AE150" s="30"/>
      <c r="AF150" s="30"/>
      <c r="AG150" s="32"/>
    </row>
    <row r="151" spans="1:33" ht="15.75" x14ac:dyDescent="0.25">
      <c r="B151" s="66" t="str">
        <f>IF(A150="","","PF Pago")</f>
        <v/>
      </c>
      <c r="D151" t="str">
        <f>IF(A150="","",VLOOKUP(A150,OSS[],MATCH("PF Pago",OSS[#Headers],0),FALSE))</f>
        <v/>
      </c>
      <c r="F151" s="36" t="str">
        <f>IF(A150="","",VLOOKUP(A150,OSS[],MATCH("Abertura da OS",OSS[#Headers],0),FALSE))</f>
        <v/>
      </c>
      <c r="G151" s="20" t="str">
        <f>IF(F151="","",WORKDAY(F151,IF(IF(P152="",P151,P152)&lt;150,5,10)))</f>
        <v/>
      </c>
      <c r="H151" s="20" t="str">
        <f>IF(G151="","",WORKDAY(G151,5))</f>
        <v/>
      </c>
      <c r="I151" s="20" t="str">
        <f>IF(G151="","",G151+ROUND((IF(P152="",P151,P152)/(19*LN(IF(P152="",P151,P152))-42))*30*SLA_PrazoEntrega,0))</f>
        <v/>
      </c>
      <c r="J151" s="20" t="str">
        <f>IF(I151="","",WORKDAY(I151,IF(IF(P152="",P151,P152)&lt;150,5,10)))</f>
        <v/>
      </c>
      <c r="K151" s="20" t="str">
        <f>IF(J151="","",J151+ROUND((IF(P152="",P151,P152)/(19*LN(IF(P152="",P151,P152))-42))*30*SLA_PrazoAceite,0))</f>
        <v/>
      </c>
      <c r="L151" s="20" t="str">
        <f>IF(G151="","",G151+ROUND((IF(P152="",P151,P152)/(19*LN(IF(P152="",P151,P152))-42))*30,0))</f>
        <v/>
      </c>
      <c r="M151" s="20" t="str">
        <f>IF(K151="","",WORKDAY(K151,1))</f>
        <v/>
      </c>
      <c r="N151" s="20" t="str">
        <f>IF(M151="","",M151+SLA_PrazoGarantia)</f>
        <v/>
      </c>
      <c r="O151" s="29" t="str">
        <f>IF(A150="","","Previsto")</f>
        <v/>
      </c>
      <c r="P151" s="21" t="str">
        <f>IF(A150="","",VLOOKUP(A150,OSS[],MATCH("PF Previsto",OSS[#Headers],0),FALSE))</f>
        <v/>
      </c>
      <c r="Q151" s="57" t="str">
        <f>IF(F151="","",ROUND((L151-G151)*SLA_ICA_EOS,1))</f>
        <v/>
      </c>
      <c r="R151" s="21" t="str">
        <f>IF(F151="","",SLA_ICP_CIHA)</f>
        <v/>
      </c>
      <c r="S151" s="21" t="str">
        <f>IF(F151="","",SLA_ICP_CIG)</f>
        <v/>
      </c>
      <c r="T151" s="57" t="str">
        <f>IF(F151="","",SLA_IQA_INGHA)</f>
        <v/>
      </c>
      <c r="U151" s="57" t="str">
        <f>IF(F151="","",SLA_IQA_IGHA)</f>
        <v/>
      </c>
      <c r="V151" s="57" t="str">
        <f>IF(F151="","",SLA_IQA_INGG)</f>
        <v/>
      </c>
      <c r="W151" s="57" t="str">
        <f>IF(F151="","",SLA_IQA_IGG)</f>
        <v/>
      </c>
      <c r="X151" s="57" t="str">
        <f>IF(F151="","",ROUND((G151-F151)*SLA_ICA_IOS,1))</f>
        <v/>
      </c>
      <c r="Y151" s="57" t="str">
        <f>IF(OR(R150="Hora Java",R150="Hora dotNet"),SLA_ICA_SP,"")</f>
        <v/>
      </c>
      <c r="Z151" s="57" t="str">
        <f>IF(F151="","",ROUND((L151-G151)*SLA_ICA_EOS,1))</f>
        <v/>
      </c>
      <c r="AA151" t="str">
        <f>IF(A150="","","Homologação")</f>
        <v/>
      </c>
      <c r="AB151" s="21" t="str">
        <f>IF(J152="","",VLOOKUP(A150,OSS[],MATCH("Não Grave - Homologação",OSS[#Headers],0),FALSE))</f>
        <v/>
      </c>
      <c r="AC151" s="21" t="str">
        <f>IF(J152="","",VLOOKUP(A150,OSS[],MATCH("Grave - Homologação",OSS[#Headers],0),FALSE))</f>
        <v/>
      </c>
      <c r="AD151" s="21" t="str">
        <f>IF(J152="","",AB151+AC151)</f>
        <v/>
      </c>
      <c r="AE151" s="26" t="str">
        <f>IF(J152="","",AD151/IF($P152="",$P151,$P152))</f>
        <v/>
      </c>
      <c r="AF151" s="21" t="str">
        <f>IF(J152="","",VLOOKUP(A150,OSS[],MATCH("Atrasos para Correção Homologação",OSS[#Headers],0),FALSE))</f>
        <v/>
      </c>
      <c r="AG151" t="str">
        <f>IF(Y151="","",VLOOKUP(A150,OSS[],MATCH("Atraso para Substituição",OSS[#Headers],0),FALSE))</f>
        <v/>
      </c>
    </row>
    <row r="152" spans="1:33" ht="15.75" x14ac:dyDescent="0.25">
      <c r="B152" s="66" t="str">
        <f>IF(A150="","","Saldo de PF")</f>
        <v/>
      </c>
      <c r="C152" s="37"/>
      <c r="D152" s="37" t="str">
        <f>IF(P151="","",IF($P152="",$P151,$P152)+IF(P153="",0,P153)-IF(D151="",0,D151))</f>
        <v/>
      </c>
      <c r="E152" s="37"/>
      <c r="G152" s="20" t="str">
        <f>IF(A150="","",IF(VLOOKUP(A150,OSS[],MATCH("Data de Inicio",OSS[#Headers],0),FALSE)="","",VLOOKUP(A150,OSS[],MATCH("Data de Inicio",OSS[#Headers],0),FALSE)))</f>
        <v/>
      </c>
      <c r="H152" s="20" t="str">
        <f>IF(A150="","",IF(VLOOKUP(A150,OSS[],MATCH("Entrega do Plano da OS",OSS[#Headers],0),FALSE)="","",VLOOKUP(A150,OSS[],MATCH("Entrega do Plano da OS",OSS[#Headers],0),FALSE)))</f>
        <v/>
      </c>
      <c r="I152" s="20" t="str">
        <f>IF(A150="","",IF(VLOOKUP(A150,OSS[],MATCH("Entrega da OS",OSS[#Headers],0),FALSE)="","",VLOOKUP(A150,OSS[],MATCH("Entrega da OS",OSS[#Headers],0),FALSE)))</f>
        <v/>
      </c>
      <c r="J152" s="20" t="str">
        <f>IF(A150="","",IF(VLOOKUP(A150,OSS[],MATCH("Recebimento da OS",OSS[#Headers],0),FALSE)="","",VLOOKUP(A150,OSS[],MATCH("Recebimento da OS",OSS[#Headers],0),FALSE)))</f>
        <v/>
      </c>
      <c r="K152" s="20" t="str">
        <f>IF(A150="","",IF(VLOOKUP(A150,OSS[],MATCH("Aceite da OS",OSS[#Headers],0),FALSE)="","",VLOOKUP(A150,OSS[],MATCH("Aceite da OS",OSS[#Headers],0),FALSE)))</f>
        <v/>
      </c>
      <c r="L152" s="20" t="str">
        <f>IF(A150="","",IF(VLOOKUP(A150,OSS[],MATCH("Data de Termino",OSS[#Headers],0),FALSE)="","",VLOOKUP(A150,OSS[],MATCH("Data de Termino",OSS[#Headers],0),FALSE)))</f>
        <v/>
      </c>
      <c r="M152" s="20" t="str">
        <f>IF(K152="","",K152)</f>
        <v/>
      </c>
      <c r="N152" s="20" t="str">
        <f>IF(M152="","",M152+180)</f>
        <v/>
      </c>
      <c r="O152" s="29" t="str">
        <f>IF(A150="","","Apurado")</f>
        <v/>
      </c>
      <c r="P152" s="21" t="str">
        <f>IF(A150="","",IF(VLOOKUP(A150,OSS[],MATCH("PF Apurado",OSS[#Headers],0),FALSE)="","",VLOOKUP(A150,OSS[],MATCH("PF Apurado",OSS[#Headers],0),FALSE)))</f>
        <v/>
      </c>
      <c r="Q152" s="57" t="str">
        <f>IF(F151="","",IF(G152="","",IF(L152="",IF(DataRef&lt;L151,L151,DataRef),L152)-L151))</f>
        <v/>
      </c>
      <c r="R152" s="21" t="str">
        <f>IF(J152="","",AF151)</f>
        <v/>
      </c>
      <c r="S152" s="21" t="str">
        <f>IF(K152="","",AF152)</f>
        <v/>
      </c>
      <c r="T152" s="57" t="str">
        <f>IF(J152="","",AB151/IF($P152="",$P151,$P152))</f>
        <v/>
      </c>
      <c r="U152" s="57" t="str">
        <f>IF(J152="","",AC151/IF($P152="",$P151,$P152))</f>
        <v/>
      </c>
      <c r="V152" s="57" t="str">
        <f>IF(K152="","",AB152/IF($P152="",$P151,$P152))</f>
        <v/>
      </c>
      <c r="W152" s="57" t="str">
        <f>IF(K152="","",AC152/IF($P152="",$P151,$P152))</f>
        <v/>
      </c>
      <c r="X152" s="57" t="str">
        <f>IF(F151="","",IF(G152="",IF(DataRef&lt;G151,"",DataRef-G151),G152-G151))</f>
        <v/>
      </c>
      <c r="Y152" s="57" t="str">
        <f>IF(OR(R150="Hora Java",R150="Hora dotNet"),AG151,"")</f>
        <v/>
      </c>
      <c r="Z152" s="57" t="str">
        <f>IF(F151="","",IF(L152="",IF(DataRef&lt;L151,L151,DataRef),L152)-L151)</f>
        <v/>
      </c>
      <c r="AA152" t="str">
        <f>IF(A150="","","Garantia")</f>
        <v/>
      </c>
      <c r="AB152" s="21" t="str">
        <f>IF(K152="","",VLOOKUP(A150,OSS[],MATCH("Não Grave - Garantia",OSS[#Headers],0),FALSE))</f>
        <v/>
      </c>
      <c r="AC152" s="21" t="str">
        <f>IF(K152="","",VLOOKUP(A150,OSS[],MATCH("Grave - Garantia",OSS[#Headers],0),FALSE))</f>
        <v/>
      </c>
      <c r="AD152" s="21" t="str">
        <f>IF(K152="","",AB152+AC152)</f>
        <v/>
      </c>
      <c r="AE152" s="26" t="str">
        <f>IF(K152="","",AD152/IF($P152="",$P151,$P152))</f>
        <v/>
      </c>
      <c r="AF152" s="21" t="str">
        <f>IF(K152="","",VLOOKUP(A150,OSS[],MATCH("Atrasos para Correção Garantia",OSS[#Headers],0),FALSE))</f>
        <v/>
      </c>
    </row>
    <row r="153" spans="1:33" ht="15.75" x14ac:dyDescent="0.25">
      <c r="B153" s="66" t="str">
        <f>IF(A150="","","PF a Pagar")</f>
        <v/>
      </c>
      <c r="C153" s="67" t="str">
        <f>IF(D152="","",IF(B150="Recebida",(P152*0.8),IF(B150="Aceita",D152,0))+IF(D152&lt;0,D152,0))</f>
        <v/>
      </c>
      <c r="E153" s="37"/>
      <c r="K153" s="69" t="str">
        <f>IF(A150="","","Prazo previsto para execução em dias corridos")</f>
        <v/>
      </c>
      <c r="L153" s="70" t="str">
        <f>IF(G151="","",ROUND((IF(P152="",P151,P152)/(19*LN(IF(P152="",P151,P152))-42))*30,0))</f>
        <v/>
      </c>
      <c r="O153" s="29" t="str">
        <f>IF(A150="","","Multa")</f>
        <v/>
      </c>
      <c r="P153" s="25" t="str">
        <f>IF(SUM(Q153:Z153)=0,"",-ROUND(SUM(Q153:Z153),0))</f>
        <v/>
      </c>
      <c r="Q153" s="57" t="str">
        <f>IF(Q152="","",IF(OR(Q151&gt;Q152,Z151&lt;Z152),"",ROUND(Q152*(IF($P152="",$P151,$P152)*SLA_ICA_EOS_Multa),2)))</f>
        <v/>
      </c>
      <c r="R153" s="57" t="str">
        <f>IF(R152="","",IF(R151&gt;R152,"",ROUND(R152*(IF($P152="",$P151,$P152)*SLA_ICP_CIHA_Multa),2)))</f>
        <v/>
      </c>
      <c r="S153" s="57" t="str">
        <f>IF(S152="","",IF(S151&gt;S152,"",ROUND(S152*(IF($P152="",$P151,$P152)*SLA_ICP_CIG_Multa),2)))</f>
        <v/>
      </c>
      <c r="T153" s="57" t="str">
        <f>IF(T152="","",IF(T151&gt;T152,"",ROUND(T152*(IF($P152="",$P151,$P152)*SLA_IQA_INGHA_Multa),2)))</f>
        <v/>
      </c>
      <c r="U153" s="57" t="str">
        <f>IF(U152="","",IF(U151&gt;U152,"",ROUND(U152*(IF($P152="",$P151,$P152)*SLA_IQA_IGHA_Multa),2)))</f>
        <v/>
      </c>
      <c r="V153" s="57" t="str">
        <f>IF(V152="","",IF(V151&gt;V152,"",ROUND(V152*(IF($P152="",$P151,$P152)*SLA_IQA_INGG_Multa),2)))</f>
        <v/>
      </c>
      <c r="W153" s="57" t="str">
        <f>IF(W152="","",IF(W151&gt;W152,"",ROUND(W152*(IF($P152="",$P151,$P152)*SLA_IQA_IGG_Multa),2)))</f>
        <v/>
      </c>
      <c r="X153" s="57" t="str">
        <f>IF(X152="","",IF(X151&gt;X152,"",ROUND(X152*(IF($P152="",$P151,$P152)*SLA_ICA_IOS_Multa),2)))</f>
        <v/>
      </c>
      <c r="Y153" s="57" t="str">
        <f>IF(Y152="","",IF(Y151&gt;Y152,"",ROUND(Y152*(IF($P152="",$P151,$P152)*SLA_ICA_SP_Multa),2)))</f>
        <v/>
      </c>
      <c r="Z153" s="57" t="str">
        <f>IF(Z152="","",IF(Z151&gt;Z152,"",ROUND(IF($P152="",$P151,$P152)*SLA_ICA_EOS_Multa,2)))</f>
        <v/>
      </c>
      <c r="AA153" t="str">
        <f>IF(A150="","","Total")</f>
        <v/>
      </c>
      <c r="AB153" s="21" t="str">
        <f>IF(SUM(AB151:AB152)=0,"",SUM(AB151:AB152))</f>
        <v/>
      </c>
      <c r="AC153" s="21" t="str">
        <f>IF(SUM(AC151:AC152)=0,"",SUM(AC151:AC152))</f>
        <v/>
      </c>
      <c r="AD153" s="21" t="str">
        <f>IF(SUM(AB153:AC153)=0,"",SUM(AB153:AC153))</f>
        <v/>
      </c>
      <c r="AE153" s="26" t="str">
        <f>IF(P151="","",IF(AD153="","",AD153/IF($P152="",$P151,$P152)))</f>
        <v/>
      </c>
    </row>
    <row r="154" spans="1:33" ht="15.75" x14ac:dyDescent="0.25">
      <c r="G154" s="20"/>
      <c r="H154" s="20"/>
      <c r="I154" s="20"/>
      <c r="J154" s="20"/>
      <c r="K154" s="20"/>
      <c r="L154" s="20"/>
      <c r="M154" s="20"/>
      <c r="N154" s="20"/>
      <c r="O154" s="35"/>
      <c r="P154" s="37"/>
    </row>
  </sheetData>
  <mergeCells count="31">
    <mergeCell ref="B150:C150"/>
    <mergeCell ref="B120:C120"/>
    <mergeCell ref="B125:C125"/>
    <mergeCell ref="B130:C130"/>
    <mergeCell ref="B135:C135"/>
    <mergeCell ref="B140:C140"/>
    <mergeCell ref="B145:C145"/>
    <mergeCell ref="B115:C115"/>
    <mergeCell ref="B60:C60"/>
    <mergeCell ref="B65:C65"/>
    <mergeCell ref="B70:C70"/>
    <mergeCell ref="B75:C75"/>
    <mergeCell ref="B80:C80"/>
    <mergeCell ref="B85:C85"/>
    <mergeCell ref="B90:C90"/>
    <mergeCell ref="B95:C95"/>
    <mergeCell ref="B100:C100"/>
    <mergeCell ref="B105:C105"/>
    <mergeCell ref="B110:C110"/>
    <mergeCell ref="B55:C55"/>
    <mergeCell ref="B3:E3"/>
    <mergeCell ref="B5:C5"/>
    <mergeCell ref="B10:C10"/>
    <mergeCell ref="B15:C15"/>
    <mergeCell ref="B20:C20"/>
    <mergeCell ref="B25:C25"/>
    <mergeCell ref="B30:C30"/>
    <mergeCell ref="B35:C35"/>
    <mergeCell ref="B40:C40"/>
    <mergeCell ref="B45:C45"/>
    <mergeCell ref="B50:C50"/>
  </mergeCells>
  <dataValidations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78740157480314965" header="0.31496062992125984" footer="0.31496062992125984"/>
  <pageSetup paperSize="9" scale="55" fitToHeight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="80" zoomScaleNormal="80" workbookViewId="0">
      <pane ySplit="2" topLeftCell="A3" activePane="bottomLeft" state="frozen"/>
      <selection pane="bottomLeft" activeCell="H4" sqref="H4"/>
    </sheetView>
  </sheetViews>
  <sheetFormatPr defaultRowHeight="15" x14ac:dyDescent="0.25"/>
  <cols>
    <col min="1" max="1" width="1.42578125" customWidth="1"/>
    <col min="2" max="2" width="12.42578125" customWidth="1"/>
    <col min="3" max="3" width="73.7109375" customWidth="1"/>
    <col min="4" max="4" width="25" customWidth="1"/>
    <col min="5" max="5" width="50.7109375" hidden="1" customWidth="1"/>
    <col min="6" max="6" width="56.85546875" customWidth="1"/>
    <col min="7" max="7" width="2.85546875" customWidth="1"/>
    <col min="8" max="8" width="24.140625" bestFit="1" customWidth="1"/>
    <col min="9" max="9" width="19.140625" bestFit="1" customWidth="1"/>
  </cols>
  <sheetData>
    <row r="1" spans="1:9" ht="21.75" thickBot="1" x14ac:dyDescent="0.4">
      <c r="A1" s="73" t="s">
        <v>12</v>
      </c>
      <c r="B1" s="73"/>
      <c r="C1" s="73"/>
      <c r="D1" s="73"/>
      <c r="E1" s="73"/>
      <c r="F1" s="73"/>
      <c r="H1" s="24"/>
      <c r="I1" s="24"/>
    </row>
    <row r="2" spans="1:9" ht="19.5" thickBot="1" x14ac:dyDescent="0.35">
      <c r="A2" s="74" t="s">
        <v>13</v>
      </c>
      <c r="B2" s="75"/>
      <c r="C2" s="76"/>
      <c r="D2" s="1" t="s">
        <v>14</v>
      </c>
      <c r="E2" s="2" t="s">
        <v>15</v>
      </c>
      <c r="F2" s="2" t="s">
        <v>16</v>
      </c>
      <c r="H2" s="40" t="s">
        <v>71</v>
      </c>
      <c r="I2" s="2" t="s">
        <v>72</v>
      </c>
    </row>
    <row r="3" spans="1:9" ht="18.75" thickBot="1" x14ac:dyDescent="0.3">
      <c r="A3" s="77" t="s">
        <v>123</v>
      </c>
      <c r="B3" s="78"/>
      <c r="C3" s="78"/>
      <c r="D3" s="78"/>
      <c r="E3" s="78"/>
      <c r="F3" s="79"/>
      <c r="H3" s="38"/>
      <c r="I3" s="39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3">
        <v>0.6</v>
      </c>
      <c r="I4" s="50">
        <v>0</v>
      </c>
    </row>
    <row r="5" spans="1:9" ht="110.2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4">
        <v>10</v>
      </c>
      <c r="I5" s="50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3">
        <v>0.2</v>
      </c>
      <c r="I6" s="50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4">
        <v>180</v>
      </c>
      <c r="I7" s="50">
        <v>0</v>
      </c>
    </row>
    <row r="8" spans="1:9" ht="18.75" thickBot="1" x14ac:dyDescent="0.3">
      <c r="A8" s="77" t="s">
        <v>17</v>
      </c>
      <c r="B8" s="78"/>
      <c r="C8" s="78"/>
      <c r="D8" s="78"/>
      <c r="E8" s="78"/>
      <c r="F8" s="79"/>
      <c r="H8" s="38"/>
      <c r="I8" s="39"/>
    </row>
    <row r="9" spans="1:9" ht="63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3">
        <v>0.1</v>
      </c>
      <c r="I9" s="50">
        <v>0.01</v>
      </c>
    </row>
    <row r="10" spans="1:9" ht="94.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4">
        <v>2</v>
      </c>
      <c r="I10" s="45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4">
        <v>2</v>
      </c>
      <c r="I11" s="45">
        <v>0.01</v>
      </c>
    </row>
    <row r="12" spans="1:9" ht="18" x14ac:dyDescent="0.25">
      <c r="A12" s="77" t="s">
        <v>28</v>
      </c>
      <c r="B12" s="78"/>
      <c r="C12" s="78"/>
      <c r="D12" s="78"/>
      <c r="E12" s="78"/>
      <c r="F12" s="79"/>
      <c r="H12" s="41"/>
      <c r="I12" s="42"/>
    </row>
    <row r="13" spans="1:9" ht="94.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6">
        <v>0.2</v>
      </c>
      <c r="I13" s="51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6">
        <v>0.05</v>
      </c>
      <c r="I14" s="45">
        <v>0.01</v>
      </c>
    </row>
    <row r="15" spans="1:9" ht="94.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6">
        <v>0.05</v>
      </c>
      <c r="I15" s="45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6">
        <v>0.01</v>
      </c>
      <c r="I16" s="45">
        <v>0.02</v>
      </c>
    </row>
    <row r="17" spans="1:9" ht="18" x14ac:dyDescent="0.25">
      <c r="A17" s="77" t="s">
        <v>45</v>
      </c>
      <c r="B17" s="78"/>
      <c r="C17" s="78"/>
      <c r="D17" s="78"/>
      <c r="E17" s="78"/>
      <c r="F17" s="79"/>
      <c r="H17" s="41"/>
      <c r="I17" s="42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7">
        <v>0.1</v>
      </c>
      <c r="I18" s="51">
        <v>5.0000000000000001E-3</v>
      </c>
    </row>
    <row r="19" spans="1:9" ht="78.75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4">
        <v>2</v>
      </c>
      <c r="I19" s="51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8">
        <v>0.25</v>
      </c>
      <c r="I20" s="49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:A6"/>
    </sheetView>
  </sheetViews>
  <sheetFormatPr defaultRowHeight="15" x14ac:dyDescent="0.25"/>
  <cols>
    <col min="1" max="1" width="12.28515625" bestFit="1" customWidth="1"/>
  </cols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96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5" x14ac:dyDescent="0.25"/>
  <cols>
    <col min="1" max="1" width="9.28515625" customWidth="1"/>
    <col min="2" max="2" width="20.140625" customWidth="1"/>
    <col min="3" max="3" width="13.28515625" customWidth="1"/>
    <col min="4" max="4" width="15" customWidth="1"/>
    <col min="5" max="5" width="4.140625" customWidth="1"/>
    <col min="7" max="7" width="7.5703125" bestFit="1" customWidth="1"/>
    <col min="8" max="8" width="9.5703125" customWidth="1"/>
    <col min="10" max="10" width="4" bestFit="1" customWidth="1"/>
    <col min="11" max="11" width="8.7109375" bestFit="1" customWidth="1"/>
  </cols>
  <sheetData>
    <row r="1" spans="1:12" x14ac:dyDescent="0.25">
      <c r="A1" t="s">
        <v>114</v>
      </c>
      <c r="B1" t="s">
        <v>115</v>
      </c>
      <c r="C1" t="s">
        <v>113</v>
      </c>
      <c r="D1" t="s">
        <v>112</v>
      </c>
      <c r="E1" t="s">
        <v>116</v>
      </c>
      <c r="G1" s="60" t="str">
        <f>Mensal!E1</f>
        <v>Todas</v>
      </c>
      <c r="H1" s="61" t="str">
        <f ca="1">YEAR(VALUE("01"&amp;"/"&amp;TEXT(MONTH(DataRef),"00")&amp;"/"&amp;YEAR(DataRef))-1)&amp;TEXT(MONTH(VALUE("01"&amp;"/"&amp;TEXT(MONTH(DataRef),"00")&amp;"/"&amp;YEAR(DataRef))-1),"00")</f>
        <v>201604</v>
      </c>
      <c r="I1" s="20"/>
      <c r="J1" t="s">
        <v>117</v>
      </c>
      <c r="K1" s="20">
        <f ca="1">IF($L$1="",TODAY(),$L$1)</f>
        <v>42495</v>
      </c>
      <c r="L1" s="52">
        <f>IF(Mensal!B1="","",Mensal!B1)</f>
        <v>42495</v>
      </c>
    </row>
    <row r="2" spans="1:12" x14ac:dyDescent="0.25">
      <c r="A2" s="21" t="str">
        <f t="shared" ref="A2:A15" ca="1" si="0">IF(E2=E1,"",E2)</f>
        <v/>
      </c>
      <c r="B2" s="21" t="str">
        <f ca="1">IF(C2="","",IF(YEAR(OSMês[[#This Row],[Data Situação]])&amp;TEXT(MONTH(OSMês[[#This Row],[Data Situação]]),"00")=$H$1,C2,""))</f>
        <v/>
      </c>
      <c r="C2" s="21">
        <f>IFERROR(INDEX(OSS[Número OS],INT((ROW()-ROW($C$1)-1)/1)+1,1),"")</f>
        <v>4721</v>
      </c>
      <c r="D2" s="52">
        <f>IF(C2="","",VLOOKUP(C2,OSS[],MATCH("Data Situação",OSS[#Headers],0),FALSE))</f>
        <v>42444</v>
      </c>
      <c r="E2" s="21" t="str">
        <f t="shared" ref="E2:E15" ca="1" si="1">IF(B2="",E1,IF(E1="",1,E1)+1)</f>
        <v>0</v>
      </c>
    </row>
    <row r="3" spans="1:12" x14ac:dyDescent="0.25">
      <c r="A3" s="21">
        <f t="shared" ca="1" si="0"/>
        <v>1</v>
      </c>
      <c r="B3" s="21">
        <f ca="1">IF(C3="","",IF(YEAR(OSMês[[#This Row],[Data Situação]])&amp;TEXT(MONTH(OSMês[[#This Row],[Data Situação]]),"00")=$H$1,C3,""))</f>
        <v>4757</v>
      </c>
      <c r="C3" s="21">
        <f>IFERROR(INDEX(OSS[Número OS],INT((ROW()-ROW($C$1)-1)/1)+1,1),"")</f>
        <v>4757</v>
      </c>
      <c r="D3" s="52">
        <f>IF(C3="","",VLOOKUP(C3,OSS[],MATCH("Data Situação",OSS[#Headers],0),FALSE))</f>
        <v>42486</v>
      </c>
      <c r="E3" s="21">
        <f t="shared" ca="1" si="1"/>
        <v>1</v>
      </c>
    </row>
    <row r="4" spans="1:12" x14ac:dyDescent="0.25">
      <c r="A4" s="21" t="str">
        <f t="shared" ca="1" si="0"/>
        <v/>
      </c>
      <c r="B4" s="21" t="str">
        <f>IF(C4="","",IF(YEAR(OSMês[[#This Row],[Data Situação]])&amp;TEXT(MONTH(OSMês[[#This Row],[Data Situação]]),"00")=$H$1,C4,""))</f>
        <v/>
      </c>
      <c r="C4" s="21" t="str">
        <f>IFERROR(INDEX(OSS[Número OS],INT((ROW()-ROW($C$1)-1)/1)+1,1),"")</f>
        <v/>
      </c>
      <c r="D4" s="52" t="str">
        <f>IF(C4="","",VLOOKUP(C4,OSS[],MATCH("Data Situação",OSS[#Headers],0),FALSE))</f>
        <v/>
      </c>
      <c r="E4" s="21">
        <f t="shared" ca="1" si="1"/>
        <v>1</v>
      </c>
      <c r="L4" s="21"/>
    </row>
    <row r="5" spans="1:12" x14ac:dyDescent="0.25">
      <c r="A5" s="21" t="str">
        <f t="shared" ca="1" si="0"/>
        <v/>
      </c>
      <c r="B5" s="21" t="str">
        <f>IF(C5="","",IF(YEAR(OSMês[[#This Row],[Data Situação]])&amp;TEXT(MONTH(OSMês[[#This Row],[Data Situação]]),"00")=$H$1,C5,""))</f>
        <v/>
      </c>
      <c r="C5" s="21" t="str">
        <f>IFERROR(INDEX(OSS[Número OS],INT((ROW()-ROW($C$1)-1)/1)+1,1),"")</f>
        <v/>
      </c>
      <c r="D5" s="52" t="str">
        <f>IF(C5="","",VLOOKUP(C5,OSS[],MATCH("Data Situação",OSS[#Headers],0),FALSE))</f>
        <v/>
      </c>
      <c r="E5" s="21">
        <f t="shared" ca="1" si="1"/>
        <v>1</v>
      </c>
      <c r="L5" s="21"/>
    </row>
    <row r="6" spans="1:12" x14ac:dyDescent="0.25">
      <c r="A6" s="21" t="str">
        <f t="shared" ca="1" si="0"/>
        <v/>
      </c>
      <c r="B6" s="21" t="str">
        <f>IF(C6="","",IF(YEAR(OSMês[[#This Row],[Data Situação]])&amp;TEXT(MONTH(OSMês[[#This Row],[Data Situação]]),"00")=$H$1,C6,""))</f>
        <v/>
      </c>
      <c r="C6" s="21" t="str">
        <f>IFERROR(INDEX(OSS[Número OS],INT((ROW()-ROW($C$1)-1)/1)+1,1),"")</f>
        <v/>
      </c>
      <c r="D6" s="52" t="str">
        <f>IF(C6="","",VLOOKUP(C6,OSS[],MATCH("Data Situação",OSS[#Headers],0),FALSE))</f>
        <v/>
      </c>
      <c r="E6" s="21">
        <f t="shared" ca="1" si="1"/>
        <v>1</v>
      </c>
      <c r="L6" s="21"/>
    </row>
    <row r="7" spans="1:12" x14ac:dyDescent="0.25">
      <c r="A7" s="21" t="str">
        <f t="shared" ca="1" si="0"/>
        <v/>
      </c>
      <c r="B7" s="21" t="str">
        <f>IF(C7="","",IF(YEAR(OSMês[[#This Row],[Data Situação]])&amp;TEXT(MONTH(OSMês[[#This Row],[Data Situação]]),"00")=$H$1,C7,""))</f>
        <v/>
      </c>
      <c r="C7" s="21" t="str">
        <f>IFERROR(INDEX(OSS[Número OS],INT((ROW()-ROW($C$1)-1)/1)+1,1),"")</f>
        <v/>
      </c>
      <c r="D7" s="52" t="str">
        <f>IF(C7="","",VLOOKUP(C7,OSS[],MATCH("Data Situação",OSS[#Headers],0),FALSE))</f>
        <v/>
      </c>
      <c r="E7" s="21">
        <f t="shared" ca="1" si="1"/>
        <v>1</v>
      </c>
      <c r="L7" s="21"/>
    </row>
    <row r="8" spans="1:12" x14ac:dyDescent="0.25">
      <c r="A8" s="21" t="str">
        <f t="shared" ca="1" si="0"/>
        <v/>
      </c>
      <c r="B8" s="21" t="str">
        <f>IF(C8="","",IF(YEAR(OSMês[[#This Row],[Data Situação]])&amp;TEXT(MONTH(OSMês[[#This Row],[Data Situação]]),"00")=$H$1,C8,""))</f>
        <v/>
      </c>
      <c r="C8" s="21" t="str">
        <f>IFERROR(INDEX(OSS[Número OS],INT((ROW()-ROW($C$1)-1)/1)+1,1),"")</f>
        <v/>
      </c>
      <c r="D8" s="52" t="str">
        <f>IF(C8="","",VLOOKUP(C8,OSS[],MATCH("Data Situação",OSS[#Headers],0),FALSE))</f>
        <v/>
      </c>
      <c r="E8" s="21">
        <f t="shared" ca="1" si="1"/>
        <v>1</v>
      </c>
      <c r="L8" s="21"/>
    </row>
    <row r="9" spans="1:12" x14ac:dyDescent="0.25">
      <c r="A9" s="21" t="str">
        <f t="shared" ca="1" si="0"/>
        <v/>
      </c>
      <c r="B9" s="21" t="str">
        <f>IF(C9="","",IF(YEAR(OSMês[[#This Row],[Data Situação]])&amp;TEXT(MONTH(OSMês[[#This Row],[Data Situação]]),"00")=$H$1,C9,""))</f>
        <v/>
      </c>
      <c r="C9" s="21" t="str">
        <f>IFERROR(INDEX(OSS[Número OS],INT((ROW()-ROW($C$1)-1)/1)+1,1),"")</f>
        <v/>
      </c>
      <c r="D9" s="52" t="str">
        <f>IF(C9="","",VLOOKUP(C9,OSS[],MATCH("Data Situação",OSS[#Headers],0),FALSE))</f>
        <v/>
      </c>
      <c r="E9" s="21">
        <f t="shared" ca="1" si="1"/>
        <v>1</v>
      </c>
      <c r="L9" s="21"/>
    </row>
    <row r="10" spans="1:12" x14ac:dyDescent="0.25">
      <c r="A10" s="21" t="str">
        <f t="shared" ca="1" si="0"/>
        <v/>
      </c>
      <c r="B10" s="21" t="str">
        <f>IF(C10="","",IF(YEAR(OSMês[[#This Row],[Data Situação]])&amp;TEXT(MONTH(OSMês[[#This Row],[Data Situação]]),"00")=$H$1,C10,""))</f>
        <v/>
      </c>
      <c r="C10" s="21" t="str">
        <f>IFERROR(INDEX(OSS[Número OS],INT((ROW()-ROW($C$1)-1)/1)+1,1),"")</f>
        <v/>
      </c>
      <c r="D10" s="52" t="str">
        <f>IF(C10="","",VLOOKUP(C10,OSS[],MATCH("Data Situação",OSS[#Headers],0),FALSE))</f>
        <v/>
      </c>
      <c r="E10" s="21">
        <f t="shared" ca="1" si="1"/>
        <v>1</v>
      </c>
      <c r="L10" s="21"/>
    </row>
    <row r="11" spans="1:12" x14ac:dyDescent="0.25">
      <c r="A11" s="21" t="str">
        <f t="shared" ca="1" si="0"/>
        <v/>
      </c>
      <c r="B11" s="21" t="str">
        <f>IF(C11="","",IF(YEAR(OSMês[[#This Row],[Data Situação]])&amp;TEXT(MONTH(OSMês[[#This Row],[Data Situação]]),"00")=$H$1,C11,""))</f>
        <v/>
      </c>
      <c r="C11" s="21" t="str">
        <f>IFERROR(INDEX(OSS[Número OS],INT((ROW()-ROW($C$1)-1)/1)+1,1),"")</f>
        <v/>
      </c>
      <c r="D11" s="52" t="str">
        <f>IF(C11="","",VLOOKUP(C11,OSS[],MATCH("Data Situação",OSS[#Headers],0),FALSE))</f>
        <v/>
      </c>
      <c r="E11" s="21">
        <f t="shared" ca="1" si="1"/>
        <v>1</v>
      </c>
      <c r="L11" s="21"/>
    </row>
    <row r="12" spans="1:12" x14ac:dyDescent="0.25">
      <c r="A12" s="21" t="str">
        <f t="shared" ca="1" si="0"/>
        <v/>
      </c>
      <c r="B12" s="21" t="str">
        <f>IF(C12="","",IF(YEAR(OSMês[[#This Row],[Data Situação]])&amp;TEXT(MONTH(OSMês[[#This Row],[Data Situação]]),"00")=$H$1,C12,""))</f>
        <v/>
      </c>
      <c r="C12" s="21" t="str">
        <f>IFERROR(INDEX(OSS[Número OS],INT((ROW()-ROW($C$1)-1)/1)+1,1),"")</f>
        <v/>
      </c>
      <c r="D12" s="52" t="str">
        <f>IF(C12="","",VLOOKUP(C12,OSS[],MATCH("Data Situação",OSS[#Headers],0),FALSE))</f>
        <v/>
      </c>
      <c r="E12" s="21">
        <f t="shared" ca="1" si="1"/>
        <v>1</v>
      </c>
    </row>
    <row r="13" spans="1:12" x14ac:dyDescent="0.25">
      <c r="A13" s="21" t="str">
        <f t="shared" ca="1" si="0"/>
        <v/>
      </c>
      <c r="B13" s="21" t="str">
        <f>IF(C13="","",IF(YEAR(OSMês[[#This Row],[Data Situação]])&amp;TEXT(MONTH(OSMês[[#This Row],[Data Situação]]),"00")=$H$1,C13,""))</f>
        <v/>
      </c>
      <c r="C13" s="21" t="str">
        <f>IFERROR(INDEX(OSS[Número OS],INT((ROW()-ROW($C$1)-1)/1)+1,1),"")</f>
        <v/>
      </c>
      <c r="D13" s="52" t="str">
        <f>IF(C13="","",VLOOKUP(C13,OSS[],MATCH("Data Situação",OSS[#Headers],0),FALSE))</f>
        <v/>
      </c>
      <c r="E13" s="21">
        <f t="shared" ca="1" si="1"/>
        <v>1</v>
      </c>
    </row>
    <row r="14" spans="1:12" x14ac:dyDescent="0.25">
      <c r="A14" s="21" t="str">
        <f t="shared" ca="1" si="0"/>
        <v/>
      </c>
      <c r="B14" s="21" t="str">
        <f>IF(C14="","",IF(YEAR(OSMês[[#This Row],[Data Situação]])&amp;TEXT(MONTH(OSMês[[#This Row],[Data Situação]]),"00")=$H$1,C14,""))</f>
        <v/>
      </c>
      <c r="C14" s="21" t="str">
        <f>IFERROR(INDEX(OSS[Número OS],INT((ROW()-ROW($C$1)-1)/1)+1,1),"")</f>
        <v/>
      </c>
      <c r="D14" s="52" t="str">
        <f>IF(C14="","",VLOOKUP(C14,OSS[],MATCH("Data Situação",OSS[#Headers],0),FALSE))</f>
        <v/>
      </c>
      <c r="E14" s="21">
        <f t="shared" ca="1" si="1"/>
        <v>1</v>
      </c>
    </row>
    <row r="15" spans="1:12" x14ac:dyDescent="0.25">
      <c r="A15" s="21" t="str">
        <f t="shared" ca="1" si="0"/>
        <v/>
      </c>
      <c r="B15" s="21" t="str">
        <f>IF(C15="","",IF(YEAR(OSMês[[#This Row],[Data Situação]])&amp;TEXT(MONTH(OSMês[[#This Row],[Data Situação]]),"00")=$H$1,C15,""))</f>
        <v/>
      </c>
      <c r="C15" s="21" t="str">
        <f>IFERROR(INDEX(OSS[Número OS],INT((ROW()-ROW($C$1)-1)/1)+1,1),"")</f>
        <v/>
      </c>
      <c r="D15" s="52" t="str">
        <f>IF(C15="","",VLOOKUP(C15,OSS[],MATCH("Data Situação",OSS[#Headers],0),FALSE))</f>
        <v/>
      </c>
      <c r="E15" s="21">
        <f t="shared" ca="1" si="1"/>
        <v>1</v>
      </c>
    </row>
    <row r="16" spans="1:12" x14ac:dyDescent="0.25">
      <c r="A16" s="21" t="str">
        <f t="shared" ref="A16:A30" ca="1" si="2">IF(E16=E15,"",E16)</f>
        <v/>
      </c>
      <c r="B16" s="21" t="str">
        <f>IF(C16="","",IF(YEAR(OSMês[[#This Row],[Data Situação]])&amp;TEXT(MONTH(OSMês[[#This Row],[Data Situação]]),"00")=$H$1,C16,""))</f>
        <v/>
      </c>
      <c r="C16" s="21" t="str">
        <f>IFERROR(INDEX(OSS[Número OS],INT((ROW()-ROW($C$1)-1)/1)+1,1),"")</f>
        <v/>
      </c>
      <c r="D16" s="52" t="str">
        <f>IF(C16="","",VLOOKUP(C16,OSS[],MATCH("Data Situação",OSS[#Headers],0),FALSE))</f>
        <v/>
      </c>
      <c r="E16" s="21">
        <f t="shared" ref="E16:E30" ca="1" si="3">IF(B16="",E15,IF(E15="",1,E15)+1)</f>
        <v>1</v>
      </c>
    </row>
    <row r="17" spans="1:5" x14ac:dyDescent="0.25">
      <c r="A17" s="21" t="str">
        <f t="shared" ca="1" si="2"/>
        <v/>
      </c>
      <c r="B17" s="21" t="str">
        <f>IF(C17="","",IF(YEAR(OSMês[[#This Row],[Data Situação]])&amp;TEXT(MONTH(OSMês[[#This Row],[Data Situação]]),"00")=$H$1,C17,""))</f>
        <v/>
      </c>
      <c r="C17" s="21" t="str">
        <f>IFERROR(INDEX(OSS[Número OS],INT((ROW()-ROW($C$1)-1)/1)+1,1),"")</f>
        <v/>
      </c>
      <c r="D17" s="52" t="str">
        <f>IF(C17="","",VLOOKUP(C17,OSS[],MATCH("Data Situação",OSS[#Headers],0),FALSE))</f>
        <v/>
      </c>
      <c r="E17" s="21">
        <f t="shared" ca="1" si="3"/>
        <v>1</v>
      </c>
    </row>
    <row r="18" spans="1:5" x14ac:dyDescent="0.25">
      <c r="A18" s="21" t="str">
        <f t="shared" ca="1" si="2"/>
        <v/>
      </c>
      <c r="B18" s="21" t="str">
        <f>IF(C18="","",IF(YEAR(OSMês[[#This Row],[Data Situação]])&amp;TEXT(MONTH(OSMês[[#This Row],[Data Situação]]),"00")=$H$1,C18,""))</f>
        <v/>
      </c>
      <c r="C18" s="21" t="str">
        <f>IFERROR(INDEX(OSS[Número OS],INT((ROW()-ROW($C$1)-1)/1)+1,1),"")</f>
        <v/>
      </c>
      <c r="D18" s="52" t="str">
        <f>IF(C18="","",VLOOKUP(C18,OSS[],MATCH("Data Situação",OSS[#Headers],0),FALSE))</f>
        <v/>
      </c>
      <c r="E18" s="21">
        <f t="shared" ca="1" si="3"/>
        <v>1</v>
      </c>
    </row>
    <row r="19" spans="1:5" x14ac:dyDescent="0.25">
      <c r="A19" s="21" t="str">
        <f t="shared" ca="1" si="2"/>
        <v/>
      </c>
      <c r="B19" s="21" t="str">
        <f>IF(C19="","",IF(YEAR(OSMês[[#This Row],[Data Situação]])&amp;TEXT(MONTH(OSMês[[#This Row],[Data Situação]]),"00")=$H$1,C19,""))</f>
        <v/>
      </c>
      <c r="C19" s="21" t="str">
        <f>IFERROR(INDEX(OSS[Número OS],INT((ROW()-ROW($C$1)-1)/1)+1,1),"")</f>
        <v/>
      </c>
      <c r="D19" s="52" t="str">
        <f>IF(C19="","",VLOOKUP(C19,OSS[],MATCH("Data Situação",OSS[#Headers],0),FALSE))</f>
        <v/>
      </c>
      <c r="E19" s="21">
        <f t="shared" ca="1" si="3"/>
        <v>1</v>
      </c>
    </row>
    <row r="20" spans="1:5" x14ac:dyDescent="0.25">
      <c r="A20" s="21" t="str">
        <f t="shared" ca="1" si="2"/>
        <v/>
      </c>
      <c r="B20" s="21" t="str">
        <f>IF(C20="","",IF(YEAR(OSMês[[#This Row],[Data Situação]])&amp;TEXT(MONTH(OSMês[[#This Row],[Data Situação]]),"00")=$H$1,C20,""))</f>
        <v/>
      </c>
      <c r="C20" s="21" t="str">
        <f>IFERROR(INDEX(OSS[Número OS],INT((ROW()-ROW($C$1)-1)/1)+1,1),"")</f>
        <v/>
      </c>
      <c r="D20" s="52" t="str">
        <f>IF(C20="","",VLOOKUP(C20,OSS[],MATCH("Data Situação",OSS[#Headers],0),FALSE))</f>
        <v/>
      </c>
      <c r="E20" s="21">
        <f t="shared" ca="1" si="3"/>
        <v>1</v>
      </c>
    </row>
    <row r="21" spans="1:5" x14ac:dyDescent="0.25">
      <c r="A21" s="21" t="str">
        <f t="shared" ca="1" si="2"/>
        <v/>
      </c>
      <c r="B21" s="21" t="str">
        <f>IF(C21="","",IF(YEAR(OSMês[[#This Row],[Data Situação]])&amp;TEXT(MONTH(OSMês[[#This Row],[Data Situação]]),"00")=$H$1,C21,""))</f>
        <v/>
      </c>
      <c r="C21" s="21" t="str">
        <f>IFERROR(INDEX(OSS[Número OS],INT((ROW()-ROW($C$1)-1)/1)+1,1),"")</f>
        <v/>
      </c>
      <c r="D21" s="52" t="str">
        <f>IF(C21="","",VLOOKUP(C21,OSS[],MATCH("Data Situação",OSS[#Headers],0),FALSE))</f>
        <v/>
      </c>
      <c r="E21" s="21">
        <f t="shared" ca="1" si="3"/>
        <v>1</v>
      </c>
    </row>
    <row r="22" spans="1:5" x14ac:dyDescent="0.25">
      <c r="A22" s="21" t="str">
        <f t="shared" ca="1" si="2"/>
        <v/>
      </c>
      <c r="B22" s="21" t="str">
        <f>IF(C22="","",IF(YEAR(OSMês[[#This Row],[Data Situação]])&amp;TEXT(MONTH(OSMês[[#This Row],[Data Situação]]),"00")=$H$1,C22,""))</f>
        <v/>
      </c>
      <c r="C22" s="21" t="str">
        <f>IFERROR(INDEX(OSS[Número OS],INT((ROW()-ROW($C$1)-1)/1)+1,1),"")</f>
        <v/>
      </c>
      <c r="D22" s="52" t="str">
        <f>IF(C22="","",VLOOKUP(C22,OSS[],MATCH("Data Situação",OSS[#Headers],0),FALSE))</f>
        <v/>
      </c>
      <c r="E22" s="21">
        <f t="shared" ca="1" si="3"/>
        <v>1</v>
      </c>
    </row>
    <row r="23" spans="1:5" x14ac:dyDescent="0.25">
      <c r="A23" s="21" t="str">
        <f t="shared" ca="1" si="2"/>
        <v/>
      </c>
      <c r="B23" s="21" t="str">
        <f>IF(C23="","",IF(YEAR(OSMês[[#This Row],[Data Situação]])&amp;TEXT(MONTH(OSMês[[#This Row],[Data Situação]]),"00")=$H$1,C23,""))</f>
        <v/>
      </c>
      <c r="C23" s="21" t="str">
        <f>IFERROR(INDEX(OSS[Número OS],INT((ROW()-ROW($C$1)-1)/1)+1,1),"")</f>
        <v/>
      </c>
      <c r="D23" s="52" t="str">
        <f>IF(C23="","",VLOOKUP(C23,OSS[],MATCH("Data Situação",OSS[#Headers],0),FALSE))</f>
        <v/>
      </c>
      <c r="E23" s="21">
        <f t="shared" ca="1" si="3"/>
        <v>1</v>
      </c>
    </row>
    <row r="24" spans="1:5" x14ac:dyDescent="0.25">
      <c r="A24" s="21" t="str">
        <f t="shared" ca="1" si="2"/>
        <v/>
      </c>
      <c r="B24" s="21" t="str">
        <f>IF(C24="","",IF(YEAR(OSMês[[#This Row],[Data Situação]])&amp;TEXT(MONTH(OSMês[[#This Row],[Data Situação]]),"00")=$H$1,C24,""))</f>
        <v/>
      </c>
      <c r="C24" s="21" t="str">
        <f>IFERROR(INDEX(OSS[Número OS],INT((ROW()-ROW($C$1)-1)/1)+1,1),"")</f>
        <v/>
      </c>
      <c r="D24" s="52" t="str">
        <f>IF(C24="","",VLOOKUP(C24,OSS[],MATCH("Data Situação",OSS[#Headers],0),FALSE))</f>
        <v/>
      </c>
      <c r="E24" s="21">
        <f t="shared" ca="1" si="3"/>
        <v>1</v>
      </c>
    </row>
    <row r="25" spans="1:5" x14ac:dyDescent="0.25">
      <c r="A25" s="21" t="str">
        <f t="shared" ca="1" si="2"/>
        <v/>
      </c>
      <c r="B25" s="21" t="str">
        <f>IF(C25="","",IF(YEAR(OSMês[[#This Row],[Data Situação]])&amp;TEXT(MONTH(OSMês[[#This Row],[Data Situação]]),"00")=$H$1,C25,""))</f>
        <v/>
      </c>
      <c r="C25" s="21" t="str">
        <f>IFERROR(INDEX(OSS[Número OS],INT((ROW()-ROW($C$1)-1)/1)+1,1),"")</f>
        <v/>
      </c>
      <c r="D25" s="52" t="str">
        <f>IF(C25="","",VLOOKUP(C25,OSS[],MATCH("Data Situação",OSS[#Headers],0),FALSE))</f>
        <v/>
      </c>
      <c r="E25" s="21">
        <f t="shared" ca="1" si="3"/>
        <v>1</v>
      </c>
    </row>
    <row r="26" spans="1:5" x14ac:dyDescent="0.25">
      <c r="A26" s="21" t="str">
        <f t="shared" ca="1" si="2"/>
        <v/>
      </c>
      <c r="B26" s="21" t="str">
        <f>IF(C26="","",IF(YEAR(OSMês[[#This Row],[Data Situação]])&amp;TEXT(MONTH(OSMês[[#This Row],[Data Situação]]),"00")=$H$1,C26,""))</f>
        <v/>
      </c>
      <c r="C26" s="21" t="str">
        <f>IFERROR(INDEX(OSS[Número OS],INT((ROW()-ROW($C$1)-1)/1)+1,1),"")</f>
        <v/>
      </c>
      <c r="D26" s="52" t="str">
        <f>IF(C26="","",VLOOKUP(C26,OSS[],MATCH("Data Situação",OSS[#Headers],0),FALSE))</f>
        <v/>
      </c>
      <c r="E26" s="21">
        <f t="shared" ca="1" si="3"/>
        <v>1</v>
      </c>
    </row>
    <row r="27" spans="1:5" x14ac:dyDescent="0.25">
      <c r="A27" s="21" t="str">
        <f t="shared" ca="1" si="2"/>
        <v/>
      </c>
      <c r="B27" s="21" t="str">
        <f>IF(C27="","",IF(YEAR(OSMês[[#This Row],[Data Situação]])&amp;TEXT(MONTH(OSMês[[#This Row],[Data Situação]]),"00")=$H$1,C27,""))</f>
        <v/>
      </c>
      <c r="C27" s="21" t="str">
        <f>IFERROR(INDEX(OSS[Número OS],INT((ROW()-ROW($C$1)-1)/1)+1,1),"")</f>
        <v/>
      </c>
      <c r="D27" s="52" t="str">
        <f>IF(C27="","",VLOOKUP(C27,OSS[],MATCH("Data Situação",OSS[#Headers],0),FALSE))</f>
        <v/>
      </c>
      <c r="E27" s="21">
        <f t="shared" ca="1" si="3"/>
        <v>1</v>
      </c>
    </row>
    <row r="28" spans="1:5" x14ac:dyDescent="0.25">
      <c r="A28" s="21" t="str">
        <f t="shared" ca="1" si="2"/>
        <v/>
      </c>
      <c r="B28" s="21" t="str">
        <f>IF(C28="","",IF(YEAR(OSMês[[#This Row],[Data Situação]])&amp;TEXT(MONTH(OSMês[[#This Row],[Data Situação]]),"00")=$H$1,C28,""))</f>
        <v/>
      </c>
      <c r="C28" s="21" t="str">
        <f>IFERROR(INDEX(OSS[Número OS],INT((ROW()-ROW($C$1)-1)/1)+1,1),"")</f>
        <v/>
      </c>
      <c r="D28" s="52" t="str">
        <f>IF(C28="","",VLOOKUP(C28,OSS[],MATCH("Data Situação",OSS[#Headers],0),FALSE))</f>
        <v/>
      </c>
      <c r="E28" s="21">
        <f t="shared" ca="1" si="3"/>
        <v>1</v>
      </c>
    </row>
    <row r="29" spans="1:5" x14ac:dyDescent="0.25">
      <c r="A29" s="21" t="str">
        <f t="shared" ca="1" si="2"/>
        <v/>
      </c>
      <c r="B29" s="21" t="str">
        <f>IF(C29="","",IF(YEAR(OSMês[[#This Row],[Data Situação]])&amp;TEXT(MONTH(OSMês[[#This Row],[Data Situação]]),"00")=$H$1,C29,""))</f>
        <v/>
      </c>
      <c r="C29" s="21" t="str">
        <f>IFERROR(INDEX(OSS[Número OS],INT((ROW()-ROW($C$1)-1)/1)+1,1),"")</f>
        <v/>
      </c>
      <c r="D29" s="52" t="str">
        <f>IF(C29="","",VLOOKUP(C29,OSS[],MATCH("Data Situação",OSS[#Headers],0),FALSE))</f>
        <v/>
      </c>
      <c r="E29" s="21">
        <f t="shared" ca="1" si="3"/>
        <v>1</v>
      </c>
    </row>
    <row r="30" spans="1:5" x14ac:dyDescent="0.25">
      <c r="A30" s="21" t="str">
        <f t="shared" ca="1" si="2"/>
        <v/>
      </c>
      <c r="B30" s="21" t="str">
        <f>IF(C30="","",IF(YEAR(OSMês[[#This Row],[Data Situação]])&amp;TEXT(MONTH(OSMês[[#This Row],[Data Situação]]),"00")=$H$1,C30,""))</f>
        <v/>
      </c>
      <c r="C30" s="21" t="str">
        <f>IFERROR(INDEX(OSS[Número OS],INT((ROW()-ROW($C$1)-1)/1)+1,1),"")</f>
        <v/>
      </c>
      <c r="D30" s="52" t="str">
        <f>IF(C30="","",VLOOKUP(C30,OSS[],MATCH("Data Situação",OSS[#Headers],0),FALSE))</f>
        <v/>
      </c>
      <c r="E30" s="21">
        <f t="shared" ca="1" si="3"/>
        <v>1</v>
      </c>
    </row>
  </sheetData>
  <dataValidations count="1">
    <dataValidation type="list" allowBlank="1" showInputMessage="1" showErrorMessage="1" sqref="G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3" sqref="A3"/>
    </sheetView>
  </sheetViews>
  <sheetFormatPr defaultRowHeight="15" x14ac:dyDescent="0.25"/>
  <cols>
    <col min="1" max="1" width="21.42578125" customWidth="1"/>
  </cols>
  <sheetData>
    <row r="1" spans="1:1" x14ac:dyDescent="0.25">
      <c r="A1" t="s">
        <v>73</v>
      </c>
    </row>
    <row r="3" spans="1:1" x14ac:dyDescent="0.25">
      <c r="A3" t="s">
        <v>74</v>
      </c>
    </row>
    <row r="4" spans="1:1" x14ac:dyDescent="0.25">
      <c r="A4" t="s">
        <v>102</v>
      </c>
    </row>
    <row r="5" spans="1:1" x14ac:dyDescent="0.25">
      <c r="A5" t="s">
        <v>75</v>
      </c>
    </row>
    <row r="6" spans="1:1" x14ac:dyDescent="0.25">
      <c r="A6" t="s">
        <v>136</v>
      </c>
    </row>
    <row r="7" spans="1:1" x14ac:dyDescent="0.25">
      <c r="A7" t="s">
        <v>77</v>
      </c>
    </row>
    <row r="8" spans="1:1" x14ac:dyDescent="0.25">
      <c r="A8" t="s">
        <v>76</v>
      </c>
    </row>
    <row r="9" spans="1:1" x14ac:dyDescent="0.25">
      <c r="A9" t="s">
        <v>81</v>
      </c>
    </row>
    <row r="10" spans="1:1" x14ac:dyDescent="0.25">
      <c r="A10" t="s">
        <v>103</v>
      </c>
    </row>
    <row r="11" spans="1:1" x14ac:dyDescent="0.25">
      <c r="A11" t="s">
        <v>78</v>
      </c>
    </row>
    <row r="12" spans="1:1" x14ac:dyDescent="0.25">
      <c r="A12" t="s">
        <v>104</v>
      </c>
    </row>
    <row r="13" spans="1:1" x14ac:dyDescent="0.25">
      <c r="A13" t="s">
        <v>79</v>
      </c>
    </row>
    <row r="14" spans="1:1" x14ac:dyDescent="0.25">
      <c r="A14" t="s">
        <v>80</v>
      </c>
    </row>
    <row r="15" spans="1:1" x14ac:dyDescent="0.25">
      <c r="A15" t="s">
        <v>91</v>
      </c>
    </row>
    <row r="16" spans="1:1" x14ac:dyDescent="0.25">
      <c r="A16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26</vt:i4>
      </vt:variant>
    </vt:vector>
  </HeadingPairs>
  <TitlesOfParts>
    <vt:vector size="32" baseType="lpstr">
      <vt:lpstr>OS</vt:lpstr>
      <vt:lpstr>Mensal</vt:lpstr>
      <vt:lpstr>SLA</vt:lpstr>
      <vt:lpstr>Tipos de OS</vt:lpstr>
      <vt:lpstr>ControleOSsMês</vt:lpstr>
      <vt:lpstr>Situação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2016-04-04T14:42:28Z</cp:lastPrinted>
  <dcterms:created xsi:type="dcterms:W3CDTF">2016-03-02T20:01:01Z</dcterms:created>
  <dcterms:modified xsi:type="dcterms:W3CDTF">2016-05-03T17:33:15Z</dcterms:modified>
</cp:coreProperties>
</file>