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Mensal!$A$2:$AG$49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3" l="1"/>
  <c r="E7" i="13"/>
  <c r="E6" i="13"/>
  <c r="E5" i="13"/>
  <c r="E4" i="13"/>
  <c r="Y2" i="4"/>
  <c r="Y10" i="4"/>
  <c r="Y9" i="4"/>
  <c r="Y7" i="4"/>
  <c r="Y8" i="4" l="1"/>
  <c r="Y3" i="4" l="1"/>
  <c r="Y4" i="4"/>
  <c r="Y6" i="4" l="1"/>
  <c r="Y5" i="4" l="1"/>
  <c r="O5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B14" i="7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AD17" i="5" s="1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AB13" i="5" s="1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E17" i="5" l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I16" i="5"/>
  <c r="J16" i="5" s="1"/>
  <c r="K16" i="5" s="1"/>
  <c r="M16" i="5" s="1"/>
  <c r="N16" i="5" s="1"/>
  <c r="L19" i="5"/>
  <c r="K19" i="5" s="1"/>
  <c r="L16" i="5"/>
  <c r="H16" i="5"/>
  <c r="L18" i="5"/>
  <c r="X17" i="5"/>
  <c r="X18" i="5" s="1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U23" i="5" l="1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AD28" i="5"/>
  <c r="AE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B33" i="5" l="1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AD33" i="5" s="1"/>
  <c r="AE33" i="5" s="1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P13" i="5" l="1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5" i="5" l="1"/>
  <c r="A35" i="5"/>
  <c r="A50" i="5"/>
  <c r="A40" i="5"/>
  <c r="A31" i="7"/>
  <c r="A150" i="5" s="1"/>
  <c r="B8" i="12"/>
  <c r="A110" i="5" l="1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65" i="5"/>
  <c r="A95" i="5"/>
  <c r="A115" i="5"/>
  <c r="A90" i="5"/>
  <c r="B89" i="5"/>
  <c r="P86" i="5"/>
  <c r="R85" i="5"/>
  <c r="L87" i="5"/>
  <c r="F85" i="5"/>
  <c r="O88" i="5"/>
  <c r="K87" i="5"/>
  <c r="B86" i="5"/>
  <c r="AB86" i="5"/>
  <c r="AE87" i="5"/>
  <c r="E86" i="5"/>
  <c r="D86" i="5" s="1"/>
  <c r="AA85" i="5"/>
  <c r="I87" i="5"/>
  <c r="AA88" i="5"/>
  <c r="O86" i="5"/>
  <c r="J87" i="5"/>
  <c r="G87" i="5"/>
  <c r="AC86" i="5"/>
  <c r="AB87" i="5"/>
  <c r="F86" i="5"/>
  <c r="D85" i="5"/>
  <c r="B85" i="5"/>
  <c r="AA86" i="5"/>
  <c r="H87" i="5"/>
  <c r="AF86" i="5"/>
  <c r="Q85" i="5"/>
  <c r="G85" i="5"/>
  <c r="O87" i="5"/>
  <c r="AD86" i="5"/>
  <c r="B88" i="5"/>
  <c r="D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D46" i="5" s="1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AB53" i="5" s="1"/>
  <c r="B52" i="5"/>
  <c r="D52" i="5"/>
  <c r="E50" i="5"/>
  <c r="O53" i="5"/>
  <c r="A100" i="5"/>
  <c r="A140" i="5"/>
  <c r="B10" i="12"/>
  <c r="B11" i="12"/>
  <c r="B12" i="12"/>
  <c r="A12" i="12" s="1"/>
  <c r="B13" i="12"/>
  <c r="A13" i="12" s="1"/>
  <c r="B9" i="12"/>
  <c r="B15" i="12"/>
  <c r="A15" i="12" s="1"/>
  <c r="B14" i="12"/>
  <c r="C14" i="12" s="1"/>
  <c r="AD47" i="5" l="1"/>
  <c r="AC43" i="5"/>
  <c r="AE86" i="5"/>
  <c r="AF87" i="5"/>
  <c r="AD87" i="5"/>
  <c r="AC87" i="5"/>
  <c r="C89" i="5"/>
  <c r="K88" i="5"/>
  <c r="P87" i="5"/>
  <c r="D87" i="5"/>
  <c r="B87" i="5"/>
  <c r="AB43" i="5"/>
  <c r="AE46" i="5"/>
  <c r="AE47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AE57" i="5"/>
  <c r="R55" i="5"/>
  <c r="L57" i="5"/>
  <c r="F55" i="5"/>
  <c r="B57" i="5"/>
  <c r="O58" i="5"/>
  <c r="AF56" i="5"/>
  <c r="B55" i="5"/>
  <c r="AA56" i="5"/>
  <c r="AD57" i="5"/>
  <c r="D55" i="5"/>
  <c r="K58" i="5"/>
  <c r="E56" i="5"/>
  <c r="D56" i="5" s="1"/>
  <c r="P57" i="5"/>
  <c r="AA55" i="5"/>
  <c r="I57" i="5"/>
  <c r="AA58" i="5"/>
  <c r="K57" i="5"/>
  <c r="G55" i="5"/>
  <c r="AE56" i="5"/>
  <c r="D58" i="5"/>
  <c r="AB56" i="5"/>
  <c r="C59" i="5"/>
  <c r="AC56" i="5"/>
  <c r="AB57" i="5"/>
  <c r="F56" i="5"/>
  <c r="AC57" i="5"/>
  <c r="Q55" i="5"/>
  <c r="O57" i="5"/>
  <c r="B56" i="5"/>
  <c r="D57" i="5"/>
  <c r="G57" i="5"/>
  <c r="AD56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AB73" i="5" s="1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AC88" i="5"/>
  <c r="AB88" i="5"/>
  <c r="Y87" i="5"/>
  <c r="Y88" i="5" s="1"/>
  <c r="Y86" i="5"/>
  <c r="AG86" i="5" s="1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AD43" i="5"/>
  <c r="AE43" i="5" s="1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D89" i="5"/>
  <c r="AE88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E61" i="5"/>
  <c r="D61" i="5" s="1"/>
  <c r="P62" i="5"/>
  <c r="G60" i="5"/>
  <c r="AE61" i="5"/>
  <c r="D63" i="5"/>
  <c r="AA60" i="5"/>
  <c r="I62" i="5"/>
  <c r="AA63" i="5"/>
  <c r="AB61" i="5"/>
  <c r="O62" i="5"/>
  <c r="C64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D61" i="5"/>
  <c r="AE62" i="5"/>
  <c r="AA61" i="5"/>
  <c r="B63" i="5"/>
  <c r="R60" i="5"/>
  <c r="AD62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8" i="5"/>
  <c r="AE38" i="5" s="1"/>
  <c r="AD37" i="5"/>
  <c r="AE37" i="5" s="1"/>
  <c r="R87" i="5"/>
  <c r="R88" i="5" s="1"/>
  <c r="U87" i="5"/>
  <c r="U88" i="5" s="1"/>
  <c r="T87" i="5"/>
  <c r="T88" i="5" s="1"/>
  <c r="W87" i="5"/>
  <c r="W88" i="5" s="1"/>
  <c r="V87" i="5"/>
  <c r="V88" i="5" s="1"/>
  <c r="S87" i="5"/>
  <c r="S88" i="5" s="1"/>
  <c r="M87" i="5"/>
  <c r="N87" i="5" s="1"/>
  <c r="B69" i="5"/>
  <c r="Q65" i="5"/>
  <c r="G67" i="5"/>
  <c r="AE67" i="5"/>
  <c r="R65" i="5"/>
  <c r="L67" i="5"/>
  <c r="F65" i="5"/>
  <c r="B67" i="5"/>
  <c r="O68" i="5"/>
  <c r="B66" i="5"/>
  <c r="D67" i="5"/>
  <c r="P66" i="5"/>
  <c r="K67" i="5"/>
  <c r="K68" i="5"/>
  <c r="E66" i="5"/>
  <c r="D66" i="5" s="1"/>
  <c r="P67" i="5"/>
  <c r="AA65" i="5"/>
  <c r="I67" i="5"/>
  <c r="AA68" i="5"/>
  <c r="O66" i="5"/>
  <c r="J67" i="5"/>
  <c r="AB66" i="5"/>
  <c r="O67" i="5"/>
  <c r="C69" i="5"/>
  <c r="AC66" i="5"/>
  <c r="AB67" i="5"/>
  <c r="F66" i="5"/>
  <c r="AC67" i="5"/>
  <c r="B65" i="5"/>
  <c r="AA66" i="5"/>
  <c r="AD67" i="5"/>
  <c r="AF66" i="5"/>
  <c r="AF67" i="5"/>
  <c r="AE66" i="5"/>
  <c r="AA67" i="5"/>
  <c r="AD66" i="5"/>
  <c r="D68" i="5"/>
  <c r="E65" i="5"/>
  <c r="B68" i="5"/>
  <c r="D65" i="5"/>
  <c r="H67" i="5"/>
  <c r="G65" i="5"/>
  <c r="W152" i="5"/>
  <c r="W153" i="5" s="1"/>
  <c r="S152" i="5"/>
  <c r="S153" i="5" s="1"/>
  <c r="V152" i="5"/>
  <c r="V153" i="5" s="1"/>
  <c r="M152" i="5"/>
  <c r="N152" i="5" s="1"/>
  <c r="AB153" i="5"/>
  <c r="AD153" i="5" s="1"/>
  <c r="C15" i="12"/>
  <c r="D15" i="12"/>
  <c r="C12" i="12"/>
  <c r="D12" i="12"/>
  <c r="C13" i="12"/>
  <c r="D13" i="12"/>
  <c r="D14" i="12"/>
  <c r="A14" i="12"/>
  <c r="C7" i="12"/>
  <c r="AB143" i="5" l="1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W66" i="5"/>
  <c r="Z66" i="5"/>
  <c r="U66" i="5"/>
  <c r="S66" i="5"/>
  <c r="V66" i="5"/>
  <c r="Q66" i="5"/>
  <c r="G66" i="5"/>
  <c r="R66" i="5"/>
  <c r="X66" i="5"/>
  <c r="Z67" i="5"/>
  <c r="Z68" i="5" s="1"/>
  <c r="Q67" i="5"/>
  <c r="Q68" i="5" s="1"/>
  <c r="X67" i="5"/>
  <c r="X68" i="5" s="1"/>
  <c r="T66" i="5"/>
  <c r="AC68" i="5"/>
  <c r="R67" i="5"/>
  <c r="R68" i="5" s="1"/>
  <c r="U67" i="5"/>
  <c r="U68" i="5" s="1"/>
  <c r="T67" i="5"/>
  <c r="T68" i="5" s="1"/>
  <c r="V67" i="5"/>
  <c r="V68" i="5" s="1"/>
  <c r="M67" i="5"/>
  <c r="N67" i="5" s="1"/>
  <c r="W67" i="5"/>
  <c r="W68" i="5" s="1"/>
  <c r="S67" i="5"/>
  <c r="S68" i="5" s="1"/>
  <c r="Y66" i="5"/>
  <c r="AG66" i="5" s="1"/>
  <c r="Y67" i="5"/>
  <c r="Y68" i="5" s="1"/>
  <c r="R62" i="5"/>
  <c r="R63" i="5" s="1"/>
  <c r="T62" i="5"/>
  <c r="T63" i="5" s="1"/>
  <c r="U62" i="5"/>
  <c r="U63" i="5" s="1"/>
  <c r="AB63" i="5"/>
  <c r="AD63" i="5" s="1"/>
  <c r="U82" i="5"/>
  <c r="U83" i="5" s="1"/>
  <c r="R82" i="5"/>
  <c r="R83" i="5" s="1"/>
  <c r="T82" i="5"/>
  <c r="T83" i="5" s="1"/>
  <c r="AB83" i="5"/>
  <c r="AD83" i="5" s="1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AD88" i="5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AE68" i="5"/>
  <c r="D69" i="5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Q61" i="5"/>
  <c r="Z61" i="5"/>
  <c r="G61" i="5"/>
  <c r="X61" i="5"/>
  <c r="V61" i="5"/>
  <c r="Z62" i="5"/>
  <c r="Z63" i="5" s="1"/>
  <c r="X62" i="5"/>
  <c r="X63" i="5" s="1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AD143" i="5" s="1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E58" i="5"/>
  <c r="D59" i="5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AD73" i="5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Z57" i="5"/>
  <c r="Z58" i="5" s="1"/>
  <c r="R56" i="5"/>
  <c r="W56" i="5"/>
  <c r="Q57" i="5"/>
  <c r="Q58" i="5" s="1"/>
  <c r="X57" i="5"/>
  <c r="X58" i="5" s="1"/>
  <c r="Z56" i="5"/>
  <c r="S56" i="5"/>
  <c r="U56" i="5"/>
  <c r="G56" i="5"/>
  <c r="V56" i="5"/>
  <c r="Q56" i="5"/>
  <c r="X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AB68" i="5"/>
  <c r="X42" i="5"/>
  <c r="X43" i="5" s="1"/>
  <c r="X41" i="5"/>
  <c r="Y61" i="5"/>
  <c r="AG61" i="5" s="1"/>
  <c r="Y62" i="5"/>
  <c r="Y63" i="5" s="1"/>
  <c r="D64" i="5"/>
  <c r="AE63" i="5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P8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AD93" i="5" l="1"/>
  <c r="AD58" i="5"/>
  <c r="AD123" i="5"/>
  <c r="AD78" i="5"/>
  <c r="AD103" i="5"/>
  <c r="AD108" i="5"/>
  <c r="AD6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P58" i="5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63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P68" i="5"/>
  <c r="L68" i="5"/>
  <c r="I66" i="5"/>
  <c r="J66" i="5" s="1"/>
  <c r="K66" i="5" s="1"/>
  <c r="M66" i="5" s="1"/>
  <c r="N66" i="5" s="1"/>
  <c r="L66" i="5"/>
  <c r="L69" i="5"/>
  <c r="K69" i="5" s="1"/>
  <c r="H66" i="5"/>
  <c r="A7" i="12"/>
  <c r="Z48" i="5" l="1"/>
  <c r="Q38" i="5"/>
  <c r="Q53" i="5"/>
  <c r="Z53" i="5"/>
  <c r="Q43" i="5"/>
  <c r="Z43" i="5"/>
  <c r="Z38" i="5"/>
  <c r="Q48" i="5"/>
  <c r="P48" i="5" l="1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10" i="12" l="1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B4" i="8" s="1"/>
  <c r="E12" i="12"/>
  <c r="E13" i="12" s="1"/>
  <c r="E14" i="12" s="1"/>
  <c r="E15" i="12" s="1"/>
  <c r="J4" i="8" l="1"/>
  <c r="F4" i="8"/>
  <c r="E4" i="8"/>
  <c r="L4" i="8"/>
  <c r="C4" i="8"/>
  <c r="K4" i="8" s="1"/>
  <c r="G4" i="8"/>
  <c r="A4" i="8"/>
  <c r="H4" i="8"/>
  <c r="I4" i="8"/>
  <c r="D4" i="8"/>
  <c r="B14" i="8"/>
  <c r="B11" i="8"/>
  <c r="B10" i="8"/>
  <c r="B13" i="8"/>
  <c r="B17" i="8"/>
  <c r="B15" i="8"/>
  <c r="B16" i="8"/>
  <c r="B8" i="8"/>
  <c r="B9" i="8"/>
  <c r="B12" i="8"/>
  <c r="B7" i="8"/>
  <c r="B6" i="8"/>
  <c r="B5" i="8"/>
  <c r="D12" i="8" l="1"/>
  <c r="A12" i="8"/>
  <c r="F12" i="8"/>
  <c r="L12" i="8"/>
  <c r="G12" i="8"/>
  <c r="J12" i="8"/>
  <c r="H12" i="8"/>
  <c r="C12" i="8"/>
  <c r="K12" i="8" s="1"/>
  <c r="E12" i="8"/>
  <c r="I12" i="8"/>
  <c r="K15" i="8"/>
  <c r="A15" i="8"/>
  <c r="F15" i="8"/>
  <c r="I15" i="8"/>
  <c r="J15" i="8"/>
  <c r="L15" i="8" s="1"/>
  <c r="E15" i="8"/>
  <c r="H15" i="8"/>
  <c r="G15" i="8"/>
  <c r="C15" i="8"/>
  <c r="D15" i="8"/>
  <c r="A11" i="8"/>
  <c r="G11" i="8"/>
  <c r="E11" i="8"/>
  <c r="D11" i="8"/>
  <c r="I11" i="8"/>
  <c r="C11" i="8"/>
  <c r="H11" i="8"/>
  <c r="K11" i="8"/>
  <c r="L11" i="8" s="1"/>
  <c r="F11" i="8"/>
  <c r="J11" i="8"/>
  <c r="E5" i="8"/>
  <c r="G5" i="8"/>
  <c r="F5" i="8"/>
  <c r="A5" i="8"/>
  <c r="J5" i="8"/>
  <c r="L5" i="8"/>
  <c r="C5" i="8"/>
  <c r="K5" i="8" s="1"/>
  <c r="I5" i="8"/>
  <c r="H5" i="8"/>
  <c r="D5" i="8"/>
  <c r="F9" i="8"/>
  <c r="C9" i="8"/>
  <c r="K9" i="8" s="1"/>
  <c r="J9" i="8"/>
  <c r="A9" i="8"/>
  <c r="E9" i="8"/>
  <c r="G9" i="8"/>
  <c r="I9" i="8"/>
  <c r="L9" i="8"/>
  <c r="D9" i="8"/>
  <c r="H9" i="8"/>
  <c r="A17" i="8"/>
  <c r="G17" i="8"/>
  <c r="I17" i="8"/>
  <c r="L17" i="8"/>
  <c r="H17" i="8"/>
  <c r="E17" i="8"/>
  <c r="C17" i="8"/>
  <c r="D17" i="8"/>
  <c r="J17" i="8"/>
  <c r="K17" i="8"/>
  <c r="F17" i="8"/>
  <c r="K14" i="8"/>
  <c r="H14" i="8"/>
  <c r="E14" i="8"/>
  <c r="J14" i="8"/>
  <c r="L14" i="8" s="1"/>
  <c r="D14" i="8"/>
  <c r="C14" i="8"/>
  <c r="G14" i="8"/>
  <c r="I14" i="8"/>
  <c r="A14" i="8"/>
  <c r="F14" i="8"/>
  <c r="G6" i="8"/>
  <c r="F6" i="8"/>
  <c r="J6" i="8"/>
  <c r="A6" i="8"/>
  <c r="C6" i="8"/>
  <c r="K6" i="8" s="1"/>
  <c r="E6" i="8"/>
  <c r="H6" i="8"/>
  <c r="L6" i="8"/>
  <c r="I6" i="8"/>
  <c r="D6" i="8"/>
  <c r="J8" i="8"/>
  <c r="D8" i="8"/>
  <c r="F8" i="8"/>
  <c r="H8" i="8"/>
  <c r="E8" i="8"/>
  <c r="C8" i="8"/>
  <c r="K8" i="8" s="1"/>
  <c r="L8" i="8" s="1"/>
  <c r="G8" i="8"/>
  <c r="A8" i="8"/>
  <c r="I8" i="8"/>
  <c r="H13" i="8"/>
  <c r="K13" i="8"/>
  <c r="F13" i="8"/>
  <c r="G13" i="8"/>
  <c r="J13" i="8"/>
  <c r="L13" i="8" s="1"/>
  <c r="D13" i="8"/>
  <c r="C13" i="8"/>
  <c r="A13" i="8"/>
  <c r="E13" i="8"/>
  <c r="I13" i="8"/>
  <c r="J7" i="8"/>
  <c r="G7" i="8"/>
  <c r="H7" i="8"/>
  <c r="E7" i="8"/>
  <c r="F7" i="8"/>
  <c r="C7" i="8"/>
  <c r="K7" i="8" s="1"/>
  <c r="L7" i="8" s="1"/>
  <c r="D7" i="8"/>
  <c r="I7" i="8"/>
  <c r="A7" i="8"/>
  <c r="C16" i="8"/>
  <c r="K16" i="8" s="1"/>
  <c r="E16" i="8"/>
  <c r="L16" i="8"/>
  <c r="H16" i="8"/>
  <c r="A16" i="8"/>
  <c r="G16" i="8"/>
  <c r="D16" i="8"/>
  <c r="I16" i="8"/>
  <c r="F16" i="8"/>
  <c r="J16" i="8"/>
  <c r="F10" i="8"/>
  <c r="C10" i="8"/>
  <c r="K10" i="8"/>
  <c r="L10" i="8" s="1"/>
  <c r="G10" i="8"/>
  <c r="J10" i="8"/>
  <c r="A10" i="8"/>
  <c r="H10" i="8"/>
  <c r="I10" i="8"/>
  <c r="D10" i="8"/>
  <c r="E10" i="8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<sst xmlns="http://schemas.openxmlformats.org/spreadsheetml/2006/main" count="280" uniqueCount="212">
  <si>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</si>
  <si>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</si>
  <si>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</si>
  <si>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</si>
  <si>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</si>
  <si>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</si>
  <si>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</si>
  <si>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</si>
  <si>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</si>
  <si>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</si>
  <si>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</si>
  <si>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</si>
  <si>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</si>
  <si>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</si>
  <si>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</si>
  <si>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</si>
  <si>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</si>
  <si>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</si>
  <si>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</si>
  <si>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</si>
  <si>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</si>
  <si>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</si>
  <si>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</si>
  <si>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</si>
  <si>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</si>
  <si>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</si>
  <si>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</si>
  <si>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</si>
  <si>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</si>
  <si>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</si>
  <si>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</si>
  <si>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</si>
  <si>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</si>
  <si>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</si>
  <si>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</si>
  <si>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</si>
  <si>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</si>
  <si>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</si>
  <si>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</si>
  <si>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</si>
  <si>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</si>
  <si>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</si>
  <si>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</si>
  <si>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</si>
  <si>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</si>
  <si>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</si>
  <si>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</si>
  <si>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</si>
  <si>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</si>
  <si>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</si>
  <si>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</si>
  <si>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</si>
  <si>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</si>
  <si>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</si>
  <si>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</si>
  <si>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</si>
  <si>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</si>
  <si>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</si>
  <si>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</si>
  <si>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</si>
  <si>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</si>
  <si>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</si>
  <si>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</si>
  <si>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</si>
  <si>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</si>
  <si>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</si>
  <si>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</si>
  <si>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</si>
  <si>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</si>
  <si>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</si>
  <si>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</si>
  <si>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</si>
  <si>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</si>
  <si>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</si>
  <si>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</si>
  <si>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</si>
  <si>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</si>
  <si>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</si>
  <si>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</si>
  <si>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</si>
  <si>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</si>
  <si>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</si>
  <si>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</si>
  <si>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</si>
  <si>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</si>
  <si>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</si>
  <si>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</si>
  <si>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</si>
  <si>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</si>
  <si>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</si>
  <si>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</si>
  <si>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</si>
  <si>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</si>
  <si>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</si>
  <si>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</si>
  <si>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</si>
  <si>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</si>
  <si>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</si>
  <si>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</si>
  <si>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</si>
  <si>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</si>
  <si>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</si>
  <si>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</si>
  <si>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</si>
  <si>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</si>
  <si>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</si>
  <si>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</si>
  <si>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</si>
  <si>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</si>
  <si>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</si>
  <si>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</si>
  <si>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</si>
  <si>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</si>
  <si>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</si>
  <si>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</si>
  <si>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</si>
  <si>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</si>
  <si>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</si>
  <si>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</si>
  <si>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</si>
  <si>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</si>
  <si>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</si>
  <si>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</si>
  <si>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</si>
  <si>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</si>
  <si>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</si>
  <si>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</si>
  <si>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</si>
  <si>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</si>
  <si>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</si>
  <si>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</si>
  <si>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</si>
  <si>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</si>
  <si>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</si>
  <si>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</si>
  <si>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</si>
  <si>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</si>
  <si>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</si>
  <si>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</si>
  <si>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</si>
  <si>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</si>
  <si>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</si>
  <si>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</si>
  <si>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</si>
  <si>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</si>
  <si>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</si>
  <si>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</si>
  <si>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</si>
  <si>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</si>
  <si>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</si>
  <si>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</si>
  <si>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</si>
  <si>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</si>
  <si>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</si>
  <si>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</si>
  <si>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</si>
  <si>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</si>
  <si>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</si>
  <si>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</si>
  <si>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</si>
  <si>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</si>
  <si>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</si>
  <si>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</si>
  <si>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</si>
  <si>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</si>
  <si>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</si>
  <si>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</si>
  <si>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</si>
  <si>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</si>
  <si>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</si>
  <si>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</si>
  <si>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</si>
  <si>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</si>
  <si>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</si>
  <si>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</si>
  <si>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</si>
  <si>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</si>
  <si>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</si>
  <si>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</si>
  <si>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</si>
  <si>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</si>
  <si>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</si>
  <si>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</si>
  <si>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</si>
  <si>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</si>
  <si>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</si>
  <si>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</si>
  <si>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</si>
  <si>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</si>
  <si>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</si>
  <si>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</si>
  <si>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</si>
  <si>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</si>
  <si>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</si>
  <si>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</si>
  <si>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</si>
  <si>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</si>
  <si>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</si>
  <si>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</si>
  <si>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</si>
  <si>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</si>
  <si>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</si>
  <si>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</si>
  <si>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</si>
  <si>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</si>
  <si>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</si>
  <si>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</si>
  <si>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</si>
  <si>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</si>
  <si>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</si>
  <si>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Recebida_</t>
  </si>
  <si>
    <t>Produto ECF - Subproduto Instalador e Atualizador de Versão do Agente Digital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</si>
</sst>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625" customWidth="1"/>
    <col min="2" max="2" width="42.625" bestFit="1" customWidth="1"/>
    <col min="3" max="3" width="15.875" bestFit="1" customWidth="1"/>
    <col min="4" max="5" width="14.25" bestFit="1" customWidth="1"/>
  </cols>
  <sheetData>
    <row r="1" spans="1:7" x14ac:dyDescent="0.25">
      <c r="C1" s="86">
        <f>C2*$G$1</f>
        <v>2159010</v>
      </c>
      <c r="D1" s="86">
        <f>D2*$G$1</f>
        <v>731430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1161</v>
      </c>
      <c r="E2" s="108">
        <f>SUM(Acumulado[PF Faturado])</f>
        <v>656.4</v>
      </c>
      <c r="F2" s="107">
        <f>C2-D2</f>
        <v>2266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224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0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408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625" customWidth="1"/>
    <col min="3" max="3" width="11.125" bestFit="1" customWidth="1"/>
    <col min="4" max="4" width="7.25" customWidth="1"/>
    <col min="5" max="7" width="15.875" bestFit="1" customWidth="1"/>
    <col min="8" max="8" width="16.1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>IF(FatCTL[[#This Row],[Número OS]]="","",IF(FatCTL[[#This Row],[0]]=E11,"",FatCTL[[#This Row],[0]]))</f>
        <v/>
      </c>
      <c r="B12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7" t="str">
        <f>IF(B12="","",IF(INDEX(Mensal!$A$5:$AG$154,MATCH(B12,Mensal!$A$5:$A$154,0)+4,3)="",0,INDEX(Mensal!$A$5:$AG$154,MATCH(B12,Mensal!$A$5:$A$154,0)+4,3)))</f>
        <v/>
      </c>
      <c r="E12" s="70">
        <f ca="1">IF(FatCTL[[#This Row],[Saldo em PF]]=0,E11,E11+1)</f>
        <v>1</v>
      </c>
    </row>
    <row r="13" spans="1:5" ht="15.75" x14ac:dyDescent="0.25">
      <c r="A13" s="71" t="str">
        <f>IF(FatCTL[[#This Row],[Número OS]]="","",IF(FatCTL[[#This Row],[0]]=E12,"",FatCTL[[#This Row],[0]]))</f>
        <v/>
      </c>
      <c r="B13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7" t="str">
        <f>IF(B13="","",IF(INDEX(Mensal!$A$5:$AG$154,MATCH(B13,Mensal!$A$5:$A$154,0)+4,3)="",0,INDEX(Mensal!$A$5:$AG$154,MATCH(B13,Mensal!$A$5:$A$154,0)+4,3)))</f>
        <v/>
      </c>
      <c r="E13" s="70">
        <f ca="1">IF(FatCTL[[#This Row],[Saldo em PF]]=0,E12,E12+1)</f>
        <v>2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3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13" sqref="A13"/>
    </sheetView>
  </sheetViews>
  <sheetFormatPr defaultRowHeight="15" x14ac:dyDescent="0.25"/>
  <cols>
    <col min="1" max="1" width="21.37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1" width="13.25" customWidth="1"/>
    <col min="2" max="2" width="16.25" customWidth="1"/>
    <col min="3" max="3" width="15.125" customWidth="1"/>
    <col min="4" max="4" width="7.25" customWidth="1"/>
    <col min="5" max="5" width="17.875" customWidth="1"/>
    <col min="6" max="6" width="23.625" customWidth="1"/>
    <col min="7" max="7" width="16.375" customWidth="1"/>
    <col min="8" max="8" width="15.125" customWidth="1"/>
    <col min="9" max="11" width="17.75" customWidth="1"/>
    <col min="12" max="12" width="20.375" customWidth="1"/>
    <col min="13" max="13" width="14.125" customWidth="1"/>
    <col min="14" max="14" width="13" customWidth="1"/>
    <col min="15" max="17" width="13.25" customWidth="1"/>
    <col min="18" max="18" width="25.875" customWidth="1"/>
    <col min="19" max="19" width="21.875" customWidth="1"/>
    <col min="20" max="20" width="21.25" customWidth="1"/>
    <col min="21" max="21" width="17.25" customWidth="1"/>
    <col min="22" max="22" width="27.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78</v>
      </c>
      <c r="C2" s="50">
        <v>42628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90+15</f>
        <v>105</v>
      </c>
    </row>
    <row r="3" spans="1:25" x14ac:dyDescent="0.25">
      <c r="A3" s="21">
        <v>4757</v>
      </c>
      <c r="B3" t="s">
        <v>78</v>
      </c>
      <c r="C3" s="50">
        <v>42639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42576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90+(VALUE("22/09/16")-VALUE("01/09/16")+1)-0</f>
        <v>112</v>
      </c>
    </row>
    <row r="4" spans="1:25" x14ac:dyDescent="0.25">
      <c r="A4" s="21">
        <v>4776</v>
      </c>
      <c r="B4" t="s">
        <v>210</v>
      </c>
      <c r="C4" s="50">
        <v>42628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/>
      <c r="S4" s="21"/>
      <c r="T4" s="21"/>
      <c r="U4" s="21"/>
      <c r="V4" s="21"/>
      <c r="W4" s="21"/>
      <c r="X4" s="21"/>
      <c r="Y4" s="21">
        <f>10+VALUE("17/08/16")-VALUE("18/07/16")+1+(VALUE("07/09/16")-VALUE("11/08/16"))</f>
        <v>68</v>
      </c>
    </row>
    <row r="5" spans="1:25" x14ac:dyDescent="0.25">
      <c r="A5" s="21">
        <v>4777</v>
      </c>
      <c r="B5" t="s">
        <v>78</v>
      </c>
      <c r="C5" s="50">
        <v>42643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42607</v>
      </c>
      <c r="L5" s="50">
        <v>42628</v>
      </c>
      <c r="M5" s="50"/>
      <c r="N5" s="21">
        <v>148</v>
      </c>
      <c r="O5" s="21">
        <f>153+OSS[[#This Row],[PF Alterado]]</f>
        <v>168.5</v>
      </c>
      <c r="P5" s="21">
        <v>15.5</v>
      </c>
      <c r="Q5" s="66">
        <v>134.80000000000001</v>
      </c>
      <c r="R5" s="21">
        <v>10</v>
      </c>
      <c r="S5" s="21">
        <v>4</v>
      </c>
      <c r="T5" s="21"/>
      <c r="U5" s="21"/>
      <c r="V5" s="21"/>
      <c r="W5" s="21"/>
      <c r="X5" s="21"/>
      <c r="Y5" s="21">
        <f>VALUE("09/08/16")-VALUE("20/07/16")+1+(VALUE("27/09/16")-VALUE("22/08/16"))</f>
        <v>57</v>
      </c>
    </row>
    <row r="6" spans="1:25" x14ac:dyDescent="0.25">
      <c r="A6" s="21">
        <v>4782</v>
      </c>
      <c r="B6" t="s">
        <v>210</v>
      </c>
      <c r="C6" s="50">
        <v>42628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42622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/>
      <c r="S6" s="21"/>
      <c r="T6" s="21"/>
      <c r="U6" s="21"/>
      <c r="V6" s="21"/>
      <c r="W6" s="21"/>
      <c r="X6" s="21"/>
      <c r="Y6" s="21">
        <f>VALUE("19/08/16")-VALUE("04/08/16")+1</f>
        <v>16</v>
      </c>
    </row>
    <row r="7" spans="1:25" x14ac:dyDescent="0.25">
      <c r="A7" s="21">
        <v>4797</v>
      </c>
      <c r="B7" t="s">
        <v>204</v>
      </c>
      <c r="C7" s="50">
        <v>42632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/>
      <c r="L7" s="50"/>
      <c r="M7" s="50"/>
      <c r="N7" s="21">
        <v>50</v>
      </c>
      <c r="O7" s="21"/>
      <c r="P7" s="21"/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</f>
        <v>72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</f>
        <v>42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(VALUE("04/10/16")-VALUE("22/08/16")+1)</f>
        <v>44</v>
      </c>
    </row>
    <row r="10" spans="1:25" x14ac:dyDescent="0.25">
      <c r="A10" s="21">
        <v>4810</v>
      </c>
      <c r="B10" t="s">
        <v>210</v>
      </c>
      <c r="C10" s="50">
        <v>42639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(VALUE("06/09/16")-VALUE("26/08/16")+1)+15</f>
        <v>27</v>
      </c>
    </row>
    <row r="11" spans="1:25" x14ac:dyDescent="0.25">
      <c r="A11" s="21">
        <v>4813</v>
      </c>
      <c r="B11" t="s">
        <v>136</v>
      </c>
      <c r="C11" s="50">
        <v>42633</v>
      </c>
      <c r="D11" t="s">
        <v>96</v>
      </c>
      <c r="E11" t="s">
        <v>187</v>
      </c>
      <c r="F11" t="s">
        <v>211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C12" s="50"/>
      <c r="G12" s="50"/>
      <c r="H12" s="50"/>
      <c r="I12" s="50"/>
      <c r="J12" s="50"/>
      <c r="K12" s="50"/>
      <c r="L12" s="50"/>
      <c r="M12" s="50"/>
      <c r="N12" s="21"/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C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1" sqref="I51"/>
    </sheetView>
  </sheetViews>
  <sheetFormatPr defaultRowHeight="15" x14ac:dyDescent="0.25"/>
  <cols>
    <col min="1" max="1" width="8.75" customWidth="1"/>
    <col min="2" max="2" width="20.125" customWidth="1"/>
    <col min="3" max="3" width="6.75" bestFit="1" customWidth="1"/>
    <col min="4" max="4" width="5.625" bestFit="1" customWidth="1"/>
    <col min="5" max="5" width="9.875" bestFit="1" customWidth="1"/>
    <col min="6" max="7" width="9.25" bestFit="1" customWidth="1"/>
    <col min="8" max="11" width="9.25" customWidth="1"/>
    <col min="12" max="12" width="9.25" bestFit="1" customWidth="1"/>
    <col min="13" max="14" width="9.25" customWidth="1"/>
    <col min="15" max="15" width="9.625" bestFit="1" customWidth="1"/>
    <col min="16" max="16" width="7.625" bestFit="1" customWidth="1"/>
    <col min="17" max="17" width="6.625" customWidth="1"/>
    <col min="18" max="23" width="5.625" customWidth="1"/>
    <col min="24" max="24" width="7.375" customWidth="1"/>
    <col min="25" max="26" width="5.625" customWidth="1"/>
    <col min="27" max="27" width="13.125" customWidth="1"/>
    <col min="28" max="30" width="3.875" customWidth="1"/>
    <col min="31" max="31" width="4.625" customWidth="1"/>
    <col min="32" max="33" width="5.75" customWidth="1"/>
  </cols>
  <sheetData>
    <row r="1" spans="1:33" ht="15.75" thickBot="1" x14ac:dyDescent="0.3">
      <c r="A1" s="60" t="s">
        <v>119</v>
      </c>
      <c r="B1" s="61">
        <v>42648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3" t="s">
        <v>82</v>
      </c>
      <c r="C3" s="113"/>
      <c r="D3" s="113"/>
      <c r="E3" s="113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Reentregue</v>
      </c>
      <c r="C5" s="114"/>
      <c r="D5" s="52" t="str">
        <f>IF(A5="","","em")</f>
        <v>em</v>
      </c>
      <c r="E5" s="56">
        <f>IF(A5="","",VLOOKUP(A5,OSS[],MATCH("Data Situação",OSS[#Headers],0),FALSE))</f>
        <v>42628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42620</v>
      </c>
      <c r="J6" s="20">
        <f>IF(I6="","",WORKDAY(IF(I7="",I6,IF(I7&gt;I6,I7,I6)),IF(IF(P7="",P6,P7)&lt;150,5,10)))</f>
        <v>42634</v>
      </c>
      <c r="K6" s="20">
        <f>IF(J6="","",J6+ROUND((IF(P7="",P6,IF(P7&gt;P6,P7,P6))/(19*LN(IF(P7="",P6,IF(P7&gt;P6,P7,P6)))-42))*30*SLA_PrazoAceite,0))</f>
        <v>42659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42670</v>
      </c>
      <c r="M6" s="20">
        <f>IF(K6="","",WORKDAY(K6,1))</f>
        <v>42660</v>
      </c>
      <c r="N6" s="20">
        <f>IF(M6="","",M6+SLA_PrazoGarantia)</f>
        <v>42840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23.1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57.8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231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105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Reentregue</v>
      </c>
      <c r="C10" s="114"/>
      <c r="D10" s="52" t="str">
        <f>IF(A10="","","em")</f>
        <v>em</v>
      </c>
      <c r="E10" s="56">
        <f>IF(A10="","",VLOOKUP(A10,OSS[],MATCH("Data Situação",OSS[#Headers],0),FALSE))</f>
        <v>42639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42643</v>
      </c>
      <c r="J11" s="20">
        <f>IF(I11="","",WORKDAY(IF(I12="",I11,IF(I12&gt;I11,I12,I11)),IF(IF(P12="",P11,P12)&lt;150,5,10)))</f>
        <v>42650</v>
      </c>
      <c r="K11" s="20">
        <f>IF(J11="","",J11+ROUND((IF(P12="",P11,IF(P12&gt;P11,P12,P11))/(19*LN(IF(P12="",P11,IF(P12&gt;P11,P12,P11)))-42))*30*SLA_PrazoAceite,0))</f>
        <v>42663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42669</v>
      </c>
      <c r="M11" s="20">
        <f>IF(K11="","",WORKDAY(K11,1))</f>
        <v>42664</v>
      </c>
      <c r="N11" s="20">
        <f>IF(M11="","",M11+SLA_PrazoGarantia)</f>
        <v>42844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17.600000000000001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44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176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112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Recebida_</v>
      </c>
      <c r="C15" s="114"/>
      <c r="D15" s="52" t="str">
        <f>IF(A15="","","em")</f>
        <v>em</v>
      </c>
      <c r="E15" s="56">
        <f>IF(A15="","",VLOOKUP(A15,OSS[],MATCH("Data Situação",OSS[#Headers],0),FALSE))</f>
        <v>42628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42630</v>
      </c>
      <c r="J16" s="20">
        <f>IF(I16="","",WORKDAY(IF(I17="",I16,IF(I17&gt;I16,I17,I16)),IF(IF(P17="",P16,P17)&lt;150,5,10)))</f>
        <v>42636</v>
      </c>
      <c r="K16" s="20">
        <f>IF(J16="","",J16+ROUND((IF(P17="",P16,IF(P17&gt;P16,P17,P16))/(19*LN(IF(P17="",P16,IF(P17&gt;P16,P17,P16)))-42))*30*SLA_PrazoAceite,0))</f>
        <v>42650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42658</v>
      </c>
      <c r="M16" s="20">
        <f>IF(K16="","",WORKDAY(K16,1))</f>
        <v>42653</v>
      </c>
      <c r="N16" s="20">
        <f>IF(M16="","",M16+SLA_PrazoGarantia)</f>
        <v>42833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13.7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34.299999999999997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4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 t="str">
        <f ca="1">IF(A15="","",P18)</f>
        <v/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137</v>
      </c>
      <c r="O18" s="27" t="str">
        <f>IF(A15="","","Multa")</f>
        <v>Multa</v>
      </c>
      <c r="P18" s="54" t="str">
        <f ca="1">IF(SUM(Q18:Z18)=0,"",-ROUND(SUM(Q18:Z18),1))</f>
        <v/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 t="str">
        <f>IF(U17="","",IF(U16&gt;U17,"",ROUND((U17-U16)*100*(IF($P17="",$P16,$P17)*SLA_IQA_IGHA_Multa),2)))</f>
        <v/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4" t="str">
        <f>IF(P16="","",IF(AD18="","",AD18/IF($P17="",$P16,$P17)))</f>
        <v/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23.799999999999997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68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Reentregue</v>
      </c>
      <c r="C20" s="114"/>
      <c r="D20" s="52" t="str">
        <f>IF(A20="","","em")</f>
        <v>em</v>
      </c>
      <c r="E20" s="56">
        <f>IF(A20="","",VLOOKUP(A20,OSS[],MATCH("Data Situação",OSS[#Headers],0),FALSE))</f>
        <v>42643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42643</v>
      </c>
      <c r="J21" s="20">
        <f>IF(I21="","",WORKDAY(IF(I22="",I21,IF(I22&gt;I21,I22,I21)),IF(IF(P22="",P21,P22)&lt;150,5,10)))</f>
        <v>42657</v>
      </c>
      <c r="K21" s="20">
        <f>IF(J21="","",J21+ROUND((IF(P22="",P21,IF(P22&gt;P21,P22,P21))/(19*LN(IF(P22="",P21,IF(P22&gt;P21,P22,P21)))-42))*30*SLA_PrazoAceite,0))</f>
        <v>42676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42682</v>
      </c>
      <c r="M21" s="20">
        <f>IF(K21="","",WORKDAY(K21,1))</f>
        <v>42677</v>
      </c>
      <c r="N21" s="20">
        <f>IF(M21="","",M21+SLA_PrazoGarantia)</f>
        <v>42857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15.4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38.5</v>
      </c>
      <c r="AA21" t="str">
        <f>IF(A20="","","Homologação")</f>
        <v>Homologação</v>
      </c>
      <c r="AB21" s="21">
        <f>IF(A20="","",VLOOKUP(A20,OSS[],MATCH("Não Grave - Homologação",OSS[#Headers],0),FALSE))</f>
        <v>10</v>
      </c>
      <c r="AC21" s="21">
        <f>IF(A20="","",VLOOKUP(A20,OSS[],MATCH("Grave - Homologação",OSS[#Headers],0),FALSE))</f>
        <v>4</v>
      </c>
      <c r="AD21" s="21">
        <f>IF(A20="","",AB21+AC21)</f>
        <v>14</v>
      </c>
      <c r="AE21" s="24">
        <f>IF(A20="","",AD21/IF($P22="",$P21,$P22))</f>
        <v>7.6086956521739135E-2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42607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184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5.434782608695652E-2</v>
      </c>
      <c r="U22" s="24">
        <f>IF(J22="","",AC21/IF($P22="",$P21,$P22))</f>
        <v>2.1739130434782608E-2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154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10</v>
      </c>
      <c r="AC23" s="21">
        <f>IF(SUM(AC21:AC22)=0,"",SUM(AC21:AC22))</f>
        <v>4</v>
      </c>
      <c r="AD23" s="21">
        <f>IF(SUM(AB23:AC23)=0,"",SUM(AB23:AC23))</f>
        <v>14</v>
      </c>
      <c r="AE23" s="24">
        <f>IF(P21="","",IF(AD23="","",AD23/IF($P22="",$P21,$P22)))</f>
        <v>7.6086956521739135E-2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49.199999999999989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57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Recebida_</v>
      </c>
      <c r="C25" s="114"/>
      <c r="D25" s="52" t="str">
        <f>IF(A25="","","em")</f>
        <v>em</v>
      </c>
      <c r="E25" s="56">
        <f>IF(A25="","",VLOOKUP(A25,OSS[],MATCH("Data Situação",OSS[#Headers],0),FALSE))</f>
        <v>42628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42605</v>
      </c>
      <c r="J26" s="20">
        <f>IF(I26="","",WORKDAY(IF(I27="",I26,IF(I27&gt;I26,I27,I26)),IF(IF(P27="",P26,P27)&lt;150,5,10)))</f>
        <v>42636</v>
      </c>
      <c r="K26" s="20">
        <f>IF(J26="","",J26+ROUND((IF(P27="",P26,IF(P27&gt;P26,P27,P26))/(19*LN(IF(P27="",P26,IF(P27&gt;P26,P27,P26)))-42))*30*SLA_PrazoAceite,0))</f>
        <v>42654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42640</v>
      </c>
      <c r="M26" s="20">
        <f>IF(K26="","",WORKDAY(K26,1))</f>
        <v>42655</v>
      </c>
      <c r="N26" s="20">
        <f>IF(M26="","",M26+SLA_PrazoGarantia)</f>
        <v>42835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10.4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26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4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42622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8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</v>
      </c>
      <c r="U27" s="24">
        <f>IF(J27="","",AC26/IF($P27="",$P26,$P27))</f>
        <v>0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8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104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4" t="str">
        <f>IF(P26="","",IF(AD28="","",AD28/IF($P27="",$P26,$P27)))</f>
        <v/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16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Reiniciada</v>
      </c>
      <c r="C30" s="114"/>
      <c r="D30" s="52" t="str">
        <f>IF(A30="","","em")</f>
        <v>em</v>
      </c>
      <c r="E30" s="56">
        <f>IF(A30="","",VLOOKUP(A30,OSS[],MATCH("Data Situação",OSS[#Headers],0),FALSE))</f>
        <v>42632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42657</v>
      </c>
      <c r="J31" s="20">
        <f>IF(I31="","",WORKDAY(IF(I32="",I31,IF(I32&gt;I31,I32,I31)),IF(IF(P32="",P31,P32)&lt;150,5,10)))</f>
        <v>42664</v>
      </c>
      <c r="K31" s="20">
        <f>IF(J31="","",J31+ROUND((IF(P32="",P31,IF(P32&gt;P31,P32,P31))/(19*LN(IF(P32="",P31,IF(P32&gt;P31,P32,P31)))-42))*30*SLA_PrazoAceite,0))</f>
        <v>42673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42675</v>
      </c>
      <c r="M31" s="20">
        <f>IF(K31="","",WORKDAY(K31,1))</f>
        <v>42674</v>
      </c>
      <c r="N31" s="20">
        <f>IF(M31="","",M31+SLA_PrazoGarantia)</f>
        <v>42854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11.8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29.5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 t="str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/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118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50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72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42672</v>
      </c>
      <c r="J36" s="20">
        <f>IF(I36="","",WORKDAY(IF(I37="",I36,IF(I37&gt;I36,I37,I36)),IF(IF(P37="",P36,P37)&lt;150,5,10)))</f>
        <v>42678</v>
      </c>
      <c r="K36" s="20">
        <f>IF(J36="","",J36+ROUND((IF(P37="",P36,IF(P37&gt;P36,P37,P36))/(19*LN(IF(P37="",P36,IF(P37&gt;P36,P37,P36)))-42))*30*SLA_PrazoAceite,0))</f>
        <v>42689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42693</v>
      </c>
      <c r="M36" s="20">
        <f>IF(K36="","",WORKDAY(K36,1))</f>
        <v>42690</v>
      </c>
      <c r="N36" s="20">
        <f>IF(M36="","",M36+SLA_PrazoGarantia)</f>
        <v>42870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9.6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24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96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42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42715</v>
      </c>
      <c r="J41" s="20">
        <f>IF(I41="","",WORKDAY(IF(I42="",I41,IF(I42&gt;I41,I42,I41)),IF(IF(P42="",P41,P42)&lt;150,5,10)))</f>
        <v>42727</v>
      </c>
      <c r="K41" s="20">
        <f>IF(J41="","",J41+ROUND((IF(P42="",P41,IF(P42&gt;P41,P42,P41))/(19*LN(IF(P42="",P41,IF(P42&gt;P41,P42,P41)))-42))*30*SLA_PrazoAceite,0))</f>
        <v>42749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42759</v>
      </c>
      <c r="M41" s="20">
        <f>IF(K41="","",WORKDAY(K41,1))</f>
        <v>42751</v>
      </c>
      <c r="N41" s="20">
        <f>IF(M41="","",M41+SLA_PrazoGarantia)</f>
        <v>42931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15.4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38.5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154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44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Recebida_</v>
      </c>
      <c r="C45" s="114"/>
      <c r="D45" s="52" t="str">
        <f>IF(A45="","","em")</f>
        <v>em</v>
      </c>
      <c r="E45" s="56">
        <f>IF(A45="","",VLOOKUP(A45,OSS[],MATCH("Data Situação",OSS[#Headers],0),FALSE))</f>
        <v>42639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42648</v>
      </c>
      <c r="J46" s="20">
        <f>IF(I46="","",WORKDAY(IF(I47="",I46,IF(I47&gt;I46,I47,I46)),IF(IF(P47="",P46,P47)&lt;150,5,10)))</f>
        <v>42655</v>
      </c>
      <c r="K46" s="20">
        <f>IF(J46="","",J46+ROUND((IF(P47="",P46,IF(P47&gt;P46,P47,P46))/(19*LN(IF(P47="",P46,IF(P47&gt;P46,P47,P46)))-42))*30*SLA_PrazoAceite,0))</f>
        <v>42663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42664</v>
      </c>
      <c r="M46" s="20">
        <f>IF(K46="","",WORKDAY(K46,1))</f>
        <v>42664</v>
      </c>
      <c r="N46" s="20">
        <f>IF(M46="","",M46+SLA_PrazoGarantia)</f>
        <v>42844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6.6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16.5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66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27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Plano Entregue</v>
      </c>
      <c r="C50" s="114"/>
      <c r="D50" s="52" t="str">
        <f>IF(A50="","","em")</f>
        <v>em</v>
      </c>
      <c r="E50" s="56">
        <f>IF(A50="","",VLOOKUP(A50,OSS[],MATCH("Data Situação",OSS[#Headers],0),FALSE))</f>
        <v>42633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42666</v>
      </c>
      <c r="J51" s="20">
        <f>IF(I51="","",WORKDAY(IF(I52="",I51,IF(I52&gt;I51,I52,I51)),IF(IF(P52="",P51,P52)&lt;150,5,10)))</f>
        <v>42671</v>
      </c>
      <c r="K51" s="20">
        <f>IF(J51="","",J51+ROUND((IF(P52="",P51,IF(P52&gt;P51,P52,P51))/(19*LN(IF(P52="",P51,IF(P52&gt;P51,P52,P51)))-42))*30*SLA_PrazoAceite,0))</f>
        <v>42680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42684</v>
      </c>
      <c r="M51" s="20">
        <f>IF(K51="","",WORKDAY(K51,1))</f>
        <v>42681</v>
      </c>
      <c r="N51" s="20">
        <f>IF(M51="","",M51+SLA_PrazoGarantia)</f>
        <v>42861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4.4000000000000004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11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44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4" t="str">
        <f>IF(A55="","",VLOOKUP(A55,OSS[],MATCH("Situação da OS",OSS[#Headers],0),FALSE))</f>
        <v/>
      </c>
      <c r="C55" s="114"/>
      <c r="D55" s="52" t="str">
        <f>IF(A55="","","em")</f>
        <v/>
      </c>
      <c r="E55" s="56" t="str">
        <f>IF(A55="","",VLOOKUP(A55,OSS[],MATCH("Data Situação",OSS[#Headers],0),FALSE))</f>
        <v/>
      </c>
      <c r="F55" s="112" t="str">
        <f>IF(A55="","","Titulo:")</f>
        <v/>
      </c>
      <c r="G55" s="29" t="str">
        <f>IF(A55="","",LEFT(VLOOKUP(A55,OSS[],MATCH("Titulo",OSS[#Headers],0),FALSE),80))</f>
        <v/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/>
      </c>
      <c r="R55" s="29" t="str">
        <f>IF(A55="","",VLOOKUP(A55,OSS[],MATCH("Tipo",OSS[#Headers],0),FALSE))</f>
        <v/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/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/>
      </c>
      <c r="D56" s="81" t="str">
        <f>IF(E56="","",ROUND(IF($P57="",$P56,$P57)*E56,1))</f>
        <v/>
      </c>
      <c r="E56" s="87" t="str">
        <f>IF(A55="","",IF(D59&lt;0,0,IF(B55="Recebida",0.8,IF(B55="Aceita",0.2,0))))</f>
        <v/>
      </c>
      <c r="F56" s="34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IF(G56="","",G56+ROUND(((IF(P57="",P56,P57)/(19*LN(IF(P57="",P56,P57))-42))*30*SLA_PrazoEntrega)+IF(VLOOKUP(A55,OSS[],MATCH("Acréscimo de Dias",OSS[#Headers],0),FALSE)="",0,VLOOKUP(A55,OSS[],MATCH("Acréscimo de Dias",OSS[#Headers],0),FALSE)),0))</f>
        <v/>
      </c>
      <c r="J56" s="20" t="str">
        <f>IF(I56="","",WORKDAY(IF(I57="",I56,IF(I57&gt;I56,I57,I56)),IF(IF(P57="",P56,P57)&lt;150,5,10)))</f>
        <v/>
      </c>
      <c r="K56" s="20" t="str">
        <f>IF(J56="","",J56+ROUND((IF(P57="",P56,IF(P57&gt;P56,P57,P56))/(19*LN(IF(P57="",P56,IF(P57&gt;P56,P57,P56)))-42))*30*SLA_PrazoAceite,0))</f>
        <v/>
      </c>
      <c r="L56" s="20" t="str">
        <f>IF(G56="","",G56+ROUND(((IF(P57="",P56,P57)/(19*LN(IF(P57="",P56,P57))-42))*30)+IF(VLOOKUP(A55,OSS[],MATCH("Acréscimo de Dias",OSS[#Headers],0),FALSE)="",0,VLOOKUP(A55,OSS[],MATCH("Acréscimo de Dias",OSS[#Headers],0),FALSE)),0))</f>
        <v/>
      </c>
      <c r="M56" s="20" t="str">
        <f>IF(K56="","",WORKDAY(K56,1))</f>
        <v/>
      </c>
      <c r="N56" s="20" t="str">
        <f>IF(M56="","",M56+SLA_PrazoGarantia)</f>
        <v/>
      </c>
      <c r="O56" s="27" t="str">
        <f>IF(A55="","","Previsto")</f>
        <v/>
      </c>
      <c r="P56" s="21" t="str">
        <f>IF(A55="","",VLOOKUP(A55,OSS[],MATCH("PF Previsto",OSS[#Headers],0),FALSE))</f>
        <v/>
      </c>
      <c r="Q56" s="54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24" t="str">
        <f>IF(F56="","",SLA_IQA_INGHA)</f>
        <v/>
      </c>
      <c r="U56" s="24" t="str">
        <f>IF(F56="","",SLA_IQA_IGHA)</f>
        <v/>
      </c>
      <c r="V56" s="24" t="str">
        <f>IF(F56="","",SLA_IQA_INGG)</f>
        <v/>
      </c>
      <c r="W56" s="24" t="str">
        <f>IF(F56="","",SLA_IQA_IGG)</f>
        <v/>
      </c>
      <c r="X56" s="54" t="str">
        <f>IF(F56="","",ROUND((G56-F56)*SLA_ICA_IOS,1))</f>
        <v/>
      </c>
      <c r="Y56" s="54" t="str">
        <f>IF(OR(R55="Hora Java",R55="Hora dotNet"),SLA_ICA_SP,"")</f>
        <v/>
      </c>
      <c r="Z56" s="54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4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/>
      </c>
      <c r="C57" s="81"/>
      <c r="D57" s="81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/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>IF(F56="","",IF(G57="",IF(DataRef&lt;G56,"",DataRef-G56),IF(G57&lt;G56,"",G57-G56)))</f>
        <v/>
      </c>
      <c r="Y57" s="54" t="str">
        <f>IF(OR(R55="Hora Java",R55="Hora dotNet"),AG56,"")</f>
        <v/>
      </c>
      <c r="Z57" s="54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4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3" t="str">
        <f>IF(A55="","","Multa")</f>
        <v/>
      </c>
      <c r="C58" s="82"/>
      <c r="D58" s="81" t="str">
        <f>IF(A55="","",P58)</f>
        <v/>
      </c>
      <c r="E58" s="35"/>
      <c r="K58" s="64" t="str">
        <f>IF(A55="","","Prazo previsto para execução em dias corridos")</f>
        <v/>
      </c>
      <c r="L58" s="65" t="str">
        <f>IF(G56="","",ROUND((IF(P57="",P56,P57)/(19*LN(IF(P57="",P56,P57))-42))*30,0)+IF(VLOOKUP(A55,OSS[],MATCH("Acréscimo de Dias",OSS[#Headers],0),FALSE)="",0,VLOOKUP(A55,OSS[],MATCH("Acréscimo de Dias",OSS[#Headers],0),FALSE)))</f>
        <v/>
      </c>
      <c r="O58" s="27" t="str">
        <f>IF(A55="","","Multa")</f>
        <v/>
      </c>
      <c r="P58" s="54" t="str">
        <f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/>
      </c>
      <c r="C59" s="88" t="str">
        <f>IF(A55="","",IF(D59&lt;0,D59,IF(D56=0,0,IF(D56&gt;D59,D56-D59,D56))))</f>
        <v/>
      </c>
      <c r="D59" s="81" t="str">
        <f>IF(P56="","",IF($P57="",$P56,$P57)+IF(D58="",0,D58)-IF(D57="",0,D57))</f>
        <v/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4" t="str">
        <f>IF(A60="","",VLOOKUP(A60,OSS[],MATCH("Situação da OS",OSS[#Headers],0),FALSE))</f>
        <v/>
      </c>
      <c r="C60" s="114"/>
      <c r="D60" s="52" t="str">
        <f>IF(A60="","","em")</f>
        <v/>
      </c>
      <c r="E60" s="56" t="str">
        <f>IF(A60="","",VLOOKUP(A60,OSS[],MATCH("Data Situação",OSS[#Headers],0),FALSE))</f>
        <v/>
      </c>
      <c r="F60" s="112" t="str">
        <f>IF(A60="","","Titulo:")</f>
        <v/>
      </c>
      <c r="G60" s="29" t="str">
        <f>IF(A60="","",LEFT(VLOOKUP(A60,OSS[],MATCH("Titulo",OSS[#Headers],0),FALSE),80))</f>
        <v/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/>
      </c>
      <c r="R60" s="29" t="str">
        <f>IF(A60="","",VLOOKUP(A60,OSS[],MATCH("Tipo",OSS[#Headers],0),FALSE))</f>
        <v/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/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/>
      </c>
      <c r="D61" s="81" t="str">
        <f>IF(E61="","",ROUND(IF($P62="",$P61,$P62)*E61,1))</f>
        <v/>
      </c>
      <c r="E61" s="87" t="str">
        <f>IF(A60="","",IF(D64&lt;0,0,IF(B60="Recebida",0.8,IF(B60="Aceita",0.2,0))))</f>
        <v/>
      </c>
      <c r="F61" s="34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IF(G61="","",G61+ROUND(((IF(P62="",P61,P62)/(19*LN(IF(P62="",P61,P62))-42))*30*SLA_PrazoEntrega)+IF(VLOOKUP(A60,OSS[],MATCH("Acréscimo de Dias",OSS[#Headers],0),FALSE)="",0,VLOOKUP(A60,OSS[],MATCH("Acréscimo de Dias",OSS[#Headers],0),FALSE)),0))</f>
        <v/>
      </c>
      <c r="J61" s="20" t="str">
        <f>IF(I61="","",WORKDAY(IF(I62="",I61,IF(I62&gt;I61,I62,I61)),IF(IF(P62="",P61,P62)&lt;150,5,10)))</f>
        <v/>
      </c>
      <c r="K61" s="20" t="str">
        <f>IF(J61="","",J61+ROUND((IF(P62="",P61,IF(P62&gt;P61,P62,P61))/(19*LN(IF(P62="",P61,IF(P62&gt;P61,P62,P61)))-42))*30*SLA_PrazoAceite,0))</f>
        <v/>
      </c>
      <c r="L61" s="20" t="str">
        <f>IF(G61="","",G61+ROUND(((IF(P62="",P61,P62)/(19*LN(IF(P62="",P61,P62))-42))*30)+IF(VLOOKUP(A60,OSS[],MATCH("Acréscimo de Dias",OSS[#Headers],0),FALSE)="",0,VLOOKUP(A60,OSS[],MATCH("Acréscimo de Dias",OSS[#Headers],0),FALSE)),0))</f>
        <v/>
      </c>
      <c r="M61" s="20" t="str">
        <f>IF(K61="","",WORKDAY(K61,1))</f>
        <v/>
      </c>
      <c r="N61" s="20" t="str">
        <f>IF(M61="","",M61+SLA_PrazoGarantia)</f>
        <v/>
      </c>
      <c r="O61" s="27" t="str">
        <f>IF(A60="","","Previsto")</f>
        <v/>
      </c>
      <c r="P61" s="21" t="str">
        <f>IF(A60="","",VLOOKUP(A60,OSS[],MATCH("PF Previsto",OSS[#Headers],0),FALSE))</f>
        <v/>
      </c>
      <c r="Q61" s="54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24" t="str">
        <f>IF(F61="","",SLA_IQA_INGHA)</f>
        <v/>
      </c>
      <c r="U61" s="24" t="str">
        <f>IF(F61="","",SLA_IQA_IGHA)</f>
        <v/>
      </c>
      <c r="V61" s="24" t="str">
        <f>IF(F61="","",SLA_IQA_INGG)</f>
        <v/>
      </c>
      <c r="W61" s="24" t="str">
        <f>IF(F61="","",SLA_IQA_IGG)</f>
        <v/>
      </c>
      <c r="X61" s="54" t="str">
        <f>IF(F61="","",ROUND((G61-F61)*SLA_ICA_IOS,1))</f>
        <v/>
      </c>
      <c r="Y61" s="54" t="str">
        <f>IF(OR(R60="Hora Java",R60="Hora dotNet"),SLA_ICA_SP,"")</f>
        <v/>
      </c>
      <c r="Z61" s="54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4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/>
      </c>
      <c r="C62" s="81"/>
      <c r="D62" s="81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/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>IF(F61="","",IF(G62="",IF(DataRef&lt;G61,"",DataRef-G61),IF(G62&lt;G61,"",G62-G61)))</f>
        <v/>
      </c>
      <c r="Y62" s="54" t="str">
        <f>IF(OR(R60="Hora Java",R60="Hora dotNet"),AG61,"")</f>
        <v/>
      </c>
      <c r="Z62" s="54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4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3" t="str">
        <f>IF(A60="","","Multa")</f>
        <v/>
      </c>
      <c r="C63" s="82"/>
      <c r="D63" s="81" t="str">
        <f>IF(A60="","",P63)</f>
        <v/>
      </c>
      <c r="E63" s="35"/>
      <c r="K63" s="64" t="str">
        <f>IF(A60="","","Prazo previsto para execução em dias corridos")</f>
        <v/>
      </c>
      <c r="L63" s="65" t="str">
        <f>IF(G61="","",ROUND((IF(P62="",P61,P62)/(19*LN(IF(P62="",P61,P62))-42))*30,0)+IF(VLOOKUP(A60,OSS[],MATCH("Acréscimo de Dias",OSS[#Headers],0),FALSE)="",0,VLOOKUP(A60,OSS[],MATCH("Acréscimo de Dias",OSS[#Headers],0),FALSE)))</f>
        <v/>
      </c>
      <c r="O63" s="27" t="str">
        <f>IF(A60="","","Multa")</f>
        <v/>
      </c>
      <c r="P63" s="54" t="str">
        <f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/>
      </c>
      <c r="C64" s="88" t="str">
        <f>IF(A60="","",IF(D64&lt;0,D64,IF(D61=0,0,IF(D61&gt;D64,D61-D64,D61))))</f>
        <v/>
      </c>
      <c r="D64" s="81" t="str">
        <f>IF(P61="","",IF($P62="",$P61,$P62)+IF(D63="",0,D63)-IF(D62="",0,D62))</f>
        <v/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4" t="str">
        <f>IF(A65="","",VLOOKUP(A65,OSS[],MATCH("Situação da OS",OSS[#Headers],0),FALSE))</f>
        <v/>
      </c>
      <c r="C65" s="114"/>
      <c r="D65" s="52" t="str">
        <f>IF(A65="","","em")</f>
        <v/>
      </c>
      <c r="E65" s="56" t="str">
        <f>IF(A65="","",VLOOKUP(A65,OSS[],MATCH("Data Situação",OSS[#Headers],0),FALSE))</f>
        <v/>
      </c>
      <c r="F65" s="112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2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IF(I66="","",WORKDAY(IF(I67="",I66,IF(I67&gt;I66,I67,I66)),IF(IF(P67="",P66,P67)&lt;150,5,10)))</f>
        <v/>
      </c>
      <c r="K66" s="20" t="str">
        <f>IF(J66="","",J66+ROUND((IF(P67="",P66,IF(P67&gt;P66,P67,P66))/(19*LN(IF(P67="",P66,IF(P67&gt;P66,P67,P66)))-42))*30*SLA_PrazoAceite,0))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B2" sqref="B2"/>
    </sheetView>
  </sheetViews>
  <sheetFormatPr defaultRowHeight="15" x14ac:dyDescent="0.25"/>
  <cols>
    <col min="2" max="2" width="16" bestFit="1" customWidth="1"/>
    <col min="5" max="5" width="33.75" customWidth="1"/>
  </cols>
  <sheetData>
    <row r="1" spans="1:5" x14ac:dyDescent="0.25">
      <c r="A1" s="21" t="s">
        <v>203</v>
      </c>
      <c r="B1" s="21">
        <v>4808</v>
      </c>
      <c r="E1" t="s">
        <v>205</v>
      </c>
    </row>
    <row r="2" spans="1:5" x14ac:dyDescent="0.25">
      <c r="A2" s="20">
        <f>IF(B1="","",VLOOKUP(B1,OSS[#Data],MATCH("Abertura da OS",OSS[#Headers],0),FALSE))</f>
        <v>42590</v>
      </c>
      <c r="B2" t="s">
        <v>108</v>
      </c>
      <c r="E2" s="109" t="str">
        <f>TEXT(A2,"DD/MM/AA")&amp;" "&amp;B2&amp;IF(C2="",""," "&amp;TEXT(C2,"DD/MM/AA"))</f>
        <v>08/08/16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42597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42597</v>
      </c>
      <c r="E3" s="109" t="str">
        <f t="shared" ref="E3:E10" si="0">TEXT(A3,"DD/MM/AA")&amp;" "&amp;B3&amp;IF(C3="",""," "&amp;TEXT(C3,"DD/MM/AA"))</f>
        <v>15/08/16 Inicio 15/08/16</v>
      </c>
    </row>
    <row r="4" spans="1:5" x14ac:dyDescent="0.25">
      <c r="A4" s="20">
        <f>IF(A3="","",WORKDAY(A3,5))</f>
        <v>42604</v>
      </c>
      <c r="B4" t="s">
        <v>135</v>
      </c>
      <c r="C4" s="20">
        <f>IF(B1="","",IF(VLOOKUP(B1,OSS[#Data],MATCH("Entrega do Plano da OS",OSS[#Headers],0),FALSE)="","",VLOOKUP(B1,OSS[#Data],MATCH("Entrega do Plano da OS",OSS[#Headers],0),FALSE)))</f>
        <v>42604</v>
      </c>
      <c r="E4" s="109" t="str">
        <f t="shared" si="0"/>
        <v>22/08/16 Entrega do Plano 22/08/16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42672</v>
      </c>
      <c r="B5" t="s">
        <v>105</v>
      </c>
      <c r="C5" s="20"/>
      <c r="E5" s="109" t="str">
        <f t="shared" si="0"/>
        <v>29/10/16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42678</v>
      </c>
      <c r="B6" t="s">
        <v>206</v>
      </c>
      <c r="C6" s="20"/>
      <c r="E6" s="109" t="str">
        <f t="shared" si="0"/>
        <v>04/11/16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42689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15/11/16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42693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19/11/16 Termino</v>
      </c>
    </row>
    <row r="9" spans="1:5" x14ac:dyDescent="0.25">
      <c r="A9" s="20">
        <f>IF(A7="","",WORKDAY(A7,1))</f>
        <v>42690</v>
      </c>
      <c r="B9" t="s">
        <v>58</v>
      </c>
      <c r="C9" s="20" t="str">
        <f>IF(C7="","",WORKDAY(C7,1))</f>
        <v/>
      </c>
      <c r="E9" s="109" t="str">
        <f t="shared" si="0"/>
        <v>16/11/16 Garantia</v>
      </c>
    </row>
    <row r="10" spans="1:5" x14ac:dyDescent="0.25">
      <c r="A10" s="20">
        <f>IF(A9="","",A9+SLA_PrazoGarantia)</f>
        <v>42870</v>
      </c>
      <c r="B10" t="s">
        <v>107</v>
      </c>
      <c r="C10" s="20" t="str">
        <f>IF(C9="","",C9+180)</f>
        <v/>
      </c>
      <c r="E10" s="109" t="str">
        <f t="shared" si="0"/>
        <v>15/05/17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5" customWidth="1"/>
    <col min="2" max="2" width="46.875" customWidth="1"/>
    <col min="3" max="3" width="5.75" bestFit="1" customWidth="1"/>
    <col min="4" max="6" width="6.875" customWidth="1"/>
    <col min="7" max="7" width="10.125" bestFit="1" customWidth="1"/>
    <col min="8" max="8" width="13.125" bestFit="1" customWidth="1"/>
    <col min="10" max="10" width="13.25" bestFit="1" customWidth="1"/>
    <col min="11" max="11" width="10.875" customWidth="1"/>
    <col min="12" max="12" width="13.25" bestFit="1" customWidth="1"/>
  </cols>
  <sheetData>
    <row r="1" spans="1:12" ht="17.25" thickTop="1" thickBot="1" x14ac:dyDescent="0.3">
      <c r="A1" s="115" t="s">
        <v>171</v>
      </c>
      <c r="B1" s="116"/>
      <c r="C1" s="116"/>
      <c r="D1" s="116"/>
      <c r="E1" s="116"/>
      <c r="F1" s="116"/>
      <c r="G1" s="116"/>
      <c r="H1" s="117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8" t="s">
        <v>160</v>
      </c>
      <c r="B4" s="119"/>
      <c r="C4" s="119"/>
      <c r="D4" s="119"/>
      <c r="E4" s="119"/>
      <c r="F4" s="119"/>
      <c r="G4" s="119"/>
      <c r="H4" s="120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8" t="s">
        <v>163</v>
      </c>
      <c r="B6" s="119"/>
      <c r="C6" s="119"/>
      <c r="D6" s="119"/>
      <c r="E6" s="119"/>
      <c r="F6" s="119"/>
      <c r="G6" s="119"/>
      <c r="H6" s="120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8" t="s">
        <v>168</v>
      </c>
      <c r="B9" s="119"/>
      <c r="C9" s="119"/>
      <c r="D9" s="119"/>
      <c r="E9" s="119"/>
      <c r="F9" s="119"/>
      <c r="G9" s="119"/>
      <c r="H9" s="120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1" t="s">
        <v>176</v>
      </c>
      <c r="B12" s="122"/>
      <c r="C12" s="122"/>
      <c r="D12" s="122"/>
      <c r="E12" s="122"/>
      <c r="F12" s="122"/>
      <c r="G12" s="123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625" customWidth="1"/>
    <col min="3" max="3" width="11.625" bestFit="1" customWidth="1"/>
    <col min="4" max="4" width="23.25" bestFit="1" customWidth="1"/>
    <col min="5" max="5" width="7.25" customWidth="1"/>
    <col min="6" max="6" width="11.625" customWidth="1"/>
    <col min="8" max="8" width="7.25" customWidth="1"/>
    <col min="9" max="9" width="7.25" hidden="1" customWidth="1"/>
    <col min="10" max="10" width="8.125" customWidth="1"/>
    <col min="11" max="11" width="11.75" bestFit="1" customWidth="1"/>
    <col min="12" max="16" width="15.875" bestFit="1" customWidth="1"/>
    <col min="17" max="17" width="16.1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375" customWidth="1"/>
    <col min="2" max="2" width="12.375" customWidth="1"/>
    <col min="3" max="3" width="73.75" customWidth="1"/>
    <col min="4" max="4" width="25" customWidth="1"/>
    <col min="5" max="5" width="50.75" hidden="1" customWidth="1"/>
    <col min="6" max="6" width="56.875" customWidth="1"/>
    <col min="7" max="7" width="2.875" customWidth="1"/>
    <col min="8" max="8" width="24.125" bestFit="1" customWidth="1"/>
    <col min="9" max="9" width="19.125" bestFit="1" customWidth="1"/>
  </cols>
  <sheetData>
    <row r="1" spans="1:9" ht="21.75" thickBot="1" x14ac:dyDescent="0.4">
      <c r="A1" s="124" t="s">
        <v>12</v>
      </c>
      <c r="B1" s="124"/>
      <c r="C1" s="124"/>
      <c r="D1" s="124"/>
      <c r="E1" s="124"/>
      <c r="F1" s="124"/>
    </row>
    <row r="2" spans="1:9" ht="19.5" thickBot="1" x14ac:dyDescent="0.35">
      <c r="A2" s="125" t="s">
        <v>13</v>
      </c>
      <c r="B2" s="126"/>
      <c r="C2" s="127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8" t="s">
        <v>123</v>
      </c>
      <c r="B3" s="129"/>
      <c r="C3" s="129"/>
      <c r="D3" s="129"/>
      <c r="E3" s="129"/>
      <c r="F3" s="130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94.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8" t="s">
        <v>17</v>
      </c>
      <c r="B8" s="129"/>
      <c r="C8" s="129"/>
      <c r="D8" s="129"/>
      <c r="E8" s="129"/>
      <c r="F8" s="130"/>
      <c r="H8" s="36"/>
      <c r="I8" s="37"/>
    </row>
    <row r="9" spans="1:9" ht="47.25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78.7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8" t="s">
        <v>28</v>
      </c>
      <c r="B12" s="129"/>
      <c r="C12" s="129"/>
      <c r="D12" s="129"/>
      <c r="E12" s="129"/>
      <c r="F12" s="130"/>
      <c r="H12" s="39"/>
      <c r="I12" s="40"/>
    </row>
    <row r="13" spans="1:9" ht="78.7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78.7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8" t="s">
        <v>45</v>
      </c>
      <c r="B17" s="129"/>
      <c r="C17" s="129"/>
      <c r="D17" s="129"/>
      <c r="E17" s="129"/>
      <c r="F17" s="130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63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5" bestFit="1" customWidth="1"/>
    <col min="2" max="2" width="15.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5" customWidth="1"/>
    <col min="2" max="2" width="20.125" customWidth="1"/>
    <col min="3" max="5" width="13.25" customWidth="1"/>
    <col min="6" max="6" width="15" customWidth="1"/>
    <col min="7" max="7" width="8.75" bestFit="1" customWidth="1"/>
    <col min="9" max="9" width="7.625" bestFit="1" customWidth="1"/>
    <col min="10" max="10" width="9.625" customWidth="1"/>
    <col min="12" max="12" width="4" bestFit="1" customWidth="1"/>
    <col min="13" max="13" width="8.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42648</v>
      </c>
      <c r="G1" s="50">
        <f>IF(Mensal!B1="","",Mensal!B1)</f>
        <v>42648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42628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42639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42628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42643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42628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42632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42639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42633</v>
      </c>
      <c r="G12" s="21">
        <f t="shared" si="1"/>
        <v>10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0" t="str">
        <f>IF(C13="","",VLOOKUP(C13,OSS[],MATCH("Abertura da OS",OSS[#Headers],0),FALSE))</f>
        <v/>
      </c>
      <c r="E13" s="50" t="str">
        <f>IF(C13="","",IF(VLOOKUP(C13,OSS[],MATCH("Data de Termino",OSS[#Headers],0),FALSE)=0,"",VLOOKUP(C13,OSS[],MATCH("Data de Termino",OSS[#Headers],0),FALSE)))</f>
        <v/>
      </c>
      <c r="F13" s="50" t="str">
        <f>IF(C13="","",VLOOKUP(C13,OSS[],MATCH("Data Situação",OSS[#Headers],0),FALSE))</f>
        <v/>
      </c>
      <c r="G13" s="21">
        <f t="shared" si="1"/>
        <v>10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0" t="str">
        <f>IF(C14="","",VLOOKUP(C14,OSS[],MATCH("Abertura da OS",OSS[#Headers],0),FALSE))</f>
        <v/>
      </c>
      <c r="E14" s="50" t="str">
        <f>IF(C14="","",IF(VLOOKUP(C14,OSS[],MATCH("Data de Termino",OSS[#Headers],0),FALSE)=0,"",VLOOKUP(C14,OSS[],MATCH("Data de Termino",OSS[#Headers],0),FALSE)))</f>
        <v/>
      </c>
      <c r="F14" s="50" t="str">
        <f>IF(C14="","",VLOOKUP(C14,OSS[],MATCH("Data Situação",OSS[#Headers],0),FALSE))</f>
        <v/>
      </c>
      <c r="G14" s="21">
        <f t="shared" si="1"/>
        <v>10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10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10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10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10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10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10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10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10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10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10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10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10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10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10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10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10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10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2016-09-19T19:08:43Z</cp:lastPrinted>
  <dcterms:created xsi:type="dcterms:W3CDTF">2016-03-02T20:01:01Z</dcterms:created>
  <dcterms:modified xsi:type="dcterms:W3CDTF">2016-10-04T19:40:57Z</dcterms:modified>
</cp:coreProperties>
</file>