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Mensal!$A$2:$AG$64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4" l="1"/>
  <c r="Y8" i="4"/>
  <c r="Y10" i="4" l="1"/>
  <c r="Y3" i="4"/>
  <c r="Y2" i="4"/>
  <c r="Y9" i="4" l="1"/>
  <c r="Y7" i="4" l="1"/>
  <c r="Y5" i="4" l="1"/>
  <c r="Y4" i="4" l="1"/>
  <c r="Y6" i="4" l="1"/>
  <c r="O5" i="4" l="1"/>
  <c r="E8" i="13" l="1"/>
  <c r="E7" i="13"/>
  <c r="E6" i="13"/>
  <c r="E5" i="13"/>
  <c r="E4" i="13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3" i="7" s="1"/>
  <c r="B16" i="7"/>
  <c r="D22" i="7"/>
  <c r="D25" i="7"/>
  <c r="E29" i="7"/>
  <c r="E10" i="7"/>
  <c r="B10" i="7" s="1"/>
  <c r="D11" i="7"/>
  <c r="E14" i="7"/>
  <c r="B14" i="7" s="1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E15" i="7"/>
  <c r="B15" i="7" s="1"/>
  <c r="B18" i="7"/>
  <c r="E19" i="7"/>
  <c r="B22" i="7"/>
  <c r="E23" i="7"/>
  <c r="B26" i="7"/>
  <c r="E27" i="7"/>
  <c r="B30" i="7"/>
  <c r="E31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B13" i="5" l="1"/>
  <c r="AD17" i="5"/>
  <c r="AE17" i="5" s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I16" i="5" s="1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J16" i="5"/>
  <c r="K16" i="5" s="1"/>
  <c r="M16" i="5" s="1"/>
  <c r="N16" i="5" s="1"/>
  <c r="L19" i="5"/>
  <c r="K19" i="5" s="1"/>
  <c r="L16" i="5"/>
  <c r="H16" i="5"/>
  <c r="L18" i="5"/>
  <c r="X17" i="5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X18" i="5" l="1"/>
  <c r="U23" i="5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D28" i="5" l="1"/>
  <c r="AE28" i="5" s="1"/>
  <c r="AB33" i="5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AD33" i="5" l="1"/>
  <c r="AE33" i="5" s="1"/>
  <c r="P13" i="5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65" i="5" s="1"/>
  <c r="B69" i="5" l="1"/>
  <c r="D65" i="5"/>
  <c r="E65" i="5"/>
  <c r="L67" i="5"/>
  <c r="F65" i="5"/>
  <c r="I67" i="5"/>
  <c r="AA68" i="5"/>
  <c r="O67" i="5"/>
  <c r="G65" i="5"/>
  <c r="D67" i="5"/>
  <c r="AF67" i="5"/>
  <c r="G67" i="5"/>
  <c r="P66" i="5"/>
  <c r="R65" i="5"/>
  <c r="P67" i="5"/>
  <c r="AA65" i="5"/>
  <c r="AC67" i="5"/>
  <c r="Q65" i="5"/>
  <c r="AA67" i="5"/>
  <c r="B66" i="5"/>
  <c r="J67" i="5"/>
  <c r="K67" i="5"/>
  <c r="B67" i="5"/>
  <c r="B65" i="5"/>
  <c r="AF66" i="5"/>
  <c r="AC66" i="5"/>
  <c r="AC68" i="5" s="1"/>
  <c r="AB67" i="5"/>
  <c r="F66" i="5"/>
  <c r="B68" i="5"/>
  <c r="AB66" i="5"/>
  <c r="AB68" i="5" s="1"/>
  <c r="K68" i="5"/>
  <c r="O66" i="5"/>
  <c r="AD67" i="5"/>
  <c r="AE67" i="5" s="1"/>
  <c r="H67" i="5"/>
  <c r="O68" i="5"/>
  <c r="AA66" i="5"/>
  <c r="A45" i="5"/>
  <c r="A35" i="5"/>
  <c r="A50" i="5"/>
  <c r="A40" i="5"/>
  <c r="A31" i="7"/>
  <c r="A150" i="5" s="1"/>
  <c r="B8" i="12"/>
  <c r="T66" i="5" l="1"/>
  <c r="U66" i="5"/>
  <c r="R66" i="5"/>
  <c r="W66" i="5"/>
  <c r="Q67" i="5"/>
  <c r="Q68" i="5" s="1"/>
  <c r="G66" i="5"/>
  <c r="X67" i="5" s="1"/>
  <c r="X68" i="5" s="1"/>
  <c r="S66" i="5"/>
  <c r="V66" i="5"/>
  <c r="AD68" i="5"/>
  <c r="AE68" i="5" s="1"/>
  <c r="M67" i="5"/>
  <c r="N67" i="5" s="1"/>
  <c r="V67" i="5"/>
  <c r="V68" i="5" s="1"/>
  <c r="W67" i="5"/>
  <c r="W68" i="5" s="1"/>
  <c r="S67" i="5"/>
  <c r="S68" i="5" s="1"/>
  <c r="Y67" i="5"/>
  <c r="Y68" i="5" s="1"/>
  <c r="Y66" i="5"/>
  <c r="AG66" i="5" s="1"/>
  <c r="AD66" i="5"/>
  <c r="AE66" i="5" s="1"/>
  <c r="T67" i="5"/>
  <c r="T68" i="5" s="1"/>
  <c r="U67" i="5"/>
  <c r="U68" i="5" s="1"/>
  <c r="R67" i="5"/>
  <c r="R68" i="5" s="1"/>
  <c r="A110" i="5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95" i="5"/>
  <c r="A115" i="5"/>
  <c r="A90" i="5"/>
  <c r="L87" i="5"/>
  <c r="O88" i="5"/>
  <c r="B86" i="5"/>
  <c r="AE87" i="5"/>
  <c r="AA85" i="5"/>
  <c r="AA88" i="5"/>
  <c r="J87" i="5"/>
  <c r="AC86" i="5"/>
  <c r="F86" i="5"/>
  <c r="B85" i="5"/>
  <c r="H87" i="5"/>
  <c r="Q85" i="5"/>
  <c r="O87" i="5"/>
  <c r="B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B52" i="5"/>
  <c r="D52" i="5"/>
  <c r="E50" i="5"/>
  <c r="O53" i="5"/>
  <c r="A100" i="5"/>
  <c r="A140" i="5"/>
  <c r="B10" i="12"/>
  <c r="B11" i="12"/>
  <c r="B12" i="12"/>
  <c r="B13" i="12"/>
  <c r="B9" i="12"/>
  <c r="B15" i="12"/>
  <c r="A15" i="12" s="1"/>
  <c r="B14" i="12"/>
  <c r="L69" i="5" l="1"/>
  <c r="K69" i="5" s="1"/>
  <c r="L66" i="5"/>
  <c r="I66" i="5"/>
  <c r="J66" i="5" s="1"/>
  <c r="K66" i="5" s="1"/>
  <c r="M66" i="5" s="1"/>
  <c r="N66" i="5" s="1"/>
  <c r="L68" i="5"/>
  <c r="H66" i="5"/>
  <c r="X66" i="5"/>
  <c r="P86" i="5"/>
  <c r="D89" i="5" s="1"/>
  <c r="AD86" i="5"/>
  <c r="AF86" i="5"/>
  <c r="D85" i="5"/>
  <c r="G87" i="5"/>
  <c r="I87" i="5"/>
  <c r="AB86" i="5"/>
  <c r="F85" i="5"/>
  <c r="B89" i="5"/>
  <c r="D88" i="5"/>
  <c r="G85" i="5"/>
  <c r="AA86" i="5"/>
  <c r="AB87" i="5"/>
  <c r="O86" i="5"/>
  <c r="E86" i="5"/>
  <c r="D86" i="5" s="1"/>
  <c r="K87" i="5"/>
  <c r="V87" i="5" s="1"/>
  <c r="V88" i="5" s="1"/>
  <c r="R85" i="5"/>
  <c r="Y87" i="5" s="1"/>
  <c r="Y88" i="5" s="1"/>
  <c r="AB53" i="5"/>
  <c r="AD46" i="5"/>
  <c r="AE46" i="5" s="1"/>
  <c r="AD47" i="5"/>
  <c r="AE47" i="5" s="1"/>
  <c r="AC43" i="5"/>
  <c r="AE86" i="5"/>
  <c r="AF87" i="5"/>
  <c r="AD87" i="5"/>
  <c r="AC87" i="5"/>
  <c r="AC88" i="5" s="1"/>
  <c r="C89" i="5"/>
  <c r="K88" i="5"/>
  <c r="P87" i="5"/>
  <c r="D87" i="5"/>
  <c r="B87" i="5"/>
  <c r="AB43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R55" i="5"/>
  <c r="L57" i="5"/>
  <c r="F55" i="5"/>
  <c r="B57" i="5"/>
  <c r="O58" i="5"/>
  <c r="AF56" i="5"/>
  <c r="B55" i="5"/>
  <c r="AA56" i="5"/>
  <c r="D55" i="5"/>
  <c r="K58" i="5"/>
  <c r="P57" i="5"/>
  <c r="AA55" i="5"/>
  <c r="I57" i="5"/>
  <c r="AA58" i="5"/>
  <c r="K57" i="5"/>
  <c r="G55" i="5"/>
  <c r="AB56" i="5"/>
  <c r="AC56" i="5"/>
  <c r="AB57" i="5"/>
  <c r="F56" i="5"/>
  <c r="AC57" i="5"/>
  <c r="Q55" i="5"/>
  <c r="O57" i="5"/>
  <c r="B56" i="5"/>
  <c r="D57" i="5"/>
  <c r="G57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AD38" i="5" s="1"/>
  <c r="AE38" i="5" s="1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P62" i="5"/>
  <c r="G60" i="5"/>
  <c r="AA60" i="5"/>
  <c r="I62" i="5"/>
  <c r="AA63" i="5"/>
  <c r="AB61" i="5"/>
  <c r="O62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A61" i="5"/>
  <c r="B63" i="5"/>
  <c r="R60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7" i="5"/>
  <c r="AE37" i="5" s="1"/>
  <c r="R87" i="5"/>
  <c r="R88" i="5" s="1"/>
  <c r="U87" i="5"/>
  <c r="U88" i="5" s="1"/>
  <c r="T87" i="5"/>
  <c r="T88" i="5" s="1"/>
  <c r="W152" i="5"/>
  <c r="W153" i="5" s="1"/>
  <c r="S152" i="5"/>
  <c r="S153" i="5" s="1"/>
  <c r="V152" i="5"/>
  <c r="V153" i="5" s="1"/>
  <c r="M152" i="5"/>
  <c r="N152" i="5" s="1"/>
  <c r="AB153" i="5"/>
  <c r="C15" i="12"/>
  <c r="D15" i="12"/>
  <c r="C7" i="12"/>
  <c r="AE88" i="5" l="1"/>
  <c r="Z67" i="5"/>
  <c r="Q66" i="5"/>
  <c r="Z66" i="5"/>
  <c r="AD62" i="5"/>
  <c r="AE62" i="5" s="1"/>
  <c r="AD61" i="5"/>
  <c r="AE61" i="5" s="1"/>
  <c r="W87" i="5"/>
  <c r="W88" i="5" s="1"/>
  <c r="AD56" i="5"/>
  <c r="AE56" i="5" s="1"/>
  <c r="AB88" i="5"/>
  <c r="AD88" i="5" s="1"/>
  <c r="AD57" i="5"/>
  <c r="AE57" i="5" s="1"/>
  <c r="M87" i="5"/>
  <c r="N87" i="5" s="1"/>
  <c r="S87" i="5"/>
  <c r="S88" i="5" s="1"/>
  <c r="Y86" i="5"/>
  <c r="AG86" i="5" s="1"/>
  <c r="AD43" i="5"/>
  <c r="AE43" i="5" s="1"/>
  <c r="AB73" i="5"/>
  <c r="AD153" i="5"/>
  <c r="AB143" i="5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R62" i="5"/>
  <c r="R63" i="5" s="1"/>
  <c r="T62" i="5"/>
  <c r="T63" i="5" s="1"/>
  <c r="U62" i="5"/>
  <c r="U63" i="5" s="1"/>
  <c r="AB63" i="5"/>
  <c r="U82" i="5"/>
  <c r="U83" i="5" s="1"/>
  <c r="R82" i="5"/>
  <c r="R83" i="5" s="1"/>
  <c r="T82" i="5"/>
  <c r="T83" i="5" s="1"/>
  <c r="AB83" i="5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G61" i="5"/>
  <c r="X61" i="5" s="1"/>
  <c r="V61" i="5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R56" i="5"/>
  <c r="W56" i="5"/>
  <c r="Q57" i="5"/>
  <c r="Q58" i="5" s="1"/>
  <c r="S56" i="5"/>
  <c r="U56" i="5"/>
  <c r="G56" i="5"/>
  <c r="X57" i="5" s="1"/>
  <c r="V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X42" i="5"/>
  <c r="X43" i="5" s="1"/>
  <c r="X41" i="5"/>
  <c r="Y61" i="5"/>
  <c r="AG61" i="5" s="1"/>
  <c r="Y62" i="5"/>
  <c r="Y63" i="5" s="1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Z68" i="5" l="1"/>
  <c r="P68" i="5" s="1"/>
  <c r="D68" i="5" s="1"/>
  <c r="D69" i="5" s="1"/>
  <c r="E66" i="5" s="1"/>
  <c r="D66" i="5" s="1"/>
  <c r="P88" i="5"/>
  <c r="AD143" i="5"/>
  <c r="X62" i="5"/>
  <c r="X63" i="5" s="1"/>
  <c r="X56" i="5"/>
  <c r="X58" i="5" s="1"/>
  <c r="AD73" i="5"/>
  <c r="AD83" i="5"/>
  <c r="AD63" i="5"/>
  <c r="AE63" i="5" s="1"/>
  <c r="AD93" i="5"/>
  <c r="AD58" i="5"/>
  <c r="AE58" i="5" s="1"/>
  <c r="AD123" i="5"/>
  <c r="AD78" i="5"/>
  <c r="AD103" i="5"/>
  <c r="AD10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A7" i="12"/>
  <c r="C69" i="5" l="1"/>
  <c r="Q61" i="5"/>
  <c r="Z61" i="5"/>
  <c r="Z62" i="5"/>
  <c r="Z56" i="5"/>
  <c r="Q56" i="5"/>
  <c r="Z57" i="5"/>
  <c r="Z48" i="5"/>
  <c r="Q38" i="5"/>
  <c r="Q53" i="5"/>
  <c r="Z53" i="5"/>
  <c r="Q43" i="5"/>
  <c r="Z43" i="5"/>
  <c r="Z38" i="5"/>
  <c r="Q48" i="5"/>
  <c r="D14" i="12" l="1"/>
  <c r="C14" i="12"/>
  <c r="Z63" i="5"/>
  <c r="P63" i="5" s="1"/>
  <c r="D63" i="5" s="1"/>
  <c r="D64" i="5" s="1"/>
  <c r="E61" i="5" s="1"/>
  <c r="D61" i="5" s="1"/>
  <c r="C13" i="12" s="1"/>
  <c r="Z58" i="5"/>
  <c r="P58" i="5" s="1"/>
  <c r="D58" i="5" s="1"/>
  <c r="D59" i="5" s="1"/>
  <c r="E56" i="5" s="1"/>
  <c r="D56" i="5" s="1"/>
  <c r="C12" i="12" s="1"/>
  <c r="P48" i="5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64" i="5" l="1"/>
  <c r="D13" i="12" s="1"/>
  <c r="C59" i="5"/>
  <c r="D12" i="12" s="1"/>
  <c r="C10" i="12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E12" i="12"/>
  <c r="E13" i="12" l="1"/>
  <c r="A12" i="12"/>
  <c r="E14" i="12" l="1"/>
  <c r="A13" i="12"/>
  <c r="E15" i="12" l="1"/>
  <c r="A14" i="12"/>
  <c r="B16" i="8" s="1"/>
  <c r="B13" i="8"/>
  <c r="B14" i="8"/>
  <c r="B17" i="8"/>
  <c r="B5" i="8"/>
  <c r="B15" i="8"/>
  <c r="B12" i="8"/>
  <c r="B4" i="8" l="1"/>
  <c r="B8" i="8"/>
  <c r="B10" i="8"/>
  <c r="B11" i="8"/>
  <c r="H11" i="8" s="1"/>
  <c r="B7" i="8"/>
  <c r="D7" i="8" s="1"/>
  <c r="B9" i="8"/>
  <c r="G9" i="8" s="1"/>
  <c r="B6" i="8"/>
  <c r="I15" i="8"/>
  <c r="K15" i="8"/>
  <c r="J15" i="8"/>
  <c r="L15" i="8" s="1"/>
  <c r="C15" i="8"/>
  <c r="D15" i="8"/>
  <c r="A15" i="8"/>
  <c r="E15" i="8"/>
  <c r="F15" i="8"/>
  <c r="H15" i="8"/>
  <c r="G15" i="8"/>
  <c r="A5" i="8"/>
  <c r="E5" i="8"/>
  <c r="J5" i="8"/>
  <c r="H5" i="8"/>
  <c r="L5" i="8"/>
  <c r="G5" i="8"/>
  <c r="D5" i="8"/>
  <c r="F5" i="8"/>
  <c r="C5" i="8"/>
  <c r="K5" i="8" s="1"/>
  <c r="I5" i="8"/>
  <c r="E8" i="8"/>
  <c r="D8" i="8"/>
  <c r="C8" i="8"/>
  <c r="K8" i="8" s="1"/>
  <c r="L8" i="8" s="1"/>
  <c r="F8" i="8"/>
  <c r="G8" i="8"/>
  <c r="H8" i="8"/>
  <c r="A8" i="8"/>
  <c r="J8" i="8"/>
  <c r="I8" i="8"/>
  <c r="C7" i="8"/>
  <c r="K7" i="8" s="1"/>
  <c r="L7" i="8" s="1"/>
  <c r="H7" i="8"/>
  <c r="E7" i="8"/>
  <c r="J7" i="8"/>
  <c r="G7" i="8"/>
  <c r="C9" i="8"/>
  <c r="K9" i="8" s="1"/>
  <c r="H6" i="8"/>
  <c r="A6" i="8"/>
  <c r="L6" i="8"/>
  <c r="C6" i="8"/>
  <c r="K6" i="8" s="1"/>
  <c r="I6" i="8"/>
  <c r="G6" i="8"/>
  <c r="F6" i="8"/>
  <c r="E6" i="8"/>
  <c r="D6" i="8"/>
  <c r="J6" i="8"/>
  <c r="A16" i="8"/>
  <c r="E16" i="8"/>
  <c r="G16" i="8"/>
  <c r="J16" i="8"/>
  <c r="D16" i="8"/>
  <c r="L16" i="8"/>
  <c r="H16" i="8"/>
  <c r="I16" i="8"/>
  <c r="C16" i="8"/>
  <c r="K16" i="8" s="1"/>
  <c r="F16" i="8"/>
  <c r="J12" i="8"/>
  <c r="F12" i="8"/>
  <c r="H12" i="8"/>
  <c r="L12" i="8"/>
  <c r="C12" i="8"/>
  <c r="K12" i="8" s="1"/>
  <c r="D12" i="8"/>
  <c r="G12" i="8"/>
  <c r="E12" i="8"/>
  <c r="A12" i="8"/>
  <c r="I12" i="8"/>
  <c r="L17" i="8"/>
  <c r="A17" i="8"/>
  <c r="H17" i="8"/>
  <c r="J17" i="8"/>
  <c r="E17" i="8"/>
  <c r="K17" i="8"/>
  <c r="G17" i="8"/>
  <c r="I17" i="8"/>
  <c r="C17" i="8"/>
  <c r="F17" i="8"/>
  <c r="D17" i="8"/>
  <c r="G13" i="8"/>
  <c r="H13" i="8"/>
  <c r="J13" i="8"/>
  <c r="L13" i="8" s="1"/>
  <c r="E13" i="8"/>
  <c r="K13" i="8"/>
  <c r="I13" i="8"/>
  <c r="D13" i="8"/>
  <c r="F13" i="8"/>
  <c r="C13" i="8"/>
  <c r="A13" i="8"/>
  <c r="K10" i="8"/>
  <c r="L10" i="8" s="1"/>
  <c r="G10" i="8"/>
  <c r="I10" i="8"/>
  <c r="J10" i="8"/>
  <c r="D10" i="8"/>
  <c r="F10" i="8"/>
  <c r="C10" i="8"/>
  <c r="A10" i="8"/>
  <c r="E10" i="8"/>
  <c r="H10" i="8"/>
  <c r="K14" i="8"/>
  <c r="H14" i="8"/>
  <c r="C14" i="8"/>
  <c r="F14" i="8"/>
  <c r="G14" i="8"/>
  <c r="E14" i="8"/>
  <c r="J14" i="8"/>
  <c r="L14" i="8" s="1"/>
  <c r="I14" i="8"/>
  <c r="D14" i="8"/>
  <c r="A14" i="8"/>
  <c r="F4" i="8"/>
  <c r="G4" i="8"/>
  <c r="A4" i="8"/>
  <c r="I4" i="8"/>
  <c r="C4" i="8"/>
  <c r="K4" i="8" s="1"/>
  <c r="D4" i="8"/>
  <c r="H4" i="8"/>
  <c r="J4" i="8"/>
  <c r="L4" i="8" s="1"/>
  <c r="E4" i="8"/>
  <c r="K11" i="8" l="1"/>
  <c r="L11" i="8" s="1"/>
  <c r="J11" i="8"/>
  <c r="E11" i="8"/>
  <c r="F11" i="8"/>
  <c r="A11" i="8"/>
  <c r="C11" i="8"/>
  <c r="D11" i="8"/>
  <c r="G11" i="8"/>
  <c r="I11" i="8"/>
  <c r="A7" i="8"/>
  <c r="I7" i="8"/>
  <c r="F7" i="8"/>
  <c r="D9" i="8"/>
  <c r="A9" i="8"/>
  <c r="E9" i="8"/>
  <c r="I9" i="8"/>
  <c r="F9" i="8"/>
  <c r="J9" i="8"/>
  <c r="H9" i="8"/>
  <c r="L9" i="8"/>
  <c r="L2" i="8" s="1"/>
  <c r="J2" i="8"/>
  <c r="F7" i="11" s="1"/>
  <c r="H7" i="11" s="1"/>
  <c r="H12" i="11" s="1"/>
</calcChain>
</file>

<file path=xl/sharedStrings.xml><?xml version="1.0" encoding="utf-8"?>
<sst xmlns="http://schemas.openxmlformats.org/spreadsheetml/2006/main" count="292" uniqueCount="214">
  <si>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</si>
  <si>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</si>
  <si>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</si>
  <si>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</si>
  <si>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</si>
  <si>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</si>
  <si>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</si>
  <si>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</si>
  <si>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</si>
  <si>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</si>
  <si>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</si>
  <si>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</si>
  <si>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</si>
  <si>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</si>
  <si>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</si>
  <si>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</si>
  <si>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</si>
  <si>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</si>
  <si>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</si>
  <si>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</si>
  <si>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</si>
  <si>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</si>
  <si>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</si>
  <si>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</si>
  <si>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</si>
  <si>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</si>
  <si>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</si>
  <si>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</si>
  <si>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</si>
  <si>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</si>
  <si>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</si>
  <si>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</si>
  <si>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</si>
  <si>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</si>
  <si>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</si>
  <si>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</si>
  <si>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</si>
  <si>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</si>
  <si>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</si>
  <si>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</si>
  <si>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</si>
  <si>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</si>
  <si>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</si>
  <si>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</si>
  <si>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</si>
  <si>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</si>
  <si>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</si>
  <si>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</si>
  <si>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</si>
  <si>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</si>
  <si>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</si>
  <si>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</si>
  <si>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</si>
  <si>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</si>
  <si>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</si>
  <si>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</si>
  <si>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</si>
  <si>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</si>
  <si>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</si>
  <si>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</si>
  <si>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</si>
  <si>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</si>
  <si>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</si>
  <si>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</si>
  <si>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</si>
  <si>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</si>
  <si>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</si>
  <si>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</si>
  <si>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</si>
  <si>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</si>
  <si>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</si>
  <si>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</si>
  <si>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</si>
  <si>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</si>
  <si>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</si>
  <si>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</si>
  <si>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</si>
  <si>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</si>
  <si>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</si>
  <si>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</si>
  <si>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</si>
  <si>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</si>
  <si>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</si>
  <si>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</si>
  <si>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</si>
  <si>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</si>
  <si>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</si>
  <si>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</si>
  <si>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</si>
  <si>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</si>
  <si>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</si>
  <si>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</si>
  <si>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</si>
  <si>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</si>
  <si>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</si>
  <si>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</si>
  <si>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</si>
  <si>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</si>
  <si>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</si>
  <si>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</si>
  <si>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</si>
  <si>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</si>
  <si>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</si>
  <si>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</si>
  <si>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</si>
  <si>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</si>
  <si>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</si>
  <si>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</si>
  <si>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</si>
  <si>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</si>
  <si>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</si>
  <si>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</si>
  <si>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</si>
  <si>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</si>
  <si>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</si>
  <si>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</si>
  <si>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</si>
  <si>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</si>
  <si>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</si>
  <si>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</si>
  <si>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</si>
  <si>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</si>
  <si>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</si>
  <si>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</si>
  <si>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</si>
  <si>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</si>
  <si>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</si>
  <si>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</si>
  <si>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</si>
  <si>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</si>
  <si>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</si>
  <si>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</si>
  <si>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</si>
  <si>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</si>
  <si>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</si>
  <si>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</si>
  <si>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</si>
  <si>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</si>
  <si>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</si>
  <si>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</si>
  <si>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</si>
  <si>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</si>
  <si>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</si>
  <si>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</si>
  <si>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</si>
  <si>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</si>
  <si>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</si>
  <si>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</si>
  <si>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</si>
  <si>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</si>
  <si>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</si>
  <si>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</si>
  <si>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</si>
  <si>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</si>
  <si>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</si>
  <si>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</si>
  <si>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</si>
  <si>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</si>
  <si>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</si>
  <si>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</si>
  <si>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</si>
  <si>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</si>
  <si>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</si>
  <si>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</si>
  <si>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</si>
  <si>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</si>
  <si>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</si>
  <si>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</si>
  <si>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</si>
  <si>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</si>
  <si>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</si>
  <si>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</si>
  <si>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</si>
  <si>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</si>
  <si>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</si>
  <si>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</si>
  <si>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</si>
  <si>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</si>
  <si>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</si>
  <si>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</si>
  <si>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</si>
  <si>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</si>
  <si>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</si>
  <si>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</si>
  <si>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</si>
  <si>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</si>
  <si>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</si>
  <si>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</si>
  <si>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</si>
  <si>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</si>
  <si>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</si>
  <si>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</si>
  <si>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</si>
  <si>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</si>
  <si>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</si>
  <si>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</si>
  <si>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</si>
  <si>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</si>
  <si>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</si>
  <si>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</si>
  <si>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</si>
  <si>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</si>
  <si>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</si>
  <si>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</si>
  <si>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</si>
  <si>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</si>
  <si>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</si>
  <si>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</si>
  <si>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</si>
  <si>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</si>
  <si>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</si>
  <si>
    <t>Produto Serviços Transversais - Subproduto Serviço de Documentos Versão (1.0)</t>
  </si>
  <si>
    <t>Produto Domicilio Eletrônico Fazendário - Caixa Eletrônica Postal Fiscal Versão (1.0)</t>
  </si>
  <si>
    <t>Produto Cadastro - Processar Solicitação Jucetins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</si>
</sst>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865620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1374</v>
      </c>
      <c r="E2" s="108">
        <f>SUM(Acumulado[PF Faturado])</f>
        <v>656.4</v>
      </c>
      <c r="F2" s="107">
        <f>C2-D2</f>
        <v>2053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278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75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492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 ca="1">IF(FatCTL[[#This Row],[Número OS]]="","",IF(FatCTL[[#This Row],[0]]=E11,"",FatCTL[[#This Row],[0]]))</f>
        <v/>
      </c>
      <c r="B12" s="68">
        <f>IF(ControleOSsMês!$B$1="Todas",IF(IFERROR(INDEX(OSS[Número OS],INT((ROW()-ROW($B$1)-1))+1,1),"")=0,"",IFERROR(INDEX(OSS[Número OS],INT((ROW()-ROW($B$1)-1))+1,1),"")),IFERROR(VLOOKUP(INT((ROW()-ROW($B$1)-1))+1,OSCTL[],2,FALSE),""))</f>
        <v>4817</v>
      </c>
      <c r="C1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7">
        <f ca="1">IF(B12="","",IF(INDEX(Mensal!$A$5:$AG$154,MATCH(B12,Mensal!$A$5:$A$154,0)+4,3)="",0,INDEX(Mensal!$A$5:$AG$154,MATCH(B12,Mensal!$A$5:$A$154,0)+4,3)))</f>
        <v>0</v>
      </c>
      <c r="E12" s="70" t="str">
        <f ca="1">IF(FatCTL[[#This Row],[Saldo em PF]]=0,E11,E11+1)</f>
        <v>0</v>
      </c>
    </row>
    <row r="13" spans="1:5" ht="15.75" x14ac:dyDescent="0.25">
      <c r="A13" s="71" t="str">
        <f ca="1">IF(FatCTL[[#This Row],[Número OS]]="","",IF(FatCTL[[#This Row],[0]]=E12,"",FatCTL[[#This Row],[0]]))</f>
        <v/>
      </c>
      <c r="B13" s="68">
        <f>IF(ControleOSsMês!$B$1="Todas",IF(IFERROR(INDEX(OSS[Número OS],INT((ROW()-ROW($B$1)-1))+1,1),"")=0,"",IFERROR(INDEX(OSS[Número OS],INT((ROW()-ROW($B$1)-1))+1,1),"")),IFERROR(VLOOKUP(INT((ROW()-ROW($B$1)-1))+1,OSCTL[],2,FALSE),""))</f>
        <v>4818</v>
      </c>
      <c r="C1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7">
        <f ca="1">IF(B13="","",IF(INDEX(Mensal!$A$5:$AG$154,MATCH(B13,Mensal!$A$5:$A$154,0)+4,3)="",0,INDEX(Mensal!$A$5:$AG$154,MATCH(B13,Mensal!$A$5:$A$154,0)+4,3)))</f>
        <v>0</v>
      </c>
      <c r="E13" s="70" t="str">
        <f ca="1">IF(FatCTL[[#This Row],[Saldo em PF]]=0,E12,E12+1)</f>
        <v>0</v>
      </c>
    </row>
    <row r="14" spans="1:5" ht="15.75" x14ac:dyDescent="0.25">
      <c r="A14" s="71" t="str">
        <f ca="1">IF(FatCTL[[#This Row],[Número OS]]="","",IF(FatCTL[[#This Row],[0]]=E13,"",FatCTL[[#This Row],[0]]))</f>
        <v/>
      </c>
      <c r="B14" s="68">
        <f>IF(ControleOSsMês!$B$1="Todas",IF(IFERROR(INDEX(OSS[Número OS],INT((ROW()-ROW($B$1)-1))+1,1),"")=0,"",IFERROR(INDEX(OSS[Número OS],INT((ROW()-ROW($B$1)-1))+1,1),"")),IFERROR(VLOOKUP(INT((ROW()-ROW($B$1)-1))+1,OSCTL[],2,FALSE),""))</f>
        <v>4819</v>
      </c>
      <c r="C1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4" s="77">
        <f ca="1">IF(B14="","",IF(INDEX(Mensal!$A$5:$AG$154,MATCH(B14,Mensal!$A$5:$A$154,0)+4,3)="",0,INDEX(Mensal!$A$5:$AG$154,MATCH(B14,Mensal!$A$5:$A$154,0)+4,3)))</f>
        <v>0</v>
      </c>
      <c r="E14" s="70" t="str">
        <f ca="1">IF(FatCTL[[#This Row],[Saldo em PF]]=0,E13,E13+1)</f>
        <v>0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Y11" sqref="Y11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90+(VALUE("31/10/16")-VALUE("23/09/16")+1)</f>
        <v>129</v>
      </c>
    </row>
    <row r="3" spans="1:25" x14ac:dyDescent="0.25">
      <c r="A3" s="21">
        <v>4757</v>
      </c>
      <c r="B3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90+(VALUE("22/09/16")-VALUE("01/09/16")+1)+(VALUE("31/10/16")-VALUE("01/10/16")+1)</f>
        <v>143</v>
      </c>
    </row>
    <row r="4" spans="1:25" x14ac:dyDescent="0.25">
      <c r="A4" s="21">
        <v>4776</v>
      </c>
      <c r="B4" t="s">
        <v>81</v>
      </c>
      <c r="C4" s="50">
        <v>42675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>
        <v>0</v>
      </c>
      <c r="S4" s="21">
        <v>15</v>
      </c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</f>
        <v>109</v>
      </c>
    </row>
    <row r="5" spans="1:25" x14ac:dyDescent="0.25">
      <c r="A5" s="21">
        <v>4777</v>
      </c>
      <c r="B5" t="s">
        <v>81</v>
      </c>
      <c r="C5" s="50">
        <v>42675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</f>
        <v>70</v>
      </c>
    </row>
    <row r="6" spans="1:25" x14ac:dyDescent="0.25">
      <c r="A6" s="21">
        <v>4782</v>
      </c>
      <c r="B6" t="s">
        <v>81</v>
      </c>
      <c r="C6" s="50">
        <v>42675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</f>
        <v>45</v>
      </c>
    </row>
    <row r="7" spans="1:25" x14ac:dyDescent="0.25">
      <c r="A7" s="21">
        <v>4797</v>
      </c>
      <c r="B7" t="s">
        <v>77</v>
      </c>
      <c r="C7" s="50">
        <v>42372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>
        <v>42677</v>
      </c>
      <c r="L7" s="50"/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(VALUE("08/08/16")-VALUE("18/07/16")+1)+(VALUE("04/10/16")-VALUE("16/08/16")+1)+(VALUE("21/10/16")-VALUE("16/09/16")+1)</f>
        <v>108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(VALUE("29/09/16")-VALUE("19/08/16")+1)+(VALUE("14/11/16")-VALUE("11/10/16")+1)</f>
        <v>77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(VALUE("31/10/16")-VALUE("22/08/16")+1)</f>
        <v>71</v>
      </c>
    </row>
    <row r="10" spans="1:25" x14ac:dyDescent="0.25">
      <c r="A10" s="21">
        <v>4810</v>
      </c>
      <c r="B10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(VALUE("06/09/16")-VALUE("26/08/16")+1)+(VALUE("31/10/16")-VALUE("27/09/16")+1)</f>
        <v>47</v>
      </c>
    </row>
    <row r="11" spans="1:25" x14ac:dyDescent="0.25">
      <c r="A11" s="21">
        <v>4813</v>
      </c>
      <c r="B11" t="s">
        <v>204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>
        <f>(VALUE("14/11/16")-VALUE("20/10/16")+1)</f>
        <v>26</v>
      </c>
    </row>
    <row r="12" spans="1:25" x14ac:dyDescent="0.25">
      <c r="A12" s="21">
        <v>4817</v>
      </c>
      <c r="B12" t="s">
        <v>74</v>
      </c>
      <c r="C12" s="50">
        <v>42677</v>
      </c>
      <c r="D12" t="s">
        <v>96</v>
      </c>
      <c r="E12" t="s">
        <v>188</v>
      </c>
      <c r="F12" t="s">
        <v>211</v>
      </c>
      <c r="G12" s="50">
        <v>42677</v>
      </c>
      <c r="H12" s="50"/>
      <c r="I12" s="50"/>
      <c r="J12" s="50"/>
      <c r="K12" s="50"/>
      <c r="L12" s="50"/>
      <c r="M12" s="50"/>
      <c r="N12" s="21">
        <v>84</v>
      </c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>
        <v>4818</v>
      </c>
      <c r="B13" t="s">
        <v>74</v>
      </c>
      <c r="C13" s="50">
        <v>42677</v>
      </c>
      <c r="D13" t="s">
        <v>96</v>
      </c>
      <c r="E13" t="s">
        <v>186</v>
      </c>
      <c r="F13" t="s">
        <v>212</v>
      </c>
      <c r="G13" s="50">
        <v>42677</v>
      </c>
      <c r="H13" s="50"/>
      <c r="I13" s="50"/>
      <c r="J13" s="50"/>
      <c r="K13" s="50"/>
      <c r="L13" s="50"/>
      <c r="M13" s="50"/>
      <c r="N13" s="21">
        <v>75</v>
      </c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>
        <v>4819</v>
      </c>
      <c r="B14" t="s">
        <v>74</v>
      </c>
      <c r="C14" s="50">
        <v>42688</v>
      </c>
      <c r="D14" t="s">
        <v>96</v>
      </c>
      <c r="E14" t="s">
        <v>184</v>
      </c>
      <c r="F14" t="s">
        <v>213</v>
      </c>
      <c r="G14" s="50">
        <v>42688</v>
      </c>
      <c r="H14" s="50"/>
      <c r="I14" s="50"/>
      <c r="J14" s="50"/>
      <c r="K14" s="50"/>
      <c r="L14" s="50"/>
      <c r="M14" s="50"/>
      <c r="N14" s="21">
        <v>54</v>
      </c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L54" sqref="L54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7.5703125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42674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5" t="s">
        <v>82</v>
      </c>
      <c r="C3" s="115"/>
      <c r="D3" s="115"/>
      <c r="E3" s="115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Paralisada</v>
      </c>
      <c r="C5" s="114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42644</v>
      </c>
      <c r="J6" s="20">
        <f>IF(I6="","",WORKDAY(IF(I7="",I6,IF(I7&gt;I6,I7,I6)),IF(IF(P7="",P6,P7)&lt;150,5,10)))</f>
        <v>42657</v>
      </c>
      <c r="K6" s="20">
        <f>IF(J6="","",J6+ROUND((IF(P7="",P6,IF(P7&gt;P6,P7,P6))/(19*LN(IF(P7="",P6,IF(P7&gt;P6,P7,P6)))-42))*30*SLA_PrazoAceite,0))</f>
        <v>42682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42694</v>
      </c>
      <c r="M6" s="20">
        <f>IF(K6="","",WORKDAY(K6,1))</f>
        <v>42683</v>
      </c>
      <c r="N6" s="20">
        <f>IF(M6="","",M6+SLA_PrazoGarantia)</f>
        <v>42863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25.5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63.8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255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129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Paralisada</v>
      </c>
      <c r="C10" s="114"/>
      <c r="D10" s="52" t="str">
        <f>IF(A10="","","em")</f>
        <v>em</v>
      </c>
      <c r="E10" s="56">
        <f>IF(A10="","",VLOOKUP(A10,OSS[],MATCH("Data Situação",OSS[#Headers],0),FALSE))</f>
        <v>42644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42674</v>
      </c>
      <c r="J11" s="20">
        <f>IF(I11="","",WORKDAY(IF(I12="",I11,IF(I12&gt;I11,I12,I11)),IF(IF(P12="",P11,P12)&lt;150,5,10)))</f>
        <v>42681</v>
      </c>
      <c r="K11" s="20">
        <f>IF(J11="","",J11+ROUND((IF(P12="",P11,IF(P12&gt;P11,P12,P11))/(19*LN(IF(P12="",P11,IF(P12&gt;P11,P12,P11)))-42))*30*SLA_PrazoAceite,0))</f>
        <v>42694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42700</v>
      </c>
      <c r="M11" s="20">
        <f>IF(K11="","",WORKDAY(K11,1))</f>
        <v>42695</v>
      </c>
      <c r="N11" s="20">
        <f>IF(M11="","",M11+SLA_PrazoGarantia)</f>
        <v>42875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20.7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51.8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207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143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Devolvida</v>
      </c>
      <c r="C15" s="114"/>
      <c r="D15" s="52" t="str">
        <f>IF(A15="","","em")</f>
        <v>em</v>
      </c>
      <c r="E15" s="56">
        <f>IF(A15="","",VLOOKUP(A15,OSS[],MATCH("Data Situação",OSS[#Headers],0),FALSE))</f>
        <v>42675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42671</v>
      </c>
      <c r="J16" s="20">
        <f>IF(I16="","",WORKDAY(IF(I17="",I16,IF(I17&gt;I16,I17,I16)),IF(IF(P17="",P16,P17)&lt;150,5,10)))</f>
        <v>42678</v>
      </c>
      <c r="K16" s="20">
        <f>IF(J16="","",J16+ROUND((IF(P17="",P16,IF(P17&gt;P16,P17,P16))/(19*LN(IF(P17="",P16,IF(P17&gt;P16,P17,P16)))-42))*30*SLA_PrazoAceite,0))</f>
        <v>42692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42699</v>
      </c>
      <c r="M16" s="20">
        <f>IF(K16="","",WORKDAY(K16,1))</f>
        <v>42695</v>
      </c>
      <c r="N16" s="20">
        <f>IF(M16="","",M16+SLA_PrazoGarantia)</f>
        <v>42875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17.8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44.5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15</v>
      </c>
      <c r="AD16" s="21">
        <f>IF(A15="","",AB16+AC16)</f>
        <v>15</v>
      </c>
      <c r="AE16" s="24">
        <f>IF(A15="","",AD16/IF($P17="",$P16,$P17))</f>
        <v>0.14018691588785046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0.14018691588785046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>
        <f ca="1">IF(A15="","",P18)</f>
        <v>-9.6999999999999993</v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178</v>
      </c>
      <c r="O18" s="27" t="str">
        <f>IF(A15="","","Multa")</f>
        <v>Multa</v>
      </c>
      <c r="P18" s="54">
        <f ca="1">IF(SUM(Q18:Z18)=0,"",-ROUND(SUM(Q18:Z18),1))</f>
        <v>-9.6999999999999993</v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>
        <f>IF(U17="","",IF(U16&gt;U17,"",ROUND((U17-U16)*100*(IF($P17="",$P16,$P17)*SLA_IQA_IGHA_Multa),2)))</f>
        <v>9.65</v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>
        <f>IF(SUM(AC16:AC17)=0,"",SUM(AC16:AC17))</f>
        <v>15</v>
      </c>
      <c r="AD18" s="21">
        <f>IF(SUM(AB18:AC18)=0,"",SUM(AB18:AC18))</f>
        <v>15</v>
      </c>
      <c r="AE18" s="24">
        <f>IF(P16="","",IF(AD18="","",AD18/IF($P17="",$P16,$P17)))</f>
        <v>0.14018691588785046</v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14.099999999999994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109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Devolvida</v>
      </c>
      <c r="C20" s="114"/>
      <c r="D20" s="52" t="str">
        <f>IF(A20="","","em")</f>
        <v>em</v>
      </c>
      <c r="E20" s="56">
        <f>IF(A20="","",VLOOKUP(A20,OSS[],MATCH("Data Situação",OSS[#Headers],0),FALSE))</f>
        <v>42675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42653</v>
      </c>
      <c r="J21" s="20">
        <f>IF(I21="","",WORKDAY(IF(I22="",I21,IF(I22&gt;I21,I22,I21)),IF(IF(P22="",P21,P22)&lt;150,5,10)))</f>
        <v>42667</v>
      </c>
      <c r="K21" s="20">
        <f>IF(J21="","",J21+ROUND((IF(P22="",P21,IF(P22&gt;P21,P22,P21))/(19*LN(IF(P22="",P21,IF(P22&gt;P21,P22,P21)))-42))*30*SLA_PrazoAceite,0))</f>
        <v>42685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42689</v>
      </c>
      <c r="M21" s="20">
        <f>IF(K21="","",WORKDAY(K21,1))</f>
        <v>42688</v>
      </c>
      <c r="N21" s="20">
        <f>IF(M21="","",M21+SLA_PrazoGarantia)</f>
        <v>42868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16.100000000000001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40.299999999999997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161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70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Devolvida</v>
      </c>
      <c r="C25" s="114"/>
      <c r="D25" s="52" t="str">
        <f>IF(A25="","","em")</f>
        <v>em</v>
      </c>
      <c r="E25" s="56">
        <f>IF(A25="","",VLOOKUP(A25,OSS[],MATCH("Data Situação",OSS[#Headers],0),FALSE))</f>
        <v>42675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42634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42669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13.3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33.299999999999997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5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5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133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45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Entregue</v>
      </c>
      <c r="C30" s="114"/>
      <c r="D30" s="52" t="str">
        <f>IF(A30="","","em")</f>
        <v>em</v>
      </c>
      <c r="E30" s="56">
        <f>IF(A30="","",VLOOKUP(A30,OSS[],MATCH("Data Situação",OSS[#Headers],0),FALSE))</f>
        <v>42372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42698</v>
      </c>
      <c r="J31" s="20">
        <f>IF(I31="","",WORKDAY(IF(I32="",I31,IF(I32&gt;I31,I32,I31)),IF(IF(P32="",P31,P32)&lt;150,5,10)))</f>
        <v>42705</v>
      </c>
      <c r="K31" s="20">
        <f>IF(J31="","",J31+ROUND((IF(P32="",P31,IF(P32&gt;P31,P32,P31))/(19*LN(IF(P32="",P31,IF(P32&gt;P31,P32,P31)))-42))*30*SLA_PrazoAceite,0))</f>
        <v>42716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42719</v>
      </c>
      <c r="M31" s="20">
        <f>IF(K31="","",WORKDAY(K31,1))</f>
        <v>42717</v>
      </c>
      <c r="N31" s="20">
        <f>IF(M31="","",M31+SLA_PrazoGarantia)</f>
        <v>42897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16.2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40.5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>
        <f>IF(A30="","",IF(VLOOKUP(A30,OSS[],MATCH("Entrega da OS",OSS[#Headers],0),FALSE)="","",VLOOKUP(A30,OSS[],MATCH("Entrega da OS",OSS[#Headers],0),FALSE)))</f>
        <v>42677</v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162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108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42707</v>
      </c>
      <c r="J36" s="20">
        <f>IF(I36="","",WORKDAY(IF(I37="",I36,IF(I37&gt;I36,I37,I36)),IF(IF(P37="",P36,P37)&lt;150,5,10)))</f>
        <v>42713</v>
      </c>
      <c r="K36" s="20">
        <f>IF(J36="","",J36+ROUND((IF(P37="",P36,IF(P37&gt;P36,P37,P36))/(19*LN(IF(P37="",P36,IF(P37&gt;P36,P37,P36)))-42))*30*SLA_PrazoAceite,0))</f>
        <v>42724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42728</v>
      </c>
      <c r="M36" s="20">
        <f>IF(K36="","",WORKDAY(K36,1))</f>
        <v>42725</v>
      </c>
      <c r="N36" s="20">
        <f>IF(M36="","",M36+SLA_PrazoGarantia)</f>
        <v>42905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13.1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32.799999999999997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131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77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42742</v>
      </c>
      <c r="J41" s="20">
        <f>IF(I41="","",WORKDAY(IF(I42="",I41,IF(I42&gt;I41,I42,I41)),IF(IF(P42="",P41,P42)&lt;150,5,10)))</f>
        <v>42755</v>
      </c>
      <c r="K41" s="20">
        <f>IF(J41="","",J41+ROUND((IF(P42="",P41,IF(P42&gt;P41,P42,P41))/(19*LN(IF(P42="",P41,IF(P42&gt;P41,P42,P41)))-42))*30*SLA_PrazoAceite,0))</f>
        <v>42777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42786</v>
      </c>
      <c r="M41" s="20">
        <f>IF(K41="","",WORKDAY(K41,1))</f>
        <v>42779</v>
      </c>
      <c r="N41" s="20">
        <f>IF(M41="","",M41+SLA_PrazoGarantia)</f>
        <v>42959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18.100000000000001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45.3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181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71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Paralisada</v>
      </c>
      <c r="C45" s="114"/>
      <c r="D45" s="52" t="str">
        <f>IF(A45="","","em")</f>
        <v>em</v>
      </c>
      <c r="E45" s="56">
        <f>IF(A45="","",VLOOKUP(A45,OSS[],MATCH("Data Situação",OSS[#Headers],0),FALSE))</f>
        <v>42646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42668</v>
      </c>
      <c r="J46" s="20">
        <f>IF(I46="","",WORKDAY(IF(I47="",I46,IF(I47&gt;I46,I47,I46)),IF(IF(P47="",P46,P47)&lt;150,5,10)))</f>
        <v>42675</v>
      </c>
      <c r="K46" s="20">
        <f>IF(J46="","",J46+ROUND((IF(P47="",P46,IF(P47&gt;P46,P47,P46))/(19*LN(IF(P47="",P46,IF(P47&gt;P46,P47,P46)))-42))*30*SLA_PrazoAceite,0))</f>
        <v>42683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42684</v>
      </c>
      <c r="M46" s="20">
        <f>IF(K46="","",WORKDAY(K46,1))</f>
        <v>42684</v>
      </c>
      <c r="N46" s="20">
        <f>IF(M46="","",M46+SLA_PrazoGarantia)</f>
        <v>42864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8.6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21.5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86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47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Reiniciada</v>
      </c>
      <c r="C50" s="114"/>
      <c r="D50" s="52" t="str">
        <f>IF(A50="","","em")</f>
        <v>em</v>
      </c>
      <c r="E50" s="56">
        <f>IF(A50="","",VLOOKUP(A50,OSS[],MATCH("Data Situação",OSS[#Headers],0),FALSE))</f>
        <v>42647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42692</v>
      </c>
      <c r="J51" s="20">
        <f>IF(I51="","",WORKDAY(IF(I52="",I51,IF(I52&gt;I51,I52,I51)),IF(IF(P52="",P51,P52)&lt;150,5,10)))</f>
        <v>42699</v>
      </c>
      <c r="K51" s="20">
        <f>IF(J51="","",J51+ROUND((IF(P52="",P51,IF(P52&gt;P51,P52,P51))/(19*LN(IF(P52="",P51,IF(P52&gt;P51,P52,P51)))-42))*30*SLA_PrazoAceite,0))</f>
        <v>42708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42710</v>
      </c>
      <c r="M51" s="20">
        <f>IF(K51="","",WORKDAY(K51,1))</f>
        <v>42709</v>
      </c>
      <c r="N51" s="20">
        <f>IF(M51="","",M51+SLA_PrazoGarantia)</f>
        <v>42889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7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17.5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70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>Acréscimo no prazo previsto para execução em dias corridos</v>
      </c>
      <c r="L54" s="65">
        <f>IF(G51="","",IF(IFERROR(VLOOKUP(A50,OSS[],MATCH("Acréscimo de Dias",OSS[#Headers],0),FALSE),0)=0,"",VLOOKUP(A50,OSS[],MATCH("Acréscimo de Dias",OSS[#Headers],0),FALSE)))</f>
        <v>26</v>
      </c>
      <c r="M54" s="20"/>
      <c r="N54" s="20"/>
      <c r="O54" s="33"/>
      <c r="P54" s="35"/>
    </row>
    <row r="55" spans="1:33" ht="15.75" x14ac:dyDescent="0.25">
      <c r="A5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4817</v>
      </c>
      <c r="B55" s="114" t="str">
        <f>IF(A55="","",VLOOKUP(A55,OSS[],MATCH("Situação da OS",OSS[#Headers],0),FALSE))</f>
        <v>Aberta</v>
      </c>
      <c r="C55" s="114"/>
      <c r="D55" s="52" t="str">
        <f>IF(A55="","","em")</f>
        <v>em</v>
      </c>
      <c r="E55" s="56">
        <f>IF(A55="","",VLOOKUP(A55,OSS[],MATCH("Data Situação",OSS[#Headers],0),FALSE))</f>
        <v>42677</v>
      </c>
      <c r="F55" s="112" t="str">
        <f>IF(A55="","","Titulo:")</f>
        <v>Titulo:</v>
      </c>
      <c r="G55" s="29" t="str">
        <f>IF(A55="","",LEFT(VLOOKUP(A55,OSS[],MATCH("Titulo",OSS[#Headers],0),FALSE),80))</f>
        <v>Produto Serviços Transversais - Subproduto Serviço de Documentos Versão (1.0)</v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>Tipo da OS:</v>
      </c>
      <c r="R55" s="29" t="str">
        <f>IF(A55="","",VLOOKUP(A55,OSS[],MATCH("Tipo",OSS[#Headers],0),FALSE))</f>
        <v>PF Java</v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>Número de Inconformidades</v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>PF a Pagar</v>
      </c>
      <c r="D56" s="81">
        <f ca="1">IF(E56="","",ROUND(IF($P57="",$P56,$P57)*E56,1))</f>
        <v>0</v>
      </c>
      <c r="E56" s="87">
        <f ca="1">IF(A55="","",IF(D59&lt;0,0,IF(B55="Recebida",0.8,IF(B55="Aceita",0.2,0))))</f>
        <v>0</v>
      </c>
      <c r="F56" s="34">
        <f>IF(A55="","",VLOOKUP(A55,OSS[],MATCH("Abertura da OS",OSS[#Headers],0),FALSE))</f>
        <v>42677</v>
      </c>
      <c r="G56" s="20">
        <f>IF(F56="","",WORKDAY(F56,IF(IF(P57="",P56,P57)&lt;150,5,10)))</f>
        <v>42684</v>
      </c>
      <c r="H56" s="20">
        <f>IF(G56="","",WORKDAY(G56,5))</f>
        <v>42691</v>
      </c>
      <c r="I56" s="20">
        <f>IF(G56="","",G56+ROUND(((IF(P57="",P56,P57)/(19*LN(IF(P57="",P56,P57))-42))*30*SLA_PrazoEntrega)+IF(VLOOKUP(A55,OSS[],MATCH("Acréscimo de Dias",OSS[#Headers],0),FALSE)="",0,VLOOKUP(A55,OSS[],MATCH("Acréscimo de Dias",OSS[#Headers],0),FALSE)),0))</f>
        <v>42720</v>
      </c>
      <c r="J56" s="20">
        <f>IF(I56="","",WORKDAY(IF(I57="",I56,IF(I57&gt;I56,I57,I56)),IF(IF(P57="",P56,P57)&lt;150,5,10)))</f>
        <v>42727</v>
      </c>
      <c r="K56" s="20">
        <f>IF(J56="","",J56+ROUND((IF(P57="",P56,IF(P57&gt;P56,P57,P56))/(19*LN(IF(P57="",P56,IF(P57&gt;P56,P57,P56)))-42))*30*SLA_PrazoAceite,0))</f>
        <v>42739</v>
      </c>
      <c r="L56" s="20">
        <f>IF(G56="","",G56+ROUND(((IF(P57="",P56,P57)/(19*LN(IF(P57="",P56,P57))-42))*30)+IF(VLOOKUP(A55,OSS[],MATCH("Acréscimo de Dias",OSS[#Headers],0),FALSE)="",0,VLOOKUP(A55,OSS[],MATCH("Acréscimo de Dias",OSS[#Headers],0),FALSE)),0))</f>
        <v>42744</v>
      </c>
      <c r="M56" s="20">
        <f>IF(K56="","",WORKDAY(K56,1))</f>
        <v>42740</v>
      </c>
      <c r="N56" s="20">
        <f>IF(M56="","",M56+SLA_PrazoGarantia)</f>
        <v>42920</v>
      </c>
      <c r="O56" s="27" t="str">
        <f>IF(A55="","","Previsto")</f>
        <v>Previsto</v>
      </c>
      <c r="P56" s="21">
        <f>IF(A55="","",VLOOKUP(A55,OSS[],MATCH("PF Previsto",OSS[#Headers],0),FALSE))</f>
        <v>84</v>
      </c>
      <c r="Q56" s="54">
        <f>IF(F56="","",ROUND((L56-G56)*SLA_ICP_EOS,1))</f>
        <v>6</v>
      </c>
      <c r="R56" s="21">
        <f>IF(F56="","",SLA_ICP_CIHA)</f>
        <v>2</v>
      </c>
      <c r="S56" s="21">
        <f>IF(F56="","",SLA_ICP_CIG)</f>
        <v>2</v>
      </c>
      <c r="T56" s="24">
        <f>IF(F56="","",SLA_IQA_INGHA)</f>
        <v>0.2</v>
      </c>
      <c r="U56" s="24">
        <f>IF(F56="","",SLA_IQA_IGHA)</f>
        <v>0.05</v>
      </c>
      <c r="V56" s="24">
        <f>IF(F56="","",SLA_IQA_INGG)</f>
        <v>0.05</v>
      </c>
      <c r="W56" s="24">
        <f>IF(F56="","",SLA_IQA_IGG)</f>
        <v>0.01</v>
      </c>
      <c r="X56" s="54">
        <f>IF(F56="","",ROUND((G56-F56)*SLA_ICA_IOS,1))</f>
        <v>0.7</v>
      </c>
      <c r="Y56" s="54" t="str">
        <f>IF(OR(R55="Hora Java",R55="Hora dotNet"),SLA_ICA_SP,"")</f>
        <v/>
      </c>
      <c r="Z56" s="54">
        <f>IF(F56="","",ROUND((L56-G56)*SLA_ICA_EOS,1))</f>
        <v>15</v>
      </c>
      <c r="AA56" t="str">
        <f>IF(A55="","","Homologação")</f>
        <v>Homologação</v>
      </c>
      <c r="AB56" s="21">
        <f>IF(A55="","",VLOOKUP(A55,OSS[],MATCH("Não Grave - Homologação",OSS[#Headers],0),FALSE))</f>
        <v>0</v>
      </c>
      <c r="AC56" s="21">
        <f>IF(A55="","",VLOOKUP(A55,OSS[],MATCH("Grave - Homologação",OSS[#Headers],0),FALSE))</f>
        <v>0</v>
      </c>
      <c r="AD56" s="21">
        <f>IF(A55="","",AB56+AC56)</f>
        <v>0</v>
      </c>
      <c r="AE56" s="24">
        <f>IF(A55="","",AD56/IF($P57="",$P56,$P57))</f>
        <v>0</v>
      </c>
      <c r="AF56" s="21">
        <f>IF(A55="","",VLOOKUP(A55,OSS[],MATCH("Atrasos para Correção Homologação",OSS[#Headers],0),FALSE))</f>
        <v>0</v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>PF Pago</v>
      </c>
      <c r="C57" s="81"/>
      <c r="D57" s="81">
        <f>IF(A55="","",VLOOKUP(A55,OSS[],MATCH("PF Pago",OSS[#Headers],0),FALSE))</f>
        <v>0</v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>Apurado</v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 ca="1">IF(F56="","",IF(G57="",IF(DataRef&lt;G56,"",DataRef-G56),IF(G57&lt;G56,"",G57-G56)))</f>
        <v/>
      </c>
      <c r="Y57" s="54" t="str">
        <f>IF(OR(R55="Hora Java",R55="Hora dotNet"),AG56,"")</f>
        <v/>
      </c>
      <c r="Z57" s="54">
        <f ca="1">IF(F56="","",IF(L57="",IF(DataRef&lt;L56,L56,DataRef),L57)-L56)</f>
        <v>0</v>
      </c>
      <c r="AA57" t="str">
        <f>IF(A55="","","Garantia")</f>
        <v>Garantia</v>
      </c>
      <c r="AB57" s="21">
        <f>IF(A55="","",VLOOKUP(A55,OSS[],MATCH("Não Grave - Garantia",OSS[#Headers],0),FALSE))</f>
        <v>0</v>
      </c>
      <c r="AC57" s="21">
        <f>IF(A55="","",VLOOKUP(A55,OSS[],MATCH("Grave - Garantia",OSS[#Headers],0),FALSE))</f>
        <v>0</v>
      </c>
      <c r="AD57" s="21">
        <f>IF(A55="","",AB57+AC57)</f>
        <v>0</v>
      </c>
      <c r="AE57" s="24">
        <f>IF(A55="","",AD57/IF($P57="",$P56,$P57))</f>
        <v>0</v>
      </c>
      <c r="AF57" s="21">
        <f>IF(A55="","",VLOOKUP(A55,OSS[],MATCH("Atrasos para Correção Garantia",OSS[#Headers],0),FALSE))</f>
        <v>0</v>
      </c>
    </row>
    <row r="58" spans="1:33" ht="15.75" x14ac:dyDescent="0.25">
      <c r="B58" s="63" t="str">
        <f>IF(A55="","","Multa")</f>
        <v>Multa</v>
      </c>
      <c r="C58" s="82"/>
      <c r="D58" s="81" t="str">
        <f ca="1">IF(A55="","",P58)</f>
        <v/>
      </c>
      <c r="E58" s="35"/>
      <c r="K58" s="64" t="str">
        <f>IF(A55="","","Prazo previsto para execução em dias corridos")</f>
        <v>Prazo previsto para execução em dias corridos</v>
      </c>
      <c r="L58" s="65">
        <f>IF(G56="","",ROUND((IF(P57="",P56,P57)/(19*LN(IF(P57="",P56,P57))-42))*30,0)+IF(VLOOKUP(A55,OSS[],MATCH("Acréscimo de Dias",OSS[#Headers],0),FALSE)="",0,VLOOKUP(A55,OSS[],MATCH("Acréscimo de Dias",OSS[#Headers],0),FALSE)))</f>
        <v>60</v>
      </c>
      <c r="O58" s="27" t="str">
        <f>IF(A55="","","Multa")</f>
        <v>Multa</v>
      </c>
      <c r="P58" s="54" t="str">
        <f ca="1"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 ca="1"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 ca="1">IF(Z57="","",IF(Z56&gt;Z57,"",ROUND(IF($P57="",$P56,$P57)*SLA_ICA_EOS_Multa,2)))</f>
        <v/>
      </c>
      <c r="AA58" t="str">
        <f>IF(A55="","","Total")</f>
        <v>Total</v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>PF a Faturar</v>
      </c>
      <c r="C59" s="88">
        <f ca="1">IF(A55="","",IF(D59&lt;0,D59,IF(D56=0,0,IF(D56&gt;D59,D56-D59,D56))))</f>
        <v>0</v>
      </c>
      <c r="D59" s="81">
        <f ca="1">IF(P56="","",IF($P57="",$P56,$P57)+IF(D58="",0,D58)-IF(D57="",0,D57))</f>
        <v>84</v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4818</v>
      </c>
      <c r="B60" s="114" t="str">
        <f>IF(A60="","",VLOOKUP(A60,OSS[],MATCH("Situação da OS",OSS[#Headers],0),FALSE))</f>
        <v>Aberta</v>
      </c>
      <c r="C60" s="114"/>
      <c r="D60" s="52" t="str">
        <f>IF(A60="","","em")</f>
        <v>em</v>
      </c>
      <c r="E60" s="56">
        <f>IF(A60="","",VLOOKUP(A60,OSS[],MATCH("Data Situação",OSS[#Headers],0),FALSE))</f>
        <v>42677</v>
      </c>
      <c r="F60" s="112" t="str">
        <f>IF(A60="","","Titulo:")</f>
        <v>Titulo:</v>
      </c>
      <c r="G60" s="29" t="str">
        <f>IF(A60="","",LEFT(VLOOKUP(A60,OSS[],MATCH("Titulo",OSS[#Headers],0),FALSE),80))</f>
        <v xml:space="preserve">Produto Domicilio Eletrônico Fazendário - Caixa Eletrônica Postal Fiscal Versão </v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>Tipo da OS:</v>
      </c>
      <c r="R60" s="29" t="str">
        <f>IF(A60="","",VLOOKUP(A60,OSS[],MATCH("Tipo",OSS[#Headers],0),FALSE))</f>
        <v>PF Java</v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>Número de Inconformidades</v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>PF a Pagar</v>
      </c>
      <c r="D61" s="81">
        <f ca="1">IF(E61="","",ROUND(IF($P62="",$P61,$P62)*E61,1))</f>
        <v>0</v>
      </c>
      <c r="E61" s="87">
        <f ca="1">IF(A60="","",IF(D64&lt;0,0,IF(B60="Recebida",0.8,IF(B60="Aceita",0.2,0))))</f>
        <v>0</v>
      </c>
      <c r="F61" s="34">
        <f>IF(A60="","",VLOOKUP(A60,OSS[],MATCH("Abertura da OS",OSS[#Headers],0),FALSE))</f>
        <v>42677</v>
      </c>
      <c r="G61" s="20">
        <f>IF(F61="","",WORKDAY(F61,IF(IF(P62="",P61,P62)&lt;150,5,10)))</f>
        <v>42684</v>
      </c>
      <c r="H61" s="20">
        <f>IF(G61="","",WORKDAY(G61,5))</f>
        <v>42691</v>
      </c>
      <c r="I61" s="20">
        <f>IF(G61="","",G61+ROUND(((IF(P62="",P61,P62)/(19*LN(IF(P62="",P61,P62))-42))*30*SLA_PrazoEntrega)+IF(VLOOKUP(A60,OSS[],MATCH("Acréscimo de Dias",OSS[#Headers],0),FALSE)="",0,VLOOKUP(A60,OSS[],MATCH("Acréscimo de Dias",OSS[#Headers],0),FALSE)),0))</f>
        <v>42718</v>
      </c>
      <c r="J61" s="20">
        <f>IF(I61="","",WORKDAY(IF(I62="",I61,IF(I62&gt;I61,I62,I61)),IF(IF(P62="",P61,P62)&lt;150,5,10)))</f>
        <v>42725</v>
      </c>
      <c r="K61" s="20">
        <f>IF(J61="","",J61+ROUND((IF(P62="",P61,IF(P62&gt;P61,P62,P61))/(19*LN(IF(P62="",P61,IF(P62&gt;P61,P62,P61)))-42))*30*SLA_PrazoAceite,0))</f>
        <v>42736</v>
      </c>
      <c r="L61" s="20">
        <f>IF(G61="","",G61+ROUND(((IF(P62="",P61,P62)/(19*LN(IF(P62="",P61,P62))-42))*30)+IF(VLOOKUP(A60,OSS[],MATCH("Acréscimo de Dias",OSS[#Headers],0),FALSE)="",0,VLOOKUP(A60,OSS[],MATCH("Acréscimo de Dias",OSS[#Headers],0),FALSE)),0))</f>
        <v>42740</v>
      </c>
      <c r="M61" s="20">
        <f>IF(K61="","",WORKDAY(K61,1))</f>
        <v>42737</v>
      </c>
      <c r="N61" s="20">
        <f>IF(M61="","",M61+SLA_PrazoGarantia)</f>
        <v>42917</v>
      </c>
      <c r="O61" s="27" t="str">
        <f>IF(A60="","","Previsto")</f>
        <v>Previsto</v>
      </c>
      <c r="P61" s="21">
        <f>IF(A60="","",VLOOKUP(A60,OSS[],MATCH("PF Previsto",OSS[#Headers],0),FALSE))</f>
        <v>75</v>
      </c>
      <c r="Q61" s="54">
        <f>IF(F61="","",ROUND((L61-G61)*SLA_ICP_EOS,1))</f>
        <v>5.6</v>
      </c>
      <c r="R61" s="21">
        <f>IF(F61="","",SLA_ICP_CIHA)</f>
        <v>2</v>
      </c>
      <c r="S61" s="21">
        <f>IF(F61="","",SLA_ICP_CIG)</f>
        <v>2</v>
      </c>
      <c r="T61" s="24">
        <f>IF(F61="","",SLA_IQA_INGHA)</f>
        <v>0.2</v>
      </c>
      <c r="U61" s="24">
        <f>IF(F61="","",SLA_IQA_IGHA)</f>
        <v>0.05</v>
      </c>
      <c r="V61" s="24">
        <f>IF(F61="","",SLA_IQA_INGG)</f>
        <v>0.05</v>
      </c>
      <c r="W61" s="24">
        <f>IF(F61="","",SLA_IQA_IGG)</f>
        <v>0.01</v>
      </c>
      <c r="X61" s="54">
        <f>IF(F61="","",ROUND((G61-F61)*SLA_ICA_IOS,1))</f>
        <v>0.7</v>
      </c>
      <c r="Y61" s="54" t="str">
        <f>IF(OR(R60="Hora Java",R60="Hora dotNet"),SLA_ICA_SP,"")</f>
        <v/>
      </c>
      <c r="Z61" s="54">
        <f>IF(F61="","",ROUND((L61-G61)*SLA_ICA_EOS,1))</f>
        <v>14</v>
      </c>
      <c r="AA61" t="str">
        <f>IF(A60="","","Homologação")</f>
        <v>Homologação</v>
      </c>
      <c r="AB61" s="21">
        <f>IF(A60="","",VLOOKUP(A60,OSS[],MATCH("Não Grave - Homologação",OSS[#Headers],0),FALSE))</f>
        <v>0</v>
      </c>
      <c r="AC61" s="21">
        <f>IF(A60="","",VLOOKUP(A60,OSS[],MATCH("Grave - Homologação",OSS[#Headers],0),FALSE))</f>
        <v>0</v>
      </c>
      <c r="AD61" s="21">
        <f>IF(A60="","",AB61+AC61)</f>
        <v>0</v>
      </c>
      <c r="AE61" s="24">
        <f>IF(A60="","",AD61/IF($P62="",$P61,$P62))</f>
        <v>0</v>
      </c>
      <c r="AF61" s="21">
        <f>IF(A60="","",VLOOKUP(A60,OSS[],MATCH("Atrasos para Correção Homologação",OSS[#Headers],0),FALSE))</f>
        <v>0</v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>PF Pago</v>
      </c>
      <c r="C62" s="81"/>
      <c r="D62" s="81">
        <f>IF(A60="","",VLOOKUP(A60,OSS[],MATCH("PF Pago",OSS[#Headers],0),FALSE))</f>
        <v>0</v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>Apurado</v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 ca="1">IF(F61="","",IF(G62="",IF(DataRef&lt;G61,"",DataRef-G61),IF(G62&lt;G61,"",G62-G61)))</f>
        <v/>
      </c>
      <c r="Y62" s="54" t="str">
        <f>IF(OR(R60="Hora Java",R60="Hora dotNet"),AG61,"")</f>
        <v/>
      </c>
      <c r="Z62" s="54">
        <f ca="1">IF(F61="","",IF(L62="",IF(DataRef&lt;L61,L61,DataRef),L62)-L61)</f>
        <v>0</v>
      </c>
      <c r="AA62" t="str">
        <f>IF(A60="","","Garantia")</f>
        <v>Garantia</v>
      </c>
      <c r="AB62" s="21">
        <f>IF(A60="","",VLOOKUP(A60,OSS[],MATCH("Não Grave - Garantia",OSS[#Headers],0),FALSE))</f>
        <v>0</v>
      </c>
      <c r="AC62" s="21">
        <f>IF(A60="","",VLOOKUP(A60,OSS[],MATCH("Grave - Garantia",OSS[#Headers],0),FALSE))</f>
        <v>0</v>
      </c>
      <c r="AD62" s="21">
        <f>IF(A60="","",AB62+AC62)</f>
        <v>0</v>
      </c>
      <c r="AE62" s="24">
        <f>IF(A60="","",AD62/IF($P62="",$P61,$P62))</f>
        <v>0</v>
      </c>
      <c r="AF62" s="21">
        <f>IF(A60="","",VLOOKUP(A60,OSS[],MATCH("Atrasos para Correção Garantia",OSS[#Headers],0),FALSE))</f>
        <v>0</v>
      </c>
    </row>
    <row r="63" spans="1:33" ht="15.75" x14ac:dyDescent="0.25">
      <c r="B63" s="63" t="str">
        <f>IF(A60="","","Multa")</f>
        <v>Multa</v>
      </c>
      <c r="C63" s="82"/>
      <c r="D63" s="81" t="str">
        <f ca="1">IF(A60="","",P63)</f>
        <v/>
      </c>
      <c r="E63" s="35"/>
      <c r="K63" s="64" t="str">
        <f>IF(A60="","","Prazo previsto para execução em dias corridos")</f>
        <v>Prazo previsto para execução em dias corridos</v>
      </c>
      <c r="L63" s="65">
        <f>IF(G61="","",ROUND((IF(P62="",P61,P62)/(19*LN(IF(P62="",P61,P62))-42))*30,0)+IF(VLOOKUP(A60,OSS[],MATCH("Acréscimo de Dias",OSS[#Headers],0),FALSE)="",0,VLOOKUP(A60,OSS[],MATCH("Acréscimo de Dias",OSS[#Headers],0),FALSE)))</f>
        <v>56</v>
      </c>
      <c r="O63" s="27" t="str">
        <f>IF(A60="","","Multa")</f>
        <v>Multa</v>
      </c>
      <c r="P63" s="54" t="str">
        <f ca="1"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 ca="1"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 ca="1">IF(Z62="","",IF(Z61&gt;Z62,"",ROUND(IF($P62="",$P61,$P62)*SLA_ICA_EOS_Multa,2)))</f>
        <v/>
      </c>
      <c r="AA63" t="str">
        <f>IF(A60="","","Total")</f>
        <v>Total</v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>PF a Faturar</v>
      </c>
      <c r="C64" s="88">
        <f ca="1">IF(A60="","",IF(D64&lt;0,D64,IF(D61=0,0,IF(D61&gt;D64,D61-D64,D61))))</f>
        <v>0</v>
      </c>
      <c r="D64" s="81">
        <f ca="1">IF(P61="","",IF($P62="",$P61,$P62)+IF(D63="",0,D63)-IF(D62="",0,D62))</f>
        <v>75</v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4819</v>
      </c>
      <c r="B65" s="114" t="str">
        <f>IF(A65="","",VLOOKUP(A65,OSS[],MATCH("Situação da OS",OSS[#Headers],0),FALSE))</f>
        <v>Aberta</v>
      </c>
      <c r="C65" s="114"/>
      <c r="D65" s="52" t="str">
        <f>IF(A65="","","em")</f>
        <v>em</v>
      </c>
      <c r="E65" s="56">
        <f>IF(A65="","",VLOOKUP(A65,OSS[],MATCH("Data Situação",OSS[#Headers],0),FALSE))</f>
        <v>42688</v>
      </c>
      <c r="F65" s="113" t="str">
        <f>IF(A65="","","Titulo:")</f>
        <v>Titulo:</v>
      </c>
      <c r="G65" s="29" t="str">
        <f>IF(A65="","",LEFT(VLOOKUP(A65,OSS[],MATCH("Titulo",OSS[#Headers],0),FALSE),80))</f>
        <v>Produto Cadastro - Processar Solicitação Jucetins Versão (1.0)</v>
      </c>
      <c r="H65" s="28"/>
      <c r="I65" s="28"/>
      <c r="J65" s="28"/>
      <c r="K65" s="28"/>
      <c r="L65" s="28"/>
      <c r="M65" s="28"/>
      <c r="N65" s="28"/>
      <c r="O65" s="28"/>
      <c r="P65" s="28"/>
      <c r="Q65" s="113" t="str">
        <f>IF(A65="","","Tipo da OS:")</f>
        <v>Tipo da OS:</v>
      </c>
      <c r="R65" s="29" t="str">
        <f>IF(A65="","",VLOOKUP(A65,OSS[],MATCH("Tipo",OSS[#Headers],0),FALSE))</f>
        <v>PF Java</v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>Número de Inconformidades</v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>PF a Pagar</v>
      </c>
      <c r="D66" s="81">
        <f ca="1">IF(E66="","",ROUND(IF($P67="",$P66,$P67)*E66,1))</f>
        <v>0</v>
      </c>
      <c r="E66" s="87">
        <f ca="1">IF(A65="","",IF(D69&lt;0,0,IF(B65="Recebida",0.8,IF(B65="Aceita",0.2,0))))</f>
        <v>0</v>
      </c>
      <c r="F66" s="34">
        <f>IF(A65="","",VLOOKUP(A65,OSS[],MATCH("Abertura da OS",OSS[#Headers],0),FALSE))</f>
        <v>42688</v>
      </c>
      <c r="G66" s="20">
        <f>IF(F66="","",WORKDAY(F66,IF(IF(P67="",P66,P67)&lt;150,5,10)))</f>
        <v>42695</v>
      </c>
      <c r="H66" s="20">
        <f>IF(G66="","",WORKDAY(G66,5))</f>
        <v>42702</v>
      </c>
      <c r="I66" s="20">
        <f>IF(G66="","",G66+ROUND(((IF(P67="",P66,P67)/(19*LN(IF(P67="",P66,P67))-42))*30*SLA_PrazoEntrega)+IF(VLOOKUP(A65,OSS[],MATCH("Acréscimo de Dias",OSS[#Headers],0),FALSE)="",0,VLOOKUP(A65,OSS[],MATCH("Acréscimo de Dias",OSS[#Headers],0),FALSE)),0))</f>
        <v>42724</v>
      </c>
      <c r="J66" s="20">
        <f>IF(I66="","",WORKDAY(IF(I67="",I66,IF(I67&gt;I66,I67,I66)),IF(IF(P67="",P66,P67)&lt;150,5,10)))</f>
        <v>42731</v>
      </c>
      <c r="K66" s="20">
        <f>IF(J66="","",J66+ROUND((IF(P67="",P66,IF(P67&gt;P66,P67,P66))/(19*LN(IF(P67="",P66,IF(P67&gt;P66,P67,P66)))-42))*30*SLA_PrazoAceite,0))</f>
        <v>42741</v>
      </c>
      <c r="L66" s="20">
        <f>IF(G66="","",G66+ROUND(((IF(P67="",P66,P67)/(19*LN(IF(P67="",P66,P67))-42))*30)+IF(VLOOKUP(A65,OSS[],MATCH("Acréscimo de Dias",OSS[#Headers],0),FALSE)="",0,VLOOKUP(A65,OSS[],MATCH("Acréscimo de Dias",OSS[#Headers],0),FALSE)),0))</f>
        <v>42743</v>
      </c>
      <c r="M66" s="20">
        <f>IF(K66="","",WORKDAY(K66,1))</f>
        <v>42744</v>
      </c>
      <c r="N66" s="20">
        <f>IF(M66="","",M66+SLA_PrazoGarantia)</f>
        <v>42924</v>
      </c>
      <c r="O66" s="27" t="str">
        <f>IF(A65="","","Previsto")</f>
        <v>Previsto</v>
      </c>
      <c r="P66" s="21">
        <f>IF(A65="","",VLOOKUP(A65,OSS[],MATCH("PF Previsto",OSS[#Headers],0),FALSE))</f>
        <v>54</v>
      </c>
      <c r="Q66" s="54">
        <f>IF(F66="","",ROUND((L66-G66)*SLA_ICP_EOS,1))</f>
        <v>4.8</v>
      </c>
      <c r="R66" s="21">
        <f>IF(F66="","",SLA_ICP_CIHA)</f>
        <v>2</v>
      </c>
      <c r="S66" s="21">
        <f>IF(F66="","",SLA_ICP_CIG)</f>
        <v>2</v>
      </c>
      <c r="T66" s="24">
        <f>IF(F66="","",SLA_IQA_INGHA)</f>
        <v>0.2</v>
      </c>
      <c r="U66" s="24">
        <f>IF(F66="","",SLA_IQA_IGHA)</f>
        <v>0.05</v>
      </c>
      <c r="V66" s="24">
        <f>IF(F66="","",SLA_IQA_INGG)</f>
        <v>0.05</v>
      </c>
      <c r="W66" s="24">
        <f>IF(F66="","",SLA_IQA_IGG)</f>
        <v>0.01</v>
      </c>
      <c r="X66" s="54">
        <f>IF(F66="","",ROUND((G66-F66)*SLA_ICA_IOS,1))</f>
        <v>0.7</v>
      </c>
      <c r="Y66" s="54" t="str">
        <f>IF(OR(R65="Hora Java",R65="Hora dotNet"),SLA_ICA_SP,"")</f>
        <v/>
      </c>
      <c r="Z66" s="54">
        <f>IF(F66="","",ROUND((L66-G66)*SLA_ICA_EOS,1))</f>
        <v>12</v>
      </c>
      <c r="AA66" t="str">
        <f>IF(A65="","","Homologação")</f>
        <v>Homologação</v>
      </c>
      <c r="AB66" s="21">
        <f>IF(A65="","",VLOOKUP(A65,OSS[],MATCH("Não Grave - Homologação",OSS[#Headers],0),FALSE))</f>
        <v>0</v>
      </c>
      <c r="AC66" s="21">
        <f>IF(A65="","",VLOOKUP(A65,OSS[],MATCH("Grave - Homologação",OSS[#Headers],0),FALSE))</f>
        <v>0</v>
      </c>
      <c r="AD66" s="21">
        <f>IF(A65="","",AB66+AC66)</f>
        <v>0</v>
      </c>
      <c r="AE66" s="24">
        <f>IF(A65="","",AD66/IF($P67="",$P66,$P67))</f>
        <v>0</v>
      </c>
      <c r="AF66" s="21">
        <f>IF(A65="","",VLOOKUP(A65,OSS[],MATCH("Atrasos para Correção Homologação",OSS[#Headers],0),FALSE))</f>
        <v>0</v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>PF Pago</v>
      </c>
      <c r="C67" s="81"/>
      <c r="D67" s="81">
        <f>IF(A65="","",VLOOKUP(A65,OSS[],MATCH("PF Pago",OSS[#Headers],0),FALSE))</f>
        <v>0</v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>Apurado</v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 ca="1">IF(F66="","",IF(G67="",IF(DataRef&lt;G66,"",DataRef-G66),IF(G67&lt;G66,"",G67-G66)))</f>
        <v/>
      </c>
      <c r="Y67" s="54" t="str">
        <f>IF(OR(R65="Hora Java",R65="Hora dotNet"),AG66,"")</f>
        <v/>
      </c>
      <c r="Z67" s="54">
        <f ca="1">IF(F66="","",IF(L67="",IF(DataRef&lt;L66,L66,DataRef),L67)-L66)</f>
        <v>0</v>
      </c>
      <c r="AA67" t="str">
        <f>IF(A65="","","Garantia")</f>
        <v>Garantia</v>
      </c>
      <c r="AB67" s="21">
        <f>IF(A65="","",VLOOKUP(A65,OSS[],MATCH("Não Grave - Garantia",OSS[#Headers],0),FALSE))</f>
        <v>0</v>
      </c>
      <c r="AC67" s="21">
        <f>IF(A65="","",VLOOKUP(A65,OSS[],MATCH("Grave - Garantia",OSS[#Headers],0),FALSE))</f>
        <v>0</v>
      </c>
      <c r="AD67" s="21">
        <f>IF(A65="","",AB67+AC67)</f>
        <v>0</v>
      </c>
      <c r="AE67" s="24">
        <f>IF(A65="","",AD67/IF($P67="",$P66,$P67))</f>
        <v>0</v>
      </c>
      <c r="AF67" s="21">
        <f>IF(A65="","",VLOOKUP(A65,OSS[],MATCH("Atrasos para Correção Garantia",OSS[#Headers],0),FALSE))</f>
        <v>0</v>
      </c>
    </row>
    <row r="68" spans="1:33" ht="15.75" x14ac:dyDescent="0.25">
      <c r="B68" s="63" t="str">
        <f>IF(A65="","","Multa")</f>
        <v>Multa</v>
      </c>
      <c r="C68" s="82"/>
      <c r="D68" s="81" t="str">
        <f ca="1">IF(A65="","",P68)</f>
        <v/>
      </c>
      <c r="E68" s="35"/>
      <c r="K68" s="64" t="str">
        <f>IF(A65="","","Prazo previsto para execução em dias corridos")</f>
        <v>Prazo previsto para execução em dias corridos</v>
      </c>
      <c r="L68" s="65">
        <f>IF(G66="","",ROUND((IF(P67="",P66,P67)/(19*LN(IF(P67="",P66,P67))-42))*30,0)+IF(VLOOKUP(A65,OSS[],MATCH("Acréscimo de Dias",OSS[#Headers],0),FALSE)="",0,VLOOKUP(A65,OSS[],MATCH("Acréscimo de Dias",OSS[#Headers],0),FALSE)))</f>
        <v>48</v>
      </c>
      <c r="O68" s="27" t="str">
        <f>IF(A65="","","Multa")</f>
        <v>Multa</v>
      </c>
      <c r="P68" s="54" t="str">
        <f ca="1"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 ca="1"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 ca="1">IF(Z67="","",IF(Z66&gt;Z67,"",ROUND(IF($P67="",$P66,$P67)*SLA_ICA_EOS_Multa,2)))</f>
        <v/>
      </c>
      <c r="AA68" t="str">
        <f>IF(A65="","","Total")</f>
        <v>Total</v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>PF a Faturar</v>
      </c>
      <c r="C69" s="88">
        <f ca="1">IF(A65="","",IF(D69&lt;0,D69,IF(D66=0,0,IF(D66&gt;D69,D66-D69,D66))))</f>
        <v>0</v>
      </c>
      <c r="D69" s="81">
        <f ca="1">IF(P66="","",IF($P67="",$P66,$P67)+IF(D68="",0,D68)-IF(D67="",0,D67))</f>
        <v>54</v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9055118110236221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E1" sqref="E1:E10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5" x14ac:dyDescent="0.25">
      <c r="A1" s="21" t="s">
        <v>203</v>
      </c>
      <c r="B1" s="21">
        <v>4819</v>
      </c>
      <c r="E1" t="s">
        <v>205</v>
      </c>
    </row>
    <row r="2" spans="1:5" x14ac:dyDescent="0.25">
      <c r="A2" s="20">
        <f>IF(B1="","",VLOOKUP(B1,OSS[#Data],MATCH("Abertura da OS",OSS[#Headers],0),FALSE))</f>
        <v>42688</v>
      </c>
      <c r="B2" t="s">
        <v>108</v>
      </c>
      <c r="E2" s="109" t="str">
        <f>TEXT(A2,"DD/MM/AA")&amp;" "&amp;B2&amp;IF(C2="",""," "&amp;TEXT(C2,"DD/MM/AA"))</f>
        <v>14/11/16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42695</v>
      </c>
      <c r="B3" t="s">
        <v>59</v>
      </c>
      <c r="C3" s="20" t="str">
        <f>IF(B1="","",IF(VLOOKUP(B1,OSS[#Data],MATCH("Data de Inicio",OSS[#Headers],0),FALSE)="","",VLOOKUP(B1,OSS[#Data],MATCH("Data de Inicio",OSS[#Headers],0),FALSE)))</f>
        <v/>
      </c>
      <c r="E3" s="109" t="str">
        <f t="shared" ref="E3:E10" si="0">TEXT(A3,"DD/MM/AA")&amp;" "&amp;B3&amp;IF(C3="",""," "&amp;TEXT(C3,"DD/MM/AA"))</f>
        <v>21/11/16 Inicio</v>
      </c>
    </row>
    <row r="4" spans="1:5" x14ac:dyDescent="0.25">
      <c r="A4" s="20">
        <f>IF(A3="","",WORKDAY(A3,5))</f>
        <v>42702</v>
      </c>
      <c r="B4" t="s">
        <v>135</v>
      </c>
      <c r="C4" s="20" t="str">
        <f>IF(B1="","",IF(VLOOKUP(B1,OSS[#Data],MATCH("Entrega do Plano da OS",OSS[#Headers],0),FALSE)="","",VLOOKUP(B1,OSS[#Data],MATCH("Entrega do Plano da OS",OSS[#Headers],0),FALSE)))</f>
        <v/>
      </c>
      <c r="E4" s="109" t="str">
        <f t="shared" si="0"/>
        <v>28/11/16 Entrega do Plano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42724</v>
      </c>
      <c r="B5" t="s">
        <v>105</v>
      </c>
      <c r="C5" s="20"/>
      <c r="E5" s="109" t="str">
        <f t="shared" si="0"/>
        <v>20/12/16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42731</v>
      </c>
      <c r="B6" t="s">
        <v>206</v>
      </c>
      <c r="C6" s="20"/>
      <c r="E6" s="109" t="str">
        <f t="shared" si="0"/>
        <v>27/12/16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42741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06/01/17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42743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08/01/17 Termino</v>
      </c>
    </row>
    <row r="9" spans="1:5" x14ac:dyDescent="0.25">
      <c r="A9" s="20">
        <f>IF(A7="","",WORKDAY(A7,1))</f>
        <v>42744</v>
      </c>
      <c r="B9" t="s">
        <v>58</v>
      </c>
      <c r="C9" s="20" t="str">
        <f>IF(C7="","",WORKDAY(C7,1))</f>
        <v/>
      </c>
      <c r="E9" s="109" t="str">
        <f t="shared" si="0"/>
        <v>09/01/17 Garantia</v>
      </c>
    </row>
    <row r="10" spans="1:5" x14ac:dyDescent="0.25">
      <c r="A10" s="20">
        <f>IF(A9="","",A9+SLA_PrazoGarantia)</f>
        <v>42924</v>
      </c>
      <c r="B10" t="s">
        <v>107</v>
      </c>
      <c r="C10" s="20" t="str">
        <f>IF(C9="","",C9+180)</f>
        <v/>
      </c>
      <c r="E10" s="109" t="str">
        <f t="shared" si="0"/>
        <v>08/07/17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6" t="s">
        <v>171</v>
      </c>
      <c r="B1" s="117"/>
      <c r="C1" s="117"/>
      <c r="D1" s="117"/>
      <c r="E1" s="117"/>
      <c r="F1" s="117"/>
      <c r="G1" s="117"/>
      <c r="H1" s="118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9" t="s">
        <v>160</v>
      </c>
      <c r="B4" s="120"/>
      <c r="C4" s="120"/>
      <c r="D4" s="120"/>
      <c r="E4" s="120"/>
      <c r="F4" s="120"/>
      <c r="G4" s="120"/>
      <c r="H4" s="121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9" t="s">
        <v>163</v>
      </c>
      <c r="B6" s="120"/>
      <c r="C6" s="120"/>
      <c r="D6" s="120"/>
      <c r="E6" s="120"/>
      <c r="F6" s="120"/>
      <c r="G6" s="120"/>
      <c r="H6" s="121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9" t="s">
        <v>168</v>
      </c>
      <c r="B9" s="120"/>
      <c r="C9" s="120"/>
      <c r="D9" s="120"/>
      <c r="E9" s="120"/>
      <c r="F9" s="120"/>
      <c r="G9" s="120"/>
      <c r="H9" s="121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2" t="s">
        <v>176</v>
      </c>
      <c r="B12" s="123"/>
      <c r="C12" s="123"/>
      <c r="D12" s="123"/>
      <c r="E12" s="123"/>
      <c r="F12" s="123"/>
      <c r="G12" s="124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5" t="s">
        <v>12</v>
      </c>
      <c r="B1" s="125"/>
      <c r="C1" s="125"/>
      <c r="D1" s="125"/>
      <c r="E1" s="125"/>
      <c r="F1" s="125"/>
    </row>
    <row r="2" spans="1:9" ht="19.5" thickBot="1" x14ac:dyDescent="0.35">
      <c r="A2" s="126" t="s">
        <v>13</v>
      </c>
      <c r="B2" s="127"/>
      <c r="C2" s="128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9" t="s">
        <v>123</v>
      </c>
      <c r="B3" s="130"/>
      <c r="C3" s="130"/>
      <c r="D3" s="130"/>
      <c r="E3" s="130"/>
      <c r="F3" s="131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9" t="s">
        <v>17</v>
      </c>
      <c r="B8" s="130"/>
      <c r="C8" s="130"/>
      <c r="D8" s="130"/>
      <c r="E8" s="130"/>
      <c r="F8" s="131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9" t="s">
        <v>28</v>
      </c>
      <c r="B12" s="130"/>
      <c r="C12" s="130"/>
      <c r="D12" s="130"/>
      <c r="E12" s="130"/>
      <c r="F12" s="131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9" t="s">
        <v>45</v>
      </c>
      <c r="B17" s="130"/>
      <c r="C17" s="130"/>
      <c r="D17" s="130"/>
      <c r="E17" s="130"/>
      <c r="F17" s="131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42674</v>
      </c>
      <c r="G1" s="50">
        <f>IF(Mensal!B1="","",Mensal!B1)</f>
        <v>42674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42675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42675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42675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42372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>
        <f t="shared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4817</v>
      </c>
      <c r="C13" s="21">
        <f>IF(IFERROR(INDEX(OSS[Número OS],INT((ROW()-ROW($C$2)-1)/1)+1,1),"")=0,"",IFERROR(INDEX(OSS[Número OS],INT((ROW()-ROW($C$2)-1)/1)+1,1),""))</f>
        <v>4817</v>
      </c>
      <c r="D13" s="50">
        <f>IF(C13="","",VLOOKUP(C13,OSS[],MATCH("Abertura da OS",OSS[#Headers],0),FALSE))</f>
        <v>42677</v>
      </c>
      <c r="E13" s="50" t="str">
        <f>IF(C13="","",IF(VLOOKUP(C13,OSS[],MATCH("Data de Termino",OSS[#Headers],0),FALSE)=0,"",VLOOKUP(C13,OSS[],MATCH("Data de Termino",OSS[#Headers],0),FALSE)))</f>
        <v/>
      </c>
      <c r="F13" s="50">
        <f>IF(C13="","",VLOOKUP(C13,OSS[],MATCH("Data Situação",OSS[#Headers],0),FALSE))</f>
        <v>42677</v>
      </c>
      <c r="G13" s="21">
        <f t="shared" si="1"/>
        <v>11</v>
      </c>
    </row>
    <row r="14" spans="1:14" x14ac:dyDescent="0.25">
      <c r="A14" s="21">
        <f t="shared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4818</v>
      </c>
      <c r="C14" s="21">
        <f>IF(IFERROR(INDEX(OSS[Número OS],INT((ROW()-ROW($C$2)-1)/1)+1,1),"")=0,"",IFERROR(INDEX(OSS[Número OS],INT((ROW()-ROW($C$2)-1)/1)+1,1),""))</f>
        <v>4818</v>
      </c>
      <c r="D14" s="50">
        <f>IF(C14="","",VLOOKUP(C14,OSS[],MATCH("Abertura da OS",OSS[#Headers],0),FALSE))</f>
        <v>42677</v>
      </c>
      <c r="E14" s="50" t="str">
        <f>IF(C14="","",IF(VLOOKUP(C14,OSS[],MATCH("Data de Termino",OSS[#Headers],0),FALSE)=0,"",VLOOKUP(C14,OSS[],MATCH("Data de Termino",OSS[#Headers],0),FALSE)))</f>
        <v/>
      </c>
      <c r="F14" s="50">
        <f>IF(C14="","",VLOOKUP(C14,OSS[],MATCH("Data Situação",OSS[#Headers],0),FALSE))</f>
        <v>42677</v>
      </c>
      <c r="G14" s="21">
        <f t="shared" si="1"/>
        <v>12</v>
      </c>
    </row>
    <row r="15" spans="1:14" x14ac:dyDescent="0.25">
      <c r="A15" s="21">
        <f t="shared" si="0"/>
        <v>13</v>
      </c>
      <c r="B15" s="21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>4819</v>
      </c>
      <c r="C15" s="21">
        <f>IF(IFERROR(INDEX(OSS[Número OS],INT((ROW()-ROW($C$2)-1)/1)+1,1),"")=0,"",IFERROR(INDEX(OSS[Número OS],INT((ROW()-ROW($C$2)-1)/1)+1,1),""))</f>
        <v>4819</v>
      </c>
      <c r="D15" s="50">
        <f>IF(C15="","",VLOOKUP(C15,OSS[],MATCH("Abertura da OS",OSS[#Headers],0),FALSE))</f>
        <v>42688</v>
      </c>
      <c r="E15" s="50" t="str">
        <f>IF(C15="","",IF(VLOOKUP(C15,OSS[],MATCH("Data de Termino",OSS[#Headers],0),FALSE)=0,"",VLOOKUP(C15,OSS[],MATCH("Data de Termino",OSS[#Headers],0),FALSE)))</f>
        <v/>
      </c>
      <c r="F15" s="50">
        <f>IF(C15="","",VLOOKUP(C15,OSS[],MATCH("Data Situação",OSS[#Headers],0),FALSE))</f>
        <v>42688</v>
      </c>
      <c r="G15" s="21">
        <f t="shared" si="1"/>
        <v>13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13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13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13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13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13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13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13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13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13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13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13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13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13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13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13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13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2016-11-04T13:39:53Z</cp:lastPrinted>
  <dcterms:created xsi:type="dcterms:W3CDTF">2016-03-02T20:01:01Z</dcterms:created>
  <dcterms:modified xsi:type="dcterms:W3CDTF">2016-11-17T17:55:59Z</dcterms:modified>
</cp:coreProperties>
</file>