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_rels/chart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" sheetId="1" state="visible" r:id="rId2"/>
    <sheet name="FishKite 1" sheetId="2" state="visible" r:id="rId3"/>
    <sheet name="FishKite 2" sheetId="3" state="visible" r:id="rId4"/>
  </sheets>
  <definedNames>
    <definedName function="false" hidden="false" name="_xlchart.v1.0" vbProcedure="false">'FishKite 1'!$E$24:$Y$24</definedName>
    <definedName function="false" hidden="false" name="_xlchart.v1.1" vbProcedure="false">'FishKite 1'!$E$25:$Y$25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<sst xmlns="http://schemas.openxmlformats.org/spreadsheetml/2006/main" count="157" uniqueCount="73">
  <si>
    <r>
      <rPr>
        <b val="true"/>
        <sz val="18"/>
        <color rgb="FF000000"/>
        <rFont val="Calibri"/>
        <family val="2"/>
        <charset val="1"/>
      </rPr>
      <t xml:space="preserve">KiteFish Sailing Prediction </t>
    </r>
    <r>
      <rPr>
        <b val="true"/>
        <sz val="12"/>
        <color rgb="FF000000"/>
        <rFont val="Calibri"/>
        <family val="2"/>
        <charset val="1"/>
      </rPr>
      <t xml:space="preserve">(mass = 0 kg)</t>
    </r>
  </si>
  <si>
    <t xml:space="preserve">True wind speed</t>
  </si>
  <si>
    <t xml:space="preserve">kts</t>
  </si>
  <si>
    <r>
      <rPr>
        <sz val="9"/>
        <color rgb="FF000000"/>
        <rFont val="Calibri"/>
        <family val="2"/>
        <charset val="1"/>
      </rPr>
      <t xml:space="preserve">MIN</t>
    </r>
    <r>
      <rPr>
        <sz val="8"/>
        <color rgb="FF000000"/>
        <rFont val="Calibri"/>
        <family val="2"/>
        <charset val="1"/>
      </rPr>
      <t xml:space="preserve">(depower)</t>
    </r>
  </si>
  <si>
    <r>
      <rPr>
        <sz val="9"/>
        <color rgb="FF000000"/>
        <rFont val="Calibri"/>
        <family val="2"/>
        <charset val="1"/>
      </rPr>
      <t xml:space="preserve">MAX </t>
    </r>
    <r>
      <rPr>
        <sz val="8"/>
        <color rgb="FF000000"/>
        <rFont val="Calibri"/>
        <family val="2"/>
        <charset val="1"/>
      </rPr>
      <t xml:space="preserve">(power)</t>
    </r>
  </si>
  <si>
    <t xml:space="preserve">Power</t>
  </si>
  <si>
    <t xml:space="preserve">Kite Force Coeficient Range</t>
  </si>
  <si>
    <t xml:space="preserve">Fish Force Ceoficient Range</t>
  </si>
  <si>
    <t xml:space="preserve">Kite Fish 1</t>
  </si>
  <si>
    <t xml:space="preserve">Rising Angle</t>
  </si>
  <si>
    <t xml:space="preserve">°</t>
  </si>
  <si>
    <t xml:space="preserve">Kite INPUT</t>
  </si>
  <si>
    <t xml:space="preserve">Kite Force Coeficient</t>
  </si>
  <si>
    <t xml:space="preserve">0.4</t>
  </si>
  <si>
    <t xml:space="preserve">Kite Area</t>
  </si>
  <si>
    <t xml:space="preserve">m²</t>
  </si>
  <si>
    <t xml:space="preserve">Kite Efficiency Angle</t>
  </si>
  <si>
    <t xml:space="preserve">L/D</t>
  </si>
  <si>
    <t xml:space="preserve">Fish INPUT</t>
  </si>
  <si>
    <t xml:space="preserve">Fish Force Coeficient</t>
  </si>
  <si>
    <t xml:space="preserve">0.2</t>
  </si>
  <si>
    <t xml:space="preserve">Fish Area</t>
  </si>
  <si>
    <t xml:space="preserve">cm²</t>
  </si>
  <si>
    <t xml:space="preserve">Fish Efficiency Angle</t>
  </si>
  <si>
    <t xml:space="preserve">Kite Fish 2</t>
  </si>
  <si>
    <t xml:space="preserve">0.6</t>
  </si>
  <si>
    <t xml:space="preserve">Air density</t>
  </si>
  <si>
    <t xml:space="preserve">kg/m3</t>
  </si>
  <si>
    <t xml:space="preserve">Water density</t>
  </si>
  <si>
    <t xml:space="preserve">kite absolute MIN</t>
  </si>
  <si>
    <t xml:space="preserve">kite absolute MAX</t>
  </si>
  <si>
    <t xml:space="preserve">List CL kite MIN</t>
  </si>
  <si>
    <t xml:space="preserve">List CL kite MAX</t>
  </si>
  <si>
    <t xml:space="preserve">Kite CL MIN</t>
  </si>
  <si>
    <t xml:space="preserve">Kite CL MAX</t>
  </si>
  <si>
    <t xml:space="preserve">Kite CL</t>
  </si>
  <si>
    <t xml:space="preserve">Fish absolute MIN</t>
  </si>
  <si>
    <t xml:space="preserve">Fish absolute MAX</t>
  </si>
  <si>
    <t xml:space="preserve">List CL fish  MIN</t>
  </si>
  <si>
    <t xml:space="preserve">List CL fish MAX</t>
  </si>
  <si>
    <t xml:space="preserve">fish CL MIN</t>
  </si>
  <si>
    <t xml:space="preserve">fish CL MAX</t>
  </si>
  <si>
    <t xml:space="preserve">fish CL</t>
  </si>
  <si>
    <t xml:space="preserve">0.9</t>
  </si>
  <si>
    <t xml:space="preserve">min</t>
  </si>
  <si>
    <t xml:space="preserve">max</t>
  </si>
  <si>
    <t xml:space="preserve">Kite CL range</t>
  </si>
  <si>
    <t xml:space="preserve">Fish CL range</t>
  </si>
  <si>
    <t xml:space="preserve">wind speed</t>
  </si>
  <si>
    <t xml:space="preserve">kt</t>
  </si>
  <si>
    <t xml:space="preserve">Kite CL </t>
  </si>
  <si>
    <t xml:space="preserve">Fish CL</t>
  </si>
  <si>
    <t xml:space="preserve">kite projected efficiency angle</t>
  </si>
  <si>
    <t xml:space="preserve">fish projected efficiency angle</t>
  </si>
  <si>
    <t xml:space="preserve">total Efficiency</t>
  </si>
  <si>
    <t xml:space="preserve">current</t>
  </si>
  <si>
    <t xml:space="preserve">Fluid Velocity ratio (Water/Air)</t>
  </si>
  <si>
    <t xml:space="preserve">TrueWindAngle</t>
  </si>
  <si>
    <t xml:space="preserve">Apparent Wind</t>
  </si>
  <si>
    <t xml:space="preserve">% TrueWind</t>
  </si>
  <si>
    <t xml:space="preserve">Apparent Water</t>
  </si>
  <si>
    <t xml:space="preserve">x water</t>
  </si>
  <si>
    <t xml:space="preserve">y water (VMG)</t>
  </si>
  <si>
    <t xml:space="preserve">trajectory Vector</t>
  </si>
  <si>
    <t xml:space="preserve">x</t>
  </si>
  <si>
    <t xml:space="preserve">y</t>
  </si>
  <si>
    <t xml:space="preserve">length</t>
  </si>
  <si>
    <t xml:space="preserve">length reduction for arrow</t>
  </si>
  <si>
    <t xml:space="preserve">arrow length</t>
  </si>
  <si>
    <t xml:space="preserve">x arrow</t>
  </si>
  <si>
    <t xml:space="preserve">y arrow</t>
  </si>
  <si>
    <t xml:space="preserve">Apparent wind vector</t>
  </si>
  <si>
    <t xml:space="preserve">wind vector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</si>
</sst>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"/>
    <numFmt numFmtId="168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2F0D9"/>
      </patternFill>
    </fill>
    <fill>
      <patternFill patternType="solid">
        <fgColor rgb="FFBFBFBF"/>
        <bgColor rgb="FFBDD7EE"/>
      </patternFill>
    </fill>
    <fill>
      <patternFill patternType="solid">
        <fgColor rgb="FF2F5597"/>
        <bgColor rgb="FF4472C4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D9D9D9"/>
      </patternFill>
    </fill>
    <fill>
      <patternFill patternType="solid">
        <fgColor rgb="FF8FAADC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2" borderId="1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1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6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7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8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6" fillId="8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6" fillId="9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9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9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9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6" fillId="9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11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5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6" fillId="1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1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12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12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6" fillId="12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1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5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6" fillId="1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1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6" fillId="13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B8B8B"/>
      <rgbColor rgb="FF8FAADC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C5E0B4"/>
      <rgbColor rgb="FFFF99CC"/>
      <rgbColor rgb="FFCC99FF"/>
      <rgbColor rgb="FFD9D9D9"/>
      <rgbColor rgb="FF4472C4"/>
      <rgbColor rgb="FF33CCCC"/>
      <rgbColor rgb="FFA9D18E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05425748784695"/>
          <c:y val="0.0118512464241929"/>
          <c:w val="0.957973968950917"/>
          <c:h val="0.9772315955397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"PolarFish1"</c:f>
              <c:strCache>
                <c:ptCount val="1"/>
                <c:pt idx="0">
                  <c:v>PolarFish1</c:v>
                </c:pt>
              </c:strCache>
            </c:strRef>
          </c:tx>
          <c:spPr>
            <a:solidFill>
              <a:srgbClr val="4472c4"/>
            </a:solidFill>
            <a:ln cap="rnd" w="5076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'FishKite 1'!$F$24:$Z$24</c:f>
              <c:numCache>
                <c:formatCode>General</c:formatCode>
                <c:ptCount val="21"/>
                <c:pt idx="0">
                  <c:v>78.6264311925533</c:v>
                </c:pt>
                <c:pt idx="1">
                  <c:v>87.4676203490274</c:v>
                </c:pt>
                <c:pt idx="2">
                  <c:v>96.7345667850421</c:v>
                </c:pt>
                <c:pt idx="3">
                  <c:v>106.323507302351</c:v>
                </c:pt>
                <c:pt idx="4">
                  <c:v>116.096924627804</c:v>
                </c:pt>
                <c:pt idx="5">
                  <c:v>125.884221687176</c:v>
                </c:pt>
                <c:pt idx="6">
                  <c:v>135.485987650427</c:v>
                </c:pt>
                <c:pt idx="7">
                  <c:v>144.68238195524</c:v>
                </c:pt>
                <c:pt idx="8">
                  <c:v>153.245520693186</c:v>
                </c:pt>
                <c:pt idx="9">
                  <c:v>160.954906571142</c:v>
                </c:pt>
                <c:pt idx="10">
                  <c:v>167.614100604296</c:v>
                </c:pt>
                <c:pt idx="11">
                  <c:v>173.066264997779</c:v>
                </c:pt>
                <c:pt idx="12">
                  <c:v>177.20615516297</c:v>
                </c:pt>
                <c:pt idx="13">
                  <c:v>179.986695182027</c:v>
                </c:pt>
                <c:pt idx="14">
                  <c:v>181.419307112819</c:v>
                </c:pt>
                <c:pt idx="15">
                  <c:v>181.568371321185</c:v>
                </c:pt>
                <c:pt idx="16">
                  <c:v>180.541213116043</c:v>
                </c:pt>
                <c:pt idx="17">
                  <c:v>178.475580419754</c:v>
                </c:pt>
                <c:pt idx="18">
                  <c:v>175.526625036603</c:v>
                </c:pt>
                <c:pt idx="19">
                  <c:v>171.855030064812</c:v>
                </c:pt>
                <c:pt idx="20">
                  <c:v>167.61733739722</c:v>
                </c:pt>
              </c:numCache>
            </c:numRef>
          </c:xVal>
          <c:yVal>
            <c:numRef>
              <c:f>'FishKite 1'!$F$25:$Z$25</c:f>
              <c:numCache>
                <c:formatCode>General</c:formatCode>
                <c:ptCount val="21"/>
                <c:pt idx="0">
                  <c:v>47.5645719274198</c:v>
                </c:pt>
                <c:pt idx="1">
                  <c:v>47.6461243612607</c:v>
                </c:pt>
                <c:pt idx="2">
                  <c:v>46.869216102911</c:v>
                </c:pt>
                <c:pt idx="3">
                  <c:v>45.1129095470512</c:v>
                </c:pt>
                <c:pt idx="4">
                  <c:v>42.2689702267556</c:v>
                </c:pt>
                <c:pt idx="5">
                  <c:v>38.2522342262823</c:v>
                </c:pt>
                <c:pt idx="6">
                  <c:v>33.0116071320704</c:v>
                </c:pt>
                <c:pt idx="7">
                  <c:v>26.540277096655</c:v>
                </c:pt>
                <c:pt idx="8">
                  <c:v>18.8833920181183</c:v>
                </c:pt>
                <c:pt idx="9">
                  <c:v>10.1414534055505</c:v>
                </c:pt>
                <c:pt idx="10">
                  <c:v>0.46813901406544</c:v>
                </c:pt>
                <c:pt idx="11">
                  <c:v>-9.93783302581192</c:v>
                </c:pt>
                <c:pt idx="12">
                  <c:v>-20.8460378604117</c:v>
                </c:pt>
                <c:pt idx="13">
                  <c:v>-32.0110468206438</c:v>
                </c:pt>
                <c:pt idx="14">
                  <c:v>-43.1900189757743</c:v>
                </c:pt>
                <c:pt idx="15">
                  <c:v>-54.1586610503229</c:v>
                </c:pt>
                <c:pt idx="16">
                  <c:v>-64.7235821021478</c:v>
                </c:pt>
                <c:pt idx="17">
                  <c:v>-74.7299799316497</c:v>
                </c:pt>
                <c:pt idx="18">
                  <c:v>-84.0645655515601</c:v>
                </c:pt>
                <c:pt idx="19">
                  <c:v>-92.6544020476823</c:v>
                </c:pt>
                <c:pt idx="20">
                  <c:v>-100.462772626818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"Fish2 Polar"</c:f>
              <c:strCache>
                <c:ptCount val="1"/>
                <c:pt idx="0">
                  <c:v>Fish2 Polar</c:v>
                </c:pt>
              </c:strCache>
            </c:strRef>
          </c:tx>
          <c:spPr>
            <a:solidFill>
              <a:srgbClr val="70ad47"/>
            </a:solidFill>
            <a:ln cap="rnd" w="5076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'FishKite 2'!$F$24:$Z$24</c:f>
              <c:numCache>
                <c:formatCode>General</c:formatCode>
                <c:ptCount val="21"/>
                <c:pt idx="0">
                  <c:v>104.485956628629</c:v>
                </c:pt>
                <c:pt idx="1">
                  <c:v>130.080981435886</c:v>
                </c:pt>
                <c:pt idx="2">
                  <c:v>162.184703848029</c:v>
                </c:pt>
                <c:pt idx="3">
                  <c:v>201.877605874611</c:v>
                </c:pt>
                <c:pt idx="4">
                  <c:v>249.496490680353</c:v>
                </c:pt>
                <c:pt idx="5">
                  <c:v>303.538402734308</c:v>
                </c:pt>
                <c:pt idx="6">
                  <c:v>359.256094018857</c:v>
                </c:pt>
                <c:pt idx="7">
                  <c:v>408.037554282639</c:v>
                </c:pt>
                <c:pt idx="8">
                  <c:v>439.471038194784</c:v>
                </c:pt>
                <c:pt idx="9">
                  <c:v>446.41886712888</c:v>
                </c:pt>
                <c:pt idx="10">
                  <c:v>429.288217132343</c:v>
                </c:pt>
                <c:pt idx="11">
                  <c:v>395.156219351763</c:v>
                </c:pt>
                <c:pt idx="12">
                  <c:v>353.054042860082</c:v>
                </c:pt>
                <c:pt idx="13">
                  <c:v>310.077422444467</c:v>
                </c:pt>
                <c:pt idx="14">
                  <c:v>270.284176125665</c:v>
                </c:pt>
                <c:pt idx="15">
                  <c:v>235.33065145014</c:v>
                </c:pt>
                <c:pt idx="16">
                  <c:v>205.466743589483</c:v>
                </c:pt>
                <c:pt idx="17">
                  <c:v>180.283227294379</c:v>
                </c:pt>
                <c:pt idx="18">
                  <c:v>159.141640170207</c:v>
                </c:pt>
                <c:pt idx="19">
                  <c:v>141.383280529571</c:v>
                </c:pt>
                <c:pt idx="20">
                  <c:v>126.414908803412</c:v>
                </c:pt>
              </c:numCache>
            </c:numRef>
          </c:xVal>
          <c:yVal>
            <c:numRef>
              <c:f>'FishKite 2'!$F$25:$Z$25</c:f>
              <c:numCache>
                <c:formatCode>General</c:formatCode>
                <c:ptCount val="21"/>
                <c:pt idx="0">
                  <c:v>144.201471564363</c:v>
                </c:pt>
                <c:pt idx="1">
                  <c:v>157.390712663893</c:v>
                </c:pt>
                <c:pt idx="2">
                  <c:v>168.637107671208</c:v>
                </c:pt>
                <c:pt idx="3">
                  <c:v>175.557714549892</c:v>
                </c:pt>
                <c:pt idx="4">
                  <c:v>174.513995811704</c:v>
                </c:pt>
                <c:pt idx="5">
                  <c:v>160.664379172447</c:v>
                </c:pt>
                <c:pt idx="6">
                  <c:v>129.02509070949</c:v>
                </c:pt>
                <c:pt idx="7">
                  <c:v>77.1131356407413</c:v>
                </c:pt>
                <c:pt idx="8">
                  <c:v>8.27330919138932</c:v>
                </c:pt>
                <c:pt idx="9">
                  <c:v>-67.5584303716059</c:v>
                </c:pt>
                <c:pt idx="10">
                  <c:v>-138.013566620305</c:v>
                </c:pt>
                <c:pt idx="11">
                  <c:v>-194.280031416222</c:v>
                </c:pt>
                <c:pt idx="12">
                  <c:v>-233.655937676476</c:v>
                </c:pt>
                <c:pt idx="13">
                  <c:v>-257.976135679336</c:v>
                </c:pt>
                <c:pt idx="14">
                  <c:v>-270.860713530768</c:v>
                </c:pt>
                <c:pt idx="15">
                  <c:v>-275.876442349981</c:v>
                </c:pt>
                <c:pt idx="16">
                  <c:v>-275.829372494635</c:v>
                </c:pt>
                <c:pt idx="17">
                  <c:v>-272.698649017053</c:v>
                </c:pt>
                <c:pt idx="18">
                  <c:v>-267.799128358429</c:v>
                </c:pt>
                <c:pt idx="19">
                  <c:v>-261.973602442077</c:v>
                </c:pt>
                <c:pt idx="20">
                  <c:v>-255.748960924348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"Knots"</c:f>
              <c:strCache>
                <c:ptCount val="1"/>
                <c:pt idx="0">
                  <c:v>Knots</c:v>
                </c:pt>
              </c:strCache>
            </c:strRef>
          </c:tx>
          <c:spPr>
            <a:solidFill>
              <a:srgbClr val="bfbfbf"/>
            </a:solidFill>
            <a:ln w="25560">
              <a:noFill/>
            </a:ln>
          </c:spPr>
          <c:marker>
            <c:symbol val="x"/>
            <c:size val="12"/>
            <c:spPr>
              <a:solidFill>
                <a:srgbClr val="bfbfbf"/>
              </a:solidFill>
            </c:spPr>
          </c:marker>
          <c:dPt>
            <c:idx val="0"/>
            <c:marker>
              <c:symbol val="x"/>
              <c:size val="12"/>
              <c:spPr>
                <a:solidFill>
                  <a:srgbClr val="bfbfbf"/>
                </a:solidFill>
              </c:spPr>
            </c:marker>
          </c:dPt>
          <c:dLbls>
            <c:dLbl>
              <c:idx val="0"/>
              <c:layout>
                <c:manualLayout>
                  <c:x val="-0.00371229861145423"/>
                  <c:y val="-0.0123434711784808"/>
                </c:manualLayout>
              </c:layout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1300" spc="-1" strike="noStrike" u="sng">
                      <a:solidFill>
                        <a:srgbClr val="2f5597"/>
                      </a:solidFill>
                      <a:uFillTx/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FA537D57-17D2-40C6-8672-57F4D7AC3595}" type="CELLRANGE">
                      <a:rPr b="0" lang="en-US" sz="1300" spc="-1" strike="noStrike">
                        <a:solidFill>
                          <a:srgbClr val="2f5597"/>
                        </a:solidFill>
                        <a:latin typeface="Calibri"/>
                      </a:rPr>
                      <a:t/>
                    </a:fld>
                    <a:r>
                      <a:rPr b="0" lang="en-US" sz="1300" spc="-1" strike="noStrike">
                        <a:solidFill>
                          <a:srgbClr val="2f5597"/>
                        </a:solidFill>
                        <a:latin typeface="Calibri"/>
                      </a:rPr>
                      <a:t> </a:t>
                    </a:r>
                    <a:fld id="{B22A9017-67AF-4C3C-959E-6AA80F581C59}" type="SERIESNAME">
                      <a:rPr b="0" lang="en-US" sz="1300" spc="-1" strike="noStrike">
                        <a:solidFill>
                          <a:srgbClr val="2f5597"/>
                        </a:solidFill>
                        <a:latin typeface="Calibri"/>
                      </a:rPr>
                      <a:t>Knots</a:t>
                    </a:fld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eparator> </c:separator>
            </c:dLbl>
            <c:spPr>
              <a:solidFill>
                <a:srgbClr val="BFBFBF"/>
              </a:solidFill>
            </c:spPr>
            <c:txPr>
              <a:bodyPr wrap="none"/>
              <a:lstStyle/>
              <a:p>
                <a:pPr>
                  <a:defRPr b="0" sz="1300" spc="-1" strike="noStrike" u="sng">
                    <a:solidFill>
                      <a:srgbClr val="2f5597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1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'FishKite 1'!$B$24</c:f>
              <c:numCache>
                <c:formatCode>General</c:formatCode>
                <c:ptCount val="1"/>
                <c:pt idx="0">
                  <c:v>148.092180822513</c:v>
                </c:pt>
              </c:numCache>
            </c:numRef>
          </c:xVal>
          <c:yVal>
            <c:numRef>
              <c:f>'FishKite 1'!$B$25</c:f>
              <c:numCache>
                <c:formatCode>General</c:formatCode>
                <c:ptCount val="1"/>
                <c:pt idx="0">
                  <c:v>23.7061653894142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"Fish1 Trajectory vector"</c:f>
              <c:strCache>
                <c:ptCount val="1"/>
                <c:pt idx="0">
                  <c:v>Fish1 Trajectory vector</c:v>
                </c:pt>
              </c:strCache>
            </c:strRef>
          </c:tx>
          <c:spPr>
            <a:solidFill>
              <a:srgbClr val="2f5597"/>
            </a:solidFill>
            <a:ln cap="rnd" w="22320">
              <a:solidFill>
                <a:srgbClr val="2f559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'FishKite 1'!$B$33:$C$33</c:f>
              <c:numCache>
                <c:formatCode>General</c:formatCode>
                <c:ptCount val="2"/>
                <c:pt idx="0">
                  <c:v>0</c:v>
                </c:pt>
                <c:pt idx="1">
                  <c:v>140.192750792419</c:v>
                </c:pt>
              </c:numCache>
            </c:numRef>
          </c:xVal>
          <c:yVal>
            <c:numRef>
              <c:f>'FishKite 1'!$B$34:$C$34</c:f>
              <c:numCache>
                <c:formatCode>General</c:formatCode>
                <c:ptCount val="2"/>
                <c:pt idx="0">
                  <c:v>0</c:v>
                </c:pt>
                <c:pt idx="1">
                  <c:v>22.441647615853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"Fish1 Apparent wind vector"</c:f>
              <c:strCache>
                <c:ptCount val="1"/>
                <c:pt idx="0">
                  <c:v>Fish1 Apparent wind vector</c:v>
                </c:pt>
              </c:strCache>
            </c:strRef>
          </c:tx>
          <c:spPr>
            <a:solidFill>
              <a:srgbClr val="dae3f3"/>
            </a:solidFill>
            <a:ln cap="rnd" w="22320">
              <a:solidFill>
                <a:srgbClr val="dae3f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'FishKite 1'!$B$37:$C$37</c:f>
              <c:numCache>
                <c:formatCode>General</c:formatCode>
                <c:ptCount val="2"/>
                <c:pt idx="0">
                  <c:v>148.092180822513</c:v>
                </c:pt>
                <c:pt idx="1">
                  <c:v>0</c:v>
                </c:pt>
              </c:numCache>
            </c:numRef>
          </c:xVal>
          <c:yVal>
            <c:numRef>
              <c:f>'FishKite 1'!$B$38:$C$38</c:f>
              <c:numCache>
                <c:formatCode>General</c:formatCode>
                <c:ptCount val="2"/>
                <c:pt idx="0">
                  <c:v>23.7061653894142</c:v>
                </c:pt>
                <c:pt idx="1">
                  <c:v>-100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"Wind"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'FishKite 1'!$B$41:$C$41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'FishKite 1'!$B$42:$C$42</c:f>
              <c:numCache>
                <c:formatCode>General</c:formatCode>
                <c:ptCount val="2"/>
                <c:pt idx="0">
                  <c:v>0</c:v>
                </c:pt>
                <c:pt idx="1">
                  <c:v>-100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"Knots"</c:f>
              <c:strCache>
                <c:ptCount val="1"/>
                <c:pt idx="0">
                  <c:v>Knots</c:v>
                </c:pt>
              </c:strCache>
            </c:strRef>
          </c:tx>
          <c:spPr>
            <a:solidFill>
              <a:srgbClr val="bfbfbf"/>
            </a:solidFill>
            <a:ln w="25560">
              <a:noFill/>
            </a:ln>
          </c:spPr>
          <c:marker>
            <c:symbol val="x"/>
            <c:size val="12"/>
            <c:spPr>
              <a:solidFill>
                <a:srgbClr val="bfbfbf"/>
              </a:solidFill>
            </c:spPr>
          </c:marker>
          <c:dPt>
            <c:idx val="0"/>
            <c:marker>
              <c:symbol val="x"/>
              <c:size val="12"/>
              <c:spPr>
                <a:solidFill>
                  <a:srgbClr val="bfbfbf"/>
                </a:solidFill>
              </c:spPr>
            </c:marker>
          </c:dPt>
          <c:dLbls>
            <c:dLbl>
              <c:idx val="0"/>
              <c:layout>
                <c:manualLayout>
                  <c:x val="0"/>
                  <c:y val="-0.0122662135357827"/>
                </c:manualLayout>
              </c:layout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1300" spc="-1" strike="noStrike" u="sng">
                      <a:solidFill>
                        <a:srgbClr val="548235"/>
                      </a:solidFill>
                      <a:uFillTx/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FB205747-4C4F-4791-8F78-67F9E27BD2D9}" type="CELLRANGE">
                      <a:rPr b="0" lang="en-US" sz="1300" spc="-1" strike="noStrike">
                        <a:solidFill>
                          <a:srgbClr val="548235"/>
                        </a:solidFill>
                        <a:latin typeface="Calibri"/>
                      </a:rPr>
                      <a:t/>
                    </a:fld>
                    <a:r>
                      <a:rPr b="0" lang="en-US" sz="1300" spc="-1" strike="noStrike">
                        <a:solidFill>
                          <a:srgbClr val="548235"/>
                        </a:solidFill>
                        <a:latin typeface="Calibri"/>
                      </a:rPr>
                      <a:t> </a:t>
                    </a:r>
                    <a:fld id="{3A90958D-E680-4A32-A39D-B401E3F7369D}" type="SERIESNAME">
                      <a:rPr b="0" lang="en-US" sz="1300" spc="-1" strike="noStrike">
                        <a:solidFill>
                          <a:srgbClr val="548235"/>
                        </a:solidFill>
                        <a:latin typeface="Calibri"/>
                      </a:rPr>
                      <a:t>Knots</a:t>
                    </a:fld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eparator> </c:separator>
            </c:dLbl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13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1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'FishKite 2'!$B$24</c:f>
              <c:numCache>
                <c:formatCode>General</c:formatCode>
                <c:ptCount val="1"/>
                <c:pt idx="0">
                  <c:v>249.936713397163</c:v>
                </c:pt>
              </c:numCache>
            </c:numRef>
          </c:xVal>
          <c:yVal>
            <c:numRef>
              <c:f>'FishKite 2'!$B$25</c:f>
              <c:numCache>
                <c:formatCode>General</c:formatCode>
                <c:ptCount val="1"/>
                <c:pt idx="0">
                  <c:v>174.457200638532</c:v>
                </c:pt>
              </c:numCache>
            </c:numRef>
          </c:yVal>
          <c:smooth val="1"/>
        </c:ser>
        <c:ser>
          <c:idx val="7"/>
          <c:order val="7"/>
          <c:spPr>
            <a:solidFill>
              <a:srgbClr val="548235"/>
            </a:solidFill>
            <a:ln cap="rnd" w="2232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'FishKite 2'!$B$33:$C$33</c:f>
              <c:numCache>
                <c:formatCode>General</c:formatCode>
                <c:ptCount val="2"/>
                <c:pt idx="0">
                  <c:v>0</c:v>
                </c:pt>
                <c:pt idx="1">
                  <c:v>243.376717111564</c:v>
                </c:pt>
              </c:numCache>
            </c:numRef>
          </c:xVal>
          <c:yVal>
            <c:numRef>
              <c:f>'FishKite 2'!$B$34:$C$34</c:f>
              <c:numCache>
                <c:formatCode>General</c:formatCode>
                <c:ptCount val="2"/>
                <c:pt idx="0">
                  <c:v>0</c:v>
                </c:pt>
                <c:pt idx="1">
                  <c:v>169.878287150276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"serie9"</c:f>
              <c:strCache>
                <c:ptCount val="1"/>
                <c:pt idx="0">
                  <c:v>serie9</c:v>
                </c:pt>
              </c:strCache>
            </c:strRef>
          </c:tx>
          <c:spPr>
            <a:solidFill>
              <a:srgbClr val="e2f0d9"/>
            </a:solidFill>
            <a:ln cap="rnd" w="19080">
              <a:solidFill>
                <a:srgbClr val="e2f0d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'FishKite 2'!$B$37:$C$37</c:f>
              <c:numCache>
                <c:formatCode>General</c:formatCode>
                <c:ptCount val="2"/>
                <c:pt idx="0">
                  <c:v>249.936713397163</c:v>
                </c:pt>
                <c:pt idx="1">
                  <c:v>0</c:v>
                </c:pt>
              </c:numCache>
            </c:numRef>
          </c:xVal>
          <c:yVal>
            <c:numRef>
              <c:f>'FishKite 2'!$B$38:$C$38</c:f>
              <c:numCache>
                <c:formatCode>General</c:formatCode>
                <c:ptCount val="2"/>
                <c:pt idx="0">
                  <c:v>174.457200638532</c:v>
                </c:pt>
                <c:pt idx="1">
                  <c:v>-100</c:v>
                </c:pt>
              </c:numCache>
            </c:numRef>
          </c:yVal>
          <c:smooth val="1"/>
        </c:ser>
        <c:axId val="86618392"/>
        <c:axId val="8559624"/>
      </c:scatterChart>
      <c:valAx>
        <c:axId val="86618392"/>
        <c:scaling>
          <c:orientation val="minMax"/>
          <c:max val="600"/>
          <c:min val="-50"/>
        </c:scaling>
        <c:delete val="1"/>
        <c:axPos val="b"/>
        <c:numFmt formatCode="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59624"/>
        <c:crossBetween val="midCat"/>
        <c:majorUnit val="50"/>
      </c:valAx>
      <c:valAx>
        <c:axId val="8559624"/>
        <c:scaling>
          <c:orientation val="minMax"/>
          <c:max val="250"/>
          <c:min val="-350"/>
        </c:scaling>
        <c:delete val="1"/>
        <c:axPos val="l"/>
        <c:numFmt formatCode="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18392"/>
        <c:crossBetween val="midCat"/>
        <c:majorUnit val="50"/>
      </c:valAx>
      <c:spPr>
        <a:blipFill rotWithShape="0">
          <a:blip r:embed="rId1"/>
          <a:stretch/>
        </a:blip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54823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87840</xdr:colOff>
      <xdr:row>0</xdr:row>
      <xdr:rowOff>11160</xdr:rowOff>
    </xdr:from>
    <xdr:to>
      <xdr:col>25</xdr:col>
      <xdr:colOff>137880</xdr:colOff>
      <xdr:row>39</xdr:row>
      <xdr:rowOff>132120</xdr:rowOff>
    </xdr:to>
    <xdr:graphicFrame>
      <xdr:nvGraphicFramePr>
        <xdr:cNvPr id="0" name="Chart 2"/>
        <xdr:cNvGraphicFramePr/>
      </xdr:nvGraphicFramePr>
      <xdr:xfrm>
        <a:off x="3422160" y="11160"/>
        <a:ext cx="6886800" cy="61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9360</xdr:rowOff>
        </xdr:from>
        <xdr:to>
          <xdr:col>3</xdr:col>
          <xdr:colOff>9360</xdr:colOff>
          <xdr:row>12</xdr:row>
          <xdr:rowOff>82440</xdr:rowOff>
        </xdr:to>
        <xdr:sp>
          <xdr:nvSpPr>
            <xdr:cNvPr id="0" name="ScrollBar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9360</xdr:rowOff>
        </xdr:from>
        <xdr:to>
          <xdr:col>3</xdr:col>
          <xdr:colOff>0</xdr:colOff>
          <xdr:row>14</xdr:row>
          <xdr:rowOff>0</xdr:rowOff>
        </xdr:to>
        <xdr:sp>
          <xdr:nvSpPr>
            <xdr:cNvPr id="0" name="ScrollBar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9360</xdr:colOff>
          <xdr:row>9</xdr:row>
          <xdr:rowOff>85680</xdr:rowOff>
        </xdr:to>
        <xdr:sp>
          <xdr:nvSpPr>
            <xdr:cNvPr id="0" name="ScrollBar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71640</xdr:colOff>
          <xdr:row>2</xdr:row>
          <xdr:rowOff>0</xdr:rowOff>
        </xdr:from>
        <xdr:to>
          <xdr:col>6</xdr:col>
          <xdr:colOff>137880</xdr:colOff>
          <xdr:row>3</xdr:row>
          <xdr:rowOff>9360</xdr:rowOff>
        </xdr:to>
        <xdr:sp>
          <xdr:nvSpPr>
            <xdr:cNvPr id="0" name="ScrollBar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28440</xdr:rowOff>
        </xdr:from>
        <xdr:to>
          <xdr:col>3</xdr:col>
          <xdr:colOff>19080</xdr:colOff>
          <xdr:row>18</xdr:row>
          <xdr:rowOff>9360</xdr:rowOff>
        </xdr:to>
        <xdr:sp>
          <xdr:nvSpPr>
            <xdr:cNvPr id="0" name="ScrollBar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71640</xdr:colOff>
          <xdr:row>19</xdr:row>
          <xdr:rowOff>28440</xdr:rowOff>
        </xdr:from>
        <xdr:to>
          <xdr:col>6</xdr:col>
          <xdr:colOff>137880</xdr:colOff>
          <xdr:row>20</xdr:row>
          <xdr:rowOff>9360</xdr:rowOff>
        </xdr:to>
        <xdr:sp>
          <xdr:nvSpPr>
            <xdr:cNvPr id="0" name="ScrollBar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824040</xdr:colOff>
          <xdr:row>23</xdr:row>
          <xdr:rowOff>9360</xdr:rowOff>
        </xdr:from>
        <xdr:to>
          <xdr:col>3</xdr:col>
          <xdr:colOff>0</xdr:colOff>
          <xdr:row>24</xdr:row>
          <xdr:rowOff>69480</xdr:rowOff>
        </xdr:to>
        <xdr:sp>
          <xdr:nvSpPr>
            <xdr:cNvPr id="0" name="ScrollBar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71640</xdr:colOff>
          <xdr:row>26</xdr:row>
          <xdr:rowOff>110880</xdr:rowOff>
        </xdr:from>
        <xdr:to>
          <xdr:col>3</xdr:col>
          <xdr:colOff>0</xdr:colOff>
          <xdr:row>27</xdr:row>
          <xdr:rowOff>19080</xdr:rowOff>
        </xdr:to>
        <xdr:sp>
          <xdr:nvSpPr>
            <xdr:cNvPr id="0" name="ScrollBar1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71640</xdr:colOff>
          <xdr:row>28</xdr:row>
          <xdr:rowOff>9360</xdr:rowOff>
        </xdr:from>
        <xdr:to>
          <xdr:col>6</xdr:col>
          <xdr:colOff>147600</xdr:colOff>
          <xdr:row>29</xdr:row>
          <xdr:rowOff>9360</xdr:rowOff>
        </xdr:to>
        <xdr:sp>
          <xdr:nvSpPr>
            <xdr:cNvPr id="0" name="ScrollBar1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19080</xdr:colOff>
          <xdr:row>32</xdr:row>
          <xdr:rowOff>79200</xdr:rowOff>
        </xdr:from>
        <xdr:to>
          <xdr:col>3</xdr:col>
          <xdr:colOff>28440</xdr:colOff>
          <xdr:row>33</xdr:row>
          <xdr:rowOff>19080</xdr:rowOff>
        </xdr:to>
        <xdr:sp>
          <xdr:nvSpPr>
            <xdr:cNvPr id="0" name="ScrollBar1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9360</xdr:colOff>
          <xdr:row>34</xdr:row>
          <xdr:rowOff>28440</xdr:rowOff>
        </xdr:from>
        <xdr:to>
          <xdr:col>3</xdr:col>
          <xdr:colOff>9360</xdr:colOff>
          <xdr:row>35</xdr:row>
          <xdr:rowOff>9360</xdr:rowOff>
        </xdr:to>
        <xdr:sp>
          <xdr:nvSpPr>
            <xdr:cNvPr id="0" name="ScrollBar1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1603440</xdr:colOff>
          <xdr:row>4</xdr:row>
          <xdr:rowOff>25560</xdr:rowOff>
        </xdr:from>
        <xdr:to>
          <xdr:col>3</xdr:col>
          <xdr:colOff>193680</xdr:colOff>
          <xdr:row>5</xdr:row>
          <xdr:rowOff>-25200</xdr:rowOff>
        </xdr:to>
        <xdr:sp>
          <xdr:nvSpPr>
            <xdr:cNvPr id="0" name="ComboBox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19080</xdr:colOff>
          <xdr:row>4</xdr:row>
          <xdr:rowOff>47520</xdr:rowOff>
        </xdr:from>
        <xdr:to>
          <xdr:col>6</xdr:col>
          <xdr:colOff>123840</xdr:colOff>
          <xdr:row>5</xdr:row>
          <xdr:rowOff>92160</xdr:rowOff>
        </xdr:to>
        <xdr:sp>
          <xdr:nvSpPr>
            <xdr:cNvPr id="0" name="ComboBox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1889280</xdr:colOff>
          <xdr:row>9</xdr:row>
          <xdr:rowOff>360</xdr:rowOff>
        </xdr:from>
        <xdr:to>
          <xdr:col>5</xdr:col>
          <xdr:colOff>37080</xdr:colOff>
          <xdr:row>10</xdr:row>
          <xdr:rowOff>57600</xdr:rowOff>
        </xdr:to>
        <xdr:sp>
          <xdr:nvSpPr>
            <xdr:cNvPr id="0" name="ComboBox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1603440</xdr:colOff>
          <xdr:row>5</xdr:row>
          <xdr:rowOff>19080</xdr:rowOff>
        </xdr:from>
        <xdr:to>
          <xdr:col>3</xdr:col>
          <xdr:colOff>193680</xdr:colOff>
          <xdr:row>6</xdr:row>
          <xdr:rowOff>-25560</xdr:rowOff>
        </xdr:to>
        <xdr:sp>
          <xdr:nvSpPr>
            <xdr:cNvPr id="0" name="ComboBox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9360</xdr:colOff>
          <xdr:row>5</xdr:row>
          <xdr:rowOff>28440</xdr:rowOff>
        </xdr:from>
        <xdr:to>
          <xdr:col>6</xdr:col>
          <xdr:colOff>114120</xdr:colOff>
          <xdr:row>7</xdr:row>
          <xdr:rowOff>37800</xdr:rowOff>
        </xdr:to>
        <xdr:sp>
          <xdr:nvSpPr>
            <xdr:cNvPr id="0" name="ComboBox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1882800</xdr:colOff>
          <xdr:row>15</xdr:row>
          <xdr:rowOff>0</xdr:rowOff>
        </xdr:from>
        <xdr:to>
          <xdr:col>5</xdr:col>
          <xdr:colOff>30600</xdr:colOff>
          <xdr:row>16</xdr:row>
          <xdr:rowOff>70200</xdr:rowOff>
        </xdr:to>
        <xdr:sp>
          <xdr:nvSpPr>
            <xdr:cNvPr id="0" name="ComboBox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1882800</xdr:colOff>
          <xdr:row>24</xdr:row>
          <xdr:rowOff>360</xdr:rowOff>
        </xdr:from>
        <xdr:to>
          <xdr:col>5</xdr:col>
          <xdr:colOff>24120</xdr:colOff>
          <xdr:row>25</xdr:row>
          <xdr:rowOff>64080</xdr:rowOff>
        </xdr:to>
        <xdr:sp>
          <xdr:nvSpPr>
            <xdr:cNvPr id="0" name="ComboBox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5</xdr:col>
          <xdr:colOff>95400</xdr:colOff>
          <xdr:row>31</xdr:row>
          <xdr:rowOff>114120</xdr:rowOff>
        </xdr:to>
        <xdr:sp>
          <xdr:nvSpPr>
            <xdr:cNvPr id="0" name="ComboBox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X4" activeCellId="0" sqref="X4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2.82"/>
    <col collapsed="false" customWidth="true" hidden="false" outlineLevel="0" max="2" min="2" style="1" width="2.36"/>
    <col collapsed="false" customWidth="true" hidden="false" outlineLevel="0" max="3" min="3" style="1" width="27.18"/>
    <col collapsed="false" customWidth="true" hidden="false" outlineLevel="0" max="4" min="4" style="1" width="4.82"/>
    <col collapsed="false" customWidth="true" hidden="false" outlineLevel="0" max="5" min="5" style="1" width="1.46"/>
    <col collapsed="false" customWidth="true" hidden="false" outlineLevel="0" max="6" min="6" style="1" width="4.82"/>
    <col collapsed="false" customWidth="true" hidden="false" outlineLevel="0" max="7" min="7" style="1" width="3.82"/>
    <col collapsed="false" customWidth="true" hidden="false" outlineLevel="0" max="20" min="8" style="1" width="4.72"/>
    <col collapsed="false" customWidth="true" hidden="false" outlineLevel="0" max="22" min="21" style="0" width="4.72"/>
  </cols>
  <sheetData>
    <row r="1" s="4" customFormat="true" ht="20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="10" customFormat="true" ht="11.5" hidden="false" customHeight="true" outlineLevel="0" collapsed="false">
      <c r="A2" s="5"/>
      <c r="B2" s="6"/>
      <c r="C2" s="7" t="s">
        <v>1</v>
      </c>
      <c r="D2" s="8"/>
      <c r="E2" s="9"/>
      <c r="F2" s="9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12" hidden="false" customHeight="true" outlineLevel="0" collapsed="false">
      <c r="A3" s="1"/>
      <c r="B3" s="11"/>
      <c r="C3" s="12"/>
      <c r="D3" s="13" t="n">
        <v>15</v>
      </c>
      <c r="E3" s="11" t="s">
        <v>2</v>
      </c>
      <c r="F3" s="11"/>
      <c r="G3" s="11"/>
    </row>
    <row r="4" customFormat="false" ht="13" hidden="false" customHeight="true" outlineLevel="0" collapsed="false">
      <c r="A4" s="1"/>
      <c r="B4" s="11"/>
      <c r="C4" s="11"/>
      <c r="D4" s="14" t="s">
        <v>3</v>
      </c>
      <c r="E4" s="15" t="s">
        <v>4</v>
      </c>
      <c r="F4" s="11"/>
      <c r="G4" s="11"/>
    </row>
    <row r="5" customFormat="false" ht="19" hidden="false" customHeight="true" outlineLevel="0" collapsed="false">
      <c r="A5" s="1"/>
      <c r="B5" s="16" t="s">
        <v>5</v>
      </c>
      <c r="C5" s="17" t="s">
        <v>6</v>
      </c>
      <c r="D5" s="18"/>
      <c r="E5" s="18"/>
      <c r="F5" s="18"/>
      <c r="G5" s="18"/>
    </row>
    <row r="6" customFormat="false" ht="18.5" hidden="false" customHeight="true" outlineLevel="0" collapsed="false">
      <c r="A6" s="1"/>
      <c r="B6" s="16"/>
      <c r="C6" s="19" t="s">
        <v>7</v>
      </c>
      <c r="D6" s="20"/>
      <c r="E6" s="20"/>
      <c r="F6" s="20"/>
      <c r="G6" s="20"/>
    </row>
    <row r="7" s="4" customFormat="true" ht="4" hidden="false" customHeight="true" outlineLevel="0" collapsed="false">
      <c r="A7" s="3"/>
      <c r="B7" s="21"/>
      <c r="C7" s="22"/>
      <c r="D7" s="23"/>
      <c r="E7" s="24"/>
      <c r="F7" s="25"/>
      <c r="G7" s="2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="30" customFormat="true" ht="12" hidden="false" customHeight="true" outlineLevel="0" collapsed="false">
      <c r="A8" s="26" t="s">
        <v>8</v>
      </c>
      <c r="B8" s="27"/>
      <c r="C8" s="28" t="s">
        <v>9</v>
      </c>
      <c r="D8" s="29"/>
      <c r="E8" s="29"/>
      <c r="F8" s="29"/>
      <c r="G8" s="29"/>
    </row>
    <row r="9" s="33" customFormat="true" ht="15" hidden="false" customHeight="false" outlineLevel="0" collapsed="false">
      <c r="A9" s="26"/>
      <c r="B9" s="31"/>
      <c r="C9" s="31"/>
      <c r="D9" s="32" t="n">
        <v>33</v>
      </c>
      <c r="E9" s="31" t="s">
        <v>10</v>
      </c>
      <c r="F9" s="31"/>
      <c r="G9" s="31"/>
    </row>
    <row r="10" s="38" customFormat="true" ht="12.5" hidden="false" customHeight="true" outlineLevel="0" collapsed="false">
      <c r="A10" s="26"/>
      <c r="B10" s="34" t="s">
        <v>11</v>
      </c>
      <c r="C10" s="35" t="s">
        <v>12</v>
      </c>
      <c r="D10" s="36" t="s">
        <v>13</v>
      </c>
      <c r="E10" s="37"/>
      <c r="F10" s="37"/>
      <c r="G10" s="37"/>
    </row>
    <row r="11" s="38" customFormat="true" ht="12" hidden="false" customHeight="true" outlineLevel="0" collapsed="false">
      <c r="A11" s="26"/>
      <c r="B11" s="34"/>
      <c r="C11" s="39" t="s">
        <v>14</v>
      </c>
      <c r="D11" s="37"/>
      <c r="E11" s="37"/>
      <c r="F11" s="37"/>
      <c r="G11" s="37"/>
    </row>
    <row r="12" s="38" customFormat="true" ht="14.5" hidden="false" customHeight="false" outlineLevel="0" collapsed="false">
      <c r="A12" s="26"/>
      <c r="B12" s="34"/>
      <c r="C12" s="37"/>
      <c r="D12" s="40" t="n">
        <v>24</v>
      </c>
      <c r="E12" s="37" t="s">
        <v>15</v>
      </c>
      <c r="F12" s="37"/>
      <c r="G12" s="37"/>
    </row>
    <row r="13" s="38" customFormat="true" ht="11" hidden="false" customHeight="true" outlineLevel="0" collapsed="false">
      <c r="A13" s="26"/>
      <c r="B13" s="34"/>
      <c r="C13" s="39" t="s">
        <v>16</v>
      </c>
      <c r="D13" s="37"/>
      <c r="E13" s="37"/>
      <c r="F13" s="37"/>
      <c r="G13" s="37"/>
    </row>
    <row r="14" s="38" customFormat="true" ht="14.5" hidden="false" customHeight="false" outlineLevel="0" collapsed="false">
      <c r="A14" s="26"/>
      <c r="B14" s="34"/>
      <c r="C14" s="37"/>
      <c r="D14" s="40" t="n">
        <v>12</v>
      </c>
      <c r="E14" s="37" t="s">
        <v>10</v>
      </c>
      <c r="F14" s="41" t="n">
        <f aca="false">1/TAN(RADIANS(D14))</f>
        <v>4.70463010947845</v>
      </c>
      <c r="G14" s="42" t="s">
        <v>17</v>
      </c>
    </row>
    <row r="15" s="44" customFormat="true" ht="4" hidden="false" customHeight="true" outlineLevel="0" collapsed="false">
      <c r="A15" s="26"/>
      <c r="B15" s="34"/>
      <c r="C15" s="43"/>
      <c r="D15" s="36"/>
      <c r="E15" s="36"/>
      <c r="F15" s="36"/>
      <c r="G15" s="36"/>
    </row>
    <row r="16" s="49" customFormat="true" ht="11.5" hidden="false" customHeight="true" outlineLevel="0" collapsed="false">
      <c r="A16" s="26"/>
      <c r="B16" s="45" t="s">
        <v>18</v>
      </c>
      <c r="C16" s="46" t="s">
        <v>19</v>
      </c>
      <c r="D16" s="47" t="s">
        <v>20</v>
      </c>
      <c r="E16" s="48"/>
      <c r="F16" s="48"/>
      <c r="G16" s="48"/>
    </row>
    <row r="17" s="49" customFormat="true" ht="14.5" hidden="false" customHeight="false" outlineLevel="0" collapsed="false">
      <c r="A17" s="26"/>
      <c r="B17" s="45"/>
      <c r="C17" s="50" t="s">
        <v>21</v>
      </c>
      <c r="D17" s="48"/>
      <c r="E17" s="48"/>
      <c r="F17" s="48"/>
      <c r="G17" s="48"/>
    </row>
    <row r="18" s="49" customFormat="true" ht="13" hidden="false" customHeight="true" outlineLevel="0" collapsed="false">
      <c r="A18" s="26"/>
      <c r="B18" s="45"/>
      <c r="C18" s="51" t="n">
        <v>10</v>
      </c>
      <c r="D18" s="40" t="n">
        <f aca="false">C18*100</f>
        <v>1000</v>
      </c>
      <c r="E18" s="48" t="s">
        <v>22</v>
      </c>
      <c r="F18" s="48"/>
      <c r="G18" s="48"/>
    </row>
    <row r="19" s="49" customFormat="true" ht="14.5" hidden="false" customHeight="false" outlineLevel="0" collapsed="false">
      <c r="A19" s="26"/>
      <c r="B19" s="45"/>
      <c r="C19" s="50" t="s">
        <v>23</v>
      </c>
      <c r="D19" s="48" t="n">
        <f aca="false">D18/10000</f>
        <v>0.1</v>
      </c>
      <c r="E19" s="48" t="s">
        <v>15</v>
      </c>
      <c r="F19" s="48"/>
      <c r="G19" s="48"/>
    </row>
    <row r="20" s="49" customFormat="true" ht="14.5" hidden="false" customHeight="false" outlineLevel="0" collapsed="false">
      <c r="A20" s="26"/>
      <c r="B20" s="45"/>
      <c r="C20" s="51"/>
      <c r="D20" s="40" t="n">
        <v>14</v>
      </c>
      <c r="E20" s="48" t="s">
        <v>10</v>
      </c>
      <c r="F20" s="52" t="n">
        <f aca="false">1/TAN(RADIANS(D20))</f>
        <v>4.01078093353584</v>
      </c>
      <c r="G20" s="53" t="s">
        <v>17</v>
      </c>
    </row>
    <row r="21" s="55" customFormat="true" ht="4.5" hidden="false" customHeight="true" outlineLevel="0" collapsed="false">
      <c r="A21" s="26"/>
      <c r="B21" s="45"/>
      <c r="C21" s="54"/>
      <c r="D21" s="47"/>
      <c r="E21" s="47"/>
      <c r="F21" s="47"/>
      <c r="G21" s="47"/>
    </row>
    <row r="22" s="4" customFormat="true" ht="9.5" hidden="false" customHeight="true" outlineLevel="0" collapsed="false">
      <c r="A22" s="3"/>
      <c r="B22" s="21"/>
      <c r="C22" s="23"/>
      <c r="D22" s="23"/>
      <c r="E22" s="24"/>
      <c r="F22" s="25"/>
      <c r="G22" s="2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="60" customFormat="true" ht="11.5" hidden="false" customHeight="true" outlineLevel="0" collapsed="false">
      <c r="A23" s="56" t="s">
        <v>24</v>
      </c>
      <c r="B23" s="57"/>
      <c r="C23" s="58" t="s">
        <v>9</v>
      </c>
      <c r="D23" s="59"/>
      <c r="E23" s="59"/>
      <c r="F23" s="59"/>
      <c r="G23" s="59"/>
    </row>
    <row r="24" s="62" customFormat="true" ht="15.5" hidden="false" customHeight="true" outlineLevel="0" collapsed="false">
      <c r="A24" s="56"/>
      <c r="B24" s="61"/>
      <c r="C24" s="61"/>
      <c r="D24" s="32" t="n">
        <v>20</v>
      </c>
      <c r="E24" s="61" t="s">
        <v>10</v>
      </c>
      <c r="F24" s="61"/>
      <c r="G24" s="61"/>
    </row>
    <row r="25" s="66" customFormat="true" ht="12" hidden="false" customHeight="true" outlineLevel="0" collapsed="false">
      <c r="A25" s="56"/>
      <c r="B25" s="63" t="s">
        <v>11</v>
      </c>
      <c r="C25" s="64" t="s">
        <v>12</v>
      </c>
      <c r="D25" s="65" t="s">
        <v>25</v>
      </c>
      <c r="E25" s="65"/>
      <c r="F25" s="65"/>
      <c r="G25" s="65"/>
    </row>
    <row r="26" s="66" customFormat="true" ht="13" hidden="false" customHeight="true" outlineLevel="0" collapsed="false">
      <c r="A26" s="56"/>
      <c r="B26" s="63"/>
      <c r="C26" s="67" t="s">
        <v>14</v>
      </c>
      <c r="D26" s="65"/>
      <c r="E26" s="65"/>
      <c r="F26" s="65"/>
      <c r="G26" s="65"/>
    </row>
    <row r="27" s="66" customFormat="true" ht="13.5" hidden="false" customHeight="true" outlineLevel="0" collapsed="false">
      <c r="A27" s="56"/>
      <c r="B27" s="63"/>
      <c r="C27" s="65"/>
      <c r="D27" s="40" t="n">
        <v>25</v>
      </c>
      <c r="E27" s="65" t="s">
        <v>15</v>
      </c>
      <c r="F27" s="65"/>
      <c r="G27" s="65"/>
    </row>
    <row r="28" s="66" customFormat="true" ht="14.5" hidden="false" customHeight="false" outlineLevel="0" collapsed="false">
      <c r="A28" s="56"/>
      <c r="B28" s="63"/>
      <c r="C28" s="67" t="s">
        <v>16</v>
      </c>
      <c r="D28" s="65"/>
      <c r="E28" s="65"/>
      <c r="F28" s="65"/>
      <c r="G28" s="65"/>
    </row>
    <row r="29" s="66" customFormat="true" ht="13.5" hidden="false" customHeight="true" outlineLevel="0" collapsed="false">
      <c r="A29" s="56"/>
      <c r="B29" s="63"/>
      <c r="C29" s="65"/>
      <c r="D29" s="40" t="n">
        <v>4</v>
      </c>
      <c r="E29" s="65" t="s">
        <v>10</v>
      </c>
      <c r="F29" s="68" t="n">
        <f aca="false">1/TAN(RADIANS(D29))</f>
        <v>14.3006662567119</v>
      </c>
      <c r="G29" s="69" t="s">
        <v>17</v>
      </c>
    </row>
    <row r="30" s="72" customFormat="true" ht="4" hidden="false" customHeight="true" outlineLevel="0" collapsed="false">
      <c r="A30" s="56"/>
      <c r="B30" s="63"/>
      <c r="C30" s="70"/>
      <c r="D30" s="71"/>
      <c r="E30" s="71"/>
      <c r="F30" s="71"/>
      <c r="G30" s="71"/>
    </row>
    <row r="31" s="77" customFormat="true" ht="11.5" hidden="false" customHeight="true" outlineLevel="0" collapsed="false">
      <c r="A31" s="56"/>
      <c r="B31" s="73" t="s">
        <v>18</v>
      </c>
      <c r="C31" s="74" t="s">
        <v>19</v>
      </c>
      <c r="D31" s="75" t="s">
        <v>13</v>
      </c>
      <c r="E31" s="76"/>
      <c r="F31" s="76"/>
      <c r="G31" s="76"/>
    </row>
    <row r="32" s="77" customFormat="true" ht="12.5" hidden="false" customHeight="true" outlineLevel="0" collapsed="false">
      <c r="A32" s="56"/>
      <c r="B32" s="73"/>
      <c r="C32" s="78" t="s">
        <v>21</v>
      </c>
      <c r="D32" s="76"/>
      <c r="E32" s="76"/>
      <c r="F32" s="76"/>
      <c r="G32" s="76"/>
    </row>
    <row r="33" s="77" customFormat="true" ht="12" hidden="false" customHeight="true" outlineLevel="0" collapsed="false">
      <c r="A33" s="56"/>
      <c r="B33" s="73"/>
      <c r="C33" s="79" t="n">
        <v>7</v>
      </c>
      <c r="D33" s="40" t="n">
        <f aca="false">C33*100</f>
        <v>700</v>
      </c>
      <c r="E33" s="76" t="s">
        <v>22</v>
      </c>
      <c r="F33" s="76"/>
      <c r="G33" s="76"/>
    </row>
    <row r="34" s="77" customFormat="true" ht="14.5" hidden="false" customHeight="false" outlineLevel="0" collapsed="false">
      <c r="A34" s="56"/>
      <c r="B34" s="73"/>
      <c r="C34" s="78" t="s">
        <v>23</v>
      </c>
      <c r="D34" s="76" t="n">
        <f aca="false">D33/10000</f>
        <v>0.07</v>
      </c>
      <c r="E34" s="76" t="s">
        <v>15</v>
      </c>
      <c r="F34" s="76"/>
      <c r="G34" s="76"/>
    </row>
    <row r="35" s="77" customFormat="true" ht="14" hidden="false" customHeight="true" outlineLevel="0" collapsed="false">
      <c r="A35" s="56"/>
      <c r="B35" s="73"/>
      <c r="C35" s="79"/>
      <c r="D35" s="40" t="n">
        <v>8</v>
      </c>
      <c r="E35" s="76" t="s">
        <v>10</v>
      </c>
      <c r="F35" s="80" t="n">
        <f aca="false">1/TAN(RADIANS(D35))</f>
        <v>7.11536972238421</v>
      </c>
      <c r="G35" s="81" t="s">
        <v>17</v>
      </c>
    </row>
    <row r="36" s="83" customFormat="true" ht="4" hidden="false" customHeight="true" outlineLevel="0" collapsed="false">
      <c r="A36" s="56"/>
      <c r="B36" s="73"/>
      <c r="C36" s="82"/>
      <c r="D36" s="75"/>
      <c r="E36" s="75"/>
      <c r="F36" s="75"/>
      <c r="G36" s="75"/>
    </row>
    <row r="37" customFormat="false" ht="4.5" hidden="false" customHeight="true" outlineLevel="0" collapsed="false">
      <c r="B37" s="11"/>
      <c r="C37" s="11"/>
      <c r="D37" s="11"/>
      <c r="E37" s="11"/>
      <c r="F37" s="11"/>
      <c r="G37" s="11"/>
    </row>
    <row r="38" customFormat="false" ht="15" hidden="false" customHeight="false" outlineLevel="0" collapsed="false">
      <c r="B38" s="11"/>
      <c r="C38" s="84" t="s">
        <v>26</v>
      </c>
      <c r="D38" s="40" t="n">
        <v>1.29</v>
      </c>
      <c r="E38" s="11" t="s">
        <v>27</v>
      </c>
      <c r="F38" s="11"/>
      <c r="G38" s="11"/>
    </row>
    <row r="39" customFormat="false" ht="15" hidden="false" customHeight="false" outlineLevel="0" collapsed="false">
      <c r="B39" s="11"/>
      <c r="C39" s="84" t="s">
        <v>28</v>
      </c>
      <c r="D39" s="32" t="n">
        <v>1025</v>
      </c>
      <c r="E39" s="11" t="s">
        <v>27</v>
      </c>
      <c r="F39" s="11"/>
      <c r="G39" s="11"/>
    </row>
    <row r="41" customFormat="false" ht="14.5" hidden="false" customHeight="true" outlineLevel="0" collapsed="false"/>
    <row r="52" customFormat="false" ht="88.5" hidden="false" customHeight="false" outlineLevel="0" collapsed="false">
      <c r="H52" s="85" t="s">
        <v>29</v>
      </c>
      <c r="I52" s="85" t="s">
        <v>30</v>
      </c>
      <c r="J52" s="85" t="s">
        <v>31</v>
      </c>
      <c r="K52" s="85" t="s">
        <v>32</v>
      </c>
      <c r="L52" s="85" t="s">
        <v>33</v>
      </c>
      <c r="M52" s="85" t="s">
        <v>34</v>
      </c>
      <c r="N52" s="85" t="s">
        <v>35</v>
      </c>
      <c r="P52" s="85" t="s">
        <v>36</v>
      </c>
      <c r="Q52" s="85" t="s">
        <v>37</v>
      </c>
      <c r="R52" s="85" t="s">
        <v>38</v>
      </c>
      <c r="S52" s="85" t="s">
        <v>39</v>
      </c>
      <c r="T52" s="85" t="s">
        <v>40</v>
      </c>
      <c r="U52" s="85" t="s">
        <v>41</v>
      </c>
      <c r="V52" s="85" t="s">
        <v>42</v>
      </c>
    </row>
    <row r="53" customFormat="false" ht="14.5" hidden="false" customHeight="false" outlineLevel="0" collapsed="false">
      <c r="H53" s="86" t="n">
        <v>0.3</v>
      </c>
      <c r="I53" s="86" t="n">
        <v>1.5</v>
      </c>
      <c r="J53" s="87" t="n">
        <f aca="false">H53</f>
        <v>0.3</v>
      </c>
      <c r="K53" s="87" t="n">
        <f aca="false">L53+0.1</f>
        <v>0.5</v>
      </c>
      <c r="L53" s="87" t="s">
        <v>13</v>
      </c>
      <c r="M53" s="87" t="s">
        <v>43</v>
      </c>
      <c r="N53" s="87" t="n">
        <f aca="false">L54</f>
        <v>0.4</v>
      </c>
      <c r="P53" s="88" t="n">
        <v>0.1</v>
      </c>
      <c r="Q53" s="86" t="n">
        <v>1</v>
      </c>
      <c r="R53" s="1" t="n">
        <f aca="false">P53</f>
        <v>0.1</v>
      </c>
      <c r="S53" s="1" t="n">
        <f aca="false">T53+0.1</f>
        <v>0.3</v>
      </c>
      <c r="T53" s="1" t="s">
        <v>20</v>
      </c>
      <c r="U53" s="1" t="s">
        <v>13</v>
      </c>
      <c r="V53" s="1" t="n">
        <f aca="false">T54</f>
        <v>0.2</v>
      </c>
    </row>
    <row r="54" customFormat="false" ht="14.5" hidden="false" customHeight="false" outlineLevel="0" collapsed="false">
      <c r="H54" s="87"/>
      <c r="I54" s="87"/>
      <c r="J54" s="87" t="n">
        <f aca="false">IF(J53+0.1&lt;($I$53-0.1),J53+0.1,$I$53-0.1)</f>
        <v>0.4</v>
      </c>
      <c r="K54" s="87" t="n">
        <f aca="false">IF(K53+0.1&lt;$I$53,K53+0.1,$I$53)</f>
        <v>0.6</v>
      </c>
      <c r="L54" s="87" t="n">
        <f aca="false">VALUE(L53)</f>
        <v>0.4</v>
      </c>
      <c r="M54" s="87" t="n">
        <f aca="false">VALUE(M53)</f>
        <v>0.9</v>
      </c>
      <c r="N54" s="87" t="n">
        <f aca="false">IF(N53+0.1&lt;$M$54,N53+0.1,$M$54)</f>
        <v>0.5</v>
      </c>
      <c r="R54" s="1" t="n">
        <f aca="false">IF(R53+0.1&lt;($Q$53-0.1),R53+0.1,$Q$53-0.1)</f>
        <v>0.2</v>
      </c>
      <c r="S54" s="1" t="n">
        <f aca="false">IF(S53+0.1&lt;$Q$53,S53+0.1,$Q$53)</f>
        <v>0.4</v>
      </c>
      <c r="T54" s="1" t="n">
        <f aca="false">VALUE(T53)</f>
        <v>0.2</v>
      </c>
      <c r="U54" s="1" t="n">
        <f aca="false">VALUE(U53)</f>
        <v>0.4</v>
      </c>
      <c r="V54" s="1" t="n">
        <f aca="false">IF(V53+0.1&lt;$U$54,V53+0.1,$U$54)</f>
        <v>0.3</v>
      </c>
    </row>
    <row r="55" customFormat="false" ht="14.5" hidden="false" customHeight="false" outlineLevel="0" collapsed="false">
      <c r="H55" s="87"/>
      <c r="I55" s="87"/>
      <c r="J55" s="87" t="n">
        <f aca="false">IF(J54+0.1&lt;($I$53-0.1),J54+0.1,$I$53-0.1)</f>
        <v>0.5</v>
      </c>
      <c r="K55" s="87" t="n">
        <f aca="false">IF(K54+0.1&lt;$I$53,K54+0.1,$I$53)</f>
        <v>0.7</v>
      </c>
      <c r="L55" s="87"/>
      <c r="M55" s="87"/>
      <c r="N55" s="87" t="n">
        <f aca="false">IF(N54+0.1&lt;$M$54,N54+0.1,$M$54)</f>
        <v>0.6</v>
      </c>
      <c r="P55" s="87"/>
      <c r="Q55" s="87"/>
      <c r="R55" s="1" t="n">
        <f aca="false">IF(R54+0.1&lt;($Q$53-0.1),R54+0.1,$Q$53-0.1)</f>
        <v>0.3</v>
      </c>
      <c r="S55" s="1" t="n">
        <f aca="false">IF(S54+0.1&lt;$Q$53,S54+0.1,$Q$53)</f>
        <v>0.5</v>
      </c>
      <c r="T55" s="87"/>
      <c r="U55" s="1"/>
      <c r="V55" s="1" t="n">
        <f aca="false">IF(V54+0.1&lt;$U$54,V54+0.1,$U$54)</f>
        <v>0.4</v>
      </c>
    </row>
    <row r="56" customFormat="false" ht="14.5" hidden="false" customHeight="false" outlineLevel="0" collapsed="false">
      <c r="H56" s="87"/>
      <c r="I56" s="87"/>
      <c r="J56" s="87" t="n">
        <f aca="false">IF(J55+0.1&lt;($I$53-0.1),J55+0.1,$I$53-0.1)</f>
        <v>0.6</v>
      </c>
      <c r="K56" s="87" t="n">
        <f aca="false">IF(K55+0.1&lt;$I$53,K55+0.1,$I$53)</f>
        <v>0.8</v>
      </c>
      <c r="L56" s="87"/>
      <c r="M56" s="87"/>
      <c r="N56" s="87" t="n">
        <f aca="false">IF(N55+0.1&lt;$M$54,N55+0.1,$M$54)</f>
        <v>0.7</v>
      </c>
      <c r="R56" s="1" t="n">
        <f aca="false">IF(R55+0.1&lt;($Q$53-0.1),R55+0.1,$Q$53-0.1)</f>
        <v>0.4</v>
      </c>
      <c r="S56" s="1" t="n">
        <f aca="false">IF(S55+0.1&lt;$Q$53,S55+0.1,$Q$53)</f>
        <v>0.6</v>
      </c>
      <c r="U56" s="1"/>
      <c r="V56" s="1" t="n">
        <f aca="false">IF(V55+0.1&lt;$U$54,V55+0.1,$U$54)</f>
        <v>0.4</v>
      </c>
    </row>
    <row r="57" customFormat="false" ht="14.5" hidden="false" customHeight="false" outlineLevel="0" collapsed="false">
      <c r="H57" s="87"/>
      <c r="I57" s="87"/>
      <c r="J57" s="87" t="n">
        <f aca="false">IF(J56+0.1&lt;($I$53-0.1),J56+0.1,$I$53-0.1)</f>
        <v>0.7</v>
      </c>
      <c r="K57" s="87" t="n">
        <f aca="false">IF(K56+0.1&lt;$I$53,K56+0.1,$I$53)</f>
        <v>0.9</v>
      </c>
      <c r="L57" s="87"/>
      <c r="M57" s="87"/>
      <c r="N57" s="87" t="n">
        <f aca="false">IF(N56+0.1&lt;$M$54,N56+0.1,$M$54)</f>
        <v>0.8</v>
      </c>
      <c r="R57" s="1" t="n">
        <f aca="false">IF(R56+0.1&lt;($Q$53-0.1),R56+0.1,$Q$53-0.1)</f>
        <v>0.5</v>
      </c>
      <c r="S57" s="1" t="n">
        <f aca="false">IF(S56+0.1&lt;$Q$53,S56+0.1,$Q$53)</f>
        <v>0.7</v>
      </c>
      <c r="U57" s="1"/>
      <c r="V57" s="1" t="n">
        <f aca="false">IF(V56+0.1&lt;$U$54,V56+0.1,$U$54)</f>
        <v>0.4</v>
      </c>
    </row>
    <row r="58" customFormat="false" ht="14.5" hidden="false" customHeight="false" outlineLevel="0" collapsed="false">
      <c r="H58" s="87"/>
      <c r="I58" s="87"/>
      <c r="J58" s="87" t="n">
        <f aca="false">IF(J57+0.1&lt;($I$53-0.1),J57+0.1,$I$53-0.1)</f>
        <v>0.8</v>
      </c>
      <c r="K58" s="87" t="n">
        <f aca="false">IF(K57+0.1&lt;$I$53,K57+0.1,$I$53)</f>
        <v>1</v>
      </c>
      <c r="L58" s="87"/>
      <c r="M58" s="87"/>
      <c r="N58" s="87" t="n">
        <f aca="false">IF(N57+0.1&lt;$M$54,N57+0.1,$M$54)</f>
        <v>0.9</v>
      </c>
      <c r="S58" s="1" t="n">
        <f aca="false">IF(S57+0.1&lt;$Q$53,S57+0.1,$Q$53)</f>
        <v>0.8</v>
      </c>
      <c r="U58" s="1"/>
      <c r="V58" s="1" t="n">
        <f aca="false">IF(V57+0.1&lt;$U$54,V57+0.1,$U$54)</f>
        <v>0.4</v>
      </c>
    </row>
    <row r="59" customFormat="false" ht="14.5" hidden="false" customHeight="false" outlineLevel="0" collapsed="false">
      <c r="H59" s="87"/>
      <c r="I59" s="87"/>
      <c r="J59" s="87" t="n">
        <f aca="false">IF(J58+0.1&lt;($I$53-0.1),J58+0.1,$I$53-0.1)</f>
        <v>0.9</v>
      </c>
      <c r="K59" s="87" t="n">
        <f aca="false">IF(K58+0.1&lt;$I$53,K58+0.1,$I$53)</f>
        <v>1.1</v>
      </c>
      <c r="L59" s="87"/>
      <c r="M59" s="87"/>
      <c r="N59" s="87" t="n">
        <f aca="false">IF(N58+0.1&lt;$M$54,N58+0.1,$M$54)</f>
        <v>0.9</v>
      </c>
      <c r="S59" s="1" t="n">
        <f aca="false">IF(S58+0.1&lt;$Q$53,S58+0.1,$Q$53)</f>
        <v>0.9</v>
      </c>
      <c r="U59" s="1"/>
      <c r="V59" s="1" t="n">
        <f aca="false">IF(V58+0.1&lt;$U$54,V58+0.1,$U$54)</f>
        <v>0.4</v>
      </c>
    </row>
    <row r="60" customFormat="false" ht="14.5" hidden="false" customHeight="false" outlineLevel="0" collapsed="false">
      <c r="H60" s="87"/>
      <c r="I60" s="87"/>
      <c r="J60" s="87" t="n">
        <f aca="false">IF(J59+0.1&lt;($I$53-0.1),J59+0.1,$I$53-0.1)</f>
        <v>1</v>
      </c>
      <c r="K60" s="87" t="n">
        <f aca="false">IF(K59+0.1&lt;$I$53,K59+0.1,$I$53)</f>
        <v>1.2</v>
      </c>
      <c r="L60" s="87"/>
      <c r="M60" s="87"/>
      <c r="N60" s="87" t="n">
        <f aca="false">IF(N59+0.1&lt;$M$54,N59+0.1,$M$54)</f>
        <v>0.9</v>
      </c>
      <c r="S60" s="1" t="n">
        <f aca="false">IF(S59+0.1&lt;$Q$53,S59+0.1,$Q$53)</f>
        <v>1</v>
      </c>
      <c r="U60" s="1"/>
      <c r="V60" s="1" t="n">
        <f aca="false">IF(V59+0.1&lt;$U$54,V59+0.1,$U$54)</f>
        <v>0.4</v>
      </c>
    </row>
    <row r="61" customFormat="false" ht="14.5" hidden="false" customHeight="false" outlineLevel="0" collapsed="false">
      <c r="H61" s="87"/>
      <c r="I61" s="87"/>
      <c r="J61" s="87"/>
      <c r="K61" s="87" t="n">
        <f aca="false">IF(K60+0.1&lt;$I$53,K60+0.1,$I$53)</f>
        <v>1.3</v>
      </c>
      <c r="L61" s="87"/>
      <c r="M61" s="87"/>
      <c r="N61" s="87" t="n">
        <f aca="false">IF(N60+0.1&lt;$M$54,N60+0.1,$M$54)</f>
        <v>0.9</v>
      </c>
      <c r="S61" s="1" t="n">
        <f aca="false">IF(S60+0.1&lt;$Q$53,S60+0.1,$Q$53)</f>
        <v>1</v>
      </c>
      <c r="U61" s="1"/>
      <c r="V61" s="1" t="n">
        <f aca="false">IF(V60+0.1&lt;$U$54,V60+0.1,$U$54)</f>
        <v>0.4</v>
      </c>
    </row>
    <row r="62" customFormat="false" ht="14.5" hidden="false" customHeight="false" outlineLevel="0" collapsed="false">
      <c r="H62" s="87"/>
      <c r="I62" s="87"/>
      <c r="J62" s="87"/>
      <c r="K62" s="87" t="n">
        <f aca="false">IF(K61+0.1&lt;$I$53,K61+0.1,$I$53)</f>
        <v>1.4</v>
      </c>
      <c r="L62" s="87"/>
      <c r="M62" s="87"/>
      <c r="N62" s="87" t="n">
        <f aca="false">IF(N61+0.1&lt;$M$54,N61+0.1,$M$54)</f>
        <v>0.9</v>
      </c>
      <c r="U62" s="1"/>
      <c r="V62" s="1" t="n">
        <f aca="false">IF(V61+0.1&lt;$U$54,V61+0.1,$U$54)</f>
        <v>0.4</v>
      </c>
    </row>
    <row r="63" customFormat="false" ht="14.5" hidden="false" customHeight="false" outlineLevel="0" collapsed="false">
      <c r="H63" s="87"/>
      <c r="I63" s="87"/>
      <c r="J63" s="87"/>
      <c r="K63" s="87" t="n">
        <f aca="false">IF(K62+0.1&lt;$I$53,K62+0.1,$I$53)</f>
        <v>1.5</v>
      </c>
      <c r="L63" s="87"/>
      <c r="M63" s="87"/>
      <c r="N63" s="87" t="n">
        <f aca="false">IF(N62+0.1&lt;$M$54,N62+0.1,$M$54)</f>
        <v>0.9</v>
      </c>
      <c r="U63" s="1"/>
      <c r="V63" s="1"/>
    </row>
    <row r="64" customFormat="false" ht="14.5" hidden="false" customHeight="false" outlineLevel="0" collapsed="false">
      <c r="H64" s="87"/>
      <c r="I64" s="87"/>
      <c r="J64" s="87"/>
      <c r="K64" s="87" t="n">
        <f aca="false">IF(K63+0.1&lt;$I$53,K63+0.1,$I$53)</f>
        <v>1.5</v>
      </c>
      <c r="L64" s="87"/>
      <c r="M64" s="87"/>
      <c r="N64" s="87" t="n">
        <f aca="false">IF(N63+0.1&lt;$M$54,N63+0.1,$M$54)</f>
        <v>0.9</v>
      </c>
      <c r="U64" s="1"/>
      <c r="V64" s="1"/>
    </row>
    <row r="65" customFormat="false" ht="14.5" hidden="false" customHeight="false" outlineLevel="0" collapsed="false">
      <c r="H65" s="87"/>
      <c r="I65" s="87"/>
      <c r="J65" s="87"/>
      <c r="K65" s="87"/>
      <c r="L65" s="87"/>
      <c r="M65" s="87"/>
      <c r="N65" s="87" t="n">
        <f aca="false">IF(N64+0.1&lt;$M$54,N64+0.1,$M$54)</f>
        <v>0.9</v>
      </c>
      <c r="U65" s="1"/>
      <c r="V65" s="1"/>
    </row>
    <row r="66" customFormat="false" ht="14.5" hidden="false" customHeight="false" outlineLevel="0" collapsed="false">
      <c r="U66" s="1"/>
      <c r="V66" s="1"/>
    </row>
  </sheetData>
  <mergeCells count="7">
    <mergeCell ref="B5:B6"/>
    <mergeCell ref="A8:A21"/>
    <mergeCell ref="B10:B15"/>
    <mergeCell ref="B16:B21"/>
    <mergeCell ref="A23:A36"/>
    <mergeCell ref="B25:B30"/>
    <mergeCell ref="B31:B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26.46"/>
    <col collapsed="false" customWidth="true" hidden="false" outlineLevel="0" max="2" min="2" style="0" width="10.36"/>
    <col collapsed="false" customWidth="true" hidden="false" outlineLevel="0" max="3" min="3" style="0" width="6.01"/>
    <col collapsed="false" customWidth="true" hidden="false" outlineLevel="0" max="4" min="4" style="0" width="6.45"/>
    <col collapsed="false" customWidth="true" hidden="false" outlineLevel="0" max="5" min="5" style="0" width="6.72"/>
    <col collapsed="false" customWidth="true" hidden="false" outlineLevel="0" max="26" min="6" style="0" width="5.81"/>
  </cols>
  <sheetData>
    <row r="1" customFormat="false" ht="14.5" hidden="false" customHeight="false" outlineLevel="0" collapsed="false">
      <c r="A1" s="89" t="s">
        <v>26</v>
      </c>
      <c r="B1" s="0" t="n">
        <f aca="false">Dash!D38</f>
        <v>1.29</v>
      </c>
      <c r="C1" s="0" t="str">
        <f aca="false">Dash!E38</f>
        <v>kg/m3</v>
      </c>
    </row>
    <row r="2" customFormat="false" ht="14.5" hidden="false" customHeight="false" outlineLevel="0" collapsed="false">
      <c r="A2" s="89" t="s">
        <v>28</v>
      </c>
      <c r="B2" s="0" t="n">
        <f aca="false">Dash!D39</f>
        <v>1025</v>
      </c>
      <c r="C2" s="0" t="str">
        <f aca="false">Dash!E39</f>
        <v>kg/m3</v>
      </c>
    </row>
    <row r="3" customFormat="false" ht="14.5" hidden="false" customHeight="false" outlineLevel="0" collapsed="false">
      <c r="A3" s="89"/>
      <c r="B3" s="0" t="s">
        <v>44</v>
      </c>
      <c r="C3" s="0" t="s">
        <v>45</v>
      </c>
    </row>
    <row r="4" customFormat="false" ht="14.5" hidden="false" customHeight="false" outlineLevel="0" collapsed="false">
      <c r="A4" s="89" t="s">
        <v>46</v>
      </c>
      <c r="B4" s="0" t="n">
        <f aca="false">Dash!L54</f>
        <v>0.4</v>
      </c>
      <c r="C4" s="0" t="n">
        <f aca="false">Dash!M54</f>
        <v>0.9</v>
      </c>
    </row>
    <row r="5" customFormat="false" ht="14.5" hidden="false" customHeight="false" outlineLevel="0" collapsed="false">
      <c r="A5" s="89" t="s">
        <v>47</v>
      </c>
      <c r="B5" s="0" t="n">
        <f aca="false">Dash!T54</f>
        <v>0.2</v>
      </c>
      <c r="C5" s="0" t="n">
        <f aca="false">Dash!U54</f>
        <v>0.4</v>
      </c>
    </row>
    <row r="6" customFormat="false" ht="14.5" hidden="false" customHeight="false" outlineLevel="0" collapsed="false">
      <c r="A6" s="90" t="s">
        <v>48</v>
      </c>
      <c r="B6" s="90" t="n">
        <f aca="false">Dash!D3</f>
        <v>15</v>
      </c>
      <c r="C6" s="90" t="s">
        <v>49</v>
      </c>
    </row>
    <row r="7" s="90" customFormat="true" ht="14.5" hidden="false" customHeight="false" outlineLevel="0" collapsed="false">
      <c r="A7" s="90" t="str">
        <f aca="false">Dash!C8</f>
        <v>Rising Angle</v>
      </c>
      <c r="B7" s="90" t="n">
        <f aca="false">Dash!D9</f>
        <v>33</v>
      </c>
      <c r="C7" s="90" t="str">
        <f aca="false">Dash!E9</f>
        <v>°</v>
      </c>
    </row>
    <row r="8" customFormat="false" ht="14.5" hidden="false" customHeight="false" outlineLevel="0" collapsed="false">
      <c r="A8" s="0" t="s">
        <v>50</v>
      </c>
      <c r="B8" s="91" t="str">
        <f aca="false">Dash!D10</f>
        <v>0.4</v>
      </c>
    </row>
    <row r="9" customFormat="false" ht="14.5" hidden="false" customHeight="false" outlineLevel="0" collapsed="false">
      <c r="A9" s="0" t="str">
        <f aca="false">Dash!C11</f>
        <v>Kite Area</v>
      </c>
      <c r="B9" s="0" t="n">
        <f aca="false">Dash!D12</f>
        <v>24</v>
      </c>
      <c r="C9" s="0" t="str">
        <f aca="false">Dash!E12</f>
        <v>m²</v>
      </c>
    </row>
    <row r="10" s="90" customFormat="true" ht="14.5" hidden="false" customHeight="false" outlineLevel="0" collapsed="false">
      <c r="A10" s="90" t="str">
        <f aca="false">Dash!C13</f>
        <v>Kite Efficiency Angle</v>
      </c>
      <c r="B10" s="92" t="n">
        <f aca="false">Dash!D14</f>
        <v>12</v>
      </c>
      <c r="C10" s="90" t="str">
        <f aca="false">Dash!E14</f>
        <v>°</v>
      </c>
      <c r="D10" s="93" t="n">
        <f aca="false">Dash!F14</f>
        <v>4.70463010947845</v>
      </c>
      <c r="E10" s="90" t="s">
        <v>17</v>
      </c>
    </row>
    <row r="11" customFormat="false" ht="14.5" hidden="false" customHeight="false" outlineLevel="0" collapsed="false">
      <c r="A11" s="0" t="s">
        <v>51</v>
      </c>
      <c r="B11" s="91" t="str">
        <f aca="false">Dash!D16</f>
        <v>0.2</v>
      </c>
    </row>
    <row r="12" customFormat="false" ht="14.5" hidden="false" customHeight="false" outlineLevel="0" collapsed="false">
      <c r="A12" s="0" t="str">
        <f aca="false">Dash!C17</f>
        <v>Fish Area</v>
      </c>
      <c r="B12" s="0" t="n">
        <f aca="false">Dash!D19</f>
        <v>0.1</v>
      </c>
      <c r="C12" s="0" t="str">
        <f aca="false">Dash!E19</f>
        <v>m²</v>
      </c>
    </row>
    <row r="13" s="90" customFormat="true" ht="14.5" hidden="false" customHeight="false" outlineLevel="0" collapsed="false">
      <c r="A13" s="90" t="str">
        <f aca="false">Dash!C19</f>
        <v>Fish Efficiency Angle</v>
      </c>
      <c r="B13" s="90" t="n">
        <f aca="false">Dash!D20</f>
        <v>14</v>
      </c>
      <c r="C13" s="90" t="str">
        <f aca="false">Dash!E20</f>
        <v>°</v>
      </c>
      <c r="D13" s="93" t="n">
        <f aca="false">Dash!F20</f>
        <v>4.01078093353584</v>
      </c>
      <c r="E13" s="90" t="s">
        <v>17</v>
      </c>
    </row>
    <row r="14" s="10" customFormat="true" ht="14.5" hidden="false" customHeight="false" outlineLevel="0" collapsed="false">
      <c r="A14" s="94" t="s">
        <v>52</v>
      </c>
      <c r="B14" s="93" t="n">
        <f aca="false">DEGREES(ATAN(1/(COS(RADIANS(B7))*D10)))</f>
        <v>14.2218462088453</v>
      </c>
      <c r="C14" s="90"/>
    </row>
    <row r="15" s="10" customFormat="true" ht="14.5" hidden="false" customHeight="false" outlineLevel="0" collapsed="false">
      <c r="A15" s="94" t="s">
        <v>53</v>
      </c>
      <c r="B15" s="95" t="n">
        <f aca="false">DEGREES(ATAN(1/(COS(RADIANS(B7))*D13)))</f>
        <v>16.5566639802635</v>
      </c>
    </row>
    <row r="16" s="98" customFormat="true" ht="14.5" hidden="false" customHeight="false" outlineLevel="0" collapsed="false">
      <c r="A16" s="96" t="s">
        <v>54</v>
      </c>
      <c r="B16" s="97" t="n">
        <f aca="false">B15+B14</f>
        <v>30.7785101891088</v>
      </c>
      <c r="C16" s="98" t="n">
        <f aca="false">Dash!E23</f>
        <v>0</v>
      </c>
    </row>
    <row r="17" customFormat="false" ht="14.5" hidden="false" customHeight="false" outlineLevel="0" collapsed="false">
      <c r="B17" s="99" t="s">
        <v>55</v>
      </c>
      <c r="C17" s="99" t="s">
        <v>44</v>
      </c>
      <c r="D17" s="99" t="s">
        <v>45</v>
      </c>
    </row>
    <row r="18" customFormat="false" ht="14.5" hidden="false" customHeight="false" outlineLevel="0" collapsed="false">
      <c r="A18" s="0" t="s">
        <v>56</v>
      </c>
      <c r="B18" s="100" t="n">
        <f aca="false">(B1*B9*B8/(B2*B12*B11))^0.5</f>
        <v>0.777237133039595</v>
      </c>
      <c r="C18" s="100" t="n">
        <f aca="false">(B1*B9*B4/(B2*B12*C5))^0.5</f>
        <v>0.549589647362289</v>
      </c>
      <c r="D18" s="100" t="n">
        <f aca="false">(B1*B9*C4/(B2*B12*B5))^0.5</f>
        <v>1.16585569955939</v>
      </c>
      <c r="E18" s="100"/>
      <c r="F18" s="100" t="n">
        <f aca="false">C18</f>
        <v>0.549589647362289</v>
      </c>
      <c r="G18" s="100" t="n">
        <f aca="false">F18+($D$18-$C$18)/20</f>
        <v>0.580402949972144</v>
      </c>
      <c r="H18" s="100" t="n">
        <f aca="false">G18+($D$18-$C$18)/20</f>
        <v>0.611216252581999</v>
      </c>
      <c r="I18" s="100" t="n">
        <f aca="false">H18+($D$18-$C$18)/20</f>
        <v>0.642029555191855</v>
      </c>
      <c r="J18" s="100" t="n">
        <f aca="false">I18+($D$18-$C$18)/20</f>
        <v>0.67284285780171</v>
      </c>
      <c r="K18" s="100" t="n">
        <f aca="false">J18+($D$18-$C$18)/20</f>
        <v>0.703656160411565</v>
      </c>
      <c r="L18" s="100" t="n">
        <f aca="false">K18+($D$18-$C$18)/20</f>
        <v>0.73446946302142</v>
      </c>
      <c r="M18" s="100" t="n">
        <f aca="false">L18+($D$18-$C$18)/20</f>
        <v>0.765282765631276</v>
      </c>
      <c r="N18" s="100" t="n">
        <f aca="false">M18+($D$18-$C$18)/20</f>
        <v>0.796096068241131</v>
      </c>
      <c r="O18" s="100" t="n">
        <f aca="false">N18+($D$18-$C$18)/20</f>
        <v>0.826909370850986</v>
      </c>
      <c r="P18" s="100" t="n">
        <f aca="false">O18+($D$18-$C$18)/20</f>
        <v>0.857722673460841</v>
      </c>
      <c r="Q18" s="100" t="n">
        <f aca="false">P18+($D$18-$C$18)/20</f>
        <v>0.888535976070697</v>
      </c>
      <c r="R18" s="100" t="n">
        <f aca="false">Q18+($D$18-$C$18)/20</f>
        <v>0.919349278680552</v>
      </c>
      <c r="S18" s="100" t="n">
        <f aca="false">R18+($D$18-$C$18)/20</f>
        <v>0.950162581290407</v>
      </c>
      <c r="T18" s="100" t="n">
        <f aca="false">S18+($D$18-$C$18)/20</f>
        <v>0.980975883900262</v>
      </c>
      <c r="U18" s="100" t="n">
        <f aca="false">T18+($D$18-$C$18)/20</f>
        <v>1.01178918651012</v>
      </c>
      <c r="V18" s="100" t="n">
        <f aca="false">U18+($D$18-$C$18)/20</f>
        <v>1.04260248911997</v>
      </c>
      <c r="W18" s="100" t="n">
        <f aca="false">V18+($D$18-$C$18)/20</f>
        <v>1.07341579172983</v>
      </c>
      <c r="X18" s="100" t="n">
        <f aca="false">W18+($D$18-$C$18)/20</f>
        <v>1.10422909433968</v>
      </c>
      <c r="Y18" s="100" t="n">
        <f aca="false">X18+($D$18-$C$18)/20</f>
        <v>1.13504239694954</v>
      </c>
      <c r="Z18" s="100" t="n">
        <f aca="false">Y18+($D$18-$C$18)/20</f>
        <v>1.16585569955939</v>
      </c>
    </row>
    <row r="19" customFormat="false" ht="14.5" hidden="false" customHeight="false" outlineLevel="0" collapsed="false">
      <c r="A19" s="0" t="s">
        <v>57</v>
      </c>
      <c r="B19" s="101" t="n">
        <f aca="false">180-IF(DEGREES(ATAN(SIN(RADIANS($B$16))/(B18-COS(RADIANS($B$16)))))&gt;0,DEGREES(ATAN(SIN(RADIANS($B$16))/(B18-COS(RADIANS($B$16))))),180+DEGREES(ATAN(SIN(RADIANS($B$16))/(B18-COS(RADIANS($B$16))))))</f>
        <v>80.9054164384432</v>
      </c>
      <c r="C19" s="0" t="s">
        <v>10</v>
      </c>
      <c r="F19" s="101" t="n">
        <f aca="false">180-IF(DEGREES(ATAN(SIN(RADIANS($B$16))/(F18-COS(RADIANS($B$16)))))&gt;0,DEGREES(ATAN(SIN(RADIANS($B$16))/(F18-COS(RADIANS($B$16))))),180+DEGREES(ATAN(SIN(RADIANS($B$16))/(F18-COS(RADIANS($B$16))))))</f>
        <v>58.8284191542579</v>
      </c>
      <c r="G19" s="101" t="n">
        <f aca="false">180-IF(DEGREES(ATAN(SIN(RADIANS($B$16))/(G18-COS(RADIANS($B$16)))))&gt;0,DEGREES(ATAN(SIN(RADIANS($B$16))/(G18-COS(RADIANS($B$16))))),180+DEGREES(ATAN(SIN(RADIANS($B$16))/(G18-COS(RADIANS($B$16))))))</f>
        <v>61.4216012955958</v>
      </c>
      <c r="H19" s="101" t="n">
        <f aca="false">180-IF(DEGREES(ATAN(SIN(RADIANS($B$16))/(H18-COS(RADIANS($B$16)))))&gt;0,DEGREES(ATAN(SIN(RADIANS($B$16))/(H18-COS(RADIANS($B$16))))),180+DEGREES(ATAN(SIN(RADIANS($B$16))/(H18-COS(RADIANS($B$16))))))</f>
        <v>64.1491793004625</v>
      </c>
      <c r="I19" s="101" t="n">
        <f aca="false">180-IF(DEGREES(ATAN(SIN(RADIANS($B$16))/(I18-COS(RADIANS($B$16)))))&gt;0,DEGREES(ATAN(SIN(RADIANS($B$16))/(I18-COS(RADIANS($B$16))))),180+DEGREES(ATAN(SIN(RADIANS($B$16))/(I18-COS(RADIANS($B$16))))))</f>
        <v>67.0085581799004</v>
      </c>
      <c r="J19" s="101" t="n">
        <f aca="false">180-IF(DEGREES(ATAN(SIN(RADIANS($B$16))/(J18-COS(RADIANS($B$16)))))&gt;0,DEGREES(ATAN(SIN(RADIANS($B$16))/(J18-COS(RADIANS($B$16))))),180+DEGREES(ATAN(SIN(RADIANS($B$16))/(J18-COS(RADIANS($B$16))))))</f>
        <v>69.99427163559</v>
      </c>
      <c r="K19" s="101" t="n">
        <f aca="false">180-IF(DEGREES(ATAN(SIN(RADIANS($B$16))/(K18-COS(RADIANS($B$16)))))&gt;0,DEGREES(ATAN(SIN(RADIANS($B$16))/(K18-COS(RADIANS($B$16))))),180+DEGREES(ATAN(SIN(RADIANS($B$16))/(K18-COS(RADIANS($B$16))))))</f>
        <v>73.0976318567266</v>
      </c>
      <c r="L19" s="101" t="n">
        <f aca="false">180-IF(DEGREES(ATAN(SIN(RADIANS($B$16))/(L18-COS(RADIANS($B$16)))))&gt;0,DEGREES(ATAN(SIN(RADIANS($B$16))/(L18-COS(RADIANS($B$16))))),180+DEGREES(ATAN(SIN(RADIANS($B$16))/(L18-COS(RADIANS($B$16))))))</f>
        <v>76.3065132330852</v>
      </c>
      <c r="M19" s="101" t="n">
        <f aca="false">180-IF(DEGREES(ATAN(SIN(RADIANS($B$16))/(M18-COS(RADIANS($B$16)))))&gt;0,DEGREES(ATAN(SIN(RADIANS($B$16))/(M18-COS(RADIANS($B$16))))),180+DEGREES(ATAN(SIN(RADIANS($B$16))/(M18-COS(RADIANS($B$16))))))</f>
        <v>79.6053287294725</v>
      </c>
      <c r="N19" s="101" t="n">
        <f aca="false">180-IF(DEGREES(ATAN(SIN(RADIANS($B$16))/(N18-COS(RADIANS($B$16)))))&gt;0,DEGREES(ATAN(SIN(RADIANS($B$16))/(N18-COS(RADIANS($B$16))))),180+DEGREES(ATAN(SIN(RADIANS($B$16))/(N18-COS(RADIANS($B$16))))))</f>
        <v>82.9752466211395</v>
      </c>
      <c r="O19" s="101" t="n">
        <f aca="false">180-IF(DEGREES(ATAN(SIN(RADIANS($B$16))/(O18-COS(RADIANS($B$16)))))&gt;0,DEGREES(ATAN(SIN(RADIANS($B$16))/(O18-COS(RADIANS($B$16))))),180+DEGREES(ATAN(SIN(RADIANS($B$16))/(O18-COS(RADIANS($B$16))))))</f>
        <v>86.3946711836275</v>
      </c>
      <c r="P19" s="101" t="n">
        <f aca="false">180-IF(DEGREES(ATAN(SIN(RADIANS($B$16))/(P18-COS(RADIANS($B$16)))))&gt;0,DEGREES(ATAN(SIN(RADIANS($B$16))/(P18-COS(RADIANS($B$16))))),180+DEGREES(ATAN(SIN(RADIANS($B$16))/(P18-COS(RADIANS($B$16))))))</f>
        <v>89.8399757544782</v>
      </c>
      <c r="Q19" s="101" t="n">
        <f aca="false">180-IF(DEGREES(ATAN(SIN(RADIANS($B$16))/(Q18-COS(RADIANS($B$16)))))&gt;0,DEGREES(ATAN(SIN(RADIANS($B$16))/(Q18-COS(RADIANS($B$16))))),180+DEGREES(ATAN(SIN(RADIANS($B$16))/(Q18-COS(RADIANS($B$16))))))</f>
        <v>93.2864365678253</v>
      </c>
      <c r="R19" s="101" t="n">
        <f aca="false">180-IF(DEGREES(ATAN(SIN(RADIANS($B$16))/(R18-COS(RADIANS($B$16)))))&gt;0,DEGREES(ATAN(SIN(RADIANS($B$16))/(R18-COS(RADIANS($B$16))))),180+DEGREES(ATAN(SIN(RADIANS($B$16))/(R18-COS(RADIANS($B$16))))))</f>
        <v>96.7092802697207</v>
      </c>
      <c r="S19" s="101" t="n">
        <f aca="false">180-IF(DEGREES(ATAN(SIN(RADIANS($B$16))/(S18-COS(RADIANS($B$16)))))&gt;0,DEGREES(ATAN(SIN(RADIANS($B$16))/(S18-COS(RADIANS($B$16))))),180+DEGREES(ATAN(SIN(RADIANS($B$16))/(S18-COS(RADIANS($B$16))))))</f>
        <v>100.084736656811</v>
      </c>
      <c r="T19" s="101" t="n">
        <f aca="false">180-IF(DEGREES(ATAN(SIN(RADIANS($B$16))/(T18-COS(RADIANS($B$16)))))&gt;0,DEGREES(ATAN(SIN(RADIANS($B$16))/(T18-COS(RADIANS($B$16))))),180+DEGREES(ATAN(SIN(RADIANS($B$16))/(T18-COS(RADIANS($B$16))))))</f>
        <v>103.390987178592</v>
      </c>
      <c r="U19" s="101" t="n">
        <f aca="false">180-IF(DEGREES(ATAN(SIN(RADIANS($B$16))/(U18-COS(RADIANS($B$16)))))&gt;0,DEGREES(ATAN(SIN(RADIANS($B$16))/(U18-COS(RADIANS($B$16))))),180+DEGREES(ATAN(SIN(RADIANS($B$16))/(U18-COS(RADIANS($B$16))))))</f>
        <v>106.608919403808</v>
      </c>
      <c r="V19" s="101" t="n">
        <f aca="false">180-IF(DEGREES(ATAN(SIN(RADIANS($B$16))/(V18-COS(RADIANS($B$16)))))&gt;0,DEGREES(ATAN(SIN(RADIANS($B$16))/(V18-COS(RADIANS($B$16))))),180+DEGREES(ATAN(SIN(RADIANS($B$16))/(V18-COS(RADIANS($B$16))))))</f>
        <v>109.722632212622</v>
      </c>
      <c r="W19" s="101" t="n">
        <f aca="false">180-IF(DEGREES(ATAN(SIN(RADIANS($B$16))/(W18-COS(RADIANS($B$16)))))&gt;0,DEGREES(ATAN(SIN(RADIANS($B$16))/(W18-COS(RADIANS($B$16))))),180+DEGREES(ATAN(SIN(RADIANS($B$16))/(W18-COS(RADIANS($B$16))))))</f>
        <v>112.719676496346</v>
      </c>
      <c r="X19" s="101" t="n">
        <f aca="false">180-IF(DEGREES(ATAN(SIN(RADIANS($B$16))/(X18-COS(RADIANS($B$16)))))&gt;0,DEGREES(ATAN(SIN(RADIANS($B$16))/(X18-COS(RADIANS($B$16))))),180+DEGREES(ATAN(SIN(RADIANS($B$16))/(X18-COS(RADIANS($B$16))))))</f>
        <v>115.591052095947</v>
      </c>
      <c r="Y19" s="101" t="n">
        <f aca="false">180-IF(DEGREES(ATAN(SIN(RADIANS($B$16))/(Y18-COS(RADIANS($B$16)))))&gt;0,DEGREES(ATAN(SIN(RADIANS($B$16))/(Y18-COS(RADIANS($B$16))))),180+DEGREES(ATAN(SIN(RADIANS($B$16))/(Y18-COS(RADIANS($B$16))))))</f>
        <v>118.331006992068</v>
      </c>
      <c r="Z19" s="101" t="n">
        <f aca="false">180-IF(DEGREES(ATAN(SIN(RADIANS($B$16))/(Z18-COS(RADIANS($B$16)))))&gt;0,DEGREES(ATAN(SIN(RADIANS($B$16))/(Z18-COS(RADIANS($B$16))))),180+DEGREES(ATAN(SIN(RADIANS($B$16))/(Z18-COS(RADIANS($B$16))))))</f>
        <v>120.936696993844</v>
      </c>
    </row>
    <row r="20" customFormat="false" ht="14.5" hidden="false" customHeight="false" outlineLevel="0" collapsed="false">
      <c r="A20" s="0" t="s">
        <v>58</v>
      </c>
      <c r="B20" s="101" t="n">
        <f aca="false">$B$6*SIN(RADIANS(180-B19))/SIN(RADIANS($B$16))</f>
        <v>28.9443683807874</v>
      </c>
      <c r="C20" s="0" t="s">
        <v>2</v>
      </c>
      <c r="F20" s="101" t="n">
        <f aca="false">$B$6*SIN(RADIANS(180-F19))/SIN(RADIANS($B$16))</f>
        <v>25.0807080807042</v>
      </c>
      <c r="G20" s="101" t="n">
        <f aca="false">$B$6*SIN(RADIANS(180-G19))/SIN(RADIANS($B$16))</f>
        <v>25.7414871285539</v>
      </c>
      <c r="H20" s="101" t="n">
        <f aca="false">$B$6*SIN(RADIANS(180-H19))/SIN(RADIANS($B$16))</f>
        <v>26.3795985303018</v>
      </c>
      <c r="I20" s="101" t="n">
        <f aca="false">$B$6*SIN(RADIANS(180-I19))/SIN(RADIANS($B$16))</f>
        <v>26.9843474305269</v>
      </c>
      <c r="J20" s="101" t="n">
        <f aca="false">$B$6*SIN(RADIANS(180-J19))/SIN(RADIANS($B$16))</f>
        <v>27.5440829479191</v>
      </c>
      <c r="K20" s="101" t="n">
        <f aca="false">$B$6*SIN(RADIANS(180-K19))/SIN(RADIANS($B$16))</f>
        <v>28.0465977368514</v>
      </c>
      <c r="L20" s="101" t="n">
        <f aca="false">$B$6*SIN(RADIANS(180-L19))/SIN(RADIANS($B$16))</f>
        <v>28.4796797881055</v>
      </c>
      <c r="M20" s="101" t="n">
        <f aca="false">$B$6*SIN(RADIANS(180-M19))/SIN(RADIANS($B$16))</f>
        <v>28.8317923646563</v>
      </c>
      <c r="N20" s="101" t="n">
        <f aca="false">$B$6*SIN(RADIANS(180-N19))/SIN(RADIANS($B$16))</f>
        <v>29.092827921686</v>
      </c>
      <c r="O20" s="101" t="n">
        <f aca="false">$B$6*SIN(RADIANS(180-O19))/SIN(RADIANS($B$16))</f>
        <v>29.2548541001536</v>
      </c>
      <c r="P20" s="101" t="n">
        <f aca="false">$B$6*SIN(RADIANS(180-P19))/SIN(RADIANS($B$16))</f>
        <v>29.3127533296102</v>
      </c>
      <c r="Q20" s="101" t="n">
        <f aca="false">$B$6*SIN(RADIANS(180-Q19))/SIN(RADIANS($B$16))</f>
        <v>29.264660172438</v>
      </c>
      <c r="R20" s="101" t="n">
        <f aca="false">$B$6*SIN(RADIANS(180-R19))/SIN(RADIANS($B$16))</f>
        <v>29.1121254956737</v>
      </c>
      <c r="S20" s="101" t="n">
        <f aca="false">$B$6*SIN(RADIANS(180-S19))/SIN(RADIANS($B$16))</f>
        <v>28.8599798065051</v>
      </c>
      <c r="T20" s="101" t="n">
        <f aca="false">$B$6*SIN(RADIANS(180-T19))/SIN(RADIANS($B$16))</f>
        <v>28.5159188189427</v>
      </c>
      <c r="U20" s="101" t="n">
        <f aca="false">$B$6*SIN(RADIANS(180-U19))/SIN(RADIANS($B$16))</f>
        <v>28.0898787995046</v>
      </c>
      <c r="V20" s="101" t="n">
        <f aca="false">$B$6*SIN(RADIANS(180-V19))/SIN(RADIANS($B$16))</f>
        <v>27.5932961803247</v>
      </c>
      <c r="W20" s="101" t="n">
        <f aca="false">$B$6*SIN(RADIANS(180-W19))/SIN(RADIANS($B$16))</f>
        <v>27.0383505637736</v>
      </c>
      <c r="X20" s="101" t="n">
        <f aca="false">$B$6*SIN(RADIANS(180-X19))/SIN(RADIANS($B$16))</f>
        <v>26.4372751768316</v>
      </c>
      <c r="Y20" s="101" t="n">
        <f aca="false">$B$6*SIN(RADIANS(180-Y19))/SIN(RADIANS($B$16))</f>
        <v>25.8017917260939</v>
      </c>
      <c r="Z20" s="101" t="n">
        <f aca="false">$B$6*SIN(RADIANS(180-Z19))/SIN(RADIANS($B$16))</f>
        <v>25.1426964341406</v>
      </c>
    </row>
    <row r="21" customFormat="false" ht="14.5" hidden="false" customHeight="false" outlineLevel="0" collapsed="false">
      <c r="B21" s="102" t="n">
        <f aca="false">B20/$B$6*100</f>
        <v>192.962455871916</v>
      </c>
      <c r="C21" s="0" t="s">
        <v>59</v>
      </c>
      <c r="F21" s="102" t="n">
        <f aca="false">F20/$B$6*100</f>
        <v>167.204720538028</v>
      </c>
      <c r="G21" s="102" t="n">
        <f aca="false">G20/$B$6*100</f>
        <v>171.609914190359</v>
      </c>
      <c r="H21" s="102" t="n">
        <f aca="false">H20/$B$6*100</f>
        <v>175.863990202012</v>
      </c>
      <c r="I21" s="102" t="n">
        <f aca="false">I20/$B$6*100</f>
        <v>179.895649536846</v>
      </c>
      <c r="J21" s="102" t="n">
        <f aca="false">J20/$B$6*100</f>
        <v>183.627219652794</v>
      </c>
      <c r="K21" s="102" t="n">
        <f aca="false">K20/$B$6*100</f>
        <v>186.977318245676</v>
      </c>
      <c r="L21" s="102" t="n">
        <f aca="false">L20/$B$6*100</f>
        <v>189.864531920703</v>
      </c>
      <c r="M21" s="102" t="n">
        <f aca="false">M20/$B$6*100</f>
        <v>192.211949097709</v>
      </c>
      <c r="N21" s="102" t="n">
        <f aca="false">N20/$B$6*100</f>
        <v>193.952186144573</v>
      </c>
      <c r="O21" s="102" t="n">
        <f aca="false">O20/$B$6*100</f>
        <v>195.032360667691</v>
      </c>
      <c r="P21" s="102" t="n">
        <f aca="false">P20/$B$6*100</f>
        <v>195.418355530735</v>
      </c>
      <c r="Q21" s="102" t="n">
        <f aca="false">Q20/$B$6*100</f>
        <v>195.09773448292</v>
      </c>
      <c r="R21" s="102" t="n">
        <f aca="false">R20/$B$6*100</f>
        <v>194.080836637825</v>
      </c>
      <c r="S21" s="102" t="n">
        <f aca="false">S20/$B$6*100</f>
        <v>192.399865376701</v>
      </c>
      <c r="T21" s="102" t="n">
        <f aca="false">T20/$B$6*100</f>
        <v>190.106125459618</v>
      </c>
      <c r="U21" s="102" t="n">
        <f aca="false">U20/$B$6*100</f>
        <v>187.265858663364</v>
      </c>
      <c r="V21" s="102" t="n">
        <f aca="false">V20/$B$6*100</f>
        <v>183.955307868831</v>
      </c>
      <c r="W21" s="102" t="n">
        <f aca="false">W20/$B$6*100</f>
        <v>180.255670425157</v>
      </c>
      <c r="X21" s="102" t="n">
        <f aca="false">X20/$B$6*100</f>
        <v>176.248501178878</v>
      </c>
      <c r="Y21" s="102" t="n">
        <f aca="false">Y20/$B$6*100</f>
        <v>172.011944840626</v>
      </c>
      <c r="Z21" s="102" t="n">
        <f aca="false">Z20/$B$6*100</f>
        <v>167.617976227604</v>
      </c>
    </row>
    <row r="22" customFormat="false" ht="14.5" hidden="false" customHeight="false" outlineLevel="0" collapsed="false">
      <c r="A22" s="0" t="s">
        <v>60</v>
      </c>
      <c r="B22" s="101" t="n">
        <f aca="false">B20*B18</f>
        <v>22.4966378979251</v>
      </c>
      <c r="C22" s="0" t="s">
        <v>2</v>
      </c>
      <c r="F22" s="101" t="n">
        <f aca="false">F20*F18</f>
        <v>13.7840975096707</v>
      </c>
      <c r="G22" s="101" t="n">
        <f aca="false">G20*G18</f>
        <v>14.9404350660827</v>
      </c>
      <c r="H22" s="101" t="n">
        <f aca="false">H20*H18</f>
        <v>16.1236393583087</v>
      </c>
      <c r="I22" s="101" t="n">
        <f aca="false">I20*I18</f>
        <v>17.3247485779636</v>
      </c>
      <c r="J22" s="101" t="n">
        <f aca="false">J20*J18</f>
        <v>18.5328394862052</v>
      </c>
      <c r="K22" s="101" t="n">
        <f aca="false">K20*K18</f>
        <v>19.7351612761205</v>
      </c>
      <c r="L22" s="101" t="n">
        <f aca="false">L20*L18</f>
        <v>20.9174551209918</v>
      </c>
      <c r="M22" s="101" t="n">
        <f aca="false">M20*M18</f>
        <v>22.0644737989309</v>
      </c>
      <c r="N22" s="101" t="n">
        <f aca="false">N20*N18</f>
        <v>23.16068592247</v>
      </c>
      <c r="O22" s="101" t="n">
        <f aca="false">O20*O18</f>
        <v>24.1911129982954</v>
      </c>
      <c r="P22" s="101" t="n">
        <f aca="false">P20*P18</f>
        <v>25.1422131523714</v>
      </c>
      <c r="Q22" s="101" t="n">
        <f aca="false">Q20*Q18</f>
        <v>26.0027033906944</v>
      </c>
      <c r="R22" s="101" t="n">
        <f aca="false">R20*R18</f>
        <v>26.7642115753053</v>
      </c>
      <c r="S22" s="101" t="n">
        <f aca="false">S20*S18</f>
        <v>27.4216729089379</v>
      </c>
      <c r="T22" s="101" t="n">
        <f aca="false">T20*T18</f>
        <v>27.9734286686405</v>
      </c>
      <c r="U22" s="101" t="n">
        <f aca="false">U20*U18</f>
        <v>28.4210356197186</v>
      </c>
      <c r="V22" s="101" t="n">
        <f aca="false">V20*V18</f>
        <v>28.7688392806311</v>
      </c>
      <c r="W22" s="101" t="n">
        <f aca="false">W20*W18</f>
        <v>29.0233924774817</v>
      </c>
      <c r="X22" s="101" t="n">
        <f aca="false">X20*X18</f>
        <v>29.1928084253218</v>
      </c>
      <c r="Y22" s="101" t="n">
        <f aca="false">Y20*Y18</f>
        <v>29.2861275263784</v>
      </c>
      <c r="Z22" s="101" t="n">
        <f aca="false">Z20*Z18</f>
        <v>29.3127559400345</v>
      </c>
    </row>
    <row r="23" customFormat="false" ht="14.5" hidden="false" customHeight="false" outlineLevel="0" collapsed="false">
      <c r="B23" s="102" t="n">
        <f aca="false">B22/$B$6*100</f>
        <v>149.977585986167</v>
      </c>
      <c r="C23" s="0" t="s">
        <v>59</v>
      </c>
      <c r="F23" s="102" t="n">
        <f aca="false">F22/$B$6*100</f>
        <v>91.8939833978048</v>
      </c>
      <c r="G23" s="102" t="n">
        <f aca="false">G22/$B$6*100</f>
        <v>99.602900440551</v>
      </c>
      <c r="H23" s="102" t="n">
        <f aca="false">H22/$B$6*100</f>
        <v>107.490929055391</v>
      </c>
      <c r="I23" s="102" t="n">
        <f aca="false">I22/$B$6*100</f>
        <v>115.498323853091</v>
      </c>
      <c r="J23" s="102" t="n">
        <f aca="false">J22/$B$6*100</f>
        <v>123.552263241368</v>
      </c>
      <c r="K23" s="102" t="n">
        <f aca="false">K22/$B$6*100</f>
        <v>131.567741840804</v>
      </c>
      <c r="L23" s="102" t="n">
        <f aca="false">L22/$B$6*100</f>
        <v>139.449700806612</v>
      </c>
      <c r="M23" s="102" t="n">
        <f aca="false">M22/$B$6*100</f>
        <v>147.096491992873</v>
      </c>
      <c r="N23" s="102" t="n">
        <f aca="false">N22/$B$6*100</f>
        <v>154.404572816467</v>
      </c>
      <c r="O23" s="102" t="n">
        <f aca="false">O22/$B$6*100</f>
        <v>161.274086655303</v>
      </c>
      <c r="P23" s="102" t="n">
        <f aca="false">P22/$B$6*100</f>
        <v>167.614754349143</v>
      </c>
      <c r="Q23" s="102" t="n">
        <f aca="false">Q22/$B$6*100</f>
        <v>173.351355937963</v>
      </c>
      <c r="R23" s="102" t="n">
        <f aca="false">R22/$B$6*100</f>
        <v>178.428077168702</v>
      </c>
      <c r="S23" s="102" t="n">
        <f aca="false">S22/$B$6*100</f>
        <v>182.811152726253</v>
      </c>
      <c r="T23" s="102" t="n">
        <f aca="false">T22/$B$6*100</f>
        <v>186.489524457603</v>
      </c>
      <c r="U23" s="102" t="n">
        <f aca="false">U22/$B$6*100</f>
        <v>189.473570798124</v>
      </c>
      <c r="V23" s="102" t="n">
        <f aca="false">V22/$B$6*100</f>
        <v>191.792261870874</v>
      </c>
      <c r="W23" s="102" t="n">
        <f aca="false">W22/$B$6*100</f>
        <v>193.489283183211</v>
      </c>
      <c r="X23" s="102" t="n">
        <f aca="false">X22/$B$6*100</f>
        <v>194.618722835479</v>
      </c>
      <c r="Y23" s="102" t="n">
        <f aca="false">Y22/$B$6*100</f>
        <v>195.240850175856</v>
      </c>
      <c r="Z23" s="102" t="n">
        <f aca="false">Z22/$B$6*100</f>
        <v>195.418372933563</v>
      </c>
    </row>
    <row r="24" customFormat="false" ht="14.5" hidden="false" customHeight="false" outlineLevel="0" collapsed="false">
      <c r="A24" s="91" t="s">
        <v>61</v>
      </c>
      <c r="B24" s="102" t="n">
        <f aca="false">B23*SIN(RADIANS(B19))</f>
        <v>148.092180822513</v>
      </c>
      <c r="C24" s="0" t="s">
        <v>59</v>
      </c>
      <c r="F24" s="102" t="n">
        <f aca="false">F23*SIN(RADIANS(F19))</f>
        <v>78.6264311925533</v>
      </c>
      <c r="G24" s="102" t="n">
        <f aca="false">G23*SIN(RADIANS(G19))</f>
        <v>87.4676203490274</v>
      </c>
      <c r="H24" s="102" t="n">
        <f aca="false">H23*SIN(RADIANS(H19))</f>
        <v>96.7345667850421</v>
      </c>
      <c r="I24" s="102" t="n">
        <f aca="false">I23*SIN(RADIANS(I19))</f>
        <v>106.323507302351</v>
      </c>
      <c r="J24" s="102" t="n">
        <f aca="false">J23*SIN(RADIANS(J19))</f>
        <v>116.096924627804</v>
      </c>
      <c r="K24" s="102" t="n">
        <f aca="false">K23*SIN(RADIANS(K19))</f>
        <v>125.884221687176</v>
      </c>
      <c r="L24" s="102" t="n">
        <f aca="false">L23*SIN(RADIANS(L19))</f>
        <v>135.485987650427</v>
      </c>
      <c r="M24" s="102" t="n">
        <f aca="false">M23*SIN(RADIANS(M19))</f>
        <v>144.68238195524</v>
      </c>
      <c r="N24" s="102" t="n">
        <f aca="false">N23*SIN(RADIANS(N19))</f>
        <v>153.245520693186</v>
      </c>
      <c r="O24" s="102" t="n">
        <f aca="false">O23*SIN(RADIANS(O19))</f>
        <v>160.954906571142</v>
      </c>
      <c r="P24" s="102" t="n">
        <f aca="false">P23*SIN(RADIANS(P19))</f>
        <v>167.614100604296</v>
      </c>
      <c r="Q24" s="102" t="n">
        <f aca="false">Q23*SIN(RADIANS(Q19))</f>
        <v>173.066264997779</v>
      </c>
      <c r="R24" s="102" t="n">
        <f aca="false">R23*SIN(RADIANS(R19))</f>
        <v>177.20615516297</v>
      </c>
      <c r="S24" s="102" t="n">
        <f aca="false">S23*SIN(RADIANS(S19))</f>
        <v>179.986695182027</v>
      </c>
      <c r="T24" s="102" t="n">
        <f aca="false">T23*SIN(RADIANS(T19))</f>
        <v>181.419307112819</v>
      </c>
      <c r="U24" s="102" t="n">
        <f aca="false">U23*SIN(RADIANS(U19))</f>
        <v>181.568371321185</v>
      </c>
      <c r="V24" s="102" t="n">
        <f aca="false">V23*SIN(RADIANS(V19))</f>
        <v>180.541213116043</v>
      </c>
      <c r="W24" s="102" t="n">
        <f aca="false">W23*SIN(RADIANS(W19))</f>
        <v>178.475580419754</v>
      </c>
      <c r="X24" s="102" t="n">
        <f aca="false">X23*SIN(RADIANS(X19))</f>
        <v>175.526625036603</v>
      </c>
      <c r="Y24" s="102" t="n">
        <f aca="false">Y23*SIN(RADIANS(Y19))</f>
        <v>171.855030064812</v>
      </c>
      <c r="Z24" s="102" t="n">
        <f aca="false">Z23*SIN(RADIANS(Z19))</f>
        <v>167.61733739722</v>
      </c>
    </row>
    <row r="25" customFormat="false" ht="14.5" hidden="false" customHeight="false" outlineLevel="0" collapsed="false">
      <c r="A25" s="91" t="s">
        <v>62</v>
      </c>
      <c r="B25" s="102" t="n">
        <f aca="false">B23*COS(RADIANS(B19))</f>
        <v>23.7061653894142</v>
      </c>
      <c r="C25" s="0" t="s">
        <v>59</v>
      </c>
      <c r="F25" s="102" t="n">
        <f aca="false">F23*COS(RADIANS(F19))</f>
        <v>47.5645719274198</v>
      </c>
      <c r="G25" s="102" t="n">
        <f aca="false">G23*COS(RADIANS(G19))</f>
        <v>47.6461243612607</v>
      </c>
      <c r="H25" s="102" t="n">
        <f aca="false">H23*COS(RADIANS(H19))</f>
        <v>46.869216102911</v>
      </c>
      <c r="I25" s="102" t="n">
        <f aca="false">I23*COS(RADIANS(I19))</f>
        <v>45.1129095470512</v>
      </c>
      <c r="J25" s="102" t="n">
        <f aca="false">J23*COS(RADIANS(J19))</f>
        <v>42.2689702267556</v>
      </c>
      <c r="K25" s="102" t="n">
        <f aca="false">K23*COS(RADIANS(K19))</f>
        <v>38.2522342262823</v>
      </c>
      <c r="L25" s="102" t="n">
        <f aca="false">L23*COS(RADIANS(L19))</f>
        <v>33.0116071320704</v>
      </c>
      <c r="M25" s="102" t="n">
        <f aca="false">M23*COS(RADIANS(M19))</f>
        <v>26.540277096655</v>
      </c>
      <c r="N25" s="102" t="n">
        <f aca="false">N23*COS(RADIANS(N19))</f>
        <v>18.8833920181183</v>
      </c>
      <c r="O25" s="102" t="n">
        <f aca="false">O23*COS(RADIANS(O19))</f>
        <v>10.1414534055505</v>
      </c>
      <c r="P25" s="102" t="n">
        <f aca="false">P23*COS(RADIANS(P19))</f>
        <v>0.46813901406544</v>
      </c>
      <c r="Q25" s="102" t="n">
        <f aca="false">Q23*COS(RADIANS(Q19))</f>
        <v>-9.93783302581192</v>
      </c>
      <c r="R25" s="102" t="n">
        <f aca="false">R23*COS(RADIANS(R19))</f>
        <v>-20.8460378604117</v>
      </c>
      <c r="S25" s="102" t="n">
        <f aca="false">S23*COS(RADIANS(S19))</f>
        <v>-32.0110468206438</v>
      </c>
      <c r="T25" s="102" t="n">
        <f aca="false">T23*COS(RADIANS(T19))</f>
        <v>-43.1900189757743</v>
      </c>
      <c r="U25" s="102" t="n">
        <f aca="false">U23*COS(RADIANS(U19))</f>
        <v>-54.1586610503229</v>
      </c>
      <c r="V25" s="102" t="n">
        <f aca="false">V23*COS(RADIANS(V19))</f>
        <v>-64.7235821021478</v>
      </c>
      <c r="W25" s="102" t="n">
        <f aca="false">W23*COS(RADIANS(W19))</f>
        <v>-74.7299799316497</v>
      </c>
      <c r="X25" s="102" t="n">
        <f aca="false">X23*COS(RADIANS(X19))</f>
        <v>-84.0645655515601</v>
      </c>
      <c r="Y25" s="102" t="n">
        <f aca="false">Y23*COS(RADIANS(Y19))</f>
        <v>-92.6544020476823</v>
      </c>
      <c r="Z25" s="102" t="n">
        <f aca="false">Z23*COS(RADIANS(Z19))</f>
        <v>-100.462772626818</v>
      </c>
    </row>
    <row r="27" customFormat="false" ht="14.5" hidden="false" customHeight="false" outlineLevel="0" collapsed="false">
      <c r="B27" s="0" t="s">
        <v>63</v>
      </c>
    </row>
    <row r="28" customFormat="false" ht="14.5" hidden="false" customHeight="false" outlineLevel="0" collapsed="false">
      <c r="A28" s="91" t="s">
        <v>64</v>
      </c>
      <c r="B28" s="0" t="n">
        <v>0</v>
      </c>
      <c r="C28" s="102" t="n">
        <f aca="false">B24</f>
        <v>148.092180822513</v>
      </c>
    </row>
    <row r="29" customFormat="false" ht="14.5" hidden="false" customHeight="false" outlineLevel="0" collapsed="false">
      <c r="A29" s="91" t="s">
        <v>65</v>
      </c>
      <c r="B29" s="0" t="n">
        <v>0</v>
      </c>
      <c r="C29" s="102" t="n">
        <f aca="false">B25</f>
        <v>23.7061653894142</v>
      </c>
    </row>
    <row r="30" customFormat="false" ht="14.5" hidden="false" customHeight="false" outlineLevel="0" collapsed="false">
      <c r="A30" s="91" t="s">
        <v>66</v>
      </c>
      <c r="C30" s="102" t="n">
        <f aca="false">B23</f>
        <v>149.977585986167</v>
      </c>
    </row>
    <row r="31" customFormat="false" ht="14.5" hidden="false" customHeight="false" outlineLevel="0" collapsed="false">
      <c r="A31" s="91" t="s">
        <v>67</v>
      </c>
      <c r="C31" s="103" t="n">
        <v>8</v>
      </c>
    </row>
    <row r="32" customFormat="false" ht="14.5" hidden="false" customHeight="false" outlineLevel="0" collapsed="false">
      <c r="A32" s="91" t="s">
        <v>68</v>
      </c>
      <c r="C32" s="102" t="n">
        <f aca="false">C30-C31</f>
        <v>141.977585986167</v>
      </c>
    </row>
    <row r="33" customFormat="false" ht="14.5" hidden="false" customHeight="false" outlineLevel="0" collapsed="false">
      <c r="A33" s="91" t="s">
        <v>69</v>
      </c>
      <c r="B33" s="0" t="n">
        <v>0</v>
      </c>
      <c r="C33" s="0" t="n">
        <f aca="false">C28*C32/C30</f>
        <v>140.192750792419</v>
      </c>
    </row>
    <row r="34" customFormat="false" ht="14.5" hidden="false" customHeight="false" outlineLevel="0" collapsed="false">
      <c r="A34" s="91" t="s">
        <v>70</v>
      </c>
      <c r="B34" s="0" t="n">
        <v>0</v>
      </c>
      <c r="C34" s="0" t="n">
        <f aca="false">C29*C32/C30</f>
        <v>22.441647615853</v>
      </c>
    </row>
    <row r="36" customFormat="false" ht="14.5" hidden="false" customHeight="false" outlineLevel="0" collapsed="false">
      <c r="B36" s="0" t="s">
        <v>71</v>
      </c>
    </row>
    <row r="37" customFormat="false" ht="14.5" hidden="false" customHeight="false" outlineLevel="0" collapsed="false">
      <c r="A37" s="91" t="s">
        <v>64</v>
      </c>
      <c r="B37" s="102" t="n">
        <f aca="false">B24</f>
        <v>148.092180822513</v>
      </c>
      <c r="C37" s="0" t="n">
        <v>0</v>
      </c>
    </row>
    <row r="38" customFormat="false" ht="14.5" hidden="false" customHeight="false" outlineLevel="0" collapsed="false">
      <c r="A38" s="91" t="s">
        <v>65</v>
      </c>
      <c r="B38" s="102" t="n">
        <f aca="false">B25</f>
        <v>23.7061653894142</v>
      </c>
      <c r="C38" s="0" t="n">
        <v>-100</v>
      </c>
    </row>
    <row r="39" customFormat="false" ht="14.5" hidden="false" customHeight="false" outlineLevel="0" collapsed="false">
      <c r="A39" s="91"/>
      <c r="C39" s="102"/>
    </row>
    <row r="40" customFormat="false" ht="14.5" hidden="false" customHeight="false" outlineLevel="0" collapsed="false">
      <c r="B40" s="0" t="s">
        <v>72</v>
      </c>
    </row>
    <row r="41" customFormat="false" ht="14.5" hidden="false" customHeight="false" outlineLevel="0" collapsed="false">
      <c r="A41" s="91" t="s">
        <v>64</v>
      </c>
      <c r="B41" s="0" t="n">
        <v>0</v>
      </c>
      <c r="C41" s="0" t="n">
        <v>0</v>
      </c>
    </row>
    <row r="42" customFormat="false" ht="14.5" hidden="false" customHeight="false" outlineLevel="0" collapsed="false">
      <c r="A42" s="91" t="s">
        <v>65</v>
      </c>
      <c r="B42" s="0" t="n">
        <v>0</v>
      </c>
      <c r="C42" s="0" t="n">
        <v>-100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26.46"/>
    <col collapsed="false" customWidth="true" hidden="false" outlineLevel="0" max="2" min="2" style="0" width="10.36"/>
    <col collapsed="false" customWidth="true" hidden="false" outlineLevel="0" max="3" min="3" style="0" width="6.01"/>
    <col collapsed="false" customWidth="true" hidden="false" outlineLevel="0" max="4" min="4" style="0" width="6.45"/>
    <col collapsed="false" customWidth="true" hidden="false" outlineLevel="0" max="5" min="5" style="0" width="6.72"/>
    <col collapsed="false" customWidth="true" hidden="false" outlineLevel="0" max="26" min="6" style="0" width="5.81"/>
  </cols>
  <sheetData>
    <row r="1" customFormat="false" ht="14.5" hidden="false" customHeight="false" outlineLevel="0" collapsed="false">
      <c r="A1" s="89" t="s">
        <v>26</v>
      </c>
      <c r="B1" s="0" t="n">
        <f aca="false">Dash!D38</f>
        <v>1.29</v>
      </c>
      <c r="C1" s="0" t="str">
        <f aca="false">Dash!E38</f>
        <v>kg/m3</v>
      </c>
    </row>
    <row r="2" customFormat="false" ht="14.5" hidden="false" customHeight="false" outlineLevel="0" collapsed="false">
      <c r="A2" s="89" t="s">
        <v>28</v>
      </c>
      <c r="B2" s="0" t="n">
        <f aca="false">Dash!D39</f>
        <v>1025</v>
      </c>
      <c r="C2" s="0" t="str">
        <f aca="false">Dash!E39</f>
        <v>kg/m3</v>
      </c>
    </row>
    <row r="3" customFormat="false" ht="14.5" hidden="false" customHeight="false" outlineLevel="0" collapsed="false">
      <c r="A3" s="89"/>
      <c r="B3" s="0" t="s">
        <v>44</v>
      </c>
      <c r="C3" s="0" t="s">
        <v>45</v>
      </c>
    </row>
    <row r="4" customFormat="false" ht="14.5" hidden="false" customHeight="false" outlineLevel="0" collapsed="false">
      <c r="A4" s="89" t="s">
        <v>46</v>
      </c>
      <c r="B4" s="0" t="n">
        <f aca="false">Dash!L54</f>
        <v>0.4</v>
      </c>
      <c r="C4" s="0" t="n">
        <f aca="false">Dash!M54</f>
        <v>0.9</v>
      </c>
    </row>
    <row r="5" customFormat="false" ht="14.5" hidden="false" customHeight="false" outlineLevel="0" collapsed="false">
      <c r="A5" s="89" t="s">
        <v>47</v>
      </c>
      <c r="B5" s="0" t="n">
        <f aca="false">Dash!T54</f>
        <v>0.2</v>
      </c>
      <c r="C5" s="0" t="n">
        <f aca="false">Dash!U54</f>
        <v>0.4</v>
      </c>
    </row>
    <row r="6" customFormat="false" ht="14.5" hidden="false" customHeight="false" outlineLevel="0" collapsed="false">
      <c r="A6" s="90" t="s">
        <v>48</v>
      </c>
      <c r="B6" s="90" t="n">
        <f aca="false">Dash!D3</f>
        <v>15</v>
      </c>
      <c r="C6" s="90" t="s">
        <v>49</v>
      </c>
    </row>
    <row r="7" s="90" customFormat="true" ht="14.5" hidden="false" customHeight="false" outlineLevel="0" collapsed="false">
      <c r="A7" s="90" t="str">
        <f aca="false">Dash!C8</f>
        <v>Rising Angle</v>
      </c>
      <c r="B7" s="90" t="n">
        <f aca="false">Dash!D24</f>
        <v>20</v>
      </c>
      <c r="C7" s="90" t="str">
        <f aca="false">Dash!E9</f>
        <v>°</v>
      </c>
    </row>
    <row r="8" customFormat="false" ht="14.5" hidden="false" customHeight="false" outlineLevel="0" collapsed="false">
      <c r="A8" s="0" t="s">
        <v>50</v>
      </c>
      <c r="B8" s="91" t="str">
        <f aca="false">Dash!D25</f>
        <v>0.6</v>
      </c>
    </row>
    <row r="9" customFormat="false" ht="14.5" hidden="false" customHeight="false" outlineLevel="0" collapsed="false">
      <c r="A9" s="0" t="str">
        <f aca="false">Dash!C11</f>
        <v>Kite Area</v>
      </c>
      <c r="B9" s="0" t="n">
        <f aca="false">Dash!D27</f>
        <v>25</v>
      </c>
      <c r="C9" s="0" t="str">
        <f aca="false">Dash!E12</f>
        <v>m²</v>
      </c>
    </row>
    <row r="10" s="90" customFormat="true" ht="14.5" hidden="false" customHeight="false" outlineLevel="0" collapsed="false">
      <c r="A10" s="90" t="str">
        <f aca="false">Dash!C13</f>
        <v>Kite Efficiency Angle</v>
      </c>
      <c r="B10" s="92" t="n">
        <f aca="false">Dash!D29</f>
        <v>4</v>
      </c>
      <c r="C10" s="90" t="str">
        <f aca="false">Dash!E14</f>
        <v>°</v>
      </c>
      <c r="D10" s="93" t="n">
        <f aca="false">Dash!F29</f>
        <v>14.3006662567119</v>
      </c>
      <c r="E10" s="90" t="s">
        <v>17</v>
      </c>
    </row>
    <row r="11" customFormat="false" ht="14.5" hidden="false" customHeight="false" outlineLevel="0" collapsed="false">
      <c r="A11" s="0" t="s">
        <v>51</v>
      </c>
      <c r="B11" s="91" t="str">
        <f aca="false">Dash!D31</f>
        <v>0.4</v>
      </c>
    </row>
    <row r="12" customFormat="false" ht="14.5" hidden="false" customHeight="false" outlineLevel="0" collapsed="false">
      <c r="A12" s="0" t="str">
        <f aca="false">Dash!C17</f>
        <v>Fish Area</v>
      </c>
      <c r="B12" s="0" t="n">
        <f aca="false">Dash!D34</f>
        <v>0.07</v>
      </c>
      <c r="C12" s="0" t="str">
        <f aca="false">Dash!E19</f>
        <v>m²</v>
      </c>
    </row>
    <row r="13" s="90" customFormat="true" ht="14.5" hidden="false" customHeight="false" outlineLevel="0" collapsed="false">
      <c r="A13" s="90" t="str">
        <f aca="false">Dash!C19</f>
        <v>Fish Efficiency Angle</v>
      </c>
      <c r="B13" s="90" t="n">
        <f aca="false">Dash!D35</f>
        <v>8</v>
      </c>
      <c r="C13" s="90" t="str">
        <f aca="false">Dash!E20</f>
        <v>°</v>
      </c>
      <c r="D13" s="93" t="n">
        <f aca="false">Dash!F35</f>
        <v>7.11536972238421</v>
      </c>
      <c r="E13" s="90" t="s">
        <v>17</v>
      </c>
    </row>
    <row r="14" s="10" customFormat="true" ht="14.5" hidden="false" customHeight="false" outlineLevel="0" collapsed="false">
      <c r="A14" s="94" t="s">
        <v>52</v>
      </c>
      <c r="B14" s="93" t="n">
        <f aca="false">DEGREES(ATAN(1/(COS(RADIANS(B7))*D10)))</f>
        <v>4.2557962016512</v>
      </c>
      <c r="C14" s="90"/>
    </row>
    <row r="15" s="10" customFormat="true" ht="14.5" hidden="false" customHeight="false" outlineLevel="0" collapsed="false">
      <c r="A15" s="94" t="s">
        <v>53</v>
      </c>
      <c r="B15" s="95" t="n">
        <f aca="false">DEGREES(ATAN(1/(COS(RADIANS(B7))*D13)))</f>
        <v>8.50613285687714</v>
      </c>
    </row>
    <row r="16" s="98" customFormat="true" ht="14.5" hidden="false" customHeight="false" outlineLevel="0" collapsed="false">
      <c r="A16" s="96" t="s">
        <v>54</v>
      </c>
      <c r="B16" s="97" t="n">
        <f aca="false">B15+B14</f>
        <v>12.7619290585283</v>
      </c>
      <c r="C16" s="98" t="n">
        <f aca="false">Dash!E23</f>
        <v>0</v>
      </c>
    </row>
    <row r="17" customFormat="false" ht="14.5" hidden="false" customHeight="false" outlineLevel="0" collapsed="false">
      <c r="B17" s="99" t="s">
        <v>55</v>
      </c>
      <c r="C17" s="99" t="s">
        <v>44</v>
      </c>
      <c r="D17" s="99" t="s">
        <v>45</v>
      </c>
    </row>
    <row r="18" customFormat="false" ht="14.5" hidden="false" customHeight="false" outlineLevel="0" collapsed="false">
      <c r="A18" s="0" t="s">
        <v>56</v>
      </c>
      <c r="B18" s="100" t="n">
        <f aca="false">(B1*B9*B8/(B2*B12*B11))^0.5</f>
        <v>0.82110658740176</v>
      </c>
      <c r="C18" s="100" t="n">
        <f aca="false">(B1*B9*B4/(B2*B12*C5))^0.5</f>
        <v>0.67043072119077</v>
      </c>
      <c r="D18" s="100" t="n">
        <f aca="false">(B1*B9*C4/(B2*B12*B5))^0.5</f>
        <v>1.42219832780934</v>
      </c>
      <c r="E18" s="100"/>
      <c r="F18" s="100" t="n">
        <f aca="false">C18</f>
        <v>0.67043072119077</v>
      </c>
      <c r="G18" s="100" t="n">
        <f aca="false">F18+($D$18-$C$18)/20</f>
        <v>0.708019101521699</v>
      </c>
      <c r="H18" s="100" t="n">
        <f aca="false">G18+($D$18-$C$18)/20</f>
        <v>0.745607481852628</v>
      </c>
      <c r="I18" s="100" t="n">
        <f aca="false">H18+($D$18-$C$18)/20</f>
        <v>0.783195862183556</v>
      </c>
      <c r="J18" s="100" t="n">
        <f aca="false">I18+($D$18-$C$18)/20</f>
        <v>0.820784242514485</v>
      </c>
      <c r="K18" s="100" t="n">
        <f aca="false">J18+($D$18-$C$18)/20</f>
        <v>0.858372622845414</v>
      </c>
      <c r="L18" s="100" t="n">
        <f aca="false">K18+($D$18-$C$18)/20</f>
        <v>0.895961003176342</v>
      </c>
      <c r="M18" s="100" t="n">
        <f aca="false">L18+($D$18-$C$18)/20</f>
        <v>0.933549383507271</v>
      </c>
      <c r="N18" s="100" t="n">
        <f aca="false">M18+($D$18-$C$18)/20</f>
        <v>0.9711377638382</v>
      </c>
      <c r="O18" s="100" t="n">
        <f aca="false">N18+($D$18-$C$18)/20</f>
        <v>1.00872614416913</v>
      </c>
      <c r="P18" s="100" t="n">
        <f aca="false">O18+($D$18-$C$18)/20</f>
        <v>1.04631452450006</v>
      </c>
      <c r="Q18" s="100" t="n">
        <f aca="false">P18+($D$18-$C$18)/20</f>
        <v>1.08390290483099</v>
      </c>
      <c r="R18" s="100" t="n">
        <f aca="false">Q18+($D$18-$C$18)/20</f>
        <v>1.12149128516191</v>
      </c>
      <c r="S18" s="100" t="n">
        <f aca="false">R18+($D$18-$C$18)/20</f>
        <v>1.15907966549284</v>
      </c>
      <c r="T18" s="100" t="n">
        <f aca="false">S18+($D$18-$C$18)/20</f>
        <v>1.19666804582377</v>
      </c>
      <c r="U18" s="100" t="n">
        <f aca="false">T18+($D$18-$C$18)/20</f>
        <v>1.2342564261547</v>
      </c>
      <c r="V18" s="100" t="n">
        <f aca="false">U18+($D$18-$C$18)/20</f>
        <v>1.27184480648563</v>
      </c>
      <c r="W18" s="100" t="n">
        <f aca="false">V18+($D$18-$C$18)/20</f>
        <v>1.30943318681656</v>
      </c>
      <c r="X18" s="100" t="n">
        <f aca="false">W18+($D$18-$C$18)/20</f>
        <v>1.34702156714749</v>
      </c>
      <c r="Y18" s="100" t="n">
        <f aca="false">X18+($D$18-$C$18)/20</f>
        <v>1.38460994747842</v>
      </c>
      <c r="Z18" s="100" t="n">
        <f aca="false">Y18+($D$18-$C$18)/20</f>
        <v>1.42219832780934</v>
      </c>
    </row>
    <row r="19" customFormat="false" ht="14.5" hidden="false" customHeight="false" outlineLevel="0" collapsed="false">
      <c r="A19" s="0" t="s">
        <v>57</v>
      </c>
      <c r="B19" s="101" t="n">
        <f aca="false">180-IF(DEGREES(ATAN(SIN(RADIANS($B$16))/(B18-COS(RADIANS($B$16)))))&gt;0,DEGREES(ATAN(SIN(RADIANS($B$16))/(B18-COS(RADIANS($B$16))))),180+DEGREES(ATAN(SIN(RADIANS($B$16))/(B18-COS(RADIANS($B$16))))))</f>
        <v>55.0847472743565</v>
      </c>
      <c r="C19" s="0" t="s">
        <v>10</v>
      </c>
      <c r="F19" s="101" t="n">
        <f aca="false">180-IF(DEGREES(ATAN(SIN(RADIANS($B$16))/(F18-COS(RADIANS($B$16)))))&gt;0,DEGREES(ATAN(SIN(RADIANS($B$16))/(F18-COS(RADIANS($B$16))))),180+DEGREES(ATAN(SIN(RADIANS($B$16))/(F18-COS(RADIANS($B$16))))))</f>
        <v>35.9264537467374</v>
      </c>
      <c r="G19" s="101" t="n">
        <f aca="false">180-IF(DEGREES(ATAN(SIN(RADIANS($B$16))/(G18-COS(RADIANS($B$16)))))&gt;0,DEGREES(ATAN(SIN(RADIANS($B$16))/(G18-COS(RADIANS($B$16))))),180+DEGREES(ATAN(SIN(RADIANS($B$16))/(G18-COS(RADIANS($B$16))))))</f>
        <v>39.5732032465648</v>
      </c>
      <c r="H19" s="101" t="n">
        <f aca="false">180-IF(DEGREES(ATAN(SIN(RADIANS($B$16))/(H18-COS(RADIANS($B$16)))))&gt;0,DEGREES(ATAN(SIN(RADIANS($B$16))/(H18-COS(RADIANS($B$16))))),180+DEGREES(ATAN(SIN(RADIANS($B$16))/(H18-COS(RADIANS($B$16))))))</f>
        <v>43.8826352263536</v>
      </c>
      <c r="I19" s="101" t="n">
        <f aca="false">180-IF(DEGREES(ATAN(SIN(RADIANS($B$16))/(I18-COS(RADIANS($B$16)))))&gt;0,DEGREES(ATAN(SIN(RADIANS($B$16))/(I18-COS(RADIANS($B$16))))),180+DEGREES(ATAN(SIN(RADIANS($B$16))/(I18-COS(RADIANS($B$16))))))</f>
        <v>48.9889786055686</v>
      </c>
      <c r="J19" s="101" t="n">
        <f aca="false">180-IF(DEGREES(ATAN(SIN(RADIANS($B$16))/(J18-COS(RADIANS($B$16)))))&gt;0,DEGREES(ATAN(SIN(RADIANS($B$16))/(J18-COS(RADIANS($B$16))))),180+DEGREES(ATAN(SIN(RADIANS($B$16))/(J18-COS(RADIANS($B$16))))))</f>
        <v>55.0285679563173</v>
      </c>
      <c r="K19" s="101" t="n">
        <f aca="false">180-IF(DEGREES(ATAN(SIN(RADIANS($B$16))/(K18-COS(RADIANS($B$16)))))&gt;0,DEGREES(ATAN(SIN(RADIANS($B$16))/(K18-COS(RADIANS($B$16))))),180+DEGREES(ATAN(SIN(RADIANS($B$16))/(K18-COS(RADIANS($B$16))))))</f>
        <v>62.1075094079912</v>
      </c>
      <c r="L19" s="101" t="n">
        <f aca="false">180-IF(DEGREES(ATAN(SIN(RADIANS($B$16))/(L18-COS(RADIANS($B$16)))))&gt;0,DEGREES(ATAN(SIN(RADIANS($B$16))/(L18-COS(RADIANS($B$16))))),180+DEGREES(ATAN(SIN(RADIANS($B$16))/(L18-COS(RADIANS($B$16))))))</f>
        <v>70.2444943330135</v>
      </c>
      <c r="M19" s="101" t="n">
        <f aca="false">180-IF(DEGREES(ATAN(SIN(RADIANS($B$16))/(M18-COS(RADIANS($B$16)))))&gt;0,DEGREES(ATAN(SIN(RADIANS($B$16))/(M18-COS(RADIANS($B$16))))),180+DEGREES(ATAN(SIN(RADIANS($B$16))/(M18-COS(RADIANS($B$16))))))</f>
        <v>79.2981508223822</v>
      </c>
      <c r="N19" s="101" t="n">
        <f aca="false">180-IF(DEGREES(ATAN(SIN(RADIANS($B$16))/(N18-COS(RADIANS($B$16)))))&gt;0,DEGREES(ATAN(SIN(RADIANS($B$16))/(N18-COS(RADIANS($B$16))))),180+DEGREES(ATAN(SIN(RADIANS($B$16))/(N18-COS(RADIANS($B$16))))))</f>
        <v>88.9214995501467</v>
      </c>
      <c r="O19" s="101" t="n">
        <f aca="false">180-IF(DEGREES(ATAN(SIN(RADIANS($B$16))/(O18-COS(RADIANS($B$16)))))&gt;0,DEGREES(ATAN(SIN(RADIANS($B$16))/(O18-COS(RADIANS($B$16))))),180+DEGREES(ATAN(SIN(RADIANS($B$16))/(O18-COS(RADIANS($B$16))))))</f>
        <v>98.605511349803</v>
      </c>
      <c r="P19" s="101" t="n">
        <f aca="false">180-IF(DEGREES(ATAN(SIN(RADIANS($B$16))/(P18-COS(RADIANS($B$16)))))&gt;0,DEGREES(ATAN(SIN(RADIANS($B$16))/(P18-COS(RADIANS($B$16))))),180+DEGREES(ATAN(SIN(RADIANS($B$16))/(P18-COS(RADIANS($B$16))))))</f>
        <v>107.822284235061</v>
      </c>
      <c r="Q19" s="101" t="n">
        <f aca="false">180-IF(DEGREES(ATAN(SIN(RADIANS($B$16))/(Q18-COS(RADIANS($B$16)))))&gt;0,DEGREES(ATAN(SIN(RADIANS($B$16))/(Q18-COS(RADIANS($B$16))))),180+DEGREES(ATAN(SIN(RADIANS($B$16))/(Q18-COS(RADIANS($B$16))))))</f>
        <v>116.181210870438</v>
      </c>
      <c r="R19" s="101" t="n">
        <f aca="false">180-IF(DEGREES(ATAN(SIN(RADIANS($B$16))/(R18-COS(RADIANS($B$16)))))&gt;0,DEGREES(ATAN(SIN(RADIANS($B$16))/(R18-COS(RADIANS($B$16))))),180+DEGREES(ATAN(SIN(RADIANS($B$16))/(R18-COS(RADIANS($B$16))))))</f>
        <v>123.497129541609</v>
      </c>
      <c r="S19" s="101" t="n">
        <f aca="false">180-IF(DEGREES(ATAN(SIN(RADIANS($B$16))/(S18-COS(RADIANS($B$16)))))&gt;0,DEGREES(ATAN(SIN(RADIANS($B$16))/(S18-COS(RADIANS($B$16))))),180+DEGREES(ATAN(SIN(RADIANS($B$16))/(S18-COS(RADIANS($B$16))))))</f>
        <v>129.75955220744</v>
      </c>
      <c r="T19" s="101" t="n">
        <f aca="false">180-IF(DEGREES(ATAN(SIN(RADIANS($B$16))/(T18-COS(RADIANS($B$16)))))&gt;0,DEGREES(ATAN(SIN(RADIANS($B$16))/(T18-COS(RADIANS($B$16))))),180+DEGREES(ATAN(SIN(RADIANS($B$16))/(T18-COS(RADIANS($B$16))))))</f>
        <v>135.061043074002</v>
      </c>
      <c r="U19" s="101" t="n">
        <f aca="false">180-IF(DEGREES(ATAN(SIN(RADIANS($B$16))/(U18-COS(RADIANS($B$16)))))&gt;0,DEGREES(ATAN(SIN(RADIANS($B$16))/(U18-COS(RADIANS($B$16))))),180+DEGREES(ATAN(SIN(RADIANS($B$16))/(U18-COS(RADIANS($B$16))))))</f>
        <v>139.534854321851</v>
      </c>
      <c r="V19" s="101" t="n">
        <f aca="false">180-IF(DEGREES(ATAN(SIN(RADIANS($B$16))/(V18-COS(RADIANS($B$16)))))&gt;0,DEGREES(ATAN(SIN(RADIANS($B$16))/(V18-COS(RADIANS($B$16))))),180+DEGREES(ATAN(SIN(RADIANS($B$16))/(V18-COS(RADIANS($B$16))))))</f>
        <v>143.317381130368</v>
      </c>
      <c r="W19" s="101" t="n">
        <f aca="false">180-IF(DEGREES(ATAN(SIN(RADIANS($B$16))/(W18-COS(RADIANS($B$16)))))&gt;0,DEGREES(ATAN(SIN(RADIANS($B$16))/(W18-COS(RADIANS($B$16))))),180+DEGREES(ATAN(SIN(RADIANS($B$16))/(W18-COS(RADIANS($B$16))))))</f>
        <v>146.530994857124</v>
      </c>
      <c r="X19" s="101" t="n">
        <f aca="false">180-IF(DEGREES(ATAN(SIN(RADIANS($B$16))/(X18-COS(RADIANS($B$16)))))&gt;0,DEGREES(ATAN(SIN(RADIANS($B$16))/(X18-COS(RADIANS($B$16))))),180+DEGREES(ATAN(SIN(RADIANS($B$16))/(X18-COS(RADIANS($B$16))))))</f>
        <v>149.278783759301</v>
      </c>
      <c r="Y19" s="101" t="n">
        <f aca="false">180-IF(DEGREES(ATAN(SIN(RADIANS($B$16))/(Y18-COS(RADIANS($B$16)))))&gt;0,DEGREES(ATAN(SIN(RADIANS($B$16))/(Y18-COS(RADIANS($B$16))))),180+DEGREES(ATAN(SIN(RADIANS($B$16))/(Y18-COS(RADIANS($B$16))))))</f>
        <v>151.644919408625</v>
      </c>
      <c r="Z19" s="101" t="n">
        <f aca="false">180-IF(DEGREES(ATAN(SIN(RADIANS($B$16))/(Z18-COS(RADIANS($B$16)))))&gt;0,DEGREES(ATAN(SIN(RADIANS($B$16))/(Z18-COS(RADIANS($B$16))))),180+DEGREES(ATAN(SIN(RADIANS($B$16))/(Z18-COS(RADIANS($B$16))))))</f>
        <v>153.697137348373</v>
      </c>
    </row>
    <row r="20" customFormat="false" ht="14.5" hidden="false" customHeight="false" outlineLevel="0" collapsed="false">
      <c r="A20" s="0" t="s">
        <v>58</v>
      </c>
      <c r="B20" s="101" t="n">
        <f aca="false">$B$6*SIN(RADIANS(180-B19))/SIN(RADIANS($B$16))</f>
        <v>55.6811467458922</v>
      </c>
      <c r="C20" s="0" t="s">
        <v>2</v>
      </c>
      <c r="F20" s="101" t="n">
        <f aca="false">$B$6*SIN(RADIANS(180-F19))/SIN(RADIANS($B$16))</f>
        <v>39.8423475908863</v>
      </c>
      <c r="G20" s="101" t="n">
        <f aca="false">$B$6*SIN(RADIANS(180-G19))/SIN(RADIANS($B$16))</f>
        <v>43.25908477628</v>
      </c>
      <c r="H20" s="101" t="n">
        <f aca="false">$B$6*SIN(RADIANS(180-H19))/SIN(RADIANS($B$16))</f>
        <v>47.069840769383</v>
      </c>
      <c r="I20" s="101" t="n">
        <f aca="false">$B$6*SIN(RADIANS(180-I19))/SIN(RADIANS($B$16))</f>
        <v>51.2391353414219</v>
      </c>
      <c r="J20" s="101" t="n">
        <f aca="false">$B$6*SIN(RADIANS(180-J19))/SIN(RADIANS($B$16))</f>
        <v>55.6430115743406</v>
      </c>
      <c r="K20" s="101" t="n">
        <f aca="false">$B$6*SIN(RADIANS(180-K19))/SIN(RADIANS($B$16))</f>
        <v>60.0152756499267</v>
      </c>
      <c r="L20" s="101" t="n">
        <f aca="false">$B$6*SIN(RADIANS(180-L19))/SIN(RADIANS($B$16))</f>
        <v>63.9072941724492</v>
      </c>
      <c r="M20" s="101" t="n">
        <f aca="false">$B$6*SIN(RADIANS(180-M19))/SIN(RADIANS($B$16))</f>
        <v>66.7228105053489</v>
      </c>
      <c r="N20" s="101" t="n">
        <f aca="false">$B$6*SIN(RADIANS(180-N19))/SIN(RADIANS($B$16))</f>
        <v>67.8918464555447</v>
      </c>
      <c r="O20" s="101" t="n">
        <f aca="false">$B$6*SIN(RADIANS(180-O19))/SIN(RADIANS($B$16))</f>
        <v>67.1394135980737</v>
      </c>
      <c r="P20" s="101" t="n">
        <f aca="false">$B$6*SIN(RADIANS(180-P19))/SIN(RADIANS($B$16))</f>
        <v>64.6451978406509</v>
      </c>
      <c r="Q20" s="101" t="n">
        <f aca="false">$B$6*SIN(RADIANS(180-Q19))/SIN(RADIANS($B$16))</f>
        <v>60.9371491404464</v>
      </c>
      <c r="R20" s="101" t="n">
        <f aca="false">$B$6*SIN(RADIANS(180-R19))/SIN(RADIANS($B$16))</f>
        <v>56.6259569831769</v>
      </c>
      <c r="S20" s="101" t="n">
        <f aca="false">$B$6*SIN(RADIANS(180-S19))/SIN(RADIANS($B$16))</f>
        <v>52.2001007227434</v>
      </c>
      <c r="T20" s="101" t="n">
        <f aca="false">$B$6*SIN(RADIANS(180-T19))/SIN(RADIANS($B$16))</f>
        <v>47.9641082901985</v>
      </c>
      <c r="U20" s="101" t="n">
        <f aca="false">$B$6*SIN(RADIANS(180-U19))/SIN(RADIANS($B$16))</f>
        <v>44.0686211030792</v>
      </c>
      <c r="V20" s="101" t="n">
        <f aca="false">$B$6*SIN(RADIANS(180-V19))/SIN(RADIANS($B$16))</f>
        <v>40.5645460524986</v>
      </c>
      <c r="W20" s="101" t="n">
        <f aca="false">$B$6*SIN(RADIANS(180-W19))/SIN(RADIANS($B$16))</f>
        <v>37.4480236041879</v>
      </c>
      <c r="X20" s="101" t="n">
        <f aca="false">$B$6*SIN(RADIANS(180-X19))/SIN(RADIANS($B$16))</f>
        <v>34.6894610085401</v>
      </c>
      <c r="Y20" s="101" t="n">
        <f aca="false">$B$6*SIN(RADIANS(180-Y19))/SIN(RADIANS($B$16))</f>
        <v>32.249888337493</v>
      </c>
      <c r="Z20" s="101" t="n">
        <f aca="false">$B$6*SIN(RADIANS(180-Z19))/SIN(RADIANS($B$16))</f>
        <v>30.0892926126181</v>
      </c>
    </row>
    <row r="21" customFormat="false" ht="14.5" hidden="false" customHeight="false" outlineLevel="0" collapsed="false">
      <c r="B21" s="102" t="n">
        <f aca="false">B20/$B$6*100</f>
        <v>371.207644972615</v>
      </c>
      <c r="C21" s="0" t="s">
        <v>59</v>
      </c>
      <c r="F21" s="102" t="n">
        <f aca="false">F20/$B$6*100</f>
        <v>265.615650605909</v>
      </c>
      <c r="G21" s="102" t="n">
        <f aca="false">G20/$B$6*100</f>
        <v>288.393898508533</v>
      </c>
      <c r="H21" s="102" t="n">
        <f aca="false">H20/$B$6*100</f>
        <v>313.798938462553</v>
      </c>
      <c r="I21" s="102" t="n">
        <f aca="false">I20/$B$6*100</f>
        <v>341.59423560948</v>
      </c>
      <c r="J21" s="102" t="n">
        <f aca="false">J20/$B$6*100</f>
        <v>370.953410495604</v>
      </c>
      <c r="K21" s="102" t="n">
        <f aca="false">K20/$B$6*100</f>
        <v>400.101837666178</v>
      </c>
      <c r="L21" s="102" t="n">
        <f aca="false">L20/$B$6*100</f>
        <v>426.048627816328</v>
      </c>
      <c r="M21" s="102" t="n">
        <f aca="false">M20/$B$6*100</f>
        <v>444.818736702326</v>
      </c>
      <c r="N21" s="102" t="n">
        <f aca="false">N20/$B$6*100</f>
        <v>452.612309703631</v>
      </c>
      <c r="O21" s="102" t="n">
        <f aca="false">O20/$B$6*100</f>
        <v>447.596090653825</v>
      </c>
      <c r="P21" s="102" t="n">
        <f aca="false">P20/$B$6*100</f>
        <v>430.967985604339</v>
      </c>
      <c r="Q21" s="102" t="n">
        <f aca="false">Q20/$B$6*100</f>
        <v>406.247660936309</v>
      </c>
      <c r="R21" s="102" t="n">
        <f aca="false">R20/$B$6*100</f>
        <v>377.506379887846</v>
      </c>
      <c r="S21" s="102" t="n">
        <f aca="false">S20/$B$6*100</f>
        <v>348.000671484956</v>
      </c>
      <c r="T21" s="102" t="n">
        <f aca="false">T20/$B$6*100</f>
        <v>319.760721934657</v>
      </c>
      <c r="U21" s="102" t="n">
        <f aca="false">U20/$B$6*100</f>
        <v>293.790807353861</v>
      </c>
      <c r="V21" s="102" t="n">
        <f aca="false">V20/$B$6*100</f>
        <v>270.430307016657</v>
      </c>
      <c r="W21" s="102" t="n">
        <f aca="false">W20/$B$6*100</f>
        <v>249.653490694586</v>
      </c>
      <c r="X21" s="102" t="n">
        <f aca="false">X20/$B$6*100</f>
        <v>231.263073390267</v>
      </c>
      <c r="Y21" s="102" t="n">
        <f aca="false">Y20/$B$6*100</f>
        <v>214.999255583287</v>
      </c>
      <c r="Z21" s="102" t="n">
        <f aca="false">Z20/$B$6*100</f>
        <v>200.59528408412</v>
      </c>
    </row>
    <row r="22" customFormat="false" ht="14.5" hidden="false" customHeight="false" outlineLevel="0" collapsed="false">
      <c r="A22" s="0" t="s">
        <v>60</v>
      </c>
      <c r="B22" s="101" t="n">
        <f aca="false">B20*B18</f>
        <v>45.7201563871362</v>
      </c>
      <c r="C22" s="0" t="s">
        <v>2</v>
      </c>
      <c r="F22" s="101" t="n">
        <f aca="false">F20*F18</f>
        <v>26.7115338292913</v>
      </c>
      <c r="G22" s="101" t="n">
        <f aca="false">G20*G18</f>
        <v>30.6282583359527</v>
      </c>
      <c r="H22" s="101" t="n">
        <f aca="false">H20*H18</f>
        <v>35.0956254472638</v>
      </c>
      <c r="I22" s="101" t="n">
        <f aca="false">I20*I18</f>
        <v>40.1302787812649</v>
      </c>
      <c r="J22" s="101" t="n">
        <f aca="false">J20*J18</f>
        <v>45.6709071062698</v>
      </c>
      <c r="K22" s="101" t="n">
        <f aca="false">K20*K18</f>
        <v>51.515469570418</v>
      </c>
      <c r="L22" s="101" t="n">
        <f aca="false">L20*L18</f>
        <v>57.2584433970332</v>
      </c>
      <c r="M22" s="101" t="n">
        <f aca="false">M20*M18</f>
        <v>62.289038613141</v>
      </c>
      <c r="N22" s="101" t="n">
        <f aca="false">N20*N18</f>
        <v>65.9323359496841</v>
      </c>
      <c r="O22" s="101" t="n">
        <f aca="false">O20*O18</f>
        <v>67.7252818005612</v>
      </c>
      <c r="P22" s="101" t="n">
        <f aca="false">P20*P18</f>
        <v>67.6392094398527</v>
      </c>
      <c r="Q22" s="101" t="n">
        <f aca="false">Q20*Q18</f>
        <v>66.0499529654488</v>
      </c>
      <c r="R22" s="101" t="n">
        <f aca="false">R20*R18</f>
        <v>63.5055172705864</v>
      </c>
      <c r="S22" s="101" t="n">
        <f aca="false">S20*S18</f>
        <v>60.5040752844101</v>
      </c>
      <c r="T22" s="101" t="n">
        <f aca="false">T20*T18</f>
        <v>57.3971157373116</v>
      </c>
      <c r="U22" s="101" t="n">
        <f aca="false">U20*U18</f>
        <v>54.3919787882521</v>
      </c>
      <c r="V22" s="101" t="n">
        <f aca="false">V20*V18</f>
        <v>51.5918072243174</v>
      </c>
      <c r="W22" s="101" t="n">
        <f aca="false">W20*W18</f>
        <v>49.0356848880135</v>
      </c>
      <c r="X22" s="101" t="n">
        <f aca="false">X20*X18</f>
        <v>46.7274521312253</v>
      </c>
      <c r="Y22" s="101" t="n">
        <f aca="false">Y20*Y18</f>
        <v>44.653516197161</v>
      </c>
      <c r="Z22" s="101" t="n">
        <f aca="false">Z20*Z18</f>
        <v>42.7929416386314</v>
      </c>
    </row>
    <row r="23" customFormat="false" ht="14.5" hidden="false" customHeight="false" outlineLevel="0" collapsed="false">
      <c r="B23" s="102" t="n">
        <f aca="false">B22/$B$6*100</f>
        <v>304.801042580908</v>
      </c>
      <c r="C23" s="0" t="s">
        <v>59</v>
      </c>
      <c r="F23" s="102" t="n">
        <f aca="false">F22/$B$6*100</f>
        <v>178.076892195275</v>
      </c>
      <c r="G23" s="102" t="n">
        <f aca="false">G22/$B$6*100</f>
        <v>204.188388906352</v>
      </c>
      <c r="H23" s="102" t="n">
        <f aca="false">H22/$B$6*100</f>
        <v>233.970836315092</v>
      </c>
      <c r="I23" s="102" t="n">
        <f aca="false">I22/$B$6*100</f>
        <v>267.535191875099</v>
      </c>
      <c r="J23" s="102" t="n">
        <f aca="false">J22/$B$6*100</f>
        <v>304.472714041799</v>
      </c>
      <c r="K23" s="102" t="n">
        <f aca="false">K22/$B$6*100</f>
        <v>343.436463802787</v>
      </c>
      <c r="L23" s="102" t="n">
        <f aca="false">L22/$B$6*100</f>
        <v>381.722955980221</v>
      </c>
      <c r="M23" s="102" t="n">
        <f aca="false">M22/$B$6*100</f>
        <v>415.26025742094</v>
      </c>
      <c r="N23" s="102" t="n">
        <f aca="false">N22/$B$6*100</f>
        <v>439.548906331227</v>
      </c>
      <c r="O23" s="102" t="n">
        <f aca="false">O22/$B$6*100</f>
        <v>451.501878670408</v>
      </c>
      <c r="P23" s="102" t="n">
        <f aca="false">P22/$B$6*100</f>
        <v>450.928062932351</v>
      </c>
      <c r="Q23" s="102" t="n">
        <f aca="false">Q22/$B$6*100</f>
        <v>440.333019769659</v>
      </c>
      <c r="R23" s="102" t="n">
        <f aca="false">R22/$B$6*100</f>
        <v>423.370115137243</v>
      </c>
      <c r="S23" s="102" t="n">
        <f aca="false">S22/$B$6*100</f>
        <v>403.360501896068</v>
      </c>
      <c r="T23" s="102" t="n">
        <f aca="false">T22/$B$6*100</f>
        <v>382.647438248744</v>
      </c>
      <c r="U23" s="102" t="n">
        <f aca="false">U22/$B$6*100</f>
        <v>362.613191921681</v>
      </c>
      <c r="V23" s="102" t="n">
        <f aca="false">V22/$B$6*100</f>
        <v>343.94538149545</v>
      </c>
      <c r="W23" s="102" t="n">
        <f aca="false">W22/$B$6*100</f>
        <v>326.90456592009</v>
      </c>
      <c r="X23" s="102" t="n">
        <f aca="false">X22/$B$6*100</f>
        <v>311.516347541502</v>
      </c>
      <c r="Y23" s="102" t="n">
        <f aca="false">Y22/$B$6*100</f>
        <v>297.690107981073</v>
      </c>
      <c r="Z23" s="102" t="n">
        <f aca="false">Z22/$B$6*100</f>
        <v>285.286277590876</v>
      </c>
    </row>
    <row r="24" customFormat="false" ht="14.5" hidden="false" customHeight="false" outlineLevel="0" collapsed="false">
      <c r="A24" s="91" t="s">
        <v>61</v>
      </c>
      <c r="B24" s="102" t="n">
        <f aca="false">B23*SIN(RADIANS(B19))</f>
        <v>249.936713397163</v>
      </c>
      <c r="C24" s="0" t="s">
        <v>59</v>
      </c>
      <c r="F24" s="102" t="n">
        <f aca="false">F23*SIN(RADIANS(F19))</f>
        <v>104.485956628629</v>
      </c>
      <c r="G24" s="102" t="n">
        <f aca="false">G23*SIN(RADIANS(G19))</f>
        <v>130.080981435886</v>
      </c>
      <c r="H24" s="102" t="n">
        <f aca="false">H23*SIN(RADIANS(H19))</f>
        <v>162.184703848029</v>
      </c>
      <c r="I24" s="102" t="n">
        <f aca="false">I23*SIN(RADIANS(I19))</f>
        <v>201.877605874611</v>
      </c>
      <c r="J24" s="102" t="n">
        <f aca="false">J23*SIN(RADIANS(J19))</f>
        <v>249.496490680353</v>
      </c>
      <c r="K24" s="102" t="n">
        <f aca="false">K23*SIN(RADIANS(K19))</f>
        <v>303.538402734308</v>
      </c>
      <c r="L24" s="102" t="n">
        <f aca="false">L23*SIN(RADIANS(L19))</f>
        <v>359.256094018857</v>
      </c>
      <c r="M24" s="102" t="n">
        <f aca="false">M23*SIN(RADIANS(M19))</f>
        <v>408.037554282639</v>
      </c>
      <c r="N24" s="102" t="n">
        <f aca="false">N23*SIN(RADIANS(N19))</f>
        <v>439.471038194784</v>
      </c>
      <c r="O24" s="102" t="n">
        <f aca="false">O23*SIN(RADIANS(O19))</f>
        <v>446.41886712888</v>
      </c>
      <c r="P24" s="102" t="n">
        <f aca="false">P23*SIN(RADIANS(P19))</f>
        <v>429.288217132343</v>
      </c>
      <c r="Q24" s="102" t="n">
        <f aca="false">Q23*SIN(RADIANS(Q19))</f>
        <v>395.156219351763</v>
      </c>
      <c r="R24" s="102" t="n">
        <f aca="false">R23*SIN(RADIANS(R19))</f>
        <v>353.054042860082</v>
      </c>
      <c r="S24" s="102" t="n">
        <f aca="false">S23*SIN(RADIANS(S19))</f>
        <v>310.077422444467</v>
      </c>
      <c r="T24" s="102" t="n">
        <f aca="false">T23*SIN(RADIANS(T19))</f>
        <v>270.284176125665</v>
      </c>
      <c r="U24" s="102" t="n">
        <f aca="false">U23*SIN(RADIANS(U19))</f>
        <v>235.33065145014</v>
      </c>
      <c r="V24" s="102" t="n">
        <f aca="false">V23*SIN(RADIANS(V19))</f>
        <v>205.466743589483</v>
      </c>
      <c r="W24" s="102" t="n">
        <f aca="false">W23*SIN(RADIANS(W19))</f>
        <v>180.283227294379</v>
      </c>
      <c r="X24" s="102" t="n">
        <f aca="false">X23*SIN(RADIANS(X19))</f>
        <v>159.141640170207</v>
      </c>
      <c r="Y24" s="102" t="n">
        <f aca="false">Y23*SIN(RADIANS(Y19))</f>
        <v>141.383280529571</v>
      </c>
      <c r="Z24" s="102" t="n">
        <f aca="false">Z23*SIN(RADIANS(Z19))</f>
        <v>126.414908803412</v>
      </c>
    </row>
    <row r="25" customFormat="false" ht="14.5" hidden="false" customHeight="false" outlineLevel="0" collapsed="false">
      <c r="A25" s="91" t="s">
        <v>62</v>
      </c>
      <c r="B25" s="102" t="n">
        <f aca="false">B23*COS(RADIANS(B19))</f>
        <v>174.457200638532</v>
      </c>
      <c r="C25" s="0" t="s">
        <v>59</v>
      </c>
      <c r="F25" s="102" t="n">
        <f aca="false">F23*COS(RADIANS(F19))</f>
        <v>144.201471564363</v>
      </c>
      <c r="G25" s="102" t="n">
        <f aca="false">G23*COS(RADIANS(G19))</f>
        <v>157.390712663893</v>
      </c>
      <c r="H25" s="102" t="n">
        <f aca="false">H23*COS(RADIANS(H19))</f>
        <v>168.637107671208</v>
      </c>
      <c r="I25" s="102" t="n">
        <f aca="false">I23*COS(RADIANS(I19))</f>
        <v>175.557714549892</v>
      </c>
      <c r="J25" s="102" t="n">
        <f aca="false">J23*COS(RADIANS(J19))</f>
        <v>174.513995811704</v>
      </c>
      <c r="K25" s="102" t="n">
        <f aca="false">K23*COS(RADIANS(K19))</f>
        <v>160.664379172447</v>
      </c>
      <c r="L25" s="102" t="n">
        <f aca="false">L23*COS(RADIANS(L19))</f>
        <v>129.02509070949</v>
      </c>
      <c r="M25" s="102" t="n">
        <f aca="false">M23*COS(RADIANS(M19))</f>
        <v>77.1131356407413</v>
      </c>
      <c r="N25" s="102" t="n">
        <f aca="false">N23*COS(RADIANS(N19))</f>
        <v>8.27330919138932</v>
      </c>
      <c r="O25" s="102" t="n">
        <f aca="false">O23*COS(RADIANS(O19))</f>
        <v>-67.5584303716059</v>
      </c>
      <c r="P25" s="102" t="n">
        <f aca="false">P23*COS(RADIANS(P19))</f>
        <v>-138.013566620305</v>
      </c>
      <c r="Q25" s="102" t="n">
        <f aca="false">Q23*COS(RADIANS(Q19))</f>
        <v>-194.280031416222</v>
      </c>
      <c r="R25" s="102" t="n">
        <f aca="false">R23*COS(RADIANS(R19))</f>
        <v>-233.655937676476</v>
      </c>
      <c r="S25" s="102" t="n">
        <f aca="false">S23*COS(RADIANS(S19))</f>
        <v>-257.976135679336</v>
      </c>
      <c r="T25" s="102" t="n">
        <f aca="false">T23*COS(RADIANS(T19))</f>
        <v>-270.860713530768</v>
      </c>
      <c r="U25" s="102" t="n">
        <f aca="false">U23*COS(RADIANS(U19))</f>
        <v>-275.876442349981</v>
      </c>
      <c r="V25" s="102" t="n">
        <f aca="false">V23*COS(RADIANS(V19))</f>
        <v>-275.829372494635</v>
      </c>
      <c r="W25" s="102" t="n">
        <f aca="false">W23*COS(RADIANS(W19))</f>
        <v>-272.698649017053</v>
      </c>
      <c r="X25" s="102" t="n">
        <f aca="false">X23*COS(RADIANS(X19))</f>
        <v>-267.799128358429</v>
      </c>
      <c r="Y25" s="102" t="n">
        <f aca="false">Y23*COS(RADIANS(Y19))</f>
        <v>-261.973602442077</v>
      </c>
      <c r="Z25" s="102" t="n">
        <f aca="false">Z23*COS(RADIANS(Z19))</f>
        <v>-255.748960924348</v>
      </c>
    </row>
    <row r="27" customFormat="false" ht="14.5" hidden="false" customHeight="false" outlineLevel="0" collapsed="false">
      <c r="B27" s="0" t="s">
        <v>63</v>
      </c>
    </row>
    <row r="28" customFormat="false" ht="14.5" hidden="false" customHeight="false" outlineLevel="0" collapsed="false">
      <c r="A28" s="91" t="s">
        <v>64</v>
      </c>
      <c r="B28" s="0" t="n">
        <v>0</v>
      </c>
      <c r="C28" s="102" t="n">
        <f aca="false">B24</f>
        <v>249.936713397163</v>
      </c>
    </row>
    <row r="29" customFormat="false" ht="14.5" hidden="false" customHeight="false" outlineLevel="0" collapsed="false">
      <c r="A29" s="91" t="s">
        <v>65</v>
      </c>
      <c r="B29" s="0" t="n">
        <v>0</v>
      </c>
      <c r="C29" s="102" t="n">
        <f aca="false">B25</f>
        <v>174.457200638532</v>
      </c>
    </row>
    <row r="30" customFormat="false" ht="14.5" hidden="false" customHeight="false" outlineLevel="0" collapsed="false">
      <c r="A30" s="91" t="s">
        <v>66</v>
      </c>
      <c r="C30" s="102" t="n">
        <f aca="false">B23</f>
        <v>304.801042580908</v>
      </c>
    </row>
    <row r="31" customFormat="false" ht="14.5" hidden="false" customHeight="false" outlineLevel="0" collapsed="false">
      <c r="A31" s="91" t="s">
        <v>67</v>
      </c>
      <c r="C31" s="103" t="n">
        <v>8</v>
      </c>
    </row>
    <row r="32" customFormat="false" ht="14.5" hidden="false" customHeight="false" outlineLevel="0" collapsed="false">
      <c r="A32" s="91" t="s">
        <v>68</v>
      </c>
      <c r="C32" s="102" t="n">
        <f aca="false">C30-C31</f>
        <v>296.801042580908</v>
      </c>
    </row>
    <row r="33" customFormat="false" ht="14.5" hidden="false" customHeight="false" outlineLevel="0" collapsed="false">
      <c r="A33" s="91" t="s">
        <v>69</v>
      </c>
      <c r="B33" s="0" t="n">
        <v>0</v>
      </c>
      <c r="C33" s="0" t="n">
        <f aca="false">C28*C32/C30</f>
        <v>243.376717111564</v>
      </c>
    </row>
    <row r="34" customFormat="false" ht="14.5" hidden="false" customHeight="false" outlineLevel="0" collapsed="false">
      <c r="A34" s="91" t="s">
        <v>70</v>
      </c>
      <c r="B34" s="0" t="n">
        <v>0</v>
      </c>
      <c r="C34" s="0" t="n">
        <f aca="false">C29*C32/C30</f>
        <v>169.878287150276</v>
      </c>
    </row>
    <row r="36" customFormat="false" ht="14.5" hidden="false" customHeight="false" outlineLevel="0" collapsed="false">
      <c r="B36" s="0" t="s">
        <v>71</v>
      </c>
    </row>
    <row r="37" customFormat="false" ht="14.5" hidden="false" customHeight="false" outlineLevel="0" collapsed="false">
      <c r="A37" s="91" t="s">
        <v>64</v>
      </c>
      <c r="B37" s="102" t="n">
        <f aca="false">B24</f>
        <v>249.936713397163</v>
      </c>
      <c r="C37" s="0" t="n">
        <v>0</v>
      </c>
    </row>
    <row r="38" customFormat="false" ht="14.5" hidden="false" customHeight="false" outlineLevel="0" collapsed="false">
      <c r="A38" s="91" t="s">
        <v>65</v>
      </c>
      <c r="B38" s="102" t="n">
        <f aca="false">B25</f>
        <v>174.457200638532</v>
      </c>
      <c r="C38" s="0" t="n">
        <v>-100</v>
      </c>
    </row>
    <row r="41" customFormat="false" ht="14.5" hidden="false" customHeight="false" outlineLevel="0" collapsed="false">
      <c r="A41" s="91"/>
    </row>
    <row r="42" customFormat="false" ht="14.5" hidden="false" customHeight="false" outlineLevel="0" collapsed="false">
      <c r="A42" s="91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2023-07-20T16:49:39Z</dcterms:created>
  <dc:creator>luc armant</dc:creator>
  <dc:description/>
  <dc:language>en-US</dc:language>
  <cp:lastModifiedBy/>
  <dcterms:modified xsi:type="dcterms:W3CDTF">2023-07-27T22:20:54Z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