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customUI14.xml" ContentType="application/ui.customui14+xml"/>
</Types>
</file>

<file path=_rels/.rels><?xml version="1.0" encoding="UTF-8" standalone="yes"?>
<Relationships xmlns="http://schemas.openxmlformats.org/package/2006/relationships"><Relationship Id="rIdPipeTallyUI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HX_FieldCap\"/>
    </mc:Choice>
  </mc:AlternateContent>
  <xr:revisionPtr revIDLastSave="0" documentId="13_ncr:1_{48F1E295-E751-4B90-A256-7A633AF60F53}" xr6:coauthVersionLast="47" xr6:coauthVersionMax="47" xr10:uidLastSave="{00000000-0000-0000-0000-000000000000}"/>
  <bookViews>
    <workbookView xWindow="4776" yWindow="4776" windowWidth="23040" windowHeight="13560" tabRatio="775" activeTab="3" xr2:uid="{C0142751-5FF2-4CC5-93E7-F87404966E74}"/>
  </bookViews>
  <sheets>
    <sheet name="Setup" sheetId="49" r:id="rId1"/>
    <sheet name="Costs" sheetId="36" state="hidden" r:id="rId2"/>
    <sheet name="Data" sheetId="6" r:id="rId3"/>
    <sheet name="Slidesheet" sheetId="8" r:id="rId4"/>
    <sheet name="Pipe Tally Calculator" sheetId="51" state="hidden" r:id="rId5"/>
    <sheet name="DD Tools" sheetId="38" state="hidden" r:id="rId6"/>
    <sheet name="Sidetrack Points" sheetId="17" state="hidden" r:id="rId7"/>
    <sheet name="Sidetrack" sheetId="14" state="hidden" r:id="rId8"/>
    <sheet name="_FC_Job" sheetId="39" state="veryHidden" r:id="rId9"/>
    <sheet name="_FC_Crew" sheetId="40" state="veryHidden" r:id="rId10"/>
    <sheet name="_FC_BHA" sheetId="41" state="veryHidden" r:id="rId11"/>
    <sheet name="_OC_Job" sheetId="42" state="veryHidden" r:id="rId12"/>
    <sheet name="_OC_Crew" sheetId="43" state="veryHidden" r:id="rId13"/>
    <sheet name="_OC_BHA" sheetId="44" state="veryHidden" r:id="rId14"/>
    <sheet name="_OC_Slide" sheetId="45" state="veryHidden" r:id="rId15"/>
    <sheet name="_OC_Inventory" sheetId="46" state="veryHidden" r:id="rId16"/>
    <sheet name="_OC_Survey" sheetId="47" state="veryHidden" r:id="rId17"/>
    <sheet name="_OC_AC" sheetId="48" state="veryHidden" r:id="rId18"/>
    <sheet name="_OC_Costs" sheetId="50" state="veryHidden" r:id="rId19"/>
    <sheet name="_OC_PlanSec" sheetId="52" state="veryHidden" r:id="rId20"/>
  </sheets>
  <functionGroups builtInGroupCount="19"/>
  <externalReferences>
    <externalReference r:id="rId21"/>
  </externalReferences>
  <definedNames>
    <definedName name="__BHA15" localSheetId="1" hidden="1">{#N/A,#N/A,FALSE,"Drlg Param Run 1-1";#N/A,#N/A,FALSE,"DDR (3)";#N/A,#N/A,FALSE,"BHA AT (1)";#N/A,#N/A,FALSE,"Downlinkbha";#N/A,#N/A,FALSE,"Job Status Report"}</definedName>
    <definedName name="__BHA15" localSheetId="2" hidden="1">{#N/A,#N/A,FALSE,"Drlg Param Run 1-1";#N/A,#N/A,FALSE,"DDR (3)";#N/A,#N/A,FALSE,"BHA AT (1)";#N/A,#N/A,FALSE,"Downlinkbha";#N/A,#N/A,FALSE,"Job Status Report"}</definedName>
    <definedName name="__BHA15" localSheetId="5" hidden="1">{#N/A,#N/A,FALSE,"Drlg Param Run 1-1";#N/A,#N/A,FALSE,"DDR (3)";#N/A,#N/A,FALSE,"BHA AT (1)";#N/A,#N/A,FALSE,"Downlinkbha";#N/A,#N/A,FALSE,"Job Status Report"}</definedName>
    <definedName name="__BHA15" localSheetId="4" hidden="1">{#N/A,#N/A,FALSE,"Drlg Param Run 1-1";#N/A,#N/A,FALSE,"DDR (3)";#N/A,#N/A,FALSE,"BHA AT (1)";#N/A,#N/A,FALSE,"Downlinkbha";#N/A,#N/A,FALSE,"Job Status Report"}</definedName>
    <definedName name="__BHA15" localSheetId="7" hidden="1">{#N/A,#N/A,FALSE,"Drlg Param Run 1-1";#N/A,#N/A,FALSE,"DDR (3)";#N/A,#N/A,FALSE,"BHA AT (1)";#N/A,#N/A,FALSE,"Downlinkbha";#N/A,#N/A,FALSE,"Job Status Report"}</definedName>
    <definedName name="__BHA15" localSheetId="3" hidden="1">{#N/A,#N/A,FALSE,"Drlg Param Run 1-1";#N/A,#N/A,FALSE,"DDR (3)";#N/A,#N/A,FALSE,"BHA AT (1)";#N/A,#N/A,FALSE,"Downlinkbha";#N/A,#N/A,FALSE,"Job Status Report"}</definedName>
    <definedName name="__BHA15" hidden="1">{#N/A,#N/A,FALSE,"Drlg Param Run 1-1";#N/A,#N/A,FALSE,"DDR (3)";#N/A,#N/A,FALSE,"BHA AT (1)";#N/A,#N/A,FALSE,"Downlinkbha";#N/A,#N/A,FALSE,"Job Status Report"}</definedName>
    <definedName name="__BHA3" localSheetId="1" hidden="1">{#N/A,#N/A,FALSE,"Drlg Param Run 1-1";#N/A,#N/A,FALSE,"DDR (3)";#N/A,#N/A,FALSE,"BHA AT (1)";#N/A,#N/A,FALSE,"Downlinkbha";#N/A,#N/A,FALSE,"Job Status Report"}</definedName>
    <definedName name="__BHA3" localSheetId="2" hidden="1">{#N/A,#N/A,FALSE,"Drlg Param Run 1-1";#N/A,#N/A,FALSE,"DDR (3)";#N/A,#N/A,FALSE,"BHA AT (1)";#N/A,#N/A,FALSE,"Downlinkbha";#N/A,#N/A,FALSE,"Job Status Report"}</definedName>
    <definedName name="__BHA3" localSheetId="5" hidden="1">{#N/A,#N/A,FALSE,"Drlg Param Run 1-1";#N/A,#N/A,FALSE,"DDR (3)";#N/A,#N/A,FALSE,"BHA AT (1)";#N/A,#N/A,FALSE,"Downlinkbha";#N/A,#N/A,FALSE,"Job Status Report"}</definedName>
    <definedName name="__BHA3" localSheetId="4" hidden="1">{#N/A,#N/A,FALSE,"Drlg Param Run 1-1";#N/A,#N/A,FALSE,"DDR (3)";#N/A,#N/A,FALSE,"BHA AT (1)";#N/A,#N/A,FALSE,"Downlinkbha";#N/A,#N/A,FALSE,"Job Status Report"}</definedName>
    <definedName name="__BHA3" localSheetId="7" hidden="1">{#N/A,#N/A,FALSE,"Drlg Param Run 1-1";#N/A,#N/A,FALSE,"DDR (3)";#N/A,#N/A,FALSE,"BHA AT (1)";#N/A,#N/A,FALSE,"Downlinkbha";#N/A,#N/A,FALSE,"Job Status Report"}</definedName>
    <definedName name="__BHA3" localSheetId="3" hidden="1">{#N/A,#N/A,FALSE,"Drlg Param Run 1-1";#N/A,#N/A,FALSE,"DDR (3)";#N/A,#N/A,FALSE,"BHA AT (1)";#N/A,#N/A,FALSE,"Downlinkbha";#N/A,#N/A,FALSE,"Job Status Report"}</definedName>
    <definedName name="__BHA3" hidden="1">{#N/A,#N/A,FALSE,"Drlg Param Run 1-1";#N/A,#N/A,FALSE,"DDR (3)";#N/A,#N/A,FALSE,"BHA AT (1)";#N/A,#N/A,FALSE,"Downlinkbha";#N/A,#N/A,FALSE,"Job Status Report"}</definedName>
    <definedName name="__BHA30" localSheetId="1" hidden="1">{#N/A,#N/A,FALSE,"Drlg Param Run 1-1";#N/A,#N/A,FALSE,"DDR (3)";#N/A,#N/A,FALSE,"BHA AT (1)";#N/A,#N/A,FALSE,"Downlinkbha";#N/A,#N/A,FALSE,"Job Status Report"}</definedName>
    <definedName name="__BHA30" localSheetId="2" hidden="1">{#N/A,#N/A,FALSE,"Drlg Param Run 1-1";#N/A,#N/A,FALSE,"DDR (3)";#N/A,#N/A,FALSE,"BHA AT (1)";#N/A,#N/A,FALSE,"Downlinkbha";#N/A,#N/A,FALSE,"Job Status Report"}</definedName>
    <definedName name="__BHA30" localSheetId="5" hidden="1">{#N/A,#N/A,FALSE,"Drlg Param Run 1-1";#N/A,#N/A,FALSE,"DDR (3)";#N/A,#N/A,FALSE,"BHA AT (1)";#N/A,#N/A,FALSE,"Downlinkbha";#N/A,#N/A,FALSE,"Job Status Report"}</definedName>
    <definedName name="__BHA30" localSheetId="4" hidden="1">{#N/A,#N/A,FALSE,"Drlg Param Run 1-1";#N/A,#N/A,FALSE,"DDR (3)";#N/A,#N/A,FALSE,"BHA AT (1)";#N/A,#N/A,FALSE,"Downlinkbha";#N/A,#N/A,FALSE,"Job Status Report"}</definedName>
    <definedName name="__BHA30" localSheetId="7" hidden="1">{#N/A,#N/A,FALSE,"Drlg Param Run 1-1";#N/A,#N/A,FALSE,"DDR (3)";#N/A,#N/A,FALSE,"BHA AT (1)";#N/A,#N/A,FALSE,"Downlinkbha";#N/A,#N/A,FALSE,"Job Status Report"}</definedName>
    <definedName name="__BHA30" localSheetId="3" hidden="1">{#N/A,#N/A,FALSE,"Drlg Param Run 1-1";#N/A,#N/A,FALSE,"DDR (3)";#N/A,#N/A,FALSE,"BHA AT (1)";#N/A,#N/A,FALSE,"Downlinkbha";#N/A,#N/A,FALSE,"Job Status Report"}</definedName>
    <definedName name="__BHA30" hidden="1">{#N/A,#N/A,FALSE,"Drlg Param Run 1-1";#N/A,#N/A,FALSE,"DDR (3)";#N/A,#N/A,FALSE,"BHA AT (1)";#N/A,#N/A,FALSE,"Downlinkbha";#N/A,#N/A,FALSE,"Job Status Report"}</definedName>
    <definedName name="__D2" localSheetId="1" hidden="1">{#N/A,#N/A,FALSE,"Drlg Param Run 1-1";#N/A,#N/A,FALSE,"DDR (3)";#N/A,#N/A,FALSE,"BHA AT (1)";#N/A,#N/A,FALSE,"Downlinkbha";#N/A,#N/A,FALSE,"Job Status Report"}</definedName>
    <definedName name="__D2" localSheetId="2" hidden="1">{#N/A,#N/A,FALSE,"Drlg Param Run 1-1";#N/A,#N/A,FALSE,"DDR (3)";#N/A,#N/A,FALSE,"BHA AT (1)";#N/A,#N/A,FALSE,"Downlinkbha";#N/A,#N/A,FALSE,"Job Status Report"}</definedName>
    <definedName name="__D2" localSheetId="5" hidden="1">{#N/A,#N/A,FALSE,"Drlg Param Run 1-1";#N/A,#N/A,FALSE,"DDR (3)";#N/A,#N/A,FALSE,"BHA AT (1)";#N/A,#N/A,FALSE,"Downlinkbha";#N/A,#N/A,FALSE,"Job Status Report"}</definedName>
    <definedName name="__D2" localSheetId="4" hidden="1">{#N/A,#N/A,FALSE,"Drlg Param Run 1-1";#N/A,#N/A,FALSE,"DDR (3)";#N/A,#N/A,FALSE,"BHA AT (1)";#N/A,#N/A,FALSE,"Downlinkbha";#N/A,#N/A,FALSE,"Job Status Report"}</definedName>
    <definedName name="__D2" localSheetId="7" hidden="1">{#N/A,#N/A,FALSE,"Drlg Param Run 1-1";#N/A,#N/A,FALSE,"DDR (3)";#N/A,#N/A,FALSE,"BHA AT (1)";#N/A,#N/A,FALSE,"Downlinkbha";#N/A,#N/A,FALSE,"Job Status Report"}</definedName>
    <definedName name="__D2" localSheetId="3" hidden="1">{#N/A,#N/A,FALSE,"Drlg Param Run 1-1";#N/A,#N/A,FALSE,"DDR (3)";#N/A,#N/A,FALSE,"BHA AT (1)";#N/A,#N/A,FALSE,"Downlinkbha";#N/A,#N/A,FALSE,"Job Status Report"}</definedName>
    <definedName name="__D2" hidden="1">{#N/A,#N/A,FALSE,"Drlg Param Run 1-1";#N/A,#N/A,FALSE,"DDR (3)";#N/A,#N/A,FALSE,"BHA AT (1)";#N/A,#N/A,FALSE,"Downlinkbha";#N/A,#N/A,FALSE,"Job Status Report"}</definedName>
    <definedName name="__DDR10" localSheetId="1" hidden="1">{#N/A,#N/A,FALSE,"Drlg Param Run 1-1";#N/A,#N/A,FALSE,"DDR (3)";#N/A,#N/A,FALSE,"BHA AT (1)";#N/A,#N/A,FALSE,"Downlinkbha";#N/A,#N/A,FALSE,"Job Status Report"}</definedName>
    <definedName name="__DDR10" localSheetId="2" hidden="1">{#N/A,#N/A,FALSE,"Drlg Param Run 1-1";#N/A,#N/A,FALSE,"DDR (3)";#N/A,#N/A,FALSE,"BHA AT (1)";#N/A,#N/A,FALSE,"Downlinkbha";#N/A,#N/A,FALSE,"Job Status Report"}</definedName>
    <definedName name="__DDR10" localSheetId="5" hidden="1">{#N/A,#N/A,FALSE,"Drlg Param Run 1-1";#N/A,#N/A,FALSE,"DDR (3)";#N/A,#N/A,FALSE,"BHA AT (1)";#N/A,#N/A,FALSE,"Downlinkbha";#N/A,#N/A,FALSE,"Job Status Report"}</definedName>
    <definedName name="__DDR10" localSheetId="4" hidden="1">{#N/A,#N/A,FALSE,"Drlg Param Run 1-1";#N/A,#N/A,FALSE,"DDR (3)";#N/A,#N/A,FALSE,"BHA AT (1)";#N/A,#N/A,FALSE,"Downlinkbha";#N/A,#N/A,FALSE,"Job Status Report"}</definedName>
    <definedName name="__DDR10" localSheetId="7" hidden="1">{#N/A,#N/A,FALSE,"Drlg Param Run 1-1";#N/A,#N/A,FALSE,"DDR (3)";#N/A,#N/A,FALSE,"BHA AT (1)";#N/A,#N/A,FALSE,"Downlinkbha";#N/A,#N/A,FALSE,"Job Status Report"}</definedName>
    <definedName name="__DDR10" localSheetId="3" hidden="1">{#N/A,#N/A,FALSE,"Drlg Param Run 1-1";#N/A,#N/A,FALSE,"DDR (3)";#N/A,#N/A,FALSE,"BHA AT (1)";#N/A,#N/A,FALSE,"Downlinkbha";#N/A,#N/A,FALSE,"Job Status Report"}</definedName>
    <definedName name="__DDR10" hidden="1">{#N/A,#N/A,FALSE,"Drlg Param Run 1-1";#N/A,#N/A,FALSE,"DDR (3)";#N/A,#N/A,FALSE,"BHA AT (1)";#N/A,#N/A,FALSE,"Downlinkbha";#N/A,#N/A,FALSE,"Job Status Report"}</definedName>
    <definedName name="__DDR4" localSheetId="1" hidden="1">{#N/A,#N/A,FALSE,"Drlg Param Run 1-1";#N/A,#N/A,FALSE,"DDR (3)";#N/A,#N/A,FALSE,"BHA AT (1)";#N/A,#N/A,FALSE,"Downlinkbha";#N/A,#N/A,FALSE,"Job Status Report"}</definedName>
    <definedName name="__DDR4" localSheetId="2" hidden="1">{#N/A,#N/A,FALSE,"Drlg Param Run 1-1";#N/A,#N/A,FALSE,"DDR (3)";#N/A,#N/A,FALSE,"BHA AT (1)";#N/A,#N/A,FALSE,"Downlinkbha";#N/A,#N/A,FALSE,"Job Status Report"}</definedName>
    <definedName name="__DDR4" localSheetId="5" hidden="1">{#N/A,#N/A,FALSE,"Drlg Param Run 1-1";#N/A,#N/A,FALSE,"DDR (3)";#N/A,#N/A,FALSE,"BHA AT (1)";#N/A,#N/A,FALSE,"Downlinkbha";#N/A,#N/A,FALSE,"Job Status Report"}</definedName>
    <definedName name="__DDR4" localSheetId="4" hidden="1">{#N/A,#N/A,FALSE,"Drlg Param Run 1-1";#N/A,#N/A,FALSE,"DDR (3)";#N/A,#N/A,FALSE,"BHA AT (1)";#N/A,#N/A,FALSE,"Downlinkbha";#N/A,#N/A,FALSE,"Job Status Report"}</definedName>
    <definedName name="__DDR4" localSheetId="7" hidden="1">{#N/A,#N/A,FALSE,"Drlg Param Run 1-1";#N/A,#N/A,FALSE,"DDR (3)";#N/A,#N/A,FALSE,"BHA AT (1)";#N/A,#N/A,FALSE,"Downlinkbha";#N/A,#N/A,FALSE,"Job Status Report"}</definedName>
    <definedName name="__DDR4" localSheetId="3" hidden="1">{#N/A,#N/A,FALSE,"Drlg Param Run 1-1";#N/A,#N/A,FALSE,"DDR (3)";#N/A,#N/A,FALSE,"BHA AT (1)";#N/A,#N/A,FALSE,"Downlinkbha";#N/A,#N/A,FALSE,"Job Status Report"}</definedName>
    <definedName name="__DDR4" hidden="1">{#N/A,#N/A,FALSE,"Drlg Param Run 1-1";#N/A,#N/A,FALSE,"DDR (3)";#N/A,#N/A,FALSE,"BHA AT (1)";#N/A,#N/A,FALSE,"Downlinkbha";#N/A,#N/A,FALSE,"Job Status Report"}</definedName>
    <definedName name="__DDR40" localSheetId="1" hidden="1">{#N/A,#N/A,FALSE,"Drlg Param Run 1-1";#N/A,#N/A,FALSE,"DDR (3)";#N/A,#N/A,FALSE,"BHA AT (1)";#N/A,#N/A,FALSE,"Downlinkbha";#N/A,#N/A,FALSE,"Job Status Report"}</definedName>
    <definedName name="__DDR40" localSheetId="2" hidden="1">{#N/A,#N/A,FALSE,"Drlg Param Run 1-1";#N/A,#N/A,FALSE,"DDR (3)";#N/A,#N/A,FALSE,"BHA AT (1)";#N/A,#N/A,FALSE,"Downlinkbha";#N/A,#N/A,FALSE,"Job Status Report"}</definedName>
    <definedName name="__DDR40" localSheetId="5" hidden="1">{#N/A,#N/A,FALSE,"Drlg Param Run 1-1";#N/A,#N/A,FALSE,"DDR (3)";#N/A,#N/A,FALSE,"BHA AT (1)";#N/A,#N/A,FALSE,"Downlinkbha";#N/A,#N/A,FALSE,"Job Status Report"}</definedName>
    <definedName name="__DDR40" localSheetId="4" hidden="1">{#N/A,#N/A,FALSE,"Drlg Param Run 1-1";#N/A,#N/A,FALSE,"DDR (3)";#N/A,#N/A,FALSE,"BHA AT (1)";#N/A,#N/A,FALSE,"Downlinkbha";#N/A,#N/A,FALSE,"Job Status Report"}</definedName>
    <definedName name="__DDR40" localSheetId="7" hidden="1">{#N/A,#N/A,FALSE,"Drlg Param Run 1-1";#N/A,#N/A,FALSE,"DDR (3)";#N/A,#N/A,FALSE,"BHA AT (1)";#N/A,#N/A,FALSE,"Downlinkbha";#N/A,#N/A,FALSE,"Job Status Report"}</definedName>
    <definedName name="__DDR40" localSheetId="3" hidden="1">{#N/A,#N/A,FALSE,"Drlg Param Run 1-1";#N/A,#N/A,FALSE,"DDR (3)";#N/A,#N/A,FALSE,"BHA AT (1)";#N/A,#N/A,FALSE,"Downlinkbha";#N/A,#N/A,FALSE,"Job Status Report"}</definedName>
    <definedName name="__DDR40" hidden="1">{#N/A,#N/A,FALSE,"Drlg Param Run 1-1";#N/A,#N/A,FALSE,"DDR (3)";#N/A,#N/A,FALSE,"BHA AT (1)";#N/A,#N/A,FALSE,"Downlinkbha";#N/A,#N/A,FALSE,"Job Status Report"}</definedName>
    <definedName name="__ddr42" localSheetId="1" hidden="1">{#N/A,#N/A,FALSE,"Drlg Param Run 1-1";#N/A,#N/A,FALSE,"DDR (3)";#N/A,#N/A,FALSE,"BHA AT (1)";#N/A,#N/A,FALSE,"Downlinkbha";#N/A,#N/A,FALSE,"Job Status Report"}</definedName>
    <definedName name="__ddr42" localSheetId="2" hidden="1">{#N/A,#N/A,FALSE,"Drlg Param Run 1-1";#N/A,#N/A,FALSE,"DDR (3)";#N/A,#N/A,FALSE,"BHA AT (1)";#N/A,#N/A,FALSE,"Downlinkbha";#N/A,#N/A,FALSE,"Job Status Report"}</definedName>
    <definedName name="__ddr42" localSheetId="5" hidden="1">{#N/A,#N/A,FALSE,"Drlg Param Run 1-1";#N/A,#N/A,FALSE,"DDR (3)";#N/A,#N/A,FALSE,"BHA AT (1)";#N/A,#N/A,FALSE,"Downlinkbha";#N/A,#N/A,FALSE,"Job Status Report"}</definedName>
    <definedName name="__ddr42" localSheetId="4" hidden="1">{#N/A,#N/A,FALSE,"Drlg Param Run 1-1";#N/A,#N/A,FALSE,"DDR (3)";#N/A,#N/A,FALSE,"BHA AT (1)";#N/A,#N/A,FALSE,"Downlinkbha";#N/A,#N/A,FALSE,"Job Status Report"}</definedName>
    <definedName name="__ddr42" localSheetId="7" hidden="1">{#N/A,#N/A,FALSE,"Drlg Param Run 1-1";#N/A,#N/A,FALSE,"DDR (3)";#N/A,#N/A,FALSE,"BHA AT (1)";#N/A,#N/A,FALSE,"Downlinkbha";#N/A,#N/A,FALSE,"Job Status Report"}</definedName>
    <definedName name="__ddr42" localSheetId="3" hidden="1">{#N/A,#N/A,FALSE,"Drlg Param Run 1-1";#N/A,#N/A,FALSE,"DDR (3)";#N/A,#N/A,FALSE,"BHA AT (1)";#N/A,#N/A,FALSE,"Downlinkbha";#N/A,#N/A,FALSE,"Job Status Report"}</definedName>
    <definedName name="__ddr42" hidden="1">{#N/A,#N/A,FALSE,"Drlg Param Run 1-1";#N/A,#N/A,FALSE,"DDR (3)";#N/A,#N/A,FALSE,"BHA AT (1)";#N/A,#N/A,FALSE,"Downlinkbha";#N/A,#N/A,FALSE,"Job Status Report"}</definedName>
    <definedName name="__DDR53" localSheetId="1" hidden="1">{#N/A,#N/A,FALSE,"Drlg Param Run 1-1";#N/A,#N/A,FALSE,"DDR (3)";#N/A,#N/A,FALSE,"BHA AT (1)";#N/A,#N/A,FALSE,"Downlinkbha";#N/A,#N/A,FALSE,"Job Status Report"}</definedName>
    <definedName name="__DDR53" localSheetId="2" hidden="1">{#N/A,#N/A,FALSE,"Drlg Param Run 1-1";#N/A,#N/A,FALSE,"DDR (3)";#N/A,#N/A,FALSE,"BHA AT (1)";#N/A,#N/A,FALSE,"Downlinkbha";#N/A,#N/A,FALSE,"Job Status Report"}</definedName>
    <definedName name="__DDR53" localSheetId="5" hidden="1">{#N/A,#N/A,FALSE,"Drlg Param Run 1-1";#N/A,#N/A,FALSE,"DDR (3)";#N/A,#N/A,FALSE,"BHA AT (1)";#N/A,#N/A,FALSE,"Downlinkbha";#N/A,#N/A,FALSE,"Job Status Report"}</definedName>
    <definedName name="__DDR53" localSheetId="4" hidden="1">{#N/A,#N/A,FALSE,"Drlg Param Run 1-1";#N/A,#N/A,FALSE,"DDR (3)";#N/A,#N/A,FALSE,"BHA AT (1)";#N/A,#N/A,FALSE,"Downlinkbha";#N/A,#N/A,FALSE,"Job Status Report"}</definedName>
    <definedName name="__DDR53" localSheetId="7" hidden="1">{#N/A,#N/A,FALSE,"Drlg Param Run 1-1";#N/A,#N/A,FALSE,"DDR (3)";#N/A,#N/A,FALSE,"BHA AT (1)";#N/A,#N/A,FALSE,"Downlinkbha";#N/A,#N/A,FALSE,"Job Status Report"}</definedName>
    <definedName name="__DDR53" localSheetId="3" hidden="1">{#N/A,#N/A,FALSE,"Drlg Param Run 1-1";#N/A,#N/A,FALSE,"DDR (3)";#N/A,#N/A,FALSE,"BHA AT (1)";#N/A,#N/A,FALSE,"Downlinkbha";#N/A,#N/A,FALSE,"Job Status Report"}</definedName>
    <definedName name="__DDR53" hidden="1">{#N/A,#N/A,FALSE,"Drlg Param Run 1-1";#N/A,#N/A,FALSE,"DDR (3)";#N/A,#N/A,FALSE,"BHA AT (1)";#N/A,#N/A,FALSE,"Downlinkbha";#N/A,#N/A,FALSE,"Job Status Report"}</definedName>
    <definedName name="__ddr54" localSheetId="1" hidden="1">{#N/A,#N/A,FALSE,"Drlg Param Run 1-1";#N/A,#N/A,FALSE,"DDR (3)";#N/A,#N/A,FALSE,"BHA AT (1)";#N/A,#N/A,FALSE,"Downlinkbha";#N/A,#N/A,FALSE,"Job Status Report"}</definedName>
    <definedName name="__ddr54" localSheetId="2" hidden="1">{#N/A,#N/A,FALSE,"Drlg Param Run 1-1";#N/A,#N/A,FALSE,"DDR (3)";#N/A,#N/A,FALSE,"BHA AT (1)";#N/A,#N/A,FALSE,"Downlinkbha";#N/A,#N/A,FALSE,"Job Status Report"}</definedName>
    <definedName name="__ddr54" localSheetId="5" hidden="1">{#N/A,#N/A,FALSE,"Drlg Param Run 1-1";#N/A,#N/A,FALSE,"DDR (3)";#N/A,#N/A,FALSE,"BHA AT (1)";#N/A,#N/A,FALSE,"Downlinkbha";#N/A,#N/A,FALSE,"Job Status Report"}</definedName>
    <definedName name="__ddr54" localSheetId="4" hidden="1">{#N/A,#N/A,FALSE,"Drlg Param Run 1-1";#N/A,#N/A,FALSE,"DDR (3)";#N/A,#N/A,FALSE,"BHA AT (1)";#N/A,#N/A,FALSE,"Downlinkbha";#N/A,#N/A,FALSE,"Job Status Report"}</definedName>
    <definedName name="__ddr54" localSheetId="7" hidden="1">{#N/A,#N/A,FALSE,"Drlg Param Run 1-1";#N/A,#N/A,FALSE,"DDR (3)";#N/A,#N/A,FALSE,"BHA AT (1)";#N/A,#N/A,FALSE,"Downlinkbha";#N/A,#N/A,FALSE,"Job Status Report"}</definedName>
    <definedName name="__ddr54" localSheetId="3" hidden="1">{#N/A,#N/A,FALSE,"Drlg Param Run 1-1";#N/A,#N/A,FALSE,"DDR (3)";#N/A,#N/A,FALSE,"BHA AT (1)";#N/A,#N/A,FALSE,"Downlinkbha";#N/A,#N/A,FALSE,"Job Status Report"}</definedName>
    <definedName name="__ddr54" hidden="1">{#N/A,#N/A,FALSE,"Drlg Param Run 1-1";#N/A,#N/A,FALSE,"DDR (3)";#N/A,#N/A,FALSE,"BHA AT (1)";#N/A,#N/A,FALSE,"Downlinkbha";#N/A,#N/A,FALSE,"Job Status Report"}</definedName>
    <definedName name="__Dec4" localSheetId="1" hidden="1">{#N/A,#N/A,FALSE,"Drlg Param Run 1-1";#N/A,#N/A,FALSE,"DDR (3)";#N/A,#N/A,FALSE,"BHA AT (1)";#N/A,#N/A,FALSE,"Downlinkbha";#N/A,#N/A,FALSE,"Job Status Report"}</definedName>
    <definedName name="__Dec4" localSheetId="2" hidden="1">{#N/A,#N/A,FALSE,"Drlg Param Run 1-1";#N/A,#N/A,FALSE,"DDR (3)";#N/A,#N/A,FALSE,"BHA AT (1)";#N/A,#N/A,FALSE,"Downlinkbha";#N/A,#N/A,FALSE,"Job Status Report"}</definedName>
    <definedName name="__Dec4" localSheetId="5" hidden="1">{#N/A,#N/A,FALSE,"Drlg Param Run 1-1";#N/A,#N/A,FALSE,"DDR (3)";#N/A,#N/A,FALSE,"BHA AT (1)";#N/A,#N/A,FALSE,"Downlinkbha";#N/A,#N/A,FALSE,"Job Status Report"}</definedName>
    <definedName name="__Dec4" localSheetId="4" hidden="1">{#N/A,#N/A,FALSE,"Drlg Param Run 1-1";#N/A,#N/A,FALSE,"DDR (3)";#N/A,#N/A,FALSE,"BHA AT (1)";#N/A,#N/A,FALSE,"Downlinkbha";#N/A,#N/A,FALSE,"Job Status Report"}</definedName>
    <definedName name="__Dec4" localSheetId="7" hidden="1">{#N/A,#N/A,FALSE,"Drlg Param Run 1-1";#N/A,#N/A,FALSE,"DDR (3)";#N/A,#N/A,FALSE,"BHA AT (1)";#N/A,#N/A,FALSE,"Downlinkbha";#N/A,#N/A,FALSE,"Job Status Report"}</definedName>
    <definedName name="__Dec4" localSheetId="3" hidden="1">{#N/A,#N/A,FALSE,"Drlg Param Run 1-1";#N/A,#N/A,FALSE,"DDR (3)";#N/A,#N/A,FALSE,"BHA AT (1)";#N/A,#N/A,FALSE,"Downlinkbha";#N/A,#N/A,FALSE,"Job Status Report"}</definedName>
    <definedName name="__Dec4" hidden="1">{#N/A,#N/A,FALSE,"Drlg Param Run 1-1";#N/A,#N/A,FALSE,"DDR (3)";#N/A,#N/A,FALSE,"BHA AT (1)";#N/A,#N/A,FALSE,"Downlinkbha";#N/A,#N/A,FALSE,"Job Status Report"}</definedName>
    <definedName name="__Feb16" localSheetId="1" hidden="1">{#N/A,#N/A,FALSE,"Drlg Param Run 1-1";#N/A,#N/A,FALSE,"DDR (3)";#N/A,#N/A,FALSE,"BHA AT (1)";#N/A,#N/A,FALSE,"Downlinkbha";#N/A,#N/A,FALSE,"Job Status Report"}</definedName>
    <definedName name="__Feb16" localSheetId="2" hidden="1">{#N/A,#N/A,FALSE,"Drlg Param Run 1-1";#N/A,#N/A,FALSE,"DDR (3)";#N/A,#N/A,FALSE,"BHA AT (1)";#N/A,#N/A,FALSE,"Downlinkbha";#N/A,#N/A,FALSE,"Job Status Report"}</definedName>
    <definedName name="__Feb16" localSheetId="5" hidden="1">{#N/A,#N/A,FALSE,"Drlg Param Run 1-1";#N/A,#N/A,FALSE,"DDR (3)";#N/A,#N/A,FALSE,"BHA AT (1)";#N/A,#N/A,FALSE,"Downlinkbha";#N/A,#N/A,FALSE,"Job Status Report"}</definedName>
    <definedName name="__Feb16" localSheetId="4" hidden="1">{#N/A,#N/A,FALSE,"Drlg Param Run 1-1";#N/A,#N/A,FALSE,"DDR (3)";#N/A,#N/A,FALSE,"BHA AT (1)";#N/A,#N/A,FALSE,"Downlinkbha";#N/A,#N/A,FALSE,"Job Status Report"}</definedName>
    <definedName name="__Feb16" localSheetId="7" hidden="1">{#N/A,#N/A,FALSE,"Drlg Param Run 1-1";#N/A,#N/A,FALSE,"DDR (3)";#N/A,#N/A,FALSE,"BHA AT (1)";#N/A,#N/A,FALSE,"Downlinkbha";#N/A,#N/A,FALSE,"Job Status Report"}</definedName>
    <definedName name="__Feb16" localSheetId="3" hidden="1">{#N/A,#N/A,FALSE,"Drlg Param Run 1-1";#N/A,#N/A,FALSE,"DDR (3)";#N/A,#N/A,FALSE,"BHA AT (1)";#N/A,#N/A,FALSE,"Downlinkbha";#N/A,#N/A,FALSE,"Job Status Report"}</definedName>
    <definedName name="__Feb16" hidden="1">{#N/A,#N/A,FALSE,"Drlg Param Run 1-1";#N/A,#N/A,FALSE,"DDR (3)";#N/A,#N/A,FALSE,"BHA AT (1)";#N/A,#N/A,FALSE,"Downlinkbha";#N/A,#N/A,FALSE,"Job Status Report"}</definedName>
    <definedName name="__IntlFixup" hidden="1">TRUE</definedName>
    <definedName name="__NB1" localSheetId="1" hidden="1">{#N/A,#N/A,FALSE,"Drlg Param Run 1-1";#N/A,#N/A,FALSE,"DDR (3)";#N/A,#N/A,FALSE,"BHA AT (1)";#N/A,#N/A,FALSE,"Downlinkbha";#N/A,#N/A,FALSE,"Job Status Report"}</definedName>
    <definedName name="__NB1" localSheetId="2" hidden="1">{#N/A,#N/A,FALSE,"Drlg Param Run 1-1";#N/A,#N/A,FALSE,"DDR (3)";#N/A,#N/A,FALSE,"BHA AT (1)";#N/A,#N/A,FALSE,"Downlinkbha";#N/A,#N/A,FALSE,"Job Status Report"}</definedName>
    <definedName name="__NB1" localSheetId="5" hidden="1">{#N/A,#N/A,FALSE,"Drlg Param Run 1-1";#N/A,#N/A,FALSE,"DDR (3)";#N/A,#N/A,FALSE,"BHA AT (1)";#N/A,#N/A,FALSE,"Downlinkbha";#N/A,#N/A,FALSE,"Job Status Report"}</definedName>
    <definedName name="__NB1" localSheetId="4" hidden="1">{#N/A,#N/A,FALSE,"Drlg Param Run 1-1";#N/A,#N/A,FALSE,"DDR (3)";#N/A,#N/A,FALSE,"BHA AT (1)";#N/A,#N/A,FALSE,"Downlinkbha";#N/A,#N/A,FALSE,"Job Status Report"}</definedName>
    <definedName name="__NB1" localSheetId="7" hidden="1">{#N/A,#N/A,FALSE,"Drlg Param Run 1-1";#N/A,#N/A,FALSE,"DDR (3)";#N/A,#N/A,FALSE,"BHA AT (1)";#N/A,#N/A,FALSE,"Downlinkbha";#N/A,#N/A,FALSE,"Job Status Report"}</definedName>
    <definedName name="__NB1" localSheetId="3" hidden="1">{#N/A,#N/A,FALSE,"Drlg Param Run 1-1";#N/A,#N/A,FALSE,"DDR (3)";#N/A,#N/A,FALSE,"BHA AT (1)";#N/A,#N/A,FALSE,"Downlinkbha";#N/A,#N/A,FALSE,"Job Status Report"}</definedName>
    <definedName name="__NB1" hidden="1">{#N/A,#N/A,FALSE,"Drlg Param Run 1-1";#N/A,#N/A,FALSE,"DDR (3)";#N/A,#N/A,FALSE,"BHA AT (1)";#N/A,#N/A,FALSE,"Downlinkbha";#N/A,#N/A,FALSE,"Job Status Report"}</definedName>
    <definedName name="__NB2" localSheetId="1" hidden="1">{#N/A,#N/A,FALSE,"Drlg Param Run 1-1";#N/A,#N/A,FALSE,"DDR (3)";#N/A,#N/A,FALSE,"BHA AT (1)";#N/A,#N/A,FALSE,"Downlinkbha";#N/A,#N/A,FALSE,"Job Status Report"}</definedName>
    <definedName name="__NB2" localSheetId="2" hidden="1">{#N/A,#N/A,FALSE,"Drlg Param Run 1-1";#N/A,#N/A,FALSE,"DDR (3)";#N/A,#N/A,FALSE,"BHA AT (1)";#N/A,#N/A,FALSE,"Downlinkbha";#N/A,#N/A,FALSE,"Job Status Report"}</definedName>
    <definedName name="__NB2" localSheetId="5" hidden="1">{#N/A,#N/A,FALSE,"Drlg Param Run 1-1";#N/A,#N/A,FALSE,"DDR (3)";#N/A,#N/A,FALSE,"BHA AT (1)";#N/A,#N/A,FALSE,"Downlinkbha";#N/A,#N/A,FALSE,"Job Status Report"}</definedName>
    <definedName name="__NB2" localSheetId="4" hidden="1">{#N/A,#N/A,FALSE,"Drlg Param Run 1-1";#N/A,#N/A,FALSE,"DDR (3)";#N/A,#N/A,FALSE,"BHA AT (1)";#N/A,#N/A,FALSE,"Downlinkbha";#N/A,#N/A,FALSE,"Job Status Report"}</definedName>
    <definedName name="__NB2" localSheetId="7" hidden="1">{#N/A,#N/A,FALSE,"Drlg Param Run 1-1";#N/A,#N/A,FALSE,"DDR (3)";#N/A,#N/A,FALSE,"BHA AT (1)";#N/A,#N/A,FALSE,"Downlinkbha";#N/A,#N/A,FALSE,"Job Status Report"}</definedName>
    <definedName name="__NB2" localSheetId="3" hidden="1">{#N/A,#N/A,FALSE,"Drlg Param Run 1-1";#N/A,#N/A,FALSE,"DDR (3)";#N/A,#N/A,FALSE,"BHA AT (1)";#N/A,#N/A,FALSE,"Downlinkbha";#N/A,#N/A,FALSE,"Job Status Report"}</definedName>
    <definedName name="__NB2" hidden="1">{#N/A,#N/A,FALSE,"Drlg Param Run 1-1";#N/A,#N/A,FALSE,"DDR (3)";#N/A,#N/A,FALSE,"BHA AT (1)";#N/A,#N/A,FALSE,"Downlinkbha";#N/A,#N/A,FALSE,"Job Status Report"}</definedName>
    <definedName name="__nb3" localSheetId="1" hidden="1">{#N/A,#N/A,FALSE,"Drlg Param Run 1-1";#N/A,#N/A,FALSE,"DDR (3)";#N/A,#N/A,FALSE,"BHA AT (1)";#N/A,#N/A,FALSE,"Downlinkbha";#N/A,#N/A,FALSE,"Job Status Report"}</definedName>
    <definedName name="__nb3" localSheetId="2" hidden="1">{#N/A,#N/A,FALSE,"Drlg Param Run 1-1";#N/A,#N/A,FALSE,"DDR (3)";#N/A,#N/A,FALSE,"BHA AT (1)";#N/A,#N/A,FALSE,"Downlinkbha";#N/A,#N/A,FALSE,"Job Status Report"}</definedName>
    <definedName name="__nb3" localSheetId="5" hidden="1">{#N/A,#N/A,FALSE,"Drlg Param Run 1-1";#N/A,#N/A,FALSE,"DDR (3)";#N/A,#N/A,FALSE,"BHA AT (1)";#N/A,#N/A,FALSE,"Downlinkbha";#N/A,#N/A,FALSE,"Job Status Report"}</definedName>
    <definedName name="__nb3" localSheetId="4" hidden="1">{#N/A,#N/A,FALSE,"Drlg Param Run 1-1";#N/A,#N/A,FALSE,"DDR (3)";#N/A,#N/A,FALSE,"BHA AT (1)";#N/A,#N/A,FALSE,"Downlinkbha";#N/A,#N/A,FALSE,"Job Status Report"}</definedName>
    <definedName name="__nb3" localSheetId="7" hidden="1">{#N/A,#N/A,FALSE,"Drlg Param Run 1-1";#N/A,#N/A,FALSE,"DDR (3)";#N/A,#N/A,FALSE,"BHA AT (1)";#N/A,#N/A,FALSE,"Downlinkbha";#N/A,#N/A,FALSE,"Job Status Report"}</definedName>
    <definedName name="__nb3" localSheetId="3" hidden="1">{#N/A,#N/A,FALSE,"Drlg Param Run 1-1";#N/A,#N/A,FALSE,"DDR (3)";#N/A,#N/A,FALSE,"BHA AT (1)";#N/A,#N/A,FALSE,"Downlinkbha";#N/A,#N/A,FALSE,"Job Status Report"}</definedName>
    <definedName name="__nb3" hidden="1">{#N/A,#N/A,FALSE,"Drlg Param Run 1-1";#N/A,#N/A,FALSE,"DDR (3)";#N/A,#N/A,FALSE,"BHA AT (1)";#N/A,#N/A,FALSE,"Downlinkbha";#N/A,#N/A,FALSE,"Job Status Report"}</definedName>
    <definedName name="__nb4" localSheetId="1" hidden="1">{#N/A,#N/A,FALSE,"Drlg Param Run 1-1";#N/A,#N/A,FALSE,"DDR (3)";#N/A,#N/A,FALSE,"BHA AT (1)";#N/A,#N/A,FALSE,"Downlinkbha";#N/A,#N/A,FALSE,"Job Status Report"}</definedName>
    <definedName name="__nb4" localSheetId="2" hidden="1">{#N/A,#N/A,FALSE,"Drlg Param Run 1-1";#N/A,#N/A,FALSE,"DDR (3)";#N/A,#N/A,FALSE,"BHA AT (1)";#N/A,#N/A,FALSE,"Downlinkbha";#N/A,#N/A,FALSE,"Job Status Report"}</definedName>
    <definedName name="__nb4" localSheetId="5" hidden="1">{#N/A,#N/A,FALSE,"Drlg Param Run 1-1";#N/A,#N/A,FALSE,"DDR (3)";#N/A,#N/A,FALSE,"BHA AT (1)";#N/A,#N/A,FALSE,"Downlinkbha";#N/A,#N/A,FALSE,"Job Status Report"}</definedName>
    <definedName name="__nb4" localSheetId="4" hidden="1">{#N/A,#N/A,FALSE,"Drlg Param Run 1-1";#N/A,#N/A,FALSE,"DDR (3)";#N/A,#N/A,FALSE,"BHA AT (1)";#N/A,#N/A,FALSE,"Downlinkbha";#N/A,#N/A,FALSE,"Job Status Report"}</definedName>
    <definedName name="__nb4" localSheetId="7" hidden="1">{#N/A,#N/A,FALSE,"Drlg Param Run 1-1";#N/A,#N/A,FALSE,"DDR (3)";#N/A,#N/A,FALSE,"BHA AT (1)";#N/A,#N/A,FALSE,"Downlinkbha";#N/A,#N/A,FALSE,"Job Status Report"}</definedName>
    <definedName name="__nb4" localSheetId="3" hidden="1">{#N/A,#N/A,FALSE,"Drlg Param Run 1-1";#N/A,#N/A,FALSE,"DDR (3)";#N/A,#N/A,FALSE,"BHA AT (1)";#N/A,#N/A,FALSE,"Downlinkbha";#N/A,#N/A,FALSE,"Job Status Report"}</definedName>
    <definedName name="__nb4" hidden="1">{#N/A,#N/A,FALSE,"Drlg Param Run 1-1";#N/A,#N/A,FALSE,"DDR (3)";#N/A,#N/A,FALSE,"BHA AT (1)";#N/A,#N/A,FALSE,"Downlinkbha";#N/A,#N/A,FALSE,"Job Status Report"}</definedName>
    <definedName name="__nb5" localSheetId="1" hidden="1">{#N/A,#N/A,FALSE,"Drlg Param Run 1-1";#N/A,#N/A,FALSE,"DDR (3)";#N/A,#N/A,FALSE,"BHA AT (1)";#N/A,#N/A,FALSE,"Downlinkbha";#N/A,#N/A,FALSE,"Job Status Report"}</definedName>
    <definedName name="__nb5" localSheetId="2" hidden="1">{#N/A,#N/A,FALSE,"Drlg Param Run 1-1";#N/A,#N/A,FALSE,"DDR (3)";#N/A,#N/A,FALSE,"BHA AT (1)";#N/A,#N/A,FALSE,"Downlinkbha";#N/A,#N/A,FALSE,"Job Status Report"}</definedName>
    <definedName name="__nb5" localSheetId="5" hidden="1">{#N/A,#N/A,FALSE,"Drlg Param Run 1-1";#N/A,#N/A,FALSE,"DDR (3)";#N/A,#N/A,FALSE,"BHA AT (1)";#N/A,#N/A,FALSE,"Downlinkbha";#N/A,#N/A,FALSE,"Job Status Report"}</definedName>
    <definedName name="__nb5" localSheetId="4" hidden="1">{#N/A,#N/A,FALSE,"Drlg Param Run 1-1";#N/A,#N/A,FALSE,"DDR (3)";#N/A,#N/A,FALSE,"BHA AT (1)";#N/A,#N/A,FALSE,"Downlinkbha";#N/A,#N/A,FALSE,"Job Status Report"}</definedName>
    <definedName name="__nb5" localSheetId="7" hidden="1">{#N/A,#N/A,FALSE,"Drlg Param Run 1-1";#N/A,#N/A,FALSE,"DDR (3)";#N/A,#N/A,FALSE,"BHA AT (1)";#N/A,#N/A,FALSE,"Downlinkbha";#N/A,#N/A,FALSE,"Job Status Report"}</definedName>
    <definedName name="__nb5" localSheetId="3" hidden="1">{#N/A,#N/A,FALSE,"Drlg Param Run 1-1";#N/A,#N/A,FALSE,"DDR (3)";#N/A,#N/A,FALSE,"BHA AT (1)";#N/A,#N/A,FALSE,"Downlinkbha";#N/A,#N/A,FALSE,"Job Status Report"}</definedName>
    <definedName name="__nb5" hidden="1">{#N/A,#N/A,FALSE,"Drlg Param Run 1-1";#N/A,#N/A,FALSE,"DDR (3)";#N/A,#N/A,FALSE,"BHA AT (1)";#N/A,#N/A,FALSE,"Downlinkbha";#N/A,#N/A,FALSE,"Job Status Report"}</definedName>
    <definedName name="__nb6" localSheetId="1" hidden="1">{#N/A,#N/A,FALSE,"Drlg Param Run 1-1";#N/A,#N/A,FALSE,"DDR (3)";#N/A,#N/A,FALSE,"BHA AT (1)";#N/A,#N/A,FALSE,"Downlinkbha";#N/A,#N/A,FALSE,"Job Status Report"}</definedName>
    <definedName name="__nb6" localSheetId="2" hidden="1">{#N/A,#N/A,FALSE,"Drlg Param Run 1-1";#N/A,#N/A,FALSE,"DDR (3)";#N/A,#N/A,FALSE,"BHA AT (1)";#N/A,#N/A,FALSE,"Downlinkbha";#N/A,#N/A,FALSE,"Job Status Report"}</definedName>
    <definedName name="__nb6" localSheetId="5" hidden="1">{#N/A,#N/A,FALSE,"Drlg Param Run 1-1";#N/A,#N/A,FALSE,"DDR (3)";#N/A,#N/A,FALSE,"BHA AT (1)";#N/A,#N/A,FALSE,"Downlinkbha";#N/A,#N/A,FALSE,"Job Status Report"}</definedName>
    <definedName name="__nb6" localSheetId="4" hidden="1">{#N/A,#N/A,FALSE,"Drlg Param Run 1-1";#N/A,#N/A,FALSE,"DDR (3)";#N/A,#N/A,FALSE,"BHA AT (1)";#N/A,#N/A,FALSE,"Downlinkbha";#N/A,#N/A,FALSE,"Job Status Report"}</definedName>
    <definedName name="__nb6" localSheetId="7" hidden="1">{#N/A,#N/A,FALSE,"Drlg Param Run 1-1";#N/A,#N/A,FALSE,"DDR (3)";#N/A,#N/A,FALSE,"BHA AT (1)";#N/A,#N/A,FALSE,"Downlinkbha";#N/A,#N/A,FALSE,"Job Status Report"}</definedName>
    <definedName name="__nb6" localSheetId="3" hidden="1">{#N/A,#N/A,FALSE,"Drlg Param Run 1-1";#N/A,#N/A,FALSE,"DDR (3)";#N/A,#N/A,FALSE,"BHA AT (1)";#N/A,#N/A,FALSE,"Downlinkbha";#N/A,#N/A,FALSE,"Job Status Report"}</definedName>
    <definedName name="__nb6" hidden="1">{#N/A,#N/A,FALSE,"Drlg Param Run 1-1";#N/A,#N/A,FALSE,"DDR (3)";#N/A,#N/A,FALSE,"BHA AT (1)";#N/A,#N/A,FALSE,"Downlinkbha";#N/A,#N/A,FALSE,"Job Status Report"}</definedName>
    <definedName name="__Nov13" localSheetId="1" hidden="1">{#N/A,#N/A,FALSE,"Drlg Param Run 1-1";#N/A,#N/A,FALSE,"DDR (3)";#N/A,#N/A,FALSE,"BHA AT (1)";#N/A,#N/A,FALSE,"Downlinkbha";#N/A,#N/A,FALSE,"Job Status Report"}</definedName>
    <definedName name="__Nov13" localSheetId="2" hidden="1">{#N/A,#N/A,FALSE,"Drlg Param Run 1-1";#N/A,#N/A,FALSE,"DDR (3)";#N/A,#N/A,FALSE,"BHA AT (1)";#N/A,#N/A,FALSE,"Downlinkbha";#N/A,#N/A,FALSE,"Job Status Report"}</definedName>
    <definedName name="__Nov13" localSheetId="5" hidden="1">{#N/A,#N/A,FALSE,"Drlg Param Run 1-1";#N/A,#N/A,FALSE,"DDR (3)";#N/A,#N/A,FALSE,"BHA AT (1)";#N/A,#N/A,FALSE,"Downlinkbha";#N/A,#N/A,FALSE,"Job Status Report"}</definedName>
    <definedName name="__Nov13" localSheetId="4" hidden="1">{#N/A,#N/A,FALSE,"Drlg Param Run 1-1";#N/A,#N/A,FALSE,"DDR (3)";#N/A,#N/A,FALSE,"BHA AT (1)";#N/A,#N/A,FALSE,"Downlinkbha";#N/A,#N/A,FALSE,"Job Status Report"}</definedName>
    <definedName name="__Nov13" localSheetId="7" hidden="1">{#N/A,#N/A,FALSE,"Drlg Param Run 1-1";#N/A,#N/A,FALSE,"DDR (3)";#N/A,#N/A,FALSE,"BHA AT (1)";#N/A,#N/A,FALSE,"Downlinkbha";#N/A,#N/A,FALSE,"Job Status Report"}</definedName>
    <definedName name="__Nov13" localSheetId="3" hidden="1">{#N/A,#N/A,FALSE,"Drlg Param Run 1-1";#N/A,#N/A,FALSE,"DDR (3)";#N/A,#N/A,FALSE,"BHA AT (1)";#N/A,#N/A,FALSE,"Downlinkbha";#N/A,#N/A,FALSE,"Job Status Report"}</definedName>
    <definedName name="__Nov13" hidden="1">{#N/A,#N/A,FALSE,"Drlg Param Run 1-1";#N/A,#N/A,FALSE,"DDR (3)";#N/A,#N/A,FALSE,"BHA AT (1)";#N/A,#N/A,FALSE,"Downlinkbha";#N/A,#N/A,FALSE,"Job Status Report"}</definedName>
    <definedName name="__Nov27" localSheetId="1" hidden="1">{#N/A,#N/A,FALSE,"Drlg Param Run 1-1";#N/A,#N/A,FALSE,"DDR (3)";#N/A,#N/A,FALSE,"BHA AT (1)";#N/A,#N/A,FALSE,"Downlinkbha";#N/A,#N/A,FALSE,"Job Status Report"}</definedName>
    <definedName name="__Nov27" localSheetId="2" hidden="1">{#N/A,#N/A,FALSE,"Drlg Param Run 1-1";#N/A,#N/A,FALSE,"DDR (3)";#N/A,#N/A,FALSE,"BHA AT (1)";#N/A,#N/A,FALSE,"Downlinkbha";#N/A,#N/A,FALSE,"Job Status Report"}</definedName>
    <definedName name="__Nov27" localSheetId="5" hidden="1">{#N/A,#N/A,FALSE,"Drlg Param Run 1-1";#N/A,#N/A,FALSE,"DDR (3)";#N/A,#N/A,FALSE,"BHA AT (1)";#N/A,#N/A,FALSE,"Downlinkbha";#N/A,#N/A,FALSE,"Job Status Report"}</definedName>
    <definedName name="__Nov27" localSheetId="4" hidden="1">{#N/A,#N/A,FALSE,"Drlg Param Run 1-1";#N/A,#N/A,FALSE,"DDR (3)";#N/A,#N/A,FALSE,"BHA AT (1)";#N/A,#N/A,FALSE,"Downlinkbha";#N/A,#N/A,FALSE,"Job Status Report"}</definedName>
    <definedName name="__Nov27" localSheetId="7" hidden="1">{#N/A,#N/A,FALSE,"Drlg Param Run 1-1";#N/A,#N/A,FALSE,"DDR (3)";#N/A,#N/A,FALSE,"BHA AT (1)";#N/A,#N/A,FALSE,"Downlinkbha";#N/A,#N/A,FALSE,"Job Status Report"}</definedName>
    <definedName name="__Nov27" localSheetId="3" hidden="1">{#N/A,#N/A,FALSE,"Drlg Param Run 1-1";#N/A,#N/A,FALSE,"DDR (3)";#N/A,#N/A,FALSE,"BHA AT (1)";#N/A,#N/A,FALSE,"Downlinkbha";#N/A,#N/A,FALSE,"Job Status Report"}</definedName>
    <definedName name="__Nov27" hidden="1">{#N/A,#N/A,FALSE,"Drlg Param Run 1-1";#N/A,#N/A,FALSE,"DDR (3)";#N/A,#N/A,FALSE,"BHA AT (1)";#N/A,#N/A,FALSE,"Downlinkbha";#N/A,#N/A,FALSE,"Job Status Report"}</definedName>
    <definedName name="__run3" localSheetId="1" hidden="1">{#N/A,#N/A,FALSE,"Drlg Param Run 1-1";#N/A,#N/A,FALSE,"DDR (3)";#N/A,#N/A,FALSE,"BHA AT (1)";#N/A,#N/A,FALSE,"Downlinkbha";#N/A,#N/A,FALSE,"Job Status Report"}</definedName>
    <definedName name="__run3" localSheetId="2" hidden="1">{#N/A,#N/A,FALSE,"Drlg Param Run 1-1";#N/A,#N/A,FALSE,"DDR (3)";#N/A,#N/A,FALSE,"BHA AT (1)";#N/A,#N/A,FALSE,"Downlinkbha";#N/A,#N/A,FALSE,"Job Status Report"}</definedName>
    <definedName name="__run3" localSheetId="5" hidden="1">{#N/A,#N/A,FALSE,"Drlg Param Run 1-1";#N/A,#N/A,FALSE,"DDR (3)";#N/A,#N/A,FALSE,"BHA AT (1)";#N/A,#N/A,FALSE,"Downlinkbha";#N/A,#N/A,FALSE,"Job Status Report"}</definedName>
    <definedName name="__run3" localSheetId="4" hidden="1">{#N/A,#N/A,FALSE,"Drlg Param Run 1-1";#N/A,#N/A,FALSE,"DDR (3)";#N/A,#N/A,FALSE,"BHA AT (1)";#N/A,#N/A,FALSE,"Downlinkbha";#N/A,#N/A,FALSE,"Job Status Report"}</definedName>
    <definedName name="__run3" localSheetId="7" hidden="1">{#N/A,#N/A,FALSE,"Drlg Param Run 1-1";#N/A,#N/A,FALSE,"DDR (3)";#N/A,#N/A,FALSE,"BHA AT (1)";#N/A,#N/A,FALSE,"Downlinkbha";#N/A,#N/A,FALSE,"Job Status Report"}</definedName>
    <definedName name="__run3" localSheetId="3" hidden="1">{#N/A,#N/A,FALSE,"Drlg Param Run 1-1";#N/A,#N/A,FALSE,"DDR (3)";#N/A,#N/A,FALSE,"BHA AT (1)";#N/A,#N/A,FALSE,"Downlinkbha";#N/A,#N/A,FALSE,"Job Status Report"}</definedName>
    <definedName name="__run3" hidden="1">{#N/A,#N/A,FALSE,"Drlg Param Run 1-1";#N/A,#N/A,FALSE,"DDR (3)";#N/A,#N/A,FALSE,"BHA AT (1)";#N/A,#N/A,FALSE,"Downlinkbha";#N/A,#N/A,FALSE,"Job Status Report"}</definedName>
    <definedName name="__run4" localSheetId="1" hidden="1">{#N/A,#N/A,FALSE,"Drlg Param Run 1-1";#N/A,#N/A,FALSE,"DDR (3)";#N/A,#N/A,FALSE,"BHA AT (1)";#N/A,#N/A,FALSE,"Downlinkbha";#N/A,#N/A,FALSE,"Job Status Report"}</definedName>
    <definedName name="__run4" localSheetId="2" hidden="1">{#N/A,#N/A,FALSE,"Drlg Param Run 1-1";#N/A,#N/A,FALSE,"DDR (3)";#N/A,#N/A,FALSE,"BHA AT (1)";#N/A,#N/A,FALSE,"Downlinkbha";#N/A,#N/A,FALSE,"Job Status Report"}</definedName>
    <definedName name="__run4" localSheetId="5" hidden="1">{#N/A,#N/A,FALSE,"Drlg Param Run 1-1";#N/A,#N/A,FALSE,"DDR (3)";#N/A,#N/A,FALSE,"BHA AT (1)";#N/A,#N/A,FALSE,"Downlinkbha";#N/A,#N/A,FALSE,"Job Status Report"}</definedName>
    <definedName name="__run4" localSheetId="4" hidden="1">{#N/A,#N/A,FALSE,"Drlg Param Run 1-1";#N/A,#N/A,FALSE,"DDR (3)";#N/A,#N/A,FALSE,"BHA AT (1)";#N/A,#N/A,FALSE,"Downlinkbha";#N/A,#N/A,FALSE,"Job Status Report"}</definedName>
    <definedName name="__run4" localSheetId="7" hidden="1">{#N/A,#N/A,FALSE,"Drlg Param Run 1-1";#N/A,#N/A,FALSE,"DDR (3)";#N/A,#N/A,FALSE,"BHA AT (1)";#N/A,#N/A,FALSE,"Downlinkbha";#N/A,#N/A,FALSE,"Job Status Report"}</definedName>
    <definedName name="__run4" localSheetId="3" hidden="1">{#N/A,#N/A,FALSE,"Drlg Param Run 1-1";#N/A,#N/A,FALSE,"DDR (3)";#N/A,#N/A,FALSE,"BHA AT (1)";#N/A,#N/A,FALSE,"Downlinkbha";#N/A,#N/A,FALSE,"Job Status Report"}</definedName>
    <definedName name="__run4" hidden="1">{#N/A,#N/A,FALSE,"Drlg Param Run 1-1";#N/A,#N/A,FALSE,"DDR (3)";#N/A,#N/A,FALSE,"BHA AT (1)";#N/A,#N/A,FALSE,"Downlinkbha";#N/A,#N/A,FALSE,"Job Status Report"}</definedName>
    <definedName name="_BHA15" localSheetId="1" hidden="1">{#N/A,#N/A,FALSE,"Drlg Param Run 1-1";#N/A,#N/A,FALSE,"DDR (3)";#N/A,#N/A,FALSE,"BHA AT (1)";#N/A,#N/A,FALSE,"Downlinkbha";#N/A,#N/A,FALSE,"Job Status Report"}</definedName>
    <definedName name="_BHA15" localSheetId="2" hidden="1">{#N/A,#N/A,FALSE,"Drlg Param Run 1-1";#N/A,#N/A,FALSE,"DDR (3)";#N/A,#N/A,FALSE,"BHA AT (1)";#N/A,#N/A,FALSE,"Downlinkbha";#N/A,#N/A,FALSE,"Job Status Report"}</definedName>
    <definedName name="_BHA15" localSheetId="5" hidden="1">{#N/A,#N/A,FALSE,"Drlg Param Run 1-1";#N/A,#N/A,FALSE,"DDR (3)";#N/A,#N/A,FALSE,"BHA AT (1)";#N/A,#N/A,FALSE,"Downlinkbha";#N/A,#N/A,FALSE,"Job Status Report"}</definedName>
    <definedName name="_BHA15" localSheetId="4" hidden="1">{#N/A,#N/A,FALSE,"Drlg Param Run 1-1";#N/A,#N/A,FALSE,"DDR (3)";#N/A,#N/A,FALSE,"BHA AT (1)";#N/A,#N/A,FALSE,"Downlinkbha";#N/A,#N/A,FALSE,"Job Status Report"}</definedName>
    <definedName name="_BHA15" localSheetId="7" hidden="1">{#N/A,#N/A,FALSE,"Drlg Param Run 1-1";#N/A,#N/A,FALSE,"DDR (3)";#N/A,#N/A,FALSE,"BHA AT (1)";#N/A,#N/A,FALSE,"Downlinkbha";#N/A,#N/A,FALSE,"Job Status Report"}</definedName>
    <definedName name="_BHA15" localSheetId="3" hidden="1">{#N/A,#N/A,FALSE,"Drlg Param Run 1-1";#N/A,#N/A,FALSE,"DDR (3)";#N/A,#N/A,FALSE,"BHA AT (1)";#N/A,#N/A,FALSE,"Downlinkbha";#N/A,#N/A,FALSE,"Job Status Report"}</definedName>
    <definedName name="_BHA15" hidden="1">{#N/A,#N/A,FALSE,"Drlg Param Run 1-1";#N/A,#N/A,FALSE,"DDR (3)";#N/A,#N/A,FALSE,"BHA AT (1)";#N/A,#N/A,FALSE,"Downlinkbha";#N/A,#N/A,FALSE,"Job Status Report"}</definedName>
    <definedName name="_BHA3" localSheetId="1" hidden="1">{#N/A,#N/A,FALSE,"Drlg Param Run 1-1";#N/A,#N/A,FALSE,"DDR (3)";#N/A,#N/A,FALSE,"BHA AT (1)";#N/A,#N/A,FALSE,"Downlinkbha";#N/A,#N/A,FALSE,"Job Status Report"}</definedName>
    <definedName name="_BHA3" localSheetId="2" hidden="1">{#N/A,#N/A,FALSE,"Drlg Param Run 1-1";#N/A,#N/A,FALSE,"DDR (3)";#N/A,#N/A,FALSE,"BHA AT (1)";#N/A,#N/A,FALSE,"Downlinkbha";#N/A,#N/A,FALSE,"Job Status Report"}</definedName>
    <definedName name="_BHA3" localSheetId="5" hidden="1">{#N/A,#N/A,FALSE,"Drlg Param Run 1-1";#N/A,#N/A,FALSE,"DDR (3)";#N/A,#N/A,FALSE,"BHA AT (1)";#N/A,#N/A,FALSE,"Downlinkbha";#N/A,#N/A,FALSE,"Job Status Report"}</definedName>
    <definedName name="_BHA3" localSheetId="4" hidden="1">{#N/A,#N/A,FALSE,"Drlg Param Run 1-1";#N/A,#N/A,FALSE,"DDR (3)";#N/A,#N/A,FALSE,"BHA AT (1)";#N/A,#N/A,FALSE,"Downlinkbha";#N/A,#N/A,FALSE,"Job Status Report"}</definedName>
    <definedName name="_BHA3" localSheetId="7" hidden="1">{#N/A,#N/A,FALSE,"Drlg Param Run 1-1";#N/A,#N/A,FALSE,"DDR (3)";#N/A,#N/A,FALSE,"BHA AT (1)";#N/A,#N/A,FALSE,"Downlinkbha";#N/A,#N/A,FALSE,"Job Status Report"}</definedName>
    <definedName name="_BHA3" localSheetId="3" hidden="1">{#N/A,#N/A,FALSE,"Drlg Param Run 1-1";#N/A,#N/A,FALSE,"DDR (3)";#N/A,#N/A,FALSE,"BHA AT (1)";#N/A,#N/A,FALSE,"Downlinkbha";#N/A,#N/A,FALSE,"Job Status Report"}</definedName>
    <definedName name="_BHA3" hidden="1">{#N/A,#N/A,FALSE,"Drlg Param Run 1-1";#N/A,#N/A,FALSE,"DDR (3)";#N/A,#N/A,FALSE,"BHA AT (1)";#N/A,#N/A,FALSE,"Downlinkbha";#N/A,#N/A,FALSE,"Job Status Report"}</definedName>
    <definedName name="_BHA30" localSheetId="1" hidden="1">{#N/A,#N/A,FALSE,"Drlg Param Run 1-1";#N/A,#N/A,FALSE,"DDR (3)";#N/A,#N/A,FALSE,"BHA AT (1)";#N/A,#N/A,FALSE,"Downlinkbha";#N/A,#N/A,FALSE,"Job Status Report"}</definedName>
    <definedName name="_BHA30" localSheetId="2" hidden="1">{#N/A,#N/A,FALSE,"Drlg Param Run 1-1";#N/A,#N/A,FALSE,"DDR (3)";#N/A,#N/A,FALSE,"BHA AT (1)";#N/A,#N/A,FALSE,"Downlinkbha";#N/A,#N/A,FALSE,"Job Status Report"}</definedName>
    <definedName name="_BHA30" localSheetId="5" hidden="1">{#N/A,#N/A,FALSE,"Drlg Param Run 1-1";#N/A,#N/A,FALSE,"DDR (3)";#N/A,#N/A,FALSE,"BHA AT (1)";#N/A,#N/A,FALSE,"Downlinkbha";#N/A,#N/A,FALSE,"Job Status Report"}</definedName>
    <definedName name="_BHA30" localSheetId="4" hidden="1">{#N/A,#N/A,FALSE,"Drlg Param Run 1-1";#N/A,#N/A,FALSE,"DDR (3)";#N/A,#N/A,FALSE,"BHA AT (1)";#N/A,#N/A,FALSE,"Downlinkbha";#N/A,#N/A,FALSE,"Job Status Report"}</definedName>
    <definedName name="_BHA30" localSheetId="7" hidden="1">{#N/A,#N/A,FALSE,"Drlg Param Run 1-1";#N/A,#N/A,FALSE,"DDR (3)";#N/A,#N/A,FALSE,"BHA AT (1)";#N/A,#N/A,FALSE,"Downlinkbha";#N/A,#N/A,FALSE,"Job Status Report"}</definedName>
    <definedName name="_BHA30" localSheetId="3" hidden="1">{#N/A,#N/A,FALSE,"Drlg Param Run 1-1";#N/A,#N/A,FALSE,"DDR (3)";#N/A,#N/A,FALSE,"BHA AT (1)";#N/A,#N/A,FALSE,"Downlinkbha";#N/A,#N/A,FALSE,"Job Status Report"}</definedName>
    <definedName name="_BHA30" hidden="1">{#N/A,#N/A,FALSE,"Drlg Param Run 1-1";#N/A,#N/A,FALSE,"DDR (3)";#N/A,#N/A,FALSE,"BHA AT (1)";#N/A,#N/A,FALSE,"Downlinkbha";#N/A,#N/A,FALSE,"Job Status Report"}</definedName>
    <definedName name="_D2" localSheetId="1" hidden="1">{#N/A,#N/A,FALSE,"Drlg Param Run 1-1";#N/A,#N/A,FALSE,"DDR (3)";#N/A,#N/A,FALSE,"BHA AT (1)";#N/A,#N/A,FALSE,"Downlinkbha";#N/A,#N/A,FALSE,"Job Status Report"}</definedName>
    <definedName name="_D2" localSheetId="2" hidden="1">{#N/A,#N/A,FALSE,"Drlg Param Run 1-1";#N/A,#N/A,FALSE,"DDR (3)";#N/A,#N/A,FALSE,"BHA AT (1)";#N/A,#N/A,FALSE,"Downlinkbha";#N/A,#N/A,FALSE,"Job Status Report"}</definedName>
    <definedName name="_D2" localSheetId="5" hidden="1">{#N/A,#N/A,FALSE,"Drlg Param Run 1-1";#N/A,#N/A,FALSE,"DDR (3)";#N/A,#N/A,FALSE,"BHA AT (1)";#N/A,#N/A,FALSE,"Downlinkbha";#N/A,#N/A,FALSE,"Job Status Report"}</definedName>
    <definedName name="_D2" localSheetId="4" hidden="1">{#N/A,#N/A,FALSE,"Drlg Param Run 1-1";#N/A,#N/A,FALSE,"DDR (3)";#N/A,#N/A,FALSE,"BHA AT (1)";#N/A,#N/A,FALSE,"Downlinkbha";#N/A,#N/A,FALSE,"Job Status Report"}</definedName>
    <definedName name="_D2" localSheetId="7" hidden="1">{#N/A,#N/A,FALSE,"Drlg Param Run 1-1";#N/A,#N/A,FALSE,"DDR (3)";#N/A,#N/A,FALSE,"BHA AT (1)";#N/A,#N/A,FALSE,"Downlinkbha";#N/A,#N/A,FALSE,"Job Status Report"}</definedName>
    <definedName name="_D2" localSheetId="3" hidden="1">{#N/A,#N/A,FALSE,"Drlg Param Run 1-1";#N/A,#N/A,FALSE,"DDR (3)";#N/A,#N/A,FALSE,"BHA AT (1)";#N/A,#N/A,FALSE,"Downlinkbha";#N/A,#N/A,FALSE,"Job Status Report"}</definedName>
    <definedName name="_D2" hidden="1">{#N/A,#N/A,FALSE,"Drlg Param Run 1-1";#N/A,#N/A,FALSE,"DDR (3)";#N/A,#N/A,FALSE,"BHA AT (1)";#N/A,#N/A,FALSE,"Downlinkbha";#N/A,#N/A,FALSE,"Job Status Report"}</definedName>
    <definedName name="_DDR10" localSheetId="1" hidden="1">{#N/A,#N/A,FALSE,"Drlg Param Run 1-1";#N/A,#N/A,FALSE,"DDR (3)";#N/A,#N/A,FALSE,"BHA AT (1)";#N/A,#N/A,FALSE,"Downlinkbha";#N/A,#N/A,FALSE,"Job Status Report"}</definedName>
    <definedName name="_DDR10" localSheetId="2" hidden="1">{#N/A,#N/A,FALSE,"Drlg Param Run 1-1";#N/A,#N/A,FALSE,"DDR (3)";#N/A,#N/A,FALSE,"BHA AT (1)";#N/A,#N/A,FALSE,"Downlinkbha";#N/A,#N/A,FALSE,"Job Status Report"}</definedName>
    <definedName name="_DDR10" localSheetId="5" hidden="1">{#N/A,#N/A,FALSE,"Drlg Param Run 1-1";#N/A,#N/A,FALSE,"DDR (3)";#N/A,#N/A,FALSE,"BHA AT (1)";#N/A,#N/A,FALSE,"Downlinkbha";#N/A,#N/A,FALSE,"Job Status Report"}</definedName>
    <definedName name="_DDR10" localSheetId="4" hidden="1">{#N/A,#N/A,FALSE,"Drlg Param Run 1-1";#N/A,#N/A,FALSE,"DDR (3)";#N/A,#N/A,FALSE,"BHA AT (1)";#N/A,#N/A,FALSE,"Downlinkbha";#N/A,#N/A,FALSE,"Job Status Report"}</definedName>
    <definedName name="_DDR10" localSheetId="7" hidden="1">{#N/A,#N/A,FALSE,"Drlg Param Run 1-1";#N/A,#N/A,FALSE,"DDR (3)";#N/A,#N/A,FALSE,"BHA AT (1)";#N/A,#N/A,FALSE,"Downlinkbha";#N/A,#N/A,FALSE,"Job Status Report"}</definedName>
    <definedName name="_DDR10" localSheetId="3" hidden="1">{#N/A,#N/A,FALSE,"Drlg Param Run 1-1";#N/A,#N/A,FALSE,"DDR (3)";#N/A,#N/A,FALSE,"BHA AT (1)";#N/A,#N/A,FALSE,"Downlinkbha";#N/A,#N/A,FALSE,"Job Status Report"}</definedName>
    <definedName name="_DDR10" hidden="1">{#N/A,#N/A,FALSE,"Drlg Param Run 1-1";#N/A,#N/A,FALSE,"DDR (3)";#N/A,#N/A,FALSE,"BHA AT (1)";#N/A,#N/A,FALSE,"Downlinkbha";#N/A,#N/A,FALSE,"Job Status Report"}</definedName>
    <definedName name="_DDR4" localSheetId="1" hidden="1">{#N/A,#N/A,FALSE,"Drlg Param Run 1-1";#N/A,#N/A,FALSE,"DDR (3)";#N/A,#N/A,FALSE,"BHA AT (1)";#N/A,#N/A,FALSE,"Downlinkbha";#N/A,#N/A,FALSE,"Job Status Report"}</definedName>
    <definedName name="_DDR4" localSheetId="2" hidden="1">{#N/A,#N/A,FALSE,"Drlg Param Run 1-1";#N/A,#N/A,FALSE,"DDR (3)";#N/A,#N/A,FALSE,"BHA AT (1)";#N/A,#N/A,FALSE,"Downlinkbha";#N/A,#N/A,FALSE,"Job Status Report"}</definedName>
    <definedName name="_DDR4" localSheetId="5" hidden="1">{#N/A,#N/A,FALSE,"Drlg Param Run 1-1";#N/A,#N/A,FALSE,"DDR (3)";#N/A,#N/A,FALSE,"BHA AT (1)";#N/A,#N/A,FALSE,"Downlinkbha";#N/A,#N/A,FALSE,"Job Status Report"}</definedName>
    <definedName name="_DDR4" localSheetId="4" hidden="1">{#N/A,#N/A,FALSE,"Drlg Param Run 1-1";#N/A,#N/A,FALSE,"DDR (3)";#N/A,#N/A,FALSE,"BHA AT (1)";#N/A,#N/A,FALSE,"Downlinkbha";#N/A,#N/A,FALSE,"Job Status Report"}</definedName>
    <definedName name="_DDR4" localSheetId="7" hidden="1">{#N/A,#N/A,FALSE,"Drlg Param Run 1-1";#N/A,#N/A,FALSE,"DDR (3)";#N/A,#N/A,FALSE,"BHA AT (1)";#N/A,#N/A,FALSE,"Downlinkbha";#N/A,#N/A,FALSE,"Job Status Report"}</definedName>
    <definedName name="_DDR4" localSheetId="3" hidden="1">{#N/A,#N/A,FALSE,"Drlg Param Run 1-1";#N/A,#N/A,FALSE,"DDR (3)";#N/A,#N/A,FALSE,"BHA AT (1)";#N/A,#N/A,FALSE,"Downlinkbha";#N/A,#N/A,FALSE,"Job Status Report"}</definedName>
    <definedName name="_DDR4" hidden="1">{#N/A,#N/A,FALSE,"Drlg Param Run 1-1";#N/A,#N/A,FALSE,"DDR (3)";#N/A,#N/A,FALSE,"BHA AT (1)";#N/A,#N/A,FALSE,"Downlinkbha";#N/A,#N/A,FALSE,"Job Status Report"}</definedName>
    <definedName name="_DDR40" localSheetId="1" hidden="1">{#N/A,#N/A,FALSE,"Drlg Param Run 1-1";#N/A,#N/A,FALSE,"DDR (3)";#N/A,#N/A,FALSE,"BHA AT (1)";#N/A,#N/A,FALSE,"Downlinkbha";#N/A,#N/A,FALSE,"Job Status Report"}</definedName>
    <definedName name="_DDR40" localSheetId="2" hidden="1">{#N/A,#N/A,FALSE,"Drlg Param Run 1-1";#N/A,#N/A,FALSE,"DDR (3)";#N/A,#N/A,FALSE,"BHA AT (1)";#N/A,#N/A,FALSE,"Downlinkbha";#N/A,#N/A,FALSE,"Job Status Report"}</definedName>
    <definedName name="_DDR40" localSheetId="5" hidden="1">{#N/A,#N/A,FALSE,"Drlg Param Run 1-1";#N/A,#N/A,FALSE,"DDR (3)";#N/A,#N/A,FALSE,"BHA AT (1)";#N/A,#N/A,FALSE,"Downlinkbha";#N/A,#N/A,FALSE,"Job Status Report"}</definedName>
    <definedName name="_DDR40" localSheetId="4" hidden="1">{#N/A,#N/A,FALSE,"Drlg Param Run 1-1";#N/A,#N/A,FALSE,"DDR (3)";#N/A,#N/A,FALSE,"BHA AT (1)";#N/A,#N/A,FALSE,"Downlinkbha";#N/A,#N/A,FALSE,"Job Status Report"}</definedName>
    <definedName name="_DDR40" localSheetId="7" hidden="1">{#N/A,#N/A,FALSE,"Drlg Param Run 1-1";#N/A,#N/A,FALSE,"DDR (3)";#N/A,#N/A,FALSE,"BHA AT (1)";#N/A,#N/A,FALSE,"Downlinkbha";#N/A,#N/A,FALSE,"Job Status Report"}</definedName>
    <definedName name="_DDR40" localSheetId="3" hidden="1">{#N/A,#N/A,FALSE,"Drlg Param Run 1-1";#N/A,#N/A,FALSE,"DDR (3)";#N/A,#N/A,FALSE,"BHA AT (1)";#N/A,#N/A,FALSE,"Downlinkbha";#N/A,#N/A,FALSE,"Job Status Report"}</definedName>
    <definedName name="_DDR40" hidden="1">{#N/A,#N/A,FALSE,"Drlg Param Run 1-1";#N/A,#N/A,FALSE,"DDR (3)";#N/A,#N/A,FALSE,"BHA AT (1)";#N/A,#N/A,FALSE,"Downlinkbha";#N/A,#N/A,FALSE,"Job Status Report"}</definedName>
    <definedName name="_ddr42" localSheetId="1" hidden="1">{#N/A,#N/A,FALSE,"Drlg Param Run 1-1";#N/A,#N/A,FALSE,"DDR (3)";#N/A,#N/A,FALSE,"BHA AT (1)";#N/A,#N/A,FALSE,"Downlinkbha";#N/A,#N/A,FALSE,"Job Status Report"}</definedName>
    <definedName name="_ddr42" localSheetId="2" hidden="1">{#N/A,#N/A,FALSE,"Drlg Param Run 1-1";#N/A,#N/A,FALSE,"DDR (3)";#N/A,#N/A,FALSE,"BHA AT (1)";#N/A,#N/A,FALSE,"Downlinkbha";#N/A,#N/A,FALSE,"Job Status Report"}</definedName>
    <definedName name="_ddr42" localSheetId="5" hidden="1">{#N/A,#N/A,FALSE,"Drlg Param Run 1-1";#N/A,#N/A,FALSE,"DDR (3)";#N/A,#N/A,FALSE,"BHA AT (1)";#N/A,#N/A,FALSE,"Downlinkbha";#N/A,#N/A,FALSE,"Job Status Report"}</definedName>
    <definedName name="_ddr42" localSheetId="4" hidden="1">{#N/A,#N/A,FALSE,"Drlg Param Run 1-1";#N/A,#N/A,FALSE,"DDR (3)";#N/A,#N/A,FALSE,"BHA AT (1)";#N/A,#N/A,FALSE,"Downlinkbha";#N/A,#N/A,FALSE,"Job Status Report"}</definedName>
    <definedName name="_ddr42" localSheetId="7" hidden="1">{#N/A,#N/A,FALSE,"Drlg Param Run 1-1";#N/A,#N/A,FALSE,"DDR (3)";#N/A,#N/A,FALSE,"BHA AT (1)";#N/A,#N/A,FALSE,"Downlinkbha";#N/A,#N/A,FALSE,"Job Status Report"}</definedName>
    <definedName name="_ddr42" localSheetId="3" hidden="1">{#N/A,#N/A,FALSE,"Drlg Param Run 1-1";#N/A,#N/A,FALSE,"DDR (3)";#N/A,#N/A,FALSE,"BHA AT (1)";#N/A,#N/A,FALSE,"Downlinkbha";#N/A,#N/A,FALSE,"Job Status Report"}</definedName>
    <definedName name="_ddr42" hidden="1">{#N/A,#N/A,FALSE,"Drlg Param Run 1-1";#N/A,#N/A,FALSE,"DDR (3)";#N/A,#N/A,FALSE,"BHA AT (1)";#N/A,#N/A,FALSE,"Downlinkbha";#N/A,#N/A,FALSE,"Job Status Report"}</definedName>
    <definedName name="_DDR53" localSheetId="1" hidden="1">{#N/A,#N/A,FALSE,"Drlg Param Run 1-1";#N/A,#N/A,FALSE,"DDR (3)";#N/A,#N/A,FALSE,"BHA AT (1)";#N/A,#N/A,FALSE,"Downlinkbha";#N/A,#N/A,FALSE,"Job Status Report"}</definedName>
    <definedName name="_DDR53" localSheetId="2" hidden="1">{#N/A,#N/A,FALSE,"Drlg Param Run 1-1";#N/A,#N/A,FALSE,"DDR (3)";#N/A,#N/A,FALSE,"BHA AT (1)";#N/A,#N/A,FALSE,"Downlinkbha";#N/A,#N/A,FALSE,"Job Status Report"}</definedName>
    <definedName name="_DDR53" localSheetId="5" hidden="1">{#N/A,#N/A,FALSE,"Drlg Param Run 1-1";#N/A,#N/A,FALSE,"DDR (3)";#N/A,#N/A,FALSE,"BHA AT (1)";#N/A,#N/A,FALSE,"Downlinkbha";#N/A,#N/A,FALSE,"Job Status Report"}</definedName>
    <definedName name="_DDR53" localSheetId="4" hidden="1">{#N/A,#N/A,FALSE,"Drlg Param Run 1-1";#N/A,#N/A,FALSE,"DDR (3)";#N/A,#N/A,FALSE,"BHA AT (1)";#N/A,#N/A,FALSE,"Downlinkbha";#N/A,#N/A,FALSE,"Job Status Report"}</definedName>
    <definedName name="_DDR53" localSheetId="7" hidden="1">{#N/A,#N/A,FALSE,"Drlg Param Run 1-1";#N/A,#N/A,FALSE,"DDR (3)";#N/A,#N/A,FALSE,"BHA AT (1)";#N/A,#N/A,FALSE,"Downlinkbha";#N/A,#N/A,FALSE,"Job Status Report"}</definedName>
    <definedName name="_DDR53" localSheetId="3" hidden="1">{#N/A,#N/A,FALSE,"Drlg Param Run 1-1";#N/A,#N/A,FALSE,"DDR (3)";#N/A,#N/A,FALSE,"BHA AT (1)";#N/A,#N/A,FALSE,"Downlinkbha";#N/A,#N/A,FALSE,"Job Status Report"}</definedName>
    <definedName name="_DDR53" hidden="1">{#N/A,#N/A,FALSE,"Drlg Param Run 1-1";#N/A,#N/A,FALSE,"DDR (3)";#N/A,#N/A,FALSE,"BHA AT (1)";#N/A,#N/A,FALSE,"Downlinkbha";#N/A,#N/A,FALSE,"Job Status Report"}</definedName>
    <definedName name="_ddr54" localSheetId="1" hidden="1">{#N/A,#N/A,FALSE,"Drlg Param Run 1-1";#N/A,#N/A,FALSE,"DDR (3)";#N/A,#N/A,FALSE,"BHA AT (1)";#N/A,#N/A,FALSE,"Downlinkbha";#N/A,#N/A,FALSE,"Job Status Report"}</definedName>
    <definedName name="_ddr54" localSheetId="2" hidden="1">{#N/A,#N/A,FALSE,"Drlg Param Run 1-1";#N/A,#N/A,FALSE,"DDR (3)";#N/A,#N/A,FALSE,"BHA AT (1)";#N/A,#N/A,FALSE,"Downlinkbha";#N/A,#N/A,FALSE,"Job Status Report"}</definedName>
    <definedName name="_ddr54" localSheetId="5" hidden="1">{#N/A,#N/A,FALSE,"Drlg Param Run 1-1";#N/A,#N/A,FALSE,"DDR (3)";#N/A,#N/A,FALSE,"BHA AT (1)";#N/A,#N/A,FALSE,"Downlinkbha";#N/A,#N/A,FALSE,"Job Status Report"}</definedName>
    <definedName name="_ddr54" localSheetId="4" hidden="1">{#N/A,#N/A,FALSE,"Drlg Param Run 1-1";#N/A,#N/A,FALSE,"DDR (3)";#N/A,#N/A,FALSE,"BHA AT (1)";#N/A,#N/A,FALSE,"Downlinkbha";#N/A,#N/A,FALSE,"Job Status Report"}</definedName>
    <definedName name="_ddr54" localSheetId="7" hidden="1">{#N/A,#N/A,FALSE,"Drlg Param Run 1-1";#N/A,#N/A,FALSE,"DDR (3)";#N/A,#N/A,FALSE,"BHA AT (1)";#N/A,#N/A,FALSE,"Downlinkbha";#N/A,#N/A,FALSE,"Job Status Report"}</definedName>
    <definedName name="_ddr54" localSheetId="3" hidden="1">{#N/A,#N/A,FALSE,"Drlg Param Run 1-1";#N/A,#N/A,FALSE,"DDR (3)";#N/A,#N/A,FALSE,"BHA AT (1)";#N/A,#N/A,FALSE,"Downlinkbha";#N/A,#N/A,FALSE,"Job Status Report"}</definedName>
    <definedName name="_ddr54" hidden="1">{#N/A,#N/A,FALSE,"Drlg Param Run 1-1";#N/A,#N/A,FALSE,"DDR (3)";#N/A,#N/A,FALSE,"BHA AT (1)";#N/A,#N/A,FALSE,"Downlinkbha";#N/A,#N/A,FALSE,"Job Status Report"}</definedName>
    <definedName name="_Dec4" localSheetId="1" hidden="1">{#N/A,#N/A,FALSE,"Drlg Param Run 1-1";#N/A,#N/A,FALSE,"DDR (3)";#N/A,#N/A,FALSE,"BHA AT (1)";#N/A,#N/A,FALSE,"Downlinkbha";#N/A,#N/A,FALSE,"Job Status Report"}</definedName>
    <definedName name="_Dec4" localSheetId="2" hidden="1">{#N/A,#N/A,FALSE,"Drlg Param Run 1-1";#N/A,#N/A,FALSE,"DDR (3)";#N/A,#N/A,FALSE,"BHA AT (1)";#N/A,#N/A,FALSE,"Downlinkbha";#N/A,#N/A,FALSE,"Job Status Report"}</definedName>
    <definedName name="_Dec4" localSheetId="5" hidden="1">{#N/A,#N/A,FALSE,"Drlg Param Run 1-1";#N/A,#N/A,FALSE,"DDR (3)";#N/A,#N/A,FALSE,"BHA AT (1)";#N/A,#N/A,FALSE,"Downlinkbha";#N/A,#N/A,FALSE,"Job Status Report"}</definedName>
    <definedName name="_Dec4" localSheetId="4" hidden="1">{#N/A,#N/A,FALSE,"Drlg Param Run 1-1";#N/A,#N/A,FALSE,"DDR (3)";#N/A,#N/A,FALSE,"BHA AT (1)";#N/A,#N/A,FALSE,"Downlinkbha";#N/A,#N/A,FALSE,"Job Status Report"}</definedName>
    <definedName name="_Dec4" localSheetId="7" hidden="1">{#N/A,#N/A,FALSE,"Drlg Param Run 1-1";#N/A,#N/A,FALSE,"DDR (3)";#N/A,#N/A,FALSE,"BHA AT (1)";#N/A,#N/A,FALSE,"Downlinkbha";#N/A,#N/A,FALSE,"Job Status Report"}</definedName>
    <definedName name="_Dec4" localSheetId="3" hidden="1">{#N/A,#N/A,FALSE,"Drlg Param Run 1-1";#N/A,#N/A,FALSE,"DDR (3)";#N/A,#N/A,FALSE,"BHA AT (1)";#N/A,#N/A,FALSE,"Downlinkbha";#N/A,#N/A,FALSE,"Job Status Report"}</definedName>
    <definedName name="_Dec4" hidden="1">{#N/A,#N/A,FALSE,"Drlg Param Run 1-1";#N/A,#N/A,FALSE,"DDR (3)";#N/A,#N/A,FALSE,"BHA AT (1)";#N/A,#N/A,FALSE,"Downlinkbha";#N/A,#N/A,FALSE,"Job Status Report"}</definedName>
    <definedName name="_Feb16" localSheetId="1" hidden="1">{#N/A,#N/A,FALSE,"Drlg Param Run 1-1";#N/A,#N/A,FALSE,"DDR (3)";#N/A,#N/A,FALSE,"BHA AT (1)";#N/A,#N/A,FALSE,"Downlinkbha";#N/A,#N/A,FALSE,"Job Status Report"}</definedName>
    <definedName name="_Feb16" localSheetId="2" hidden="1">{#N/A,#N/A,FALSE,"Drlg Param Run 1-1";#N/A,#N/A,FALSE,"DDR (3)";#N/A,#N/A,FALSE,"BHA AT (1)";#N/A,#N/A,FALSE,"Downlinkbha";#N/A,#N/A,FALSE,"Job Status Report"}</definedName>
    <definedName name="_Feb16" localSheetId="5" hidden="1">{#N/A,#N/A,FALSE,"Drlg Param Run 1-1";#N/A,#N/A,FALSE,"DDR (3)";#N/A,#N/A,FALSE,"BHA AT (1)";#N/A,#N/A,FALSE,"Downlinkbha";#N/A,#N/A,FALSE,"Job Status Report"}</definedName>
    <definedName name="_Feb16" localSheetId="4" hidden="1">{#N/A,#N/A,FALSE,"Drlg Param Run 1-1";#N/A,#N/A,FALSE,"DDR (3)";#N/A,#N/A,FALSE,"BHA AT (1)";#N/A,#N/A,FALSE,"Downlinkbha";#N/A,#N/A,FALSE,"Job Status Report"}</definedName>
    <definedName name="_Feb16" localSheetId="7" hidden="1">{#N/A,#N/A,FALSE,"Drlg Param Run 1-1";#N/A,#N/A,FALSE,"DDR (3)";#N/A,#N/A,FALSE,"BHA AT (1)";#N/A,#N/A,FALSE,"Downlinkbha";#N/A,#N/A,FALSE,"Job Status Report"}</definedName>
    <definedName name="_Feb16" localSheetId="3" hidden="1">{#N/A,#N/A,FALSE,"Drlg Param Run 1-1";#N/A,#N/A,FALSE,"DDR (3)";#N/A,#N/A,FALSE,"BHA AT (1)";#N/A,#N/A,FALSE,"Downlinkbha";#N/A,#N/A,FALSE,"Job Status Report"}</definedName>
    <definedName name="_Feb16" hidden="1">{#N/A,#N/A,FALSE,"Drlg Param Run 1-1";#N/A,#N/A,FALSE,"DDR (3)";#N/A,#N/A,FALSE,"BHA AT (1)";#N/A,#N/A,FALSE,"Downlinkbha";#N/A,#N/A,FALSE,"Job Status Report"}</definedName>
    <definedName name="_Fill" hidden="1">#REF!</definedName>
    <definedName name="_NB1" localSheetId="1" hidden="1">{#N/A,#N/A,FALSE,"Drlg Param Run 1-1";#N/A,#N/A,FALSE,"DDR (3)";#N/A,#N/A,FALSE,"BHA AT (1)";#N/A,#N/A,FALSE,"Downlinkbha";#N/A,#N/A,FALSE,"Job Status Report"}</definedName>
    <definedName name="_NB1" localSheetId="2" hidden="1">{#N/A,#N/A,FALSE,"Drlg Param Run 1-1";#N/A,#N/A,FALSE,"DDR (3)";#N/A,#N/A,FALSE,"BHA AT (1)";#N/A,#N/A,FALSE,"Downlinkbha";#N/A,#N/A,FALSE,"Job Status Report"}</definedName>
    <definedName name="_NB1" localSheetId="5" hidden="1">{#N/A,#N/A,FALSE,"Drlg Param Run 1-1";#N/A,#N/A,FALSE,"DDR (3)";#N/A,#N/A,FALSE,"BHA AT (1)";#N/A,#N/A,FALSE,"Downlinkbha";#N/A,#N/A,FALSE,"Job Status Report"}</definedName>
    <definedName name="_NB1" localSheetId="4" hidden="1">{#N/A,#N/A,FALSE,"Drlg Param Run 1-1";#N/A,#N/A,FALSE,"DDR (3)";#N/A,#N/A,FALSE,"BHA AT (1)";#N/A,#N/A,FALSE,"Downlinkbha";#N/A,#N/A,FALSE,"Job Status Report"}</definedName>
    <definedName name="_NB1" localSheetId="7" hidden="1">{#N/A,#N/A,FALSE,"Drlg Param Run 1-1";#N/A,#N/A,FALSE,"DDR (3)";#N/A,#N/A,FALSE,"BHA AT (1)";#N/A,#N/A,FALSE,"Downlinkbha";#N/A,#N/A,FALSE,"Job Status Report"}</definedName>
    <definedName name="_NB1" localSheetId="3" hidden="1">{#N/A,#N/A,FALSE,"Drlg Param Run 1-1";#N/A,#N/A,FALSE,"DDR (3)";#N/A,#N/A,FALSE,"BHA AT (1)";#N/A,#N/A,FALSE,"Downlinkbha";#N/A,#N/A,FALSE,"Job Status Report"}</definedName>
    <definedName name="_NB1" hidden="1">{#N/A,#N/A,FALSE,"Drlg Param Run 1-1";#N/A,#N/A,FALSE,"DDR (3)";#N/A,#N/A,FALSE,"BHA AT (1)";#N/A,#N/A,FALSE,"Downlinkbha";#N/A,#N/A,FALSE,"Job Status Report"}</definedName>
    <definedName name="_NB2" localSheetId="1" hidden="1">{#N/A,#N/A,FALSE,"Drlg Param Run 1-1";#N/A,#N/A,FALSE,"DDR (3)";#N/A,#N/A,FALSE,"BHA AT (1)";#N/A,#N/A,FALSE,"Downlinkbha";#N/A,#N/A,FALSE,"Job Status Report"}</definedName>
    <definedName name="_NB2" localSheetId="2" hidden="1">{#N/A,#N/A,FALSE,"Drlg Param Run 1-1";#N/A,#N/A,FALSE,"DDR (3)";#N/A,#N/A,FALSE,"BHA AT (1)";#N/A,#N/A,FALSE,"Downlinkbha";#N/A,#N/A,FALSE,"Job Status Report"}</definedName>
    <definedName name="_NB2" localSheetId="5" hidden="1">{#N/A,#N/A,FALSE,"Drlg Param Run 1-1";#N/A,#N/A,FALSE,"DDR (3)";#N/A,#N/A,FALSE,"BHA AT (1)";#N/A,#N/A,FALSE,"Downlinkbha";#N/A,#N/A,FALSE,"Job Status Report"}</definedName>
    <definedName name="_NB2" localSheetId="4" hidden="1">{#N/A,#N/A,FALSE,"Drlg Param Run 1-1";#N/A,#N/A,FALSE,"DDR (3)";#N/A,#N/A,FALSE,"BHA AT (1)";#N/A,#N/A,FALSE,"Downlinkbha";#N/A,#N/A,FALSE,"Job Status Report"}</definedName>
    <definedName name="_NB2" localSheetId="7" hidden="1">{#N/A,#N/A,FALSE,"Drlg Param Run 1-1";#N/A,#N/A,FALSE,"DDR (3)";#N/A,#N/A,FALSE,"BHA AT (1)";#N/A,#N/A,FALSE,"Downlinkbha";#N/A,#N/A,FALSE,"Job Status Report"}</definedName>
    <definedName name="_NB2" localSheetId="3" hidden="1">{#N/A,#N/A,FALSE,"Drlg Param Run 1-1";#N/A,#N/A,FALSE,"DDR (3)";#N/A,#N/A,FALSE,"BHA AT (1)";#N/A,#N/A,FALSE,"Downlinkbha";#N/A,#N/A,FALSE,"Job Status Report"}</definedName>
    <definedName name="_NB2" hidden="1">{#N/A,#N/A,FALSE,"Drlg Param Run 1-1";#N/A,#N/A,FALSE,"DDR (3)";#N/A,#N/A,FALSE,"BHA AT (1)";#N/A,#N/A,FALSE,"Downlinkbha";#N/A,#N/A,FALSE,"Job Status Report"}</definedName>
    <definedName name="_nb3" localSheetId="1" hidden="1">{#N/A,#N/A,FALSE,"Drlg Param Run 1-1";#N/A,#N/A,FALSE,"DDR (3)";#N/A,#N/A,FALSE,"BHA AT (1)";#N/A,#N/A,FALSE,"Downlinkbha";#N/A,#N/A,FALSE,"Job Status Report"}</definedName>
    <definedName name="_nb3" localSheetId="2" hidden="1">{#N/A,#N/A,FALSE,"Drlg Param Run 1-1";#N/A,#N/A,FALSE,"DDR (3)";#N/A,#N/A,FALSE,"BHA AT (1)";#N/A,#N/A,FALSE,"Downlinkbha";#N/A,#N/A,FALSE,"Job Status Report"}</definedName>
    <definedName name="_nb3" localSheetId="5" hidden="1">{#N/A,#N/A,FALSE,"Drlg Param Run 1-1";#N/A,#N/A,FALSE,"DDR (3)";#N/A,#N/A,FALSE,"BHA AT (1)";#N/A,#N/A,FALSE,"Downlinkbha";#N/A,#N/A,FALSE,"Job Status Report"}</definedName>
    <definedName name="_nb3" localSheetId="4" hidden="1">{#N/A,#N/A,FALSE,"Drlg Param Run 1-1";#N/A,#N/A,FALSE,"DDR (3)";#N/A,#N/A,FALSE,"BHA AT (1)";#N/A,#N/A,FALSE,"Downlinkbha";#N/A,#N/A,FALSE,"Job Status Report"}</definedName>
    <definedName name="_nb3" localSheetId="7" hidden="1">{#N/A,#N/A,FALSE,"Drlg Param Run 1-1";#N/A,#N/A,FALSE,"DDR (3)";#N/A,#N/A,FALSE,"BHA AT (1)";#N/A,#N/A,FALSE,"Downlinkbha";#N/A,#N/A,FALSE,"Job Status Report"}</definedName>
    <definedName name="_nb3" localSheetId="3" hidden="1">{#N/A,#N/A,FALSE,"Drlg Param Run 1-1";#N/A,#N/A,FALSE,"DDR (3)";#N/A,#N/A,FALSE,"BHA AT (1)";#N/A,#N/A,FALSE,"Downlinkbha";#N/A,#N/A,FALSE,"Job Status Report"}</definedName>
    <definedName name="_nb3" hidden="1">{#N/A,#N/A,FALSE,"Drlg Param Run 1-1";#N/A,#N/A,FALSE,"DDR (3)";#N/A,#N/A,FALSE,"BHA AT (1)";#N/A,#N/A,FALSE,"Downlinkbha";#N/A,#N/A,FALSE,"Job Status Report"}</definedName>
    <definedName name="_nb4" localSheetId="1" hidden="1">{#N/A,#N/A,FALSE,"Drlg Param Run 1-1";#N/A,#N/A,FALSE,"DDR (3)";#N/A,#N/A,FALSE,"BHA AT (1)";#N/A,#N/A,FALSE,"Downlinkbha";#N/A,#N/A,FALSE,"Job Status Report"}</definedName>
    <definedName name="_nb4" localSheetId="2" hidden="1">{#N/A,#N/A,FALSE,"Drlg Param Run 1-1";#N/A,#N/A,FALSE,"DDR (3)";#N/A,#N/A,FALSE,"BHA AT (1)";#N/A,#N/A,FALSE,"Downlinkbha";#N/A,#N/A,FALSE,"Job Status Report"}</definedName>
    <definedName name="_nb4" localSheetId="5" hidden="1">{#N/A,#N/A,FALSE,"Drlg Param Run 1-1";#N/A,#N/A,FALSE,"DDR (3)";#N/A,#N/A,FALSE,"BHA AT (1)";#N/A,#N/A,FALSE,"Downlinkbha";#N/A,#N/A,FALSE,"Job Status Report"}</definedName>
    <definedName name="_nb4" localSheetId="4" hidden="1">{#N/A,#N/A,FALSE,"Drlg Param Run 1-1";#N/A,#N/A,FALSE,"DDR (3)";#N/A,#N/A,FALSE,"BHA AT (1)";#N/A,#N/A,FALSE,"Downlinkbha";#N/A,#N/A,FALSE,"Job Status Report"}</definedName>
    <definedName name="_nb4" localSheetId="7" hidden="1">{#N/A,#N/A,FALSE,"Drlg Param Run 1-1";#N/A,#N/A,FALSE,"DDR (3)";#N/A,#N/A,FALSE,"BHA AT (1)";#N/A,#N/A,FALSE,"Downlinkbha";#N/A,#N/A,FALSE,"Job Status Report"}</definedName>
    <definedName name="_nb4" localSheetId="3" hidden="1">{#N/A,#N/A,FALSE,"Drlg Param Run 1-1";#N/A,#N/A,FALSE,"DDR (3)";#N/A,#N/A,FALSE,"BHA AT (1)";#N/A,#N/A,FALSE,"Downlinkbha";#N/A,#N/A,FALSE,"Job Status Report"}</definedName>
    <definedName name="_nb4" hidden="1">{#N/A,#N/A,FALSE,"Drlg Param Run 1-1";#N/A,#N/A,FALSE,"DDR (3)";#N/A,#N/A,FALSE,"BHA AT (1)";#N/A,#N/A,FALSE,"Downlinkbha";#N/A,#N/A,FALSE,"Job Status Report"}</definedName>
    <definedName name="_nb5" localSheetId="1" hidden="1">{#N/A,#N/A,FALSE,"Drlg Param Run 1-1";#N/A,#N/A,FALSE,"DDR (3)";#N/A,#N/A,FALSE,"BHA AT (1)";#N/A,#N/A,FALSE,"Downlinkbha";#N/A,#N/A,FALSE,"Job Status Report"}</definedName>
    <definedName name="_nb5" localSheetId="2" hidden="1">{#N/A,#N/A,FALSE,"Drlg Param Run 1-1";#N/A,#N/A,FALSE,"DDR (3)";#N/A,#N/A,FALSE,"BHA AT (1)";#N/A,#N/A,FALSE,"Downlinkbha";#N/A,#N/A,FALSE,"Job Status Report"}</definedName>
    <definedName name="_nb5" localSheetId="5" hidden="1">{#N/A,#N/A,FALSE,"Drlg Param Run 1-1";#N/A,#N/A,FALSE,"DDR (3)";#N/A,#N/A,FALSE,"BHA AT (1)";#N/A,#N/A,FALSE,"Downlinkbha";#N/A,#N/A,FALSE,"Job Status Report"}</definedName>
    <definedName name="_nb5" localSheetId="4" hidden="1">{#N/A,#N/A,FALSE,"Drlg Param Run 1-1";#N/A,#N/A,FALSE,"DDR (3)";#N/A,#N/A,FALSE,"BHA AT (1)";#N/A,#N/A,FALSE,"Downlinkbha";#N/A,#N/A,FALSE,"Job Status Report"}</definedName>
    <definedName name="_nb5" localSheetId="7" hidden="1">{#N/A,#N/A,FALSE,"Drlg Param Run 1-1";#N/A,#N/A,FALSE,"DDR (3)";#N/A,#N/A,FALSE,"BHA AT (1)";#N/A,#N/A,FALSE,"Downlinkbha";#N/A,#N/A,FALSE,"Job Status Report"}</definedName>
    <definedName name="_nb5" localSheetId="3" hidden="1">{#N/A,#N/A,FALSE,"Drlg Param Run 1-1";#N/A,#N/A,FALSE,"DDR (3)";#N/A,#N/A,FALSE,"BHA AT (1)";#N/A,#N/A,FALSE,"Downlinkbha";#N/A,#N/A,FALSE,"Job Status Report"}</definedName>
    <definedName name="_nb5" hidden="1">{#N/A,#N/A,FALSE,"Drlg Param Run 1-1";#N/A,#N/A,FALSE,"DDR (3)";#N/A,#N/A,FALSE,"BHA AT (1)";#N/A,#N/A,FALSE,"Downlinkbha";#N/A,#N/A,FALSE,"Job Status Report"}</definedName>
    <definedName name="_nb6" localSheetId="1" hidden="1">{#N/A,#N/A,FALSE,"Drlg Param Run 1-1";#N/A,#N/A,FALSE,"DDR (3)";#N/A,#N/A,FALSE,"BHA AT (1)";#N/A,#N/A,FALSE,"Downlinkbha";#N/A,#N/A,FALSE,"Job Status Report"}</definedName>
    <definedName name="_nb6" localSheetId="2" hidden="1">{#N/A,#N/A,FALSE,"Drlg Param Run 1-1";#N/A,#N/A,FALSE,"DDR (3)";#N/A,#N/A,FALSE,"BHA AT (1)";#N/A,#N/A,FALSE,"Downlinkbha";#N/A,#N/A,FALSE,"Job Status Report"}</definedName>
    <definedName name="_nb6" localSheetId="5" hidden="1">{#N/A,#N/A,FALSE,"Drlg Param Run 1-1";#N/A,#N/A,FALSE,"DDR (3)";#N/A,#N/A,FALSE,"BHA AT (1)";#N/A,#N/A,FALSE,"Downlinkbha";#N/A,#N/A,FALSE,"Job Status Report"}</definedName>
    <definedName name="_nb6" localSheetId="4" hidden="1">{#N/A,#N/A,FALSE,"Drlg Param Run 1-1";#N/A,#N/A,FALSE,"DDR (3)";#N/A,#N/A,FALSE,"BHA AT (1)";#N/A,#N/A,FALSE,"Downlinkbha";#N/A,#N/A,FALSE,"Job Status Report"}</definedName>
    <definedName name="_nb6" localSheetId="7" hidden="1">{#N/A,#N/A,FALSE,"Drlg Param Run 1-1";#N/A,#N/A,FALSE,"DDR (3)";#N/A,#N/A,FALSE,"BHA AT (1)";#N/A,#N/A,FALSE,"Downlinkbha";#N/A,#N/A,FALSE,"Job Status Report"}</definedName>
    <definedName name="_nb6" localSheetId="3" hidden="1">{#N/A,#N/A,FALSE,"Drlg Param Run 1-1";#N/A,#N/A,FALSE,"DDR (3)";#N/A,#N/A,FALSE,"BHA AT (1)";#N/A,#N/A,FALSE,"Downlinkbha";#N/A,#N/A,FALSE,"Job Status Report"}</definedName>
    <definedName name="_nb6" hidden="1">{#N/A,#N/A,FALSE,"Drlg Param Run 1-1";#N/A,#N/A,FALSE,"DDR (3)";#N/A,#N/A,FALSE,"BHA AT (1)";#N/A,#N/A,FALSE,"Downlinkbha";#N/A,#N/A,FALSE,"Job Status Report"}</definedName>
    <definedName name="_Nov13" localSheetId="1" hidden="1">{#N/A,#N/A,FALSE,"Drlg Param Run 1-1";#N/A,#N/A,FALSE,"DDR (3)";#N/A,#N/A,FALSE,"BHA AT (1)";#N/A,#N/A,FALSE,"Downlinkbha";#N/A,#N/A,FALSE,"Job Status Report"}</definedName>
    <definedName name="_Nov13" localSheetId="2" hidden="1">{#N/A,#N/A,FALSE,"Drlg Param Run 1-1";#N/A,#N/A,FALSE,"DDR (3)";#N/A,#N/A,FALSE,"BHA AT (1)";#N/A,#N/A,FALSE,"Downlinkbha";#N/A,#N/A,FALSE,"Job Status Report"}</definedName>
    <definedName name="_Nov13" localSheetId="5" hidden="1">{#N/A,#N/A,FALSE,"Drlg Param Run 1-1";#N/A,#N/A,FALSE,"DDR (3)";#N/A,#N/A,FALSE,"BHA AT (1)";#N/A,#N/A,FALSE,"Downlinkbha";#N/A,#N/A,FALSE,"Job Status Report"}</definedName>
    <definedName name="_Nov13" localSheetId="4" hidden="1">{#N/A,#N/A,FALSE,"Drlg Param Run 1-1";#N/A,#N/A,FALSE,"DDR (3)";#N/A,#N/A,FALSE,"BHA AT (1)";#N/A,#N/A,FALSE,"Downlinkbha";#N/A,#N/A,FALSE,"Job Status Report"}</definedName>
    <definedName name="_Nov13" localSheetId="7" hidden="1">{#N/A,#N/A,FALSE,"Drlg Param Run 1-1";#N/A,#N/A,FALSE,"DDR (3)";#N/A,#N/A,FALSE,"BHA AT (1)";#N/A,#N/A,FALSE,"Downlinkbha";#N/A,#N/A,FALSE,"Job Status Report"}</definedName>
    <definedName name="_Nov13" localSheetId="3" hidden="1">{#N/A,#N/A,FALSE,"Drlg Param Run 1-1";#N/A,#N/A,FALSE,"DDR (3)";#N/A,#N/A,FALSE,"BHA AT (1)";#N/A,#N/A,FALSE,"Downlinkbha";#N/A,#N/A,FALSE,"Job Status Report"}</definedName>
    <definedName name="_Nov13" hidden="1">{#N/A,#N/A,FALSE,"Drlg Param Run 1-1";#N/A,#N/A,FALSE,"DDR (3)";#N/A,#N/A,FALSE,"BHA AT (1)";#N/A,#N/A,FALSE,"Downlinkbha";#N/A,#N/A,FALSE,"Job Status Report"}</definedName>
    <definedName name="_Nov27" localSheetId="1" hidden="1">{#N/A,#N/A,FALSE,"Drlg Param Run 1-1";#N/A,#N/A,FALSE,"DDR (3)";#N/A,#N/A,FALSE,"BHA AT (1)";#N/A,#N/A,FALSE,"Downlinkbha";#N/A,#N/A,FALSE,"Job Status Report"}</definedName>
    <definedName name="_Nov27" localSheetId="2" hidden="1">{#N/A,#N/A,FALSE,"Drlg Param Run 1-1";#N/A,#N/A,FALSE,"DDR (3)";#N/A,#N/A,FALSE,"BHA AT (1)";#N/A,#N/A,FALSE,"Downlinkbha";#N/A,#N/A,FALSE,"Job Status Report"}</definedName>
    <definedName name="_Nov27" localSheetId="5" hidden="1">{#N/A,#N/A,FALSE,"Drlg Param Run 1-1";#N/A,#N/A,FALSE,"DDR (3)";#N/A,#N/A,FALSE,"BHA AT (1)";#N/A,#N/A,FALSE,"Downlinkbha";#N/A,#N/A,FALSE,"Job Status Report"}</definedName>
    <definedName name="_Nov27" localSheetId="4" hidden="1">{#N/A,#N/A,FALSE,"Drlg Param Run 1-1";#N/A,#N/A,FALSE,"DDR (3)";#N/A,#N/A,FALSE,"BHA AT (1)";#N/A,#N/A,FALSE,"Downlinkbha";#N/A,#N/A,FALSE,"Job Status Report"}</definedName>
    <definedName name="_Nov27" localSheetId="7" hidden="1">{#N/A,#N/A,FALSE,"Drlg Param Run 1-1";#N/A,#N/A,FALSE,"DDR (3)";#N/A,#N/A,FALSE,"BHA AT (1)";#N/A,#N/A,FALSE,"Downlinkbha";#N/A,#N/A,FALSE,"Job Status Report"}</definedName>
    <definedName name="_Nov27" localSheetId="3" hidden="1">{#N/A,#N/A,FALSE,"Drlg Param Run 1-1";#N/A,#N/A,FALSE,"DDR (3)";#N/A,#N/A,FALSE,"BHA AT (1)";#N/A,#N/A,FALSE,"Downlinkbha";#N/A,#N/A,FALSE,"Job Status Report"}</definedName>
    <definedName name="_Nov27" hidden="1">{#N/A,#N/A,FALSE,"Drlg Param Run 1-1";#N/A,#N/A,FALSE,"DDR (3)";#N/A,#N/A,FALSE,"BHA AT (1)";#N/A,#N/A,FALSE,"Downlinkbha";#N/A,#N/A,FALSE,"Job Status Report"}</definedName>
    <definedName name="_Order1" hidden="1">255</definedName>
    <definedName name="_Order2" hidden="1">255</definedName>
    <definedName name="_run3" localSheetId="1" hidden="1">{#N/A,#N/A,FALSE,"Drlg Param Run 1-1";#N/A,#N/A,FALSE,"DDR (3)";#N/A,#N/A,FALSE,"BHA AT (1)";#N/A,#N/A,FALSE,"Downlinkbha";#N/A,#N/A,FALSE,"Job Status Report"}</definedName>
    <definedName name="_run3" localSheetId="2" hidden="1">{#N/A,#N/A,FALSE,"Drlg Param Run 1-1";#N/A,#N/A,FALSE,"DDR (3)";#N/A,#N/A,FALSE,"BHA AT (1)";#N/A,#N/A,FALSE,"Downlinkbha";#N/A,#N/A,FALSE,"Job Status Report"}</definedName>
    <definedName name="_run3" localSheetId="5" hidden="1">{#N/A,#N/A,FALSE,"Drlg Param Run 1-1";#N/A,#N/A,FALSE,"DDR (3)";#N/A,#N/A,FALSE,"BHA AT (1)";#N/A,#N/A,FALSE,"Downlinkbha";#N/A,#N/A,FALSE,"Job Status Report"}</definedName>
    <definedName name="_run3" localSheetId="4" hidden="1">{#N/A,#N/A,FALSE,"Drlg Param Run 1-1";#N/A,#N/A,FALSE,"DDR (3)";#N/A,#N/A,FALSE,"BHA AT (1)";#N/A,#N/A,FALSE,"Downlinkbha";#N/A,#N/A,FALSE,"Job Status Report"}</definedName>
    <definedName name="_run3" localSheetId="7" hidden="1">{#N/A,#N/A,FALSE,"Drlg Param Run 1-1";#N/A,#N/A,FALSE,"DDR (3)";#N/A,#N/A,FALSE,"BHA AT (1)";#N/A,#N/A,FALSE,"Downlinkbha";#N/A,#N/A,FALSE,"Job Status Report"}</definedName>
    <definedName name="_run3" localSheetId="3" hidden="1">{#N/A,#N/A,FALSE,"Drlg Param Run 1-1";#N/A,#N/A,FALSE,"DDR (3)";#N/A,#N/A,FALSE,"BHA AT (1)";#N/A,#N/A,FALSE,"Downlinkbha";#N/A,#N/A,FALSE,"Job Status Report"}</definedName>
    <definedName name="_run3" hidden="1">{#N/A,#N/A,FALSE,"Drlg Param Run 1-1";#N/A,#N/A,FALSE,"DDR (3)";#N/A,#N/A,FALSE,"BHA AT (1)";#N/A,#N/A,FALSE,"Downlinkbha";#N/A,#N/A,FALSE,"Job Status Report"}</definedName>
    <definedName name="_run4" localSheetId="1" hidden="1">{#N/A,#N/A,FALSE,"Drlg Param Run 1-1";#N/A,#N/A,FALSE,"DDR (3)";#N/A,#N/A,FALSE,"BHA AT (1)";#N/A,#N/A,FALSE,"Downlinkbha";#N/A,#N/A,FALSE,"Job Status Report"}</definedName>
    <definedName name="_run4" localSheetId="2" hidden="1">{#N/A,#N/A,FALSE,"Drlg Param Run 1-1";#N/A,#N/A,FALSE,"DDR (3)";#N/A,#N/A,FALSE,"BHA AT (1)";#N/A,#N/A,FALSE,"Downlinkbha";#N/A,#N/A,FALSE,"Job Status Report"}</definedName>
    <definedName name="_run4" localSheetId="5" hidden="1">{#N/A,#N/A,FALSE,"Drlg Param Run 1-1";#N/A,#N/A,FALSE,"DDR (3)";#N/A,#N/A,FALSE,"BHA AT (1)";#N/A,#N/A,FALSE,"Downlinkbha";#N/A,#N/A,FALSE,"Job Status Report"}</definedName>
    <definedName name="_run4" localSheetId="4" hidden="1">{#N/A,#N/A,FALSE,"Drlg Param Run 1-1";#N/A,#N/A,FALSE,"DDR (3)";#N/A,#N/A,FALSE,"BHA AT (1)";#N/A,#N/A,FALSE,"Downlinkbha";#N/A,#N/A,FALSE,"Job Status Report"}</definedName>
    <definedName name="_run4" localSheetId="7" hidden="1">{#N/A,#N/A,FALSE,"Drlg Param Run 1-1";#N/A,#N/A,FALSE,"DDR (3)";#N/A,#N/A,FALSE,"BHA AT (1)";#N/A,#N/A,FALSE,"Downlinkbha";#N/A,#N/A,FALSE,"Job Status Report"}</definedName>
    <definedName name="_run4" localSheetId="3" hidden="1">{#N/A,#N/A,FALSE,"Drlg Param Run 1-1";#N/A,#N/A,FALSE,"DDR (3)";#N/A,#N/A,FALSE,"BHA AT (1)";#N/A,#N/A,FALSE,"Downlinkbha";#N/A,#N/A,FALSE,"Job Status Report"}</definedName>
    <definedName name="_run4" hidden="1">{#N/A,#N/A,FALSE,"Drlg Param Run 1-1";#N/A,#N/A,FALSE,"DDR (3)";#N/A,#N/A,FALSE,"BHA AT (1)";#N/A,#N/A,FALSE,"Downlinkbha";#N/A,#N/A,FALSE,"Job Status Report"}</definedName>
    <definedName name="_Table1_Out" localSheetId="1" hidden="1">#REF!</definedName>
    <definedName name="_Table1_Out" localSheetId="2" hidden="1">#REF!</definedName>
    <definedName name="_Table1_Out" localSheetId="7" hidden="1">#REF!</definedName>
    <definedName name="_Table1_Out" hidden="1">#REF!</definedName>
    <definedName name="_Table2_Out" localSheetId="1" hidden="1">#REF!</definedName>
    <definedName name="_Table2_Out" localSheetId="2" hidden="1">#REF!</definedName>
    <definedName name="_Table2_Out" localSheetId="7" hidden="1">#REF!</definedName>
    <definedName name="_Table2_Out" hidden="1">#REF!</definedName>
    <definedName name="_xlpm.AZt" hidden="1" xlm="1">#NAME?</definedName>
    <definedName name="_xlpm.dAZ" hidden="1" xlm="1">#NAME?</definedName>
    <definedName name="_xlpm.dE" hidden="1" xlm="1">#NAME?</definedName>
    <definedName name="_xlpm.DL" hidden="1" xlm="1">#NAME?</definedName>
    <definedName name="_xlpm.dN" hidden="1" xlm="1">#NAME?</definedName>
    <definedName name="aaa" localSheetId="1" hidden="1">{#N/A,#N/A,FALSE,"Drlg Param Run 1-1";#N/A,#N/A,FALSE,"DDR (3)";#N/A,#N/A,FALSE,"BHA AT (1)";#N/A,#N/A,FALSE,"Downlinkbha";#N/A,#N/A,FALSE,"Job Status Report"}</definedName>
    <definedName name="aaa" localSheetId="2" hidden="1">{#N/A,#N/A,FALSE,"Drlg Param Run 1-1";#N/A,#N/A,FALSE,"DDR (3)";#N/A,#N/A,FALSE,"BHA AT (1)";#N/A,#N/A,FALSE,"Downlinkbha";#N/A,#N/A,FALSE,"Job Status Report"}</definedName>
    <definedName name="aaa" localSheetId="5" hidden="1">{#N/A,#N/A,FALSE,"Drlg Param Run 1-1";#N/A,#N/A,FALSE,"DDR (3)";#N/A,#N/A,FALSE,"BHA AT (1)";#N/A,#N/A,FALSE,"Downlinkbha";#N/A,#N/A,FALSE,"Job Status Report"}</definedName>
    <definedName name="aaa" localSheetId="4" hidden="1">{#N/A,#N/A,FALSE,"Drlg Param Run 1-1";#N/A,#N/A,FALSE,"DDR (3)";#N/A,#N/A,FALSE,"BHA AT (1)";#N/A,#N/A,FALSE,"Downlinkbha";#N/A,#N/A,FALSE,"Job Status Report"}</definedName>
    <definedName name="aaa" localSheetId="7" hidden="1">{#N/A,#N/A,FALSE,"Drlg Param Run 1-1";#N/A,#N/A,FALSE,"DDR (3)";#N/A,#N/A,FALSE,"BHA AT (1)";#N/A,#N/A,FALSE,"Downlinkbha";#N/A,#N/A,FALSE,"Job Status Report"}</definedName>
    <definedName name="aaa" localSheetId="3" hidden="1">{#N/A,#N/A,FALSE,"Drlg Param Run 1-1";#N/A,#N/A,FALSE,"DDR (3)";#N/A,#N/A,FALSE,"BHA AT (1)";#N/A,#N/A,FALSE,"Downlinkbha";#N/A,#N/A,FALSE,"Job Status Report"}</definedName>
    <definedName name="aaa" hidden="1">{#N/A,#N/A,FALSE,"Drlg Param Run 1-1";#N/A,#N/A,FALSE,"DDR (3)";#N/A,#N/A,FALSE,"BHA AT (1)";#N/A,#N/A,FALSE,"Downlinkbha";#N/A,#N/A,FALSE,"Job Status Report"}</definedName>
    <definedName name="abcdSLIDES">#REF!</definedName>
    <definedName name="Akita61Crew" localSheetId="1">#REF!</definedName>
    <definedName name="Akita61Crew">#REF!</definedName>
    <definedName name="AM_Report" localSheetId="1">#REF!</definedName>
    <definedName name="AM_Report">#REF!</definedName>
    <definedName name="AM_Report2" localSheetId="1">#REF!</definedName>
    <definedName name="AM_Report2">#REF!</definedName>
    <definedName name="asf" localSheetId="1" hidden="1">{#N/A,#N/A,FALSE,"Drlg Param Run 1-1";#N/A,#N/A,FALSE,"DDR (3)";#N/A,#N/A,FALSE,"BHA AT (1)";#N/A,#N/A,FALSE,"Downlinkbha";#N/A,#N/A,FALSE,"Job Status Report"}</definedName>
    <definedName name="asf" localSheetId="2" hidden="1">{#N/A,#N/A,FALSE,"Drlg Param Run 1-1";#N/A,#N/A,FALSE,"DDR (3)";#N/A,#N/A,FALSE,"BHA AT (1)";#N/A,#N/A,FALSE,"Downlinkbha";#N/A,#N/A,FALSE,"Job Status Report"}</definedName>
    <definedName name="asf" localSheetId="5" hidden="1">{#N/A,#N/A,FALSE,"Drlg Param Run 1-1";#N/A,#N/A,FALSE,"DDR (3)";#N/A,#N/A,FALSE,"BHA AT (1)";#N/A,#N/A,FALSE,"Downlinkbha";#N/A,#N/A,FALSE,"Job Status Report"}</definedName>
    <definedName name="asf" localSheetId="4" hidden="1">{#N/A,#N/A,FALSE,"Drlg Param Run 1-1";#N/A,#N/A,FALSE,"DDR (3)";#N/A,#N/A,FALSE,"BHA AT (1)";#N/A,#N/A,FALSE,"Downlinkbha";#N/A,#N/A,FALSE,"Job Status Report"}</definedName>
    <definedName name="asf" localSheetId="7" hidden="1">{#N/A,#N/A,FALSE,"Drlg Param Run 1-1";#N/A,#N/A,FALSE,"DDR (3)";#N/A,#N/A,FALSE,"BHA AT (1)";#N/A,#N/A,FALSE,"Downlinkbha";#N/A,#N/A,FALSE,"Job Status Report"}</definedName>
    <definedName name="asf" localSheetId="3" hidden="1">{#N/A,#N/A,FALSE,"Drlg Param Run 1-1";#N/A,#N/A,FALSE,"DDR (3)";#N/A,#N/A,FALSE,"BHA AT (1)";#N/A,#N/A,FALSE,"Downlinkbha";#N/A,#N/A,FALSE,"Job Status Report"}</definedName>
    <definedName name="asf" hidden="1">{#N/A,#N/A,FALSE,"Drlg Param Run 1-1";#N/A,#N/A,FALSE,"DDR (3)";#N/A,#N/A,FALSE,"BHA AT (1)";#N/A,#N/A,FALSE,"Downlinkbha";#N/A,#N/A,FALSE,"Job Status Report"}</definedName>
    <definedName name="b">#REF!</definedName>
    <definedName name="Battery" localSheetId="1">#REF!</definedName>
    <definedName name="Battery">#REF!</definedName>
    <definedName name="bearings" localSheetId="1">#REF!</definedName>
    <definedName name="bearings">#REF!</definedName>
    <definedName name="BearingSealsPDC" localSheetId="1">#REF!</definedName>
    <definedName name="BearingSealsPDC">#REF!</definedName>
    <definedName name="bend" localSheetId="1">#REF!</definedName>
    <definedName name="bend">#REF!</definedName>
    <definedName name="BendSetting" localSheetId="1">#REF!</definedName>
    <definedName name="BendSetting">#REF!</definedName>
    <definedName name="BHA_Bit_Type" localSheetId="1">#REF!</definedName>
    <definedName name="BHA_Bit_Type">#REF!</definedName>
    <definedName name="BHA12A" localSheetId="1" hidden="1">{#N/A,#N/A,FALSE,"Drlg Param Run 1-1";#N/A,#N/A,FALSE,"DDR (3)";#N/A,#N/A,FALSE,"BHA AT (1)";#N/A,#N/A,FALSE,"Downlinkbha";#N/A,#N/A,FALSE,"Job Status Report"}</definedName>
    <definedName name="BHA12A" localSheetId="2" hidden="1">{#N/A,#N/A,FALSE,"Drlg Param Run 1-1";#N/A,#N/A,FALSE,"DDR (3)";#N/A,#N/A,FALSE,"BHA AT (1)";#N/A,#N/A,FALSE,"Downlinkbha";#N/A,#N/A,FALSE,"Job Status Report"}</definedName>
    <definedName name="BHA12A" localSheetId="5" hidden="1">{#N/A,#N/A,FALSE,"Drlg Param Run 1-1";#N/A,#N/A,FALSE,"DDR (3)";#N/A,#N/A,FALSE,"BHA AT (1)";#N/A,#N/A,FALSE,"Downlinkbha";#N/A,#N/A,FALSE,"Job Status Report"}</definedName>
    <definedName name="BHA12A" localSheetId="4" hidden="1">{#N/A,#N/A,FALSE,"Drlg Param Run 1-1";#N/A,#N/A,FALSE,"DDR (3)";#N/A,#N/A,FALSE,"BHA AT (1)";#N/A,#N/A,FALSE,"Downlinkbha";#N/A,#N/A,FALSE,"Job Status Report"}</definedName>
    <definedName name="BHA12A" localSheetId="7" hidden="1">{#N/A,#N/A,FALSE,"Drlg Param Run 1-1";#N/A,#N/A,FALSE,"DDR (3)";#N/A,#N/A,FALSE,"BHA AT (1)";#N/A,#N/A,FALSE,"Downlinkbha";#N/A,#N/A,FALSE,"Job Status Report"}</definedName>
    <definedName name="BHA12A" localSheetId="3" hidden="1">{#N/A,#N/A,FALSE,"Drlg Param Run 1-1";#N/A,#N/A,FALSE,"DDR (3)";#N/A,#N/A,FALSE,"BHA AT (1)";#N/A,#N/A,FALSE,"Downlinkbha";#N/A,#N/A,FALSE,"Job Status Report"}</definedName>
    <definedName name="BHA12A" hidden="1">{#N/A,#N/A,FALSE,"Drlg Param Run 1-1";#N/A,#N/A,FALSE,"DDR (3)";#N/A,#N/A,FALSE,"BHA AT (1)";#N/A,#N/A,FALSE,"Downlinkbha";#N/A,#N/A,FALSE,"Job Status Report"}</definedName>
    <definedName name="BHA12B" localSheetId="1" hidden="1">{#N/A,#N/A,FALSE,"Drlg Param Run 1-1";#N/A,#N/A,FALSE,"DDR (3)";#N/A,#N/A,FALSE,"BHA AT (1)";#N/A,#N/A,FALSE,"Downlinkbha";#N/A,#N/A,FALSE,"Job Status Report"}</definedName>
    <definedName name="BHA12B" localSheetId="2" hidden="1">{#N/A,#N/A,FALSE,"Drlg Param Run 1-1";#N/A,#N/A,FALSE,"DDR (3)";#N/A,#N/A,FALSE,"BHA AT (1)";#N/A,#N/A,FALSE,"Downlinkbha";#N/A,#N/A,FALSE,"Job Status Report"}</definedName>
    <definedName name="BHA12B" localSheetId="5" hidden="1">{#N/A,#N/A,FALSE,"Drlg Param Run 1-1";#N/A,#N/A,FALSE,"DDR (3)";#N/A,#N/A,FALSE,"BHA AT (1)";#N/A,#N/A,FALSE,"Downlinkbha";#N/A,#N/A,FALSE,"Job Status Report"}</definedName>
    <definedName name="BHA12B" localSheetId="4" hidden="1">{#N/A,#N/A,FALSE,"Drlg Param Run 1-1";#N/A,#N/A,FALSE,"DDR (3)";#N/A,#N/A,FALSE,"BHA AT (1)";#N/A,#N/A,FALSE,"Downlinkbha";#N/A,#N/A,FALSE,"Job Status Report"}</definedName>
    <definedName name="BHA12B" localSheetId="7" hidden="1">{#N/A,#N/A,FALSE,"Drlg Param Run 1-1";#N/A,#N/A,FALSE,"DDR (3)";#N/A,#N/A,FALSE,"BHA AT (1)";#N/A,#N/A,FALSE,"Downlinkbha";#N/A,#N/A,FALSE,"Job Status Report"}</definedName>
    <definedName name="BHA12B" localSheetId="3" hidden="1">{#N/A,#N/A,FALSE,"Drlg Param Run 1-1";#N/A,#N/A,FALSE,"DDR (3)";#N/A,#N/A,FALSE,"BHA AT (1)";#N/A,#N/A,FALSE,"Downlinkbha";#N/A,#N/A,FALSE,"Job Status Report"}</definedName>
    <definedName name="BHA12B" hidden="1">{#N/A,#N/A,FALSE,"Drlg Param Run 1-1";#N/A,#N/A,FALSE,"DDR (3)";#N/A,#N/A,FALSE,"BHA AT (1)";#N/A,#N/A,FALSE,"Downlinkbha";#N/A,#N/A,FALSE,"Job Status Report"}</definedName>
    <definedName name="BHA12B1" localSheetId="1" hidden="1">{#N/A,#N/A,FALSE,"Drlg Param Run 1-1";#N/A,#N/A,FALSE,"DDR (3)";#N/A,#N/A,FALSE,"BHA AT (1)";#N/A,#N/A,FALSE,"Downlinkbha";#N/A,#N/A,FALSE,"Job Status Report"}</definedName>
    <definedName name="BHA12B1" localSheetId="2" hidden="1">{#N/A,#N/A,FALSE,"Drlg Param Run 1-1";#N/A,#N/A,FALSE,"DDR (3)";#N/A,#N/A,FALSE,"BHA AT (1)";#N/A,#N/A,FALSE,"Downlinkbha";#N/A,#N/A,FALSE,"Job Status Report"}</definedName>
    <definedName name="BHA12B1" localSheetId="5" hidden="1">{#N/A,#N/A,FALSE,"Drlg Param Run 1-1";#N/A,#N/A,FALSE,"DDR (3)";#N/A,#N/A,FALSE,"BHA AT (1)";#N/A,#N/A,FALSE,"Downlinkbha";#N/A,#N/A,FALSE,"Job Status Report"}</definedName>
    <definedName name="BHA12B1" localSheetId="4" hidden="1">{#N/A,#N/A,FALSE,"Drlg Param Run 1-1";#N/A,#N/A,FALSE,"DDR (3)";#N/A,#N/A,FALSE,"BHA AT (1)";#N/A,#N/A,FALSE,"Downlinkbha";#N/A,#N/A,FALSE,"Job Status Report"}</definedName>
    <definedName name="BHA12B1" localSheetId="7" hidden="1">{#N/A,#N/A,FALSE,"Drlg Param Run 1-1";#N/A,#N/A,FALSE,"DDR (3)";#N/A,#N/A,FALSE,"BHA AT (1)";#N/A,#N/A,FALSE,"Downlinkbha";#N/A,#N/A,FALSE,"Job Status Report"}</definedName>
    <definedName name="BHA12B1" localSheetId="3" hidden="1">{#N/A,#N/A,FALSE,"Drlg Param Run 1-1";#N/A,#N/A,FALSE,"DDR (3)";#N/A,#N/A,FALSE,"BHA AT (1)";#N/A,#N/A,FALSE,"Downlinkbha";#N/A,#N/A,FALSE,"Job Status Report"}</definedName>
    <definedName name="BHA12B1" hidden="1">{#N/A,#N/A,FALSE,"Drlg Param Run 1-1";#N/A,#N/A,FALSE,"DDR (3)";#N/A,#N/A,FALSE,"BHA AT (1)";#N/A,#N/A,FALSE,"Downlinkbha";#N/A,#N/A,FALSE,"Job Status Report"}</definedName>
    <definedName name="BHA19A" localSheetId="1" hidden="1">{#N/A,#N/A,FALSE,"Drlg Param Run 1-1";#N/A,#N/A,FALSE,"DDR (3)";#N/A,#N/A,FALSE,"BHA AT (1)";#N/A,#N/A,FALSE,"Downlinkbha";#N/A,#N/A,FALSE,"Job Status Report"}</definedName>
    <definedName name="BHA19A" localSheetId="2" hidden="1">{#N/A,#N/A,FALSE,"Drlg Param Run 1-1";#N/A,#N/A,FALSE,"DDR (3)";#N/A,#N/A,FALSE,"BHA AT (1)";#N/A,#N/A,FALSE,"Downlinkbha";#N/A,#N/A,FALSE,"Job Status Report"}</definedName>
    <definedName name="BHA19A" localSheetId="5" hidden="1">{#N/A,#N/A,FALSE,"Drlg Param Run 1-1";#N/A,#N/A,FALSE,"DDR (3)";#N/A,#N/A,FALSE,"BHA AT (1)";#N/A,#N/A,FALSE,"Downlinkbha";#N/A,#N/A,FALSE,"Job Status Report"}</definedName>
    <definedName name="BHA19A" localSheetId="4" hidden="1">{#N/A,#N/A,FALSE,"Drlg Param Run 1-1";#N/A,#N/A,FALSE,"DDR (3)";#N/A,#N/A,FALSE,"BHA AT (1)";#N/A,#N/A,FALSE,"Downlinkbha";#N/A,#N/A,FALSE,"Job Status Report"}</definedName>
    <definedName name="BHA19A" localSheetId="7" hidden="1">{#N/A,#N/A,FALSE,"Drlg Param Run 1-1";#N/A,#N/A,FALSE,"DDR (3)";#N/A,#N/A,FALSE,"BHA AT (1)";#N/A,#N/A,FALSE,"Downlinkbha";#N/A,#N/A,FALSE,"Job Status Report"}</definedName>
    <definedName name="BHA19A" localSheetId="3" hidden="1">{#N/A,#N/A,FALSE,"Drlg Param Run 1-1";#N/A,#N/A,FALSE,"DDR (3)";#N/A,#N/A,FALSE,"BHA AT (1)";#N/A,#N/A,FALSE,"Downlinkbha";#N/A,#N/A,FALSE,"Job Status Report"}</definedName>
    <definedName name="BHA19A" hidden="1">{#N/A,#N/A,FALSE,"Drlg Param Run 1-1";#N/A,#N/A,FALSE,"DDR (3)";#N/A,#N/A,FALSE,"BHA AT (1)";#N/A,#N/A,FALSE,"Downlinkbha";#N/A,#N/A,FALSE,"Job Status Report"}</definedName>
    <definedName name="BHA30A" localSheetId="1" hidden="1">{#N/A,#N/A,FALSE,"Drlg Param Run 1-1";#N/A,#N/A,FALSE,"DDR (3)";#N/A,#N/A,FALSE,"BHA AT (1)";#N/A,#N/A,FALSE,"Downlinkbha";#N/A,#N/A,FALSE,"Job Status Report"}</definedName>
    <definedName name="BHA30A" localSheetId="2" hidden="1">{#N/A,#N/A,FALSE,"Drlg Param Run 1-1";#N/A,#N/A,FALSE,"DDR (3)";#N/A,#N/A,FALSE,"BHA AT (1)";#N/A,#N/A,FALSE,"Downlinkbha";#N/A,#N/A,FALSE,"Job Status Report"}</definedName>
    <definedName name="BHA30A" localSheetId="5" hidden="1">{#N/A,#N/A,FALSE,"Drlg Param Run 1-1";#N/A,#N/A,FALSE,"DDR (3)";#N/A,#N/A,FALSE,"BHA AT (1)";#N/A,#N/A,FALSE,"Downlinkbha";#N/A,#N/A,FALSE,"Job Status Report"}</definedName>
    <definedName name="BHA30A" localSheetId="4" hidden="1">{#N/A,#N/A,FALSE,"Drlg Param Run 1-1";#N/A,#N/A,FALSE,"DDR (3)";#N/A,#N/A,FALSE,"BHA AT (1)";#N/A,#N/A,FALSE,"Downlinkbha";#N/A,#N/A,FALSE,"Job Status Report"}</definedName>
    <definedName name="BHA30A" localSheetId="7" hidden="1">{#N/A,#N/A,FALSE,"Drlg Param Run 1-1";#N/A,#N/A,FALSE,"DDR (3)";#N/A,#N/A,FALSE,"BHA AT (1)";#N/A,#N/A,FALSE,"Downlinkbha";#N/A,#N/A,FALSE,"Job Status Report"}</definedName>
    <definedName name="BHA30A" localSheetId="3" hidden="1">{#N/A,#N/A,FALSE,"Drlg Param Run 1-1";#N/A,#N/A,FALSE,"DDR (3)";#N/A,#N/A,FALSE,"BHA AT (1)";#N/A,#N/A,FALSE,"Downlinkbha";#N/A,#N/A,FALSE,"Job Status Report"}</definedName>
    <definedName name="BHA30A" hidden="1">{#N/A,#N/A,FALSE,"Drlg Param Run 1-1";#N/A,#N/A,FALSE,"DDR (3)";#N/A,#N/A,FALSE,"BHA AT (1)";#N/A,#N/A,FALSE,"Downlinkbha";#N/A,#N/A,FALSE,"Job Status Report"}</definedName>
    <definedName name="bits">#REF!</definedName>
    <definedName name="brow1" localSheetId="1">#REF!</definedName>
    <definedName name="brow1">#REF!</definedName>
    <definedName name="brow2" localSheetId="1">#REF!</definedName>
    <definedName name="brow2">#REF!</definedName>
    <definedName name="brow22" localSheetId="1">#REF!</definedName>
    <definedName name="brow22">#REF!</definedName>
    <definedName name="Build" localSheetId="1">#REF!</definedName>
    <definedName name="Build">#REF!</definedName>
    <definedName name="Cancell" localSheetId="1" hidden="1">{#N/A,#N/A,FALSE,"Drlg Param Run 1-1";#N/A,#N/A,FALSE,"DDR (3)";#N/A,#N/A,FALSE,"BHA AT (1)";#N/A,#N/A,FALSE,"Downlinkbha";#N/A,#N/A,FALSE,"Job Status Report"}</definedName>
    <definedName name="Cancell" localSheetId="2" hidden="1">{#N/A,#N/A,FALSE,"Drlg Param Run 1-1";#N/A,#N/A,FALSE,"DDR (3)";#N/A,#N/A,FALSE,"BHA AT (1)";#N/A,#N/A,FALSE,"Downlinkbha";#N/A,#N/A,FALSE,"Job Status Report"}</definedName>
    <definedName name="Cancell" localSheetId="5" hidden="1">{#N/A,#N/A,FALSE,"Drlg Param Run 1-1";#N/A,#N/A,FALSE,"DDR (3)";#N/A,#N/A,FALSE,"BHA AT (1)";#N/A,#N/A,FALSE,"Downlinkbha";#N/A,#N/A,FALSE,"Job Status Report"}</definedName>
    <definedName name="Cancell" localSheetId="4" hidden="1">{#N/A,#N/A,FALSE,"Drlg Param Run 1-1";#N/A,#N/A,FALSE,"DDR (3)";#N/A,#N/A,FALSE,"BHA AT (1)";#N/A,#N/A,FALSE,"Downlinkbha";#N/A,#N/A,FALSE,"Job Status Report"}</definedName>
    <definedName name="Cancell" localSheetId="7" hidden="1">{#N/A,#N/A,FALSE,"Drlg Param Run 1-1";#N/A,#N/A,FALSE,"DDR (3)";#N/A,#N/A,FALSE,"BHA AT (1)";#N/A,#N/A,FALSE,"Downlinkbha";#N/A,#N/A,FALSE,"Job Status Report"}</definedName>
    <definedName name="Cancell" localSheetId="3" hidden="1">{#N/A,#N/A,FALSE,"Drlg Param Run 1-1";#N/A,#N/A,FALSE,"DDR (3)";#N/A,#N/A,FALSE,"BHA AT (1)";#N/A,#N/A,FALSE,"Downlinkbha";#N/A,#N/A,FALSE,"Job Status Report"}</definedName>
    <definedName name="Cancell" hidden="1">{#N/A,#N/A,FALSE,"Drlg Param Run 1-1";#N/A,#N/A,FALSE,"DDR (3)";#N/A,#N/A,FALSE,"BHA AT (1)";#N/A,#N/A,FALSE,"Downlinkbha";#N/A,#N/A,FALSE,"Job Status Report"}</definedName>
    <definedName name="ccccc" localSheetId="1" hidden="1">{#N/A,#N/A,FALSE,"Drlg Param Run 1-1";#N/A,#N/A,FALSE,"DDR (3)";#N/A,#N/A,FALSE,"BHA AT (1)";#N/A,#N/A,FALSE,"Downlinkbha";#N/A,#N/A,FALSE,"Job Status Report"}</definedName>
    <definedName name="ccccc" localSheetId="2" hidden="1">{#N/A,#N/A,FALSE,"Drlg Param Run 1-1";#N/A,#N/A,FALSE,"DDR (3)";#N/A,#N/A,FALSE,"BHA AT (1)";#N/A,#N/A,FALSE,"Downlinkbha";#N/A,#N/A,FALSE,"Job Status Report"}</definedName>
    <definedName name="ccccc" localSheetId="5" hidden="1">{#N/A,#N/A,FALSE,"Drlg Param Run 1-1";#N/A,#N/A,FALSE,"DDR (3)";#N/A,#N/A,FALSE,"BHA AT (1)";#N/A,#N/A,FALSE,"Downlinkbha";#N/A,#N/A,FALSE,"Job Status Report"}</definedName>
    <definedName name="ccccc" localSheetId="4" hidden="1">{#N/A,#N/A,FALSE,"Drlg Param Run 1-1";#N/A,#N/A,FALSE,"DDR (3)";#N/A,#N/A,FALSE,"BHA AT (1)";#N/A,#N/A,FALSE,"Downlinkbha";#N/A,#N/A,FALSE,"Job Status Report"}</definedName>
    <definedName name="ccccc" localSheetId="7" hidden="1">{#N/A,#N/A,FALSE,"Drlg Param Run 1-1";#N/A,#N/A,FALSE,"DDR (3)";#N/A,#N/A,FALSE,"BHA AT (1)";#N/A,#N/A,FALSE,"Downlinkbha";#N/A,#N/A,FALSE,"Job Status Report"}</definedName>
    <definedName name="ccccc" localSheetId="3" hidden="1">{#N/A,#N/A,FALSE,"Drlg Param Run 1-1";#N/A,#N/A,FALSE,"DDR (3)";#N/A,#N/A,FALSE,"BHA AT (1)";#N/A,#N/A,FALSE,"Downlinkbha";#N/A,#N/A,FALSE,"Job Status Report"}</definedName>
    <definedName name="ccccc" hidden="1">{#N/A,#N/A,FALSE,"Drlg Param Run 1-1";#N/A,#N/A,FALSE,"DDR (3)";#N/A,#N/A,FALSE,"BHA AT (1)";#N/A,#N/A,FALSE,"Downlinkbha";#N/A,#N/A,FALSE,"Job Status Report"}</definedName>
    <definedName name="coman">#REF!</definedName>
    <definedName name="Conflict1" localSheetId="1" hidden="1">{#N/A,#N/A,FALSE,"Drlg Param Run 1-1";#N/A,#N/A,FALSE,"DDR (3)";#N/A,#N/A,FALSE,"BHA AT (1)";#N/A,#N/A,FALSE,"Downlinkbha";#N/A,#N/A,FALSE,"Job Status Report"}</definedName>
    <definedName name="Conflict1" localSheetId="2" hidden="1">{#N/A,#N/A,FALSE,"Drlg Param Run 1-1";#N/A,#N/A,FALSE,"DDR (3)";#N/A,#N/A,FALSE,"BHA AT (1)";#N/A,#N/A,FALSE,"Downlinkbha";#N/A,#N/A,FALSE,"Job Status Report"}</definedName>
    <definedName name="Conflict1" localSheetId="5" hidden="1">{#N/A,#N/A,FALSE,"Drlg Param Run 1-1";#N/A,#N/A,FALSE,"DDR (3)";#N/A,#N/A,FALSE,"BHA AT (1)";#N/A,#N/A,FALSE,"Downlinkbha";#N/A,#N/A,FALSE,"Job Status Report"}</definedName>
    <definedName name="Conflict1" localSheetId="4" hidden="1">{#N/A,#N/A,FALSE,"Drlg Param Run 1-1";#N/A,#N/A,FALSE,"DDR (3)";#N/A,#N/A,FALSE,"BHA AT (1)";#N/A,#N/A,FALSE,"Downlinkbha";#N/A,#N/A,FALSE,"Job Status Report"}</definedName>
    <definedName name="Conflict1" localSheetId="7" hidden="1">{#N/A,#N/A,FALSE,"Drlg Param Run 1-1";#N/A,#N/A,FALSE,"DDR (3)";#N/A,#N/A,FALSE,"BHA AT (1)";#N/A,#N/A,FALSE,"Downlinkbha";#N/A,#N/A,FALSE,"Job Status Report"}</definedName>
    <definedName name="Conflict1" localSheetId="3" hidden="1">{#N/A,#N/A,FALSE,"Drlg Param Run 1-1";#N/A,#N/A,FALSE,"DDR (3)";#N/A,#N/A,FALSE,"BHA AT (1)";#N/A,#N/A,FALSE,"Downlinkbha";#N/A,#N/A,FALSE,"Job Status Report"}</definedName>
    <definedName name="Conflict1" hidden="1">{#N/A,#N/A,FALSE,"Drlg Param Run 1-1";#N/A,#N/A,FALSE,"DDR (3)";#N/A,#N/A,FALSE,"BHA AT (1)";#N/A,#N/A,FALSE,"Downlinkbha";#N/A,#N/A,FALSE,"Job Status Report"}</definedName>
    <definedName name="Conflict2" localSheetId="1" hidden="1">{#N/A,#N/A,FALSE,"Drlg Param Run 1-1";#N/A,#N/A,FALSE,"DDR (3)";#N/A,#N/A,FALSE,"BHA AT (1)";#N/A,#N/A,FALSE,"Downlinkbha";#N/A,#N/A,FALSE,"Job Status Report"}</definedName>
    <definedName name="Conflict2" localSheetId="2" hidden="1">{#N/A,#N/A,FALSE,"Drlg Param Run 1-1";#N/A,#N/A,FALSE,"DDR (3)";#N/A,#N/A,FALSE,"BHA AT (1)";#N/A,#N/A,FALSE,"Downlinkbha";#N/A,#N/A,FALSE,"Job Status Report"}</definedName>
    <definedName name="Conflict2" localSheetId="5" hidden="1">{#N/A,#N/A,FALSE,"Drlg Param Run 1-1";#N/A,#N/A,FALSE,"DDR (3)";#N/A,#N/A,FALSE,"BHA AT (1)";#N/A,#N/A,FALSE,"Downlinkbha";#N/A,#N/A,FALSE,"Job Status Report"}</definedName>
    <definedName name="Conflict2" localSheetId="4" hidden="1">{#N/A,#N/A,FALSE,"Drlg Param Run 1-1";#N/A,#N/A,FALSE,"DDR (3)";#N/A,#N/A,FALSE,"BHA AT (1)";#N/A,#N/A,FALSE,"Downlinkbha";#N/A,#N/A,FALSE,"Job Status Report"}</definedName>
    <definedName name="Conflict2" localSheetId="7" hidden="1">{#N/A,#N/A,FALSE,"Drlg Param Run 1-1";#N/A,#N/A,FALSE,"DDR (3)";#N/A,#N/A,FALSE,"BHA AT (1)";#N/A,#N/A,FALSE,"Downlinkbha";#N/A,#N/A,FALSE,"Job Status Report"}</definedName>
    <definedName name="Conflict2" localSheetId="3" hidden="1">{#N/A,#N/A,FALSE,"Drlg Param Run 1-1";#N/A,#N/A,FALSE,"DDR (3)";#N/A,#N/A,FALSE,"BHA AT (1)";#N/A,#N/A,FALSE,"Downlinkbha";#N/A,#N/A,FALSE,"Job Status Report"}</definedName>
    <definedName name="Conflict2" hidden="1">{#N/A,#N/A,FALSE,"Drlg Param Run 1-1";#N/A,#N/A,FALSE,"DDR (3)";#N/A,#N/A,FALSE,"BHA AT (1)";#N/A,#N/A,FALSE,"Downlinkbha";#N/A,#N/A,FALSE,"Job Status Report"}</definedName>
    <definedName name="CostCol">#REF!</definedName>
    <definedName name="CostCol_12" localSheetId="1">#REF!</definedName>
    <definedName name="CostCol_12">#REF!</definedName>
    <definedName name="CP" localSheetId="1">#REF!</definedName>
    <definedName name="CP">#REF!</definedName>
    <definedName name="crow2" localSheetId="1">#REF!</definedName>
    <definedName name="crow2">#REF!</definedName>
    <definedName name="crow30" localSheetId="1">#REF!</definedName>
    <definedName name="crow30">#REF!</definedName>
    <definedName name="crow4" localSheetId="1">#REF!</definedName>
    <definedName name="crow4">#REF!</definedName>
    <definedName name="Daily" localSheetId="1" hidden="1">{#N/A,#N/A,FALSE,"Drlg Param Run 1-1";#N/A,#N/A,FALSE,"DDR (3)";#N/A,#N/A,FALSE,"BHA AT (1)";#N/A,#N/A,FALSE,"Downlinkbha";#N/A,#N/A,FALSE,"Job Status Report"}</definedName>
    <definedName name="Daily" localSheetId="2" hidden="1">{#N/A,#N/A,FALSE,"Drlg Param Run 1-1";#N/A,#N/A,FALSE,"DDR (3)";#N/A,#N/A,FALSE,"BHA AT (1)";#N/A,#N/A,FALSE,"Downlinkbha";#N/A,#N/A,FALSE,"Job Status Report"}</definedName>
    <definedName name="Daily" localSheetId="5" hidden="1">{#N/A,#N/A,FALSE,"Drlg Param Run 1-1";#N/A,#N/A,FALSE,"DDR (3)";#N/A,#N/A,FALSE,"BHA AT (1)";#N/A,#N/A,FALSE,"Downlinkbha";#N/A,#N/A,FALSE,"Job Status Report"}</definedName>
    <definedName name="Daily" localSheetId="4" hidden="1">{#N/A,#N/A,FALSE,"Drlg Param Run 1-1";#N/A,#N/A,FALSE,"DDR (3)";#N/A,#N/A,FALSE,"BHA AT (1)";#N/A,#N/A,FALSE,"Downlinkbha";#N/A,#N/A,FALSE,"Job Status Report"}</definedName>
    <definedName name="Daily" localSheetId="7" hidden="1">{#N/A,#N/A,FALSE,"Drlg Param Run 1-1";#N/A,#N/A,FALSE,"DDR (3)";#N/A,#N/A,FALSE,"BHA AT (1)";#N/A,#N/A,FALSE,"Downlinkbha";#N/A,#N/A,FALSE,"Job Status Report"}</definedName>
    <definedName name="Daily" localSheetId="3" hidden="1">{#N/A,#N/A,FALSE,"Drlg Param Run 1-1";#N/A,#N/A,FALSE,"DDR (3)";#N/A,#N/A,FALSE,"BHA AT (1)";#N/A,#N/A,FALSE,"Downlinkbha";#N/A,#N/A,FALSE,"Job Status Report"}</definedName>
    <definedName name="Daily" hidden="1">{#N/A,#N/A,FALSE,"Drlg Param Run 1-1";#N/A,#N/A,FALSE,"DDR (3)";#N/A,#N/A,FALSE,"BHA AT (1)";#N/A,#N/A,FALSE,"Downlinkbha";#N/A,#N/A,FALSE,"Job Status Report"}</definedName>
    <definedName name="DC">#REF!</definedName>
    <definedName name="dd" localSheetId="1">#REF!</definedName>
    <definedName name="dd">#REF!</definedName>
    <definedName name="DD_ActiveBHA" localSheetId="5">"6"</definedName>
    <definedName name="DD_CumulRow" localSheetId="5">'DD Tools'!$A$19</definedName>
    <definedName name="DD_RawBHASummary" localSheetId="5">'DD Tools'!$O$5:$W$11</definedName>
    <definedName name="ddd" localSheetId="1" hidden="1">{#N/A,#N/A,FALSE,"Drlg Param Run 1-1";#N/A,#N/A,FALSE,"DDR (3)";#N/A,#N/A,FALSE,"BHA AT (1)";#N/A,#N/A,FALSE,"Downlinkbha";#N/A,#N/A,FALSE,"Job Status Report"}</definedName>
    <definedName name="ddd" localSheetId="2" hidden="1">{#N/A,#N/A,FALSE,"Drlg Param Run 1-1";#N/A,#N/A,FALSE,"DDR (3)";#N/A,#N/A,FALSE,"BHA AT (1)";#N/A,#N/A,FALSE,"Downlinkbha";#N/A,#N/A,FALSE,"Job Status Report"}</definedName>
    <definedName name="ddd" localSheetId="5" hidden="1">{#N/A,#N/A,FALSE,"Drlg Param Run 1-1";#N/A,#N/A,FALSE,"DDR (3)";#N/A,#N/A,FALSE,"BHA AT (1)";#N/A,#N/A,FALSE,"Downlinkbha";#N/A,#N/A,FALSE,"Job Status Report"}</definedName>
    <definedName name="ddd" localSheetId="4" hidden="1">{#N/A,#N/A,FALSE,"Drlg Param Run 1-1";#N/A,#N/A,FALSE,"DDR (3)";#N/A,#N/A,FALSE,"BHA AT (1)";#N/A,#N/A,FALSE,"Downlinkbha";#N/A,#N/A,FALSE,"Job Status Report"}</definedName>
    <definedName name="ddd" localSheetId="7" hidden="1">{#N/A,#N/A,FALSE,"Drlg Param Run 1-1";#N/A,#N/A,FALSE,"DDR (3)";#N/A,#N/A,FALSE,"BHA AT (1)";#N/A,#N/A,FALSE,"Downlinkbha";#N/A,#N/A,FALSE,"Job Status Report"}</definedName>
    <definedName name="ddd" localSheetId="3" hidden="1">{#N/A,#N/A,FALSE,"Drlg Param Run 1-1";#N/A,#N/A,FALSE,"DDR (3)";#N/A,#N/A,FALSE,"BHA AT (1)";#N/A,#N/A,FALSE,"Downlinkbha";#N/A,#N/A,FALSE,"Job Status Report"}</definedName>
    <definedName name="ddd" hidden="1">{#N/A,#N/A,FALSE,"Drlg Param Run 1-1";#N/A,#N/A,FALSE,"DDR (3)";#N/A,#N/A,FALSE,"BHA AT (1)";#N/A,#N/A,FALSE,"Downlinkbha";#N/A,#N/A,FALSE,"Job Status Report"}</definedName>
    <definedName name="ddddd" localSheetId="1" hidden="1">{#N/A,#N/A,FALSE,"Drlg Param Run 1-1";#N/A,#N/A,FALSE,"DDR (3)";#N/A,#N/A,FALSE,"BHA AT (1)";#N/A,#N/A,FALSE,"Downlinkbha";#N/A,#N/A,FALSE,"Job Status Report"}</definedName>
    <definedName name="ddddd" localSheetId="2" hidden="1">{#N/A,#N/A,FALSE,"Drlg Param Run 1-1";#N/A,#N/A,FALSE,"DDR (3)";#N/A,#N/A,FALSE,"BHA AT (1)";#N/A,#N/A,FALSE,"Downlinkbha";#N/A,#N/A,FALSE,"Job Status Report"}</definedName>
    <definedName name="ddddd" localSheetId="5" hidden="1">{#N/A,#N/A,FALSE,"Drlg Param Run 1-1";#N/A,#N/A,FALSE,"DDR (3)";#N/A,#N/A,FALSE,"BHA AT (1)";#N/A,#N/A,FALSE,"Downlinkbha";#N/A,#N/A,FALSE,"Job Status Report"}</definedName>
    <definedName name="ddddd" localSheetId="4" hidden="1">{#N/A,#N/A,FALSE,"Drlg Param Run 1-1";#N/A,#N/A,FALSE,"DDR (3)";#N/A,#N/A,FALSE,"BHA AT (1)";#N/A,#N/A,FALSE,"Downlinkbha";#N/A,#N/A,FALSE,"Job Status Report"}</definedName>
    <definedName name="ddddd" localSheetId="7" hidden="1">{#N/A,#N/A,FALSE,"Drlg Param Run 1-1";#N/A,#N/A,FALSE,"DDR (3)";#N/A,#N/A,FALSE,"BHA AT (1)";#N/A,#N/A,FALSE,"Downlinkbha";#N/A,#N/A,FALSE,"Job Status Report"}</definedName>
    <definedName name="ddddd" localSheetId="3" hidden="1">{#N/A,#N/A,FALSE,"Drlg Param Run 1-1";#N/A,#N/A,FALSE,"DDR (3)";#N/A,#N/A,FALSE,"BHA AT (1)";#N/A,#N/A,FALSE,"Downlinkbha";#N/A,#N/A,FALSE,"Job Status Report"}</definedName>
    <definedName name="ddddd" hidden="1">{#N/A,#N/A,FALSE,"Drlg Param Run 1-1";#N/A,#N/A,FALSE,"DDR (3)";#N/A,#N/A,FALSE,"BHA AT (1)";#N/A,#N/A,FALSE,"Downlinkbha";#N/A,#N/A,FALSE,"Job Status Report"}</definedName>
    <definedName name="DDRMAC">#REF!</definedName>
    <definedName name="DirectionalUnit" localSheetId="1">#REF!</definedName>
    <definedName name="DirectionalUnit">#REF!</definedName>
    <definedName name="dksjfhakshdf" localSheetId="1" hidden="1">{#N/A,#N/A,FALSE,"Drlg Param Run 1-1";#N/A,#N/A,FALSE,"DDR (3)";#N/A,#N/A,FALSE,"BHA AT (1)";#N/A,#N/A,FALSE,"Downlinkbha";#N/A,#N/A,FALSE,"Job Status Report"}</definedName>
    <definedName name="dksjfhakshdf" localSheetId="2" hidden="1">{#N/A,#N/A,FALSE,"Drlg Param Run 1-1";#N/A,#N/A,FALSE,"DDR (3)";#N/A,#N/A,FALSE,"BHA AT (1)";#N/A,#N/A,FALSE,"Downlinkbha";#N/A,#N/A,FALSE,"Job Status Report"}</definedName>
    <definedName name="dksjfhakshdf" localSheetId="5" hidden="1">{#N/A,#N/A,FALSE,"Drlg Param Run 1-1";#N/A,#N/A,FALSE,"DDR (3)";#N/A,#N/A,FALSE,"BHA AT (1)";#N/A,#N/A,FALSE,"Downlinkbha";#N/A,#N/A,FALSE,"Job Status Report"}</definedName>
    <definedName name="dksjfhakshdf" localSheetId="4" hidden="1">{#N/A,#N/A,FALSE,"Drlg Param Run 1-1";#N/A,#N/A,FALSE,"DDR (3)";#N/A,#N/A,FALSE,"BHA AT (1)";#N/A,#N/A,FALSE,"Downlinkbha";#N/A,#N/A,FALSE,"Job Status Report"}</definedName>
    <definedName name="dksjfhakshdf" localSheetId="7" hidden="1">{#N/A,#N/A,FALSE,"Drlg Param Run 1-1";#N/A,#N/A,FALSE,"DDR (3)";#N/A,#N/A,FALSE,"BHA AT (1)";#N/A,#N/A,FALSE,"Downlinkbha";#N/A,#N/A,FALSE,"Job Status Report"}</definedName>
    <definedName name="dksjfhakshdf" localSheetId="3" hidden="1">{#N/A,#N/A,FALSE,"Drlg Param Run 1-1";#N/A,#N/A,FALSE,"DDR (3)";#N/A,#N/A,FALSE,"BHA AT (1)";#N/A,#N/A,FALSE,"Downlinkbha";#N/A,#N/A,FALSE,"Job Status Report"}</definedName>
    <definedName name="dksjfhakshdf" hidden="1">{#N/A,#N/A,FALSE,"Drlg Param Run 1-1";#N/A,#N/A,FALSE,"DDR (3)";#N/A,#N/A,FALSE,"BHA AT (1)";#N/A,#N/A,FALSE,"Downlinkbha";#N/A,#N/A,FALSE,"Job Status Report"}</definedName>
    <definedName name="DL">#REF!</definedName>
    <definedName name="drew" localSheetId="1" hidden="1">{#N/A,#N/A,FALSE,"Drlg Param Run 1-1";#N/A,#N/A,FALSE,"DDR (3)";#N/A,#N/A,FALSE,"BHA AT (1)";#N/A,#N/A,FALSE,"Downlinkbha";#N/A,#N/A,FALSE,"Job Status Report"}</definedName>
    <definedName name="drew" localSheetId="2" hidden="1">{#N/A,#N/A,FALSE,"Drlg Param Run 1-1";#N/A,#N/A,FALSE,"DDR (3)";#N/A,#N/A,FALSE,"BHA AT (1)";#N/A,#N/A,FALSE,"Downlinkbha";#N/A,#N/A,FALSE,"Job Status Report"}</definedName>
    <definedName name="drew" localSheetId="5" hidden="1">{#N/A,#N/A,FALSE,"Drlg Param Run 1-1";#N/A,#N/A,FALSE,"DDR (3)";#N/A,#N/A,FALSE,"BHA AT (1)";#N/A,#N/A,FALSE,"Downlinkbha";#N/A,#N/A,FALSE,"Job Status Report"}</definedName>
    <definedName name="drew" localSheetId="4" hidden="1">{#N/A,#N/A,FALSE,"Drlg Param Run 1-1";#N/A,#N/A,FALSE,"DDR (3)";#N/A,#N/A,FALSE,"BHA AT (1)";#N/A,#N/A,FALSE,"Downlinkbha";#N/A,#N/A,FALSE,"Job Status Report"}</definedName>
    <definedName name="drew" localSheetId="7" hidden="1">{#N/A,#N/A,FALSE,"Drlg Param Run 1-1";#N/A,#N/A,FALSE,"DDR (3)";#N/A,#N/A,FALSE,"BHA AT (1)";#N/A,#N/A,FALSE,"Downlinkbha";#N/A,#N/A,FALSE,"Job Status Report"}</definedName>
    <definedName name="drew" localSheetId="3" hidden="1">{#N/A,#N/A,FALSE,"Drlg Param Run 1-1";#N/A,#N/A,FALSE,"DDR (3)";#N/A,#N/A,FALSE,"BHA AT (1)";#N/A,#N/A,FALSE,"Downlinkbha";#N/A,#N/A,FALSE,"Job Status Report"}</definedName>
    <definedName name="drew" hidden="1">{#N/A,#N/A,FALSE,"Drlg Param Run 1-1";#N/A,#N/A,FALSE,"DDR (3)";#N/A,#N/A,FALSE,"BHA AT (1)";#N/A,#N/A,FALSE,"Downlinkbha";#N/A,#N/A,FALSE,"Job Status Report"}</definedName>
    <definedName name="drillingtools">#REF!</definedName>
    <definedName name="drow2" localSheetId="1">#REF!</definedName>
    <definedName name="drow2">#REF!</definedName>
    <definedName name="drow35" localSheetId="1">#REF!</definedName>
    <definedName name="drow35">#REF!</definedName>
    <definedName name="drow4" localSheetId="1">#REF!</definedName>
    <definedName name="drow4">#REF!</definedName>
    <definedName name="duhhh" localSheetId="1">#REF!</definedName>
    <definedName name="duhhh">#REF!</definedName>
    <definedName name="e" localSheetId="1" hidden="1">#REF!</definedName>
    <definedName name="e" localSheetId="2" hidden="1">#REF!</definedName>
    <definedName name="e" hidden="1">#REF!</definedName>
    <definedName name="eeeee" localSheetId="1">#REF!</definedName>
    <definedName name="eeeee">#REF!</definedName>
    <definedName name="elastomer" localSheetId="1">#REF!</definedName>
    <definedName name="elastomer">#REF!</definedName>
    <definedName name="EM" localSheetId="1">#REF!</definedName>
    <definedName name="EM">#REF!</definedName>
    <definedName name="erow2" localSheetId="1">#REF!</definedName>
    <definedName name="erow2">#REF!</definedName>
    <definedName name="Excel_BuiltIn_Print_Area" localSheetId="1">#REF!</definedName>
    <definedName name="Excel_BuiltIn_Print_Area">#REF!</definedName>
    <definedName name="Excel_BuiltIn_Print_Area_2_1" localSheetId="1">#REF!</definedName>
    <definedName name="Excel_BuiltIn_Print_Area_2_1">#REF!</definedName>
    <definedName name="Excel_BuiltIn_Print_Area_2_1_1" localSheetId="1">#REF!</definedName>
    <definedName name="Excel_BuiltIn_Print_Area_2_1_1">#REF!</definedName>
    <definedName name="Excel_BuiltIn_Print_Area_4_1" localSheetId="1">#REF!</definedName>
    <definedName name="Excel_BuiltIn_Print_Area_4_1">#REF!</definedName>
    <definedName name="Excel_BuiltIn_Print_Area_7_1" localSheetId="1">#REF!</definedName>
    <definedName name="Excel_BuiltIn_Print_Area_7_1">#REF!</definedName>
    <definedName name="Excel_BuiltIn_Print_Area_7_1_1" localSheetId="1">#REF!</definedName>
    <definedName name="Excel_BuiltIn_Print_Area_7_1_1">#REF!</definedName>
    <definedName name="Excel_BuiltIn_Print_Area_8_1" localSheetId="1">#REF!</definedName>
    <definedName name="Excel_BuiltIn_Print_Area_8_1">#REF!</definedName>
    <definedName name="Excel_BuiltIn_Recorder" localSheetId="1">#REF!</definedName>
    <definedName name="Excel_BuiltIn_Recorder">#REF!</definedName>
    <definedName name="FORMULA" localSheetId="1">#REF!</definedName>
    <definedName name="FORMULA">#REF!</definedName>
    <definedName name="FORMULA_12" localSheetId="1">#REF!</definedName>
    <definedName name="FORMULA_12">#REF!</definedName>
    <definedName name="FORMULA_13" localSheetId="1">#REF!</definedName>
    <definedName name="FORMULA_13">#REF!</definedName>
    <definedName name="FORMULA_14" localSheetId="1">#REF!</definedName>
    <definedName name="FORMULA_14">#REF!</definedName>
    <definedName name="frow2" localSheetId="1">#REF!</definedName>
    <definedName name="frow2">#REF!</definedName>
    <definedName name="frow2.1">#REF!</definedName>
    <definedName name="frow4" localSheetId="1">#REF!</definedName>
    <definedName name="frow4">#REF!</definedName>
    <definedName name="fuck" localSheetId="1">#REF!</definedName>
    <definedName name="fuck">#REF!</definedName>
    <definedName name="g" localSheetId="1" hidden="1">{#N/A,#N/A,FALSE,"Drlg Param Run 1-1";#N/A,#N/A,FALSE,"DDR (3)";#N/A,#N/A,FALSE,"BHA AT (1)";#N/A,#N/A,FALSE,"Downlinkbha";#N/A,#N/A,FALSE,"Job Status Report"}</definedName>
    <definedName name="g" localSheetId="2" hidden="1">{#N/A,#N/A,FALSE,"Drlg Param Run 1-1";#N/A,#N/A,FALSE,"DDR (3)";#N/A,#N/A,FALSE,"BHA AT (1)";#N/A,#N/A,FALSE,"Downlinkbha";#N/A,#N/A,FALSE,"Job Status Report"}</definedName>
    <definedName name="g" localSheetId="5" hidden="1">{#N/A,#N/A,FALSE,"Drlg Param Run 1-1";#N/A,#N/A,FALSE,"DDR (3)";#N/A,#N/A,FALSE,"BHA AT (1)";#N/A,#N/A,FALSE,"Downlinkbha";#N/A,#N/A,FALSE,"Job Status Report"}</definedName>
    <definedName name="g" localSheetId="4" hidden="1">{#N/A,#N/A,FALSE,"Drlg Param Run 1-1";#N/A,#N/A,FALSE,"DDR (3)";#N/A,#N/A,FALSE,"BHA AT (1)";#N/A,#N/A,FALSE,"Downlinkbha";#N/A,#N/A,FALSE,"Job Status Report"}</definedName>
    <definedName name="g" localSheetId="7" hidden="1">{#N/A,#N/A,FALSE,"Drlg Param Run 1-1";#N/A,#N/A,FALSE,"DDR (3)";#N/A,#N/A,FALSE,"BHA AT (1)";#N/A,#N/A,FALSE,"Downlinkbha";#N/A,#N/A,FALSE,"Job Status Report"}</definedName>
    <definedName name="g" localSheetId="3" hidden="1">{#N/A,#N/A,FALSE,"Drlg Param Run 1-1";#N/A,#N/A,FALSE,"DDR (3)";#N/A,#N/A,FALSE,"BHA AT (1)";#N/A,#N/A,FALSE,"Downlinkbha";#N/A,#N/A,FALSE,"Job Status Report"}</definedName>
    <definedName name="g" hidden="1">{#N/A,#N/A,FALSE,"Drlg Param Run 1-1";#N/A,#N/A,FALSE,"DDR (3)";#N/A,#N/A,FALSE,"BHA AT (1)";#N/A,#N/A,FALSE,"Downlinkbha";#N/A,#N/A,FALSE,"Job Status Report"}</definedName>
    <definedName name="Gamma">#REF!</definedName>
    <definedName name="GapSub" localSheetId="1">#REF!</definedName>
    <definedName name="GapSub">#REF!</definedName>
    <definedName name="gg" localSheetId="1" hidden="1">{#N/A,#N/A,FALSE,"Drlg Param Run 1-1";#N/A,#N/A,FALSE,"DDR (3)";#N/A,#N/A,FALSE,"BHA AT (1)";#N/A,#N/A,FALSE,"Downlinkbha";#N/A,#N/A,FALSE,"Job Status Report"}</definedName>
    <definedName name="gg" localSheetId="2" hidden="1">{#N/A,#N/A,FALSE,"Drlg Param Run 1-1";#N/A,#N/A,FALSE,"DDR (3)";#N/A,#N/A,FALSE,"BHA AT (1)";#N/A,#N/A,FALSE,"Downlinkbha";#N/A,#N/A,FALSE,"Job Status Report"}</definedName>
    <definedName name="gg" localSheetId="5" hidden="1">{#N/A,#N/A,FALSE,"Drlg Param Run 1-1";#N/A,#N/A,FALSE,"DDR (3)";#N/A,#N/A,FALSE,"BHA AT (1)";#N/A,#N/A,FALSE,"Downlinkbha";#N/A,#N/A,FALSE,"Job Status Report"}</definedName>
    <definedName name="gg" localSheetId="4" hidden="1">{#N/A,#N/A,FALSE,"Drlg Param Run 1-1";#N/A,#N/A,FALSE,"DDR (3)";#N/A,#N/A,FALSE,"BHA AT (1)";#N/A,#N/A,FALSE,"Downlinkbha";#N/A,#N/A,FALSE,"Job Status Report"}</definedName>
    <definedName name="gg" localSheetId="7" hidden="1">{#N/A,#N/A,FALSE,"Drlg Param Run 1-1";#N/A,#N/A,FALSE,"DDR (3)";#N/A,#N/A,FALSE,"BHA AT (1)";#N/A,#N/A,FALSE,"Downlinkbha";#N/A,#N/A,FALSE,"Job Status Report"}</definedName>
    <definedName name="gg" localSheetId="3" hidden="1">{#N/A,#N/A,FALSE,"Drlg Param Run 1-1";#N/A,#N/A,FALSE,"DDR (3)";#N/A,#N/A,FALSE,"BHA AT (1)";#N/A,#N/A,FALSE,"Downlinkbha";#N/A,#N/A,FALSE,"Job Status Report"}</definedName>
    <definedName name="gg" hidden="1">{#N/A,#N/A,FALSE,"Drlg Param Run 1-1";#N/A,#N/A,FALSE,"DDR (3)";#N/A,#N/A,FALSE,"BHA AT (1)";#N/A,#N/A,FALSE,"Downlinkbha";#N/A,#N/A,FALSE,"Job Status Report"}</definedName>
    <definedName name="ggg" localSheetId="1" hidden="1">{#N/A,#N/A,FALSE,"Drlg Param Run 1-1";#N/A,#N/A,FALSE,"DDR (3)";#N/A,#N/A,FALSE,"BHA AT (1)";#N/A,#N/A,FALSE,"Downlinkbha";#N/A,#N/A,FALSE,"Job Status Report"}</definedName>
    <definedName name="ggg" localSheetId="2" hidden="1">{#N/A,#N/A,FALSE,"Drlg Param Run 1-1";#N/A,#N/A,FALSE,"DDR (3)";#N/A,#N/A,FALSE,"BHA AT (1)";#N/A,#N/A,FALSE,"Downlinkbha";#N/A,#N/A,FALSE,"Job Status Report"}</definedName>
    <definedName name="ggg" localSheetId="5" hidden="1">{#N/A,#N/A,FALSE,"Drlg Param Run 1-1";#N/A,#N/A,FALSE,"DDR (3)";#N/A,#N/A,FALSE,"BHA AT (1)";#N/A,#N/A,FALSE,"Downlinkbha";#N/A,#N/A,FALSE,"Job Status Report"}</definedName>
    <definedName name="ggg" localSheetId="4" hidden="1">{#N/A,#N/A,FALSE,"Drlg Param Run 1-1";#N/A,#N/A,FALSE,"DDR (3)";#N/A,#N/A,FALSE,"BHA AT (1)";#N/A,#N/A,FALSE,"Downlinkbha";#N/A,#N/A,FALSE,"Job Status Report"}</definedName>
    <definedName name="ggg" localSheetId="7" hidden="1">{#N/A,#N/A,FALSE,"Drlg Param Run 1-1";#N/A,#N/A,FALSE,"DDR (3)";#N/A,#N/A,FALSE,"BHA AT (1)";#N/A,#N/A,FALSE,"Downlinkbha";#N/A,#N/A,FALSE,"Job Status Report"}</definedName>
    <definedName name="ggg" localSheetId="3" hidden="1">{#N/A,#N/A,FALSE,"Drlg Param Run 1-1";#N/A,#N/A,FALSE,"DDR (3)";#N/A,#N/A,FALSE,"BHA AT (1)";#N/A,#N/A,FALSE,"Downlinkbha";#N/A,#N/A,FALSE,"Job Status Report"}</definedName>
    <definedName name="ggg" hidden="1">{#N/A,#N/A,FALSE,"Drlg Param Run 1-1";#N/A,#N/A,FALSE,"DDR (3)";#N/A,#N/A,FALSE,"BHA AT (1)";#N/A,#N/A,FALSE,"Downlinkbha";#N/A,#N/A,FALSE,"Job Status Report"}</definedName>
    <definedName name="gggg" localSheetId="1" hidden="1">{#N/A,#N/A,FALSE,"Drlg Param Run 1-1";#N/A,#N/A,FALSE,"DDR (3)";#N/A,#N/A,FALSE,"BHA AT (1)";#N/A,#N/A,FALSE,"Downlinkbha";#N/A,#N/A,FALSE,"Job Status Report"}</definedName>
    <definedName name="gggg" localSheetId="2" hidden="1">{#N/A,#N/A,FALSE,"Drlg Param Run 1-1";#N/A,#N/A,FALSE,"DDR (3)";#N/A,#N/A,FALSE,"BHA AT (1)";#N/A,#N/A,FALSE,"Downlinkbha";#N/A,#N/A,FALSE,"Job Status Report"}</definedName>
    <definedName name="gggg" localSheetId="5" hidden="1">{#N/A,#N/A,FALSE,"Drlg Param Run 1-1";#N/A,#N/A,FALSE,"DDR (3)";#N/A,#N/A,FALSE,"BHA AT (1)";#N/A,#N/A,FALSE,"Downlinkbha";#N/A,#N/A,FALSE,"Job Status Report"}</definedName>
    <definedName name="gggg" localSheetId="4" hidden="1">{#N/A,#N/A,FALSE,"Drlg Param Run 1-1";#N/A,#N/A,FALSE,"DDR (3)";#N/A,#N/A,FALSE,"BHA AT (1)";#N/A,#N/A,FALSE,"Downlinkbha";#N/A,#N/A,FALSE,"Job Status Report"}</definedName>
    <definedName name="gggg" localSheetId="7" hidden="1">{#N/A,#N/A,FALSE,"Drlg Param Run 1-1";#N/A,#N/A,FALSE,"DDR (3)";#N/A,#N/A,FALSE,"BHA AT (1)";#N/A,#N/A,FALSE,"Downlinkbha";#N/A,#N/A,FALSE,"Job Status Report"}</definedName>
    <definedName name="gggg" localSheetId="3" hidden="1">{#N/A,#N/A,FALSE,"Drlg Param Run 1-1";#N/A,#N/A,FALSE,"DDR (3)";#N/A,#N/A,FALSE,"BHA AT (1)";#N/A,#N/A,FALSE,"Downlinkbha";#N/A,#N/A,FALSE,"Job Status Report"}</definedName>
    <definedName name="gggg" hidden="1">{#N/A,#N/A,FALSE,"Drlg Param Run 1-1";#N/A,#N/A,FALSE,"DDR (3)";#N/A,#N/A,FALSE,"BHA AT (1)";#N/A,#N/A,FALSE,"Downlinkbha";#N/A,#N/A,FALSE,"Job Status Report"}</definedName>
    <definedName name="ggggggg" localSheetId="1" hidden="1">{#N/A,#N/A,FALSE,"Drlg Param Run 1-1";#N/A,#N/A,FALSE,"DDR (3)";#N/A,#N/A,FALSE,"BHA AT (1)";#N/A,#N/A,FALSE,"Downlinkbha";#N/A,#N/A,FALSE,"Job Status Report"}</definedName>
    <definedName name="ggggggg" localSheetId="2" hidden="1">{#N/A,#N/A,FALSE,"Drlg Param Run 1-1";#N/A,#N/A,FALSE,"DDR (3)";#N/A,#N/A,FALSE,"BHA AT (1)";#N/A,#N/A,FALSE,"Downlinkbha";#N/A,#N/A,FALSE,"Job Status Report"}</definedName>
    <definedName name="ggggggg" localSheetId="5" hidden="1">{#N/A,#N/A,FALSE,"Drlg Param Run 1-1";#N/A,#N/A,FALSE,"DDR (3)";#N/A,#N/A,FALSE,"BHA AT (1)";#N/A,#N/A,FALSE,"Downlinkbha";#N/A,#N/A,FALSE,"Job Status Report"}</definedName>
    <definedName name="ggggggg" localSheetId="4" hidden="1">{#N/A,#N/A,FALSE,"Drlg Param Run 1-1";#N/A,#N/A,FALSE,"DDR (3)";#N/A,#N/A,FALSE,"BHA AT (1)";#N/A,#N/A,FALSE,"Downlinkbha";#N/A,#N/A,FALSE,"Job Status Report"}</definedName>
    <definedName name="ggggggg" localSheetId="7" hidden="1">{#N/A,#N/A,FALSE,"Drlg Param Run 1-1";#N/A,#N/A,FALSE,"DDR (3)";#N/A,#N/A,FALSE,"BHA AT (1)";#N/A,#N/A,FALSE,"Downlinkbha";#N/A,#N/A,FALSE,"Job Status Report"}</definedName>
    <definedName name="ggggggg" localSheetId="3" hidden="1">{#N/A,#N/A,FALSE,"Drlg Param Run 1-1";#N/A,#N/A,FALSE,"DDR (3)";#N/A,#N/A,FALSE,"BHA AT (1)";#N/A,#N/A,FALSE,"Downlinkbha";#N/A,#N/A,FALSE,"Job Status Report"}</definedName>
    <definedName name="ggggggg" hidden="1">{#N/A,#N/A,FALSE,"Drlg Param Run 1-1";#N/A,#N/A,FALSE,"DDR (3)";#N/A,#N/A,FALSE,"BHA AT (1)";#N/A,#N/A,FALSE,"Downlinkbha";#N/A,#N/A,FALSE,"Job Status Report"}</definedName>
    <definedName name="grow2">#REF!</definedName>
    <definedName name="grow4" localSheetId="1">#REF!</definedName>
    <definedName name="grow4">#REF!</definedName>
    <definedName name="H2S" localSheetId="1">#REF!</definedName>
    <definedName name="H2S">#REF!</definedName>
    <definedName name="Hands" localSheetId="1">#REF!</definedName>
    <definedName name="Hands">#REF!</definedName>
    <definedName name="hi" localSheetId="1">#REF!</definedName>
    <definedName name="hi">#REF!</definedName>
    <definedName name="hrow2" localSheetId="1">#REF!</definedName>
    <definedName name="hrow2">#REF!</definedName>
    <definedName name="hrow4" localSheetId="1">#REF!</definedName>
    <definedName name="hrow4">#REF!</definedName>
    <definedName name="Inc" localSheetId="1">#REF!</definedName>
    <definedName name="Inc">#REF!</definedName>
    <definedName name="Irow2" localSheetId="1">#REF!</definedName>
    <definedName name="Irow2">#REF!</definedName>
    <definedName name="irow4" localSheetId="1">#REF!</definedName>
    <definedName name="irow4">#REF!</definedName>
    <definedName name="JobSite" localSheetId="1">#REF!</definedName>
    <definedName name="JobSite">#REF!</definedName>
    <definedName name="July30" localSheetId="1" hidden="1">{#N/A,#N/A,FALSE,"Drlg Param Run 1-1";#N/A,#N/A,FALSE,"DDR (3)";#N/A,#N/A,FALSE,"BHA AT (1)";#N/A,#N/A,FALSE,"Downlinkbha";#N/A,#N/A,FALSE,"Job Status Report"}</definedName>
    <definedName name="July30" localSheetId="2" hidden="1">{#N/A,#N/A,FALSE,"Drlg Param Run 1-1";#N/A,#N/A,FALSE,"DDR (3)";#N/A,#N/A,FALSE,"BHA AT (1)";#N/A,#N/A,FALSE,"Downlinkbha";#N/A,#N/A,FALSE,"Job Status Report"}</definedName>
    <definedName name="July30" localSheetId="5" hidden="1">{#N/A,#N/A,FALSE,"Drlg Param Run 1-1";#N/A,#N/A,FALSE,"DDR (3)";#N/A,#N/A,FALSE,"BHA AT (1)";#N/A,#N/A,FALSE,"Downlinkbha";#N/A,#N/A,FALSE,"Job Status Report"}</definedName>
    <definedName name="July30" localSheetId="4" hidden="1">{#N/A,#N/A,FALSE,"Drlg Param Run 1-1";#N/A,#N/A,FALSE,"DDR (3)";#N/A,#N/A,FALSE,"BHA AT (1)";#N/A,#N/A,FALSE,"Downlinkbha";#N/A,#N/A,FALSE,"Job Status Report"}</definedName>
    <definedName name="July30" localSheetId="7" hidden="1">{#N/A,#N/A,FALSE,"Drlg Param Run 1-1";#N/A,#N/A,FALSE,"DDR (3)";#N/A,#N/A,FALSE,"BHA AT (1)";#N/A,#N/A,FALSE,"Downlinkbha";#N/A,#N/A,FALSE,"Job Status Report"}</definedName>
    <definedName name="July30" localSheetId="3" hidden="1">{#N/A,#N/A,FALSE,"Drlg Param Run 1-1";#N/A,#N/A,FALSE,"DDR (3)";#N/A,#N/A,FALSE,"BHA AT (1)";#N/A,#N/A,FALSE,"Downlinkbha";#N/A,#N/A,FALSE,"Job Status Report"}</definedName>
    <definedName name="July30" hidden="1">{#N/A,#N/A,FALSE,"Drlg Param Run 1-1";#N/A,#N/A,FALSE,"DDR (3)";#N/A,#N/A,FALSE,"BHA AT (1)";#N/A,#N/A,FALSE,"Downlinkbha";#N/A,#N/A,FALSE,"Job Status Report"}</definedName>
    <definedName name="lease">#REF!</definedName>
    <definedName name="Level" localSheetId="1">#REF!</definedName>
    <definedName name="Level">#REF!</definedName>
    <definedName name="ll" localSheetId="1" hidden="1">#REF!</definedName>
    <definedName name="ll" localSheetId="2" hidden="1">#REF!</definedName>
    <definedName name="ll" localSheetId="7" hidden="1">#REF!</definedName>
    <definedName name="ll" hidden="1">#REF!</definedName>
    <definedName name="Location" localSheetId="1">#REF!</definedName>
    <definedName name="Location">#REF!</definedName>
    <definedName name="LocationBearingSeals" localSheetId="1">#REF!</definedName>
    <definedName name="LocationBearingSeals">#REF!</definedName>
    <definedName name="m" localSheetId="1" hidden="1">#REF!</definedName>
    <definedName name="m" localSheetId="2" hidden="1">#REF!</definedName>
    <definedName name="m" hidden="1">#REF!</definedName>
    <definedName name="M1ADM" localSheetId="1" hidden="1">{#N/A,#N/A,FALSE,"Drlg Param Run 1-1";#N/A,#N/A,FALSE,"DDR (3)";#N/A,#N/A,FALSE,"BHA AT (1)";#N/A,#N/A,FALSE,"Downlinkbha";#N/A,#N/A,FALSE,"Job Status Report"}</definedName>
    <definedName name="M1ADM" localSheetId="2" hidden="1">{#N/A,#N/A,FALSE,"Drlg Param Run 1-1";#N/A,#N/A,FALSE,"DDR (3)";#N/A,#N/A,FALSE,"BHA AT (1)";#N/A,#N/A,FALSE,"Downlinkbha";#N/A,#N/A,FALSE,"Job Status Report"}</definedName>
    <definedName name="M1ADM" localSheetId="5" hidden="1">{#N/A,#N/A,FALSE,"Drlg Param Run 1-1";#N/A,#N/A,FALSE,"DDR (3)";#N/A,#N/A,FALSE,"BHA AT (1)";#N/A,#N/A,FALSE,"Downlinkbha";#N/A,#N/A,FALSE,"Job Status Report"}</definedName>
    <definedName name="M1ADM" localSheetId="4" hidden="1">{#N/A,#N/A,FALSE,"Drlg Param Run 1-1";#N/A,#N/A,FALSE,"DDR (3)";#N/A,#N/A,FALSE,"BHA AT (1)";#N/A,#N/A,FALSE,"Downlinkbha";#N/A,#N/A,FALSE,"Job Status Report"}</definedName>
    <definedName name="M1ADM" localSheetId="7" hidden="1">{#N/A,#N/A,FALSE,"Drlg Param Run 1-1";#N/A,#N/A,FALSE,"DDR (3)";#N/A,#N/A,FALSE,"BHA AT (1)";#N/A,#N/A,FALSE,"Downlinkbha";#N/A,#N/A,FALSE,"Job Status Report"}</definedName>
    <definedName name="M1ADM" localSheetId="3" hidden="1">{#N/A,#N/A,FALSE,"Drlg Param Run 1-1";#N/A,#N/A,FALSE,"DDR (3)";#N/A,#N/A,FALSE,"BHA AT (1)";#N/A,#N/A,FALSE,"Downlinkbha";#N/A,#N/A,FALSE,"Job Status Report"}</definedName>
    <definedName name="M1ADM" hidden="1">{#N/A,#N/A,FALSE,"Drlg Param Run 1-1";#N/A,#N/A,FALSE,"DDR (3)";#N/A,#N/A,FALSE,"BHA AT (1)";#N/A,#N/A,FALSE,"Downlinkbha";#N/A,#N/A,FALSE,"Job Status Report"}</definedName>
    <definedName name="maps123" localSheetId="1" hidden="1">{#N/A,#N/A,FALSE,"Drlg Param Run 1-1";#N/A,#N/A,FALSE,"DDR (3)";#N/A,#N/A,FALSE,"BHA AT (1)";#N/A,#N/A,FALSE,"Downlinkbha";#N/A,#N/A,FALSE,"Job Status Report"}</definedName>
    <definedName name="maps123" localSheetId="2" hidden="1">{#N/A,#N/A,FALSE,"Drlg Param Run 1-1";#N/A,#N/A,FALSE,"DDR (3)";#N/A,#N/A,FALSE,"BHA AT (1)";#N/A,#N/A,FALSE,"Downlinkbha";#N/A,#N/A,FALSE,"Job Status Report"}</definedName>
    <definedName name="maps123" localSheetId="5" hidden="1">{#N/A,#N/A,FALSE,"Drlg Param Run 1-1";#N/A,#N/A,FALSE,"DDR (3)";#N/A,#N/A,FALSE,"BHA AT (1)";#N/A,#N/A,FALSE,"Downlinkbha";#N/A,#N/A,FALSE,"Job Status Report"}</definedName>
    <definedName name="maps123" localSheetId="4" hidden="1">{#N/A,#N/A,FALSE,"Drlg Param Run 1-1";#N/A,#N/A,FALSE,"DDR (3)";#N/A,#N/A,FALSE,"BHA AT (1)";#N/A,#N/A,FALSE,"Downlinkbha";#N/A,#N/A,FALSE,"Job Status Report"}</definedName>
    <definedName name="maps123" localSheetId="7" hidden="1">{#N/A,#N/A,FALSE,"Drlg Param Run 1-1";#N/A,#N/A,FALSE,"DDR (3)";#N/A,#N/A,FALSE,"BHA AT (1)";#N/A,#N/A,FALSE,"Downlinkbha";#N/A,#N/A,FALSE,"Job Status Report"}</definedName>
    <definedName name="maps123" localSheetId="3" hidden="1">{#N/A,#N/A,FALSE,"Drlg Param Run 1-1";#N/A,#N/A,FALSE,"DDR (3)";#N/A,#N/A,FALSE,"BHA AT (1)";#N/A,#N/A,FALSE,"Downlinkbha";#N/A,#N/A,FALSE,"Job Status Report"}</definedName>
    <definedName name="maps123" hidden="1">{#N/A,#N/A,FALSE,"Drlg Param Run 1-1";#N/A,#N/A,FALSE,"DDR (3)";#N/A,#N/A,FALSE,"BHA AT (1)";#N/A,#N/A,FALSE,"Downlinkbha";#N/A,#N/A,FALSE,"Job Status Report"}</definedName>
    <definedName name="mapsnew" localSheetId="1" hidden="1">{#N/A,#N/A,FALSE,"Drlg Param Run 1-1";#N/A,#N/A,FALSE,"DDR (3)";#N/A,#N/A,FALSE,"BHA AT (1)";#N/A,#N/A,FALSE,"Downlinkbha";#N/A,#N/A,FALSE,"Job Status Report"}</definedName>
    <definedName name="mapsnew" localSheetId="2" hidden="1">{#N/A,#N/A,FALSE,"Drlg Param Run 1-1";#N/A,#N/A,FALSE,"DDR (3)";#N/A,#N/A,FALSE,"BHA AT (1)";#N/A,#N/A,FALSE,"Downlinkbha";#N/A,#N/A,FALSE,"Job Status Report"}</definedName>
    <definedName name="mapsnew" localSheetId="5" hidden="1">{#N/A,#N/A,FALSE,"Drlg Param Run 1-1";#N/A,#N/A,FALSE,"DDR (3)";#N/A,#N/A,FALSE,"BHA AT (1)";#N/A,#N/A,FALSE,"Downlinkbha";#N/A,#N/A,FALSE,"Job Status Report"}</definedName>
    <definedName name="mapsnew" localSheetId="4" hidden="1">{#N/A,#N/A,FALSE,"Drlg Param Run 1-1";#N/A,#N/A,FALSE,"DDR (3)";#N/A,#N/A,FALSE,"BHA AT (1)";#N/A,#N/A,FALSE,"Downlinkbha";#N/A,#N/A,FALSE,"Job Status Report"}</definedName>
    <definedName name="mapsnew" localSheetId="7" hidden="1">{#N/A,#N/A,FALSE,"Drlg Param Run 1-1";#N/A,#N/A,FALSE,"DDR (3)";#N/A,#N/A,FALSE,"BHA AT (1)";#N/A,#N/A,FALSE,"Downlinkbha";#N/A,#N/A,FALSE,"Job Status Report"}</definedName>
    <definedName name="mapsnew" localSheetId="3" hidden="1">{#N/A,#N/A,FALSE,"Drlg Param Run 1-1";#N/A,#N/A,FALSE,"DDR (3)";#N/A,#N/A,FALSE,"BHA AT (1)";#N/A,#N/A,FALSE,"Downlinkbha";#N/A,#N/A,FALSE,"Job Status Report"}</definedName>
    <definedName name="mapsnew" hidden="1">{#N/A,#N/A,FALSE,"Drlg Param Run 1-1";#N/A,#N/A,FALSE,"DDR (3)";#N/A,#N/A,FALSE,"BHA AT (1)";#N/A,#N/A,FALSE,"Downlinkbha";#N/A,#N/A,FALSE,"Job Status Report"}</definedName>
    <definedName name="Material">#REF!</definedName>
    <definedName name="MODEN" localSheetId="1">#REF!</definedName>
    <definedName name="MODEN">#REF!</definedName>
    <definedName name="Muddy" localSheetId="1">#REF!</definedName>
    <definedName name="Muddy">#REF!</definedName>
    <definedName name="MudMotor" localSheetId="1">#REF!</definedName>
    <definedName name="MudMotor">#REF!</definedName>
    <definedName name="MWD" localSheetId="1">#REF!</definedName>
    <definedName name="MWD">#REF!</definedName>
    <definedName name="MWDKIT" localSheetId="1">#REF!</definedName>
    <definedName name="MWDKIT">#REF!</definedName>
    <definedName name="new" localSheetId="1">#REF!,#REF!,#REF!,#REF!,#REF!,#REF!,#REF!,#REF!,#REF!,#REF!,#REF!,#REF!,#REF!,#REF!,#REF!,#REF!,#REF!,#REF!,#REF!</definedName>
    <definedName name="new" localSheetId="7">#REF!,#REF!,#REF!,#REF!,#REF!,#REF!,#REF!,#REF!,#REF!,#REF!,#REF!,#REF!,#REF!,#REF!,#REF!,#REF!,#REF!,#REF!,#REF!</definedName>
    <definedName name="new">#REF!,#REF!,#REF!,#REF!,#REF!,#REF!,#REF!,#REF!,#REF!,#REF!,#REF!,#REF!,#REF!,#REF!,#REF!,#REF!,#REF!,#REF!,#REF!</definedName>
    <definedName name="OC_CrewBot" localSheetId="0">Setup!$J$10</definedName>
    <definedName name="OC_CrewTop" localSheetId="0">Setup!$J$5</definedName>
    <definedName name="OC_ImpAcRow" localSheetId="0">Setup!$J$30</definedName>
    <definedName name="OC_ImpPlanRow" localSheetId="0">Setup!$J$29</definedName>
    <definedName name="oilco" localSheetId="1">#REF!</definedName>
    <definedName name="oilco">#REF!</definedName>
    <definedName name="ok" localSheetId="1" hidden="1">#REF!</definedName>
    <definedName name="ok" localSheetId="2" hidden="1">#REF!</definedName>
    <definedName name="ok" localSheetId="7" hidden="1">#REF!</definedName>
    <definedName name="ok" hidden="1">#REF!</definedName>
    <definedName name="oka" localSheetId="1" hidden="1">#REF!</definedName>
    <definedName name="oka" localSheetId="2" hidden="1">#REF!</definedName>
    <definedName name="oka" localSheetId="7" hidden="1">#REF!</definedName>
    <definedName name="oka" hidden="1">#REF!</definedName>
    <definedName name="OR" localSheetId="1">#REF!</definedName>
    <definedName name="OR">#REF!</definedName>
    <definedName name="Orient2" localSheetId="1">#REF!</definedName>
    <definedName name="Orient2">#REF!</definedName>
    <definedName name="Orient2o" localSheetId="1">#REF!</definedName>
    <definedName name="Orient2o">#REF!</definedName>
    <definedName name="P" localSheetId="1" hidden="1">{#N/A,#N/A,FALSE,"Drlg Param Run 1-1";#N/A,#N/A,FALSE,"DDR (3)";#N/A,#N/A,FALSE,"BHA AT (1)";#N/A,#N/A,FALSE,"Downlinkbha";#N/A,#N/A,FALSE,"Job Status Report"}</definedName>
    <definedName name="P" localSheetId="2" hidden="1">{#N/A,#N/A,FALSE,"Drlg Param Run 1-1";#N/A,#N/A,FALSE,"DDR (3)";#N/A,#N/A,FALSE,"BHA AT (1)";#N/A,#N/A,FALSE,"Downlinkbha";#N/A,#N/A,FALSE,"Job Status Report"}</definedName>
    <definedName name="P" localSheetId="5" hidden="1">{#N/A,#N/A,FALSE,"Drlg Param Run 1-1";#N/A,#N/A,FALSE,"DDR (3)";#N/A,#N/A,FALSE,"BHA AT (1)";#N/A,#N/A,FALSE,"Downlinkbha";#N/A,#N/A,FALSE,"Job Status Report"}</definedName>
    <definedName name="P" localSheetId="4" hidden="1">{#N/A,#N/A,FALSE,"Drlg Param Run 1-1";#N/A,#N/A,FALSE,"DDR (3)";#N/A,#N/A,FALSE,"BHA AT (1)";#N/A,#N/A,FALSE,"Downlinkbha";#N/A,#N/A,FALSE,"Job Status Report"}</definedName>
    <definedName name="P" localSheetId="7" hidden="1">{#N/A,#N/A,FALSE,"Drlg Param Run 1-1";#N/A,#N/A,FALSE,"DDR (3)";#N/A,#N/A,FALSE,"BHA AT (1)";#N/A,#N/A,FALSE,"Downlinkbha";#N/A,#N/A,FALSE,"Job Status Report"}</definedName>
    <definedName name="P" localSheetId="3" hidden="1">{#N/A,#N/A,FALSE,"Drlg Param Run 1-1";#N/A,#N/A,FALSE,"DDR (3)";#N/A,#N/A,FALSE,"BHA AT (1)";#N/A,#N/A,FALSE,"Downlinkbha";#N/A,#N/A,FALSE,"Job Status Report"}</definedName>
    <definedName name="P" hidden="1">{#N/A,#N/A,FALSE,"Drlg Param Run 1-1";#N/A,#N/A,FALSE,"DDR (3)";#N/A,#N/A,FALSE,"BHA AT (1)";#N/A,#N/A,FALSE,"Downlinkbha";#N/A,#N/A,FALSE,"Job Status Report"}</definedName>
    <definedName name="PageSelection">#REF!</definedName>
    <definedName name="Para3" localSheetId="1" hidden="1">{#N/A,#N/A,FALSE,"Drlg Param Run 1-1";#N/A,#N/A,FALSE,"DDR (3)";#N/A,#N/A,FALSE,"BHA AT (1)";#N/A,#N/A,FALSE,"Downlinkbha";#N/A,#N/A,FALSE,"Job Status Report"}</definedName>
    <definedName name="Para3" localSheetId="2" hidden="1">{#N/A,#N/A,FALSE,"Drlg Param Run 1-1";#N/A,#N/A,FALSE,"DDR (3)";#N/A,#N/A,FALSE,"BHA AT (1)";#N/A,#N/A,FALSE,"Downlinkbha";#N/A,#N/A,FALSE,"Job Status Report"}</definedName>
    <definedName name="Para3" localSheetId="5" hidden="1">{#N/A,#N/A,FALSE,"Drlg Param Run 1-1";#N/A,#N/A,FALSE,"DDR (3)";#N/A,#N/A,FALSE,"BHA AT (1)";#N/A,#N/A,FALSE,"Downlinkbha";#N/A,#N/A,FALSE,"Job Status Report"}</definedName>
    <definedName name="Para3" localSheetId="4" hidden="1">{#N/A,#N/A,FALSE,"Drlg Param Run 1-1";#N/A,#N/A,FALSE,"DDR (3)";#N/A,#N/A,FALSE,"BHA AT (1)";#N/A,#N/A,FALSE,"Downlinkbha";#N/A,#N/A,FALSE,"Job Status Report"}</definedName>
    <definedName name="Para3" localSheetId="7" hidden="1">{#N/A,#N/A,FALSE,"Drlg Param Run 1-1";#N/A,#N/A,FALSE,"DDR (3)";#N/A,#N/A,FALSE,"BHA AT (1)";#N/A,#N/A,FALSE,"Downlinkbha";#N/A,#N/A,FALSE,"Job Status Report"}</definedName>
    <definedName name="Para3" localSheetId="3" hidden="1">{#N/A,#N/A,FALSE,"Drlg Param Run 1-1";#N/A,#N/A,FALSE,"DDR (3)";#N/A,#N/A,FALSE,"BHA AT (1)";#N/A,#N/A,FALSE,"Downlinkbha";#N/A,#N/A,FALSE,"Job Status Report"}</definedName>
    <definedName name="Para3" hidden="1">{#N/A,#N/A,FALSE,"Drlg Param Run 1-1";#N/A,#N/A,FALSE,"DDR (3)";#N/A,#N/A,FALSE,"BHA AT (1)";#N/A,#N/A,FALSE,"Downlinkbha";#N/A,#N/A,FALSE,"Job Status Report"}</definedName>
    <definedName name="Param3" localSheetId="1" hidden="1">{#N/A,#N/A,FALSE,"Drlg Param Run 1-1";#N/A,#N/A,FALSE,"DDR (3)";#N/A,#N/A,FALSE,"BHA AT (1)";#N/A,#N/A,FALSE,"Downlinkbha";#N/A,#N/A,FALSE,"Job Status Report"}</definedName>
    <definedName name="Param3" localSheetId="2" hidden="1">{#N/A,#N/A,FALSE,"Drlg Param Run 1-1";#N/A,#N/A,FALSE,"DDR (3)";#N/A,#N/A,FALSE,"BHA AT (1)";#N/A,#N/A,FALSE,"Downlinkbha";#N/A,#N/A,FALSE,"Job Status Report"}</definedName>
    <definedName name="Param3" localSheetId="5" hidden="1">{#N/A,#N/A,FALSE,"Drlg Param Run 1-1";#N/A,#N/A,FALSE,"DDR (3)";#N/A,#N/A,FALSE,"BHA AT (1)";#N/A,#N/A,FALSE,"Downlinkbha";#N/A,#N/A,FALSE,"Job Status Report"}</definedName>
    <definedName name="Param3" localSheetId="4" hidden="1">{#N/A,#N/A,FALSE,"Drlg Param Run 1-1";#N/A,#N/A,FALSE,"DDR (3)";#N/A,#N/A,FALSE,"BHA AT (1)";#N/A,#N/A,FALSE,"Downlinkbha";#N/A,#N/A,FALSE,"Job Status Report"}</definedName>
    <definedName name="Param3" localSheetId="7" hidden="1">{#N/A,#N/A,FALSE,"Drlg Param Run 1-1";#N/A,#N/A,FALSE,"DDR (3)";#N/A,#N/A,FALSE,"BHA AT (1)";#N/A,#N/A,FALSE,"Downlinkbha";#N/A,#N/A,FALSE,"Job Status Report"}</definedName>
    <definedName name="Param3" localSheetId="3" hidden="1">{#N/A,#N/A,FALSE,"Drlg Param Run 1-1";#N/A,#N/A,FALSE,"DDR (3)";#N/A,#N/A,FALSE,"BHA AT (1)";#N/A,#N/A,FALSE,"Downlinkbha";#N/A,#N/A,FALSE,"Job Status Report"}</definedName>
    <definedName name="Param3" hidden="1">{#N/A,#N/A,FALSE,"Drlg Param Run 1-1";#N/A,#N/A,FALSE,"DDR (3)";#N/A,#N/A,FALSE,"BHA AT (1)";#N/A,#N/A,FALSE,"Downlinkbha";#N/A,#N/A,FALSE,"Job Status Report"}</definedName>
    <definedName name="Pinch_Points">#REF!</definedName>
    <definedName name="pird">3.14159265/180</definedName>
    <definedName name="_xlnm.Print_Area" localSheetId="1">Costs!PRINTareaDYM</definedName>
    <definedName name="_xlnm.Print_Area" localSheetId="2">Data!$E$2:$V$67</definedName>
    <definedName name="_xlnm.Print_Area" localSheetId="5">PRINTareaDYM</definedName>
    <definedName name="_xlnm.Print_Area" localSheetId="4">PRINTareaDYM</definedName>
    <definedName name="_xlnm.Print_Area" localSheetId="7">Sidetrack!$A$2:$U$30</definedName>
    <definedName name="_xlnm.Print_Area" localSheetId="6">'Sidetrack Points'!$A$1:$E$9</definedName>
    <definedName name="_xlnm.Print_Area" localSheetId="3">Slidesheet!$B$2:$Y$24</definedName>
    <definedName name="_xlnm.Print_Area">PRINTareaDYM</definedName>
    <definedName name="Print_Area_MI" localSheetId="1">#REF!</definedName>
    <definedName name="Print_Area_MI" localSheetId="7">#REF!</definedName>
    <definedName name="Print_Area_MI">#REF!</definedName>
    <definedName name="Print_Area_MI_12" localSheetId="1">#REF!</definedName>
    <definedName name="Print_Area_MI_12" localSheetId="7">#REF!</definedName>
    <definedName name="Print_Area_MI_12">#REF!</definedName>
    <definedName name="Print_Area3" localSheetId="1">#REF!</definedName>
    <definedName name="Print_Area3" localSheetId="7">#REF!</definedName>
    <definedName name="Print_Area3">#REF!</definedName>
    <definedName name="_xlnm.Print_Titles" localSheetId="3">Slidesheet!$2:$7</definedName>
    <definedName name="PRINTareaDYM" localSheetId="1">OFFSET(#REF!,0,0,COUNTA(#REF!),COUNTA(#REF!))</definedName>
    <definedName name="PRINTareaDYM" localSheetId="7">OFFSET(#REF!,0,0,COUNTA(#REF!),COUNTA(#REF!))</definedName>
    <definedName name="PRINTareaDYM">OFFSET(#REF!,0,0,COUNTA(#REF!),COUNTA(#REF!))</definedName>
    <definedName name="ProjTargets_AZM" localSheetId="4">[1]Slidesheet!$W$2:$W$5</definedName>
    <definedName name="ProjTargets_AZM">Slidesheet!$W$2:$W$5</definedName>
    <definedName name="ProjTargets_INC" localSheetId="4">[1]Slidesheet!$V$2:$V$5</definedName>
    <definedName name="ProjTargets_INC">Slidesheet!$V$2:$V$5</definedName>
    <definedName name="ProjTargets_MD" localSheetId="4">[1]Slidesheet!$U$2:$U$5</definedName>
    <definedName name="ProjTargets_MD">Slidesheet!$U$2:$U$5</definedName>
    <definedName name="ProjTargets_TVD" localSheetId="4">[1]Slidesheet!$X$2:$X$5</definedName>
    <definedName name="ProjTargets_TVD">Slidesheet!$X$2:$X$5</definedName>
    <definedName name="provinces" localSheetId="1">#REF!</definedName>
    <definedName name="provinces">#REF!</definedName>
    <definedName name="Pulser" localSheetId="1">#REF!</definedName>
    <definedName name="Pulser">#REF!</definedName>
    <definedName name="PW" localSheetId="1">#REF!</definedName>
    <definedName name="PW">#REF!</definedName>
    <definedName name="Q" localSheetId="1">#REF!</definedName>
    <definedName name="Q">#REF!</definedName>
    <definedName name="rfp" localSheetId="1" hidden="1">{#N/A,#N/A,FALSE,"Drlg Param Run 1-1";#N/A,#N/A,FALSE,"DDR (3)";#N/A,#N/A,FALSE,"BHA AT (1)";#N/A,#N/A,FALSE,"Downlinkbha";#N/A,#N/A,FALSE,"Job Status Report"}</definedName>
    <definedName name="rfp" localSheetId="2" hidden="1">{#N/A,#N/A,FALSE,"Drlg Param Run 1-1";#N/A,#N/A,FALSE,"DDR (3)";#N/A,#N/A,FALSE,"BHA AT (1)";#N/A,#N/A,FALSE,"Downlinkbha";#N/A,#N/A,FALSE,"Job Status Report"}</definedName>
    <definedName name="rfp" localSheetId="5" hidden="1">{#N/A,#N/A,FALSE,"Drlg Param Run 1-1";#N/A,#N/A,FALSE,"DDR (3)";#N/A,#N/A,FALSE,"BHA AT (1)";#N/A,#N/A,FALSE,"Downlinkbha";#N/A,#N/A,FALSE,"Job Status Report"}</definedName>
    <definedName name="rfp" localSheetId="4" hidden="1">{#N/A,#N/A,FALSE,"Drlg Param Run 1-1";#N/A,#N/A,FALSE,"DDR (3)";#N/A,#N/A,FALSE,"BHA AT (1)";#N/A,#N/A,FALSE,"Downlinkbha";#N/A,#N/A,FALSE,"Job Status Report"}</definedName>
    <definedName name="rfp" localSheetId="7" hidden="1">{#N/A,#N/A,FALSE,"Drlg Param Run 1-1";#N/A,#N/A,FALSE,"DDR (3)";#N/A,#N/A,FALSE,"BHA AT (1)";#N/A,#N/A,FALSE,"Downlinkbha";#N/A,#N/A,FALSE,"Job Status Report"}</definedName>
    <definedName name="rfp" localSheetId="3" hidden="1">{#N/A,#N/A,FALSE,"Drlg Param Run 1-1";#N/A,#N/A,FALSE,"DDR (3)";#N/A,#N/A,FALSE,"BHA AT (1)";#N/A,#N/A,FALSE,"Downlinkbha";#N/A,#N/A,FALSE,"Job Status Report"}</definedName>
    <definedName name="rfp" hidden="1">{#N/A,#N/A,FALSE,"Drlg Param Run 1-1";#N/A,#N/A,FALSE,"DDR (3)";#N/A,#N/A,FALSE,"BHA AT (1)";#N/A,#N/A,FALSE,"Downlinkbha";#N/A,#N/A,FALSE,"Job Status Report"}</definedName>
    <definedName name="rig">#REF!</definedName>
    <definedName name="Rigcond" localSheetId="1">#REF!</definedName>
    <definedName name="Rigcond">#REF!</definedName>
    <definedName name="rigs" localSheetId="1">#REF!</definedName>
    <definedName name="rigs">#REF!</definedName>
    <definedName name="Rog" localSheetId="1">#REF!</definedName>
    <definedName name="Rog">#REF!</definedName>
    <definedName name="Rotate" localSheetId="1">#REF!</definedName>
    <definedName name="Rotate">#REF!</definedName>
    <definedName name="Rotate_12" localSheetId="1">#REF!</definedName>
    <definedName name="Rotate_12">#REF!</definedName>
    <definedName name="SAI" localSheetId="1">#REF!</definedName>
    <definedName name="SAI">#REF!</definedName>
    <definedName name="sas" localSheetId="1" hidden="1">{#N/A,#N/A,FALSE,"Drlg Param Run 1-1";#N/A,#N/A,FALSE,"DDR (3)";#N/A,#N/A,FALSE,"BHA AT (1)";#N/A,#N/A,FALSE,"Downlinkbha";#N/A,#N/A,FALSE,"Job Status Report"}</definedName>
    <definedName name="sas" localSheetId="2" hidden="1">{#N/A,#N/A,FALSE,"Drlg Param Run 1-1";#N/A,#N/A,FALSE,"DDR (3)";#N/A,#N/A,FALSE,"BHA AT (1)";#N/A,#N/A,FALSE,"Downlinkbha";#N/A,#N/A,FALSE,"Job Status Report"}</definedName>
    <definedName name="sas" localSheetId="5" hidden="1">{#N/A,#N/A,FALSE,"Drlg Param Run 1-1";#N/A,#N/A,FALSE,"DDR (3)";#N/A,#N/A,FALSE,"BHA AT (1)";#N/A,#N/A,FALSE,"Downlinkbha";#N/A,#N/A,FALSE,"Job Status Report"}</definedName>
    <definedName name="sas" localSheetId="4" hidden="1">{#N/A,#N/A,FALSE,"Drlg Param Run 1-1";#N/A,#N/A,FALSE,"DDR (3)";#N/A,#N/A,FALSE,"BHA AT (1)";#N/A,#N/A,FALSE,"Downlinkbha";#N/A,#N/A,FALSE,"Job Status Report"}</definedName>
    <definedName name="sas" localSheetId="7" hidden="1">{#N/A,#N/A,FALSE,"Drlg Param Run 1-1";#N/A,#N/A,FALSE,"DDR (3)";#N/A,#N/A,FALSE,"BHA AT (1)";#N/A,#N/A,FALSE,"Downlinkbha";#N/A,#N/A,FALSE,"Job Status Report"}</definedName>
    <definedName name="sas" localSheetId="3" hidden="1">{#N/A,#N/A,FALSE,"Drlg Param Run 1-1";#N/A,#N/A,FALSE,"DDR (3)";#N/A,#N/A,FALSE,"BHA AT (1)";#N/A,#N/A,FALSE,"Downlinkbha";#N/A,#N/A,FALSE,"Job Status Report"}</definedName>
    <definedName name="sas" hidden="1">{#N/A,#N/A,FALSE,"Drlg Param Run 1-1";#N/A,#N/A,FALSE,"DDR (3)";#N/A,#N/A,FALSE,"BHA AT (1)";#N/A,#N/A,FALSE,"Downlinkbha";#N/A,#N/A,FALSE,"Job Status Report"}</definedName>
    <definedName name="scen_result" hidden="1">#VALUE!</definedName>
    <definedName name="Slide">#REF!</definedName>
    <definedName name="Slide_12" localSheetId="1">#REF!</definedName>
    <definedName name="Slide_12">#REF!</definedName>
    <definedName name="Slide2" localSheetId="1">#REF!</definedName>
    <definedName name="Slide2">#REF!</definedName>
    <definedName name="solver_lin" hidden="1">0</definedName>
    <definedName name="solver_num" hidden="1">0</definedName>
    <definedName name="solver_typ" hidden="1">1</definedName>
    <definedName name="solver_val" hidden="1">0</definedName>
    <definedName name="special" localSheetId="1">#REF!</definedName>
    <definedName name="special">#REF!</definedName>
    <definedName name="SS" localSheetId="1">#REF!</definedName>
    <definedName name="SS">#REF!</definedName>
    <definedName name="Starbox" localSheetId="1">#REF!</definedName>
    <definedName name="Starbox">#REF!</definedName>
    <definedName name="Stuff" localSheetId="1">#REF!</definedName>
    <definedName name="Stuff">#REF!</definedName>
    <definedName name="Stuff_12" localSheetId="1">#REF!</definedName>
    <definedName name="Stuff_12">#REF!</definedName>
    <definedName name="sunny" localSheetId="1">#REF!</definedName>
    <definedName name="sunny">#REF!</definedName>
    <definedName name="Table1" localSheetId="1" hidden="1">#REF!</definedName>
    <definedName name="Table1" localSheetId="2" hidden="1">#REF!</definedName>
    <definedName name="Table1" localSheetId="7" hidden="1">#REF!</definedName>
    <definedName name="Table1" hidden="1">#REF!</definedName>
    <definedName name="Table3" localSheetId="1" hidden="1">#REF!</definedName>
    <definedName name="Table3" localSheetId="2" hidden="1">#REF!</definedName>
    <definedName name="Table3" localSheetId="7" hidden="1">#REF!</definedName>
    <definedName name="Table3" hidden="1">#REF!</definedName>
    <definedName name="tag" localSheetId="1" hidden="1">#REF!</definedName>
    <definedName name="tag" localSheetId="7" hidden="1">#REF!</definedName>
    <definedName name="tag" hidden="1">#REF!</definedName>
    <definedName name="TD" localSheetId="1">#REF!</definedName>
    <definedName name="TD">#REF!</definedName>
    <definedName name="tools" localSheetId="1">#REF!</definedName>
    <definedName name="tools">#REF!</definedName>
    <definedName name="trip" localSheetId="1">#REF!,#REF!,#REF!,#REF!,#REF!,#REF!,#REF!,#REF!,#REF!,#REF!,#REF!,#REF!,#REF!,#REF!,#REF!,#REF!,#REF!,#REF!,#REF!</definedName>
    <definedName name="trip" localSheetId="7">#REF!,#REF!,#REF!,#REF!,#REF!,#REF!,#REF!,#REF!,#REF!,#REF!,#REF!,#REF!,#REF!,#REF!,#REF!,#REF!,#REF!,#REF!,#REF!</definedName>
    <definedName name="trip">#REF!,#REF!,#REF!,#REF!,#REF!,#REF!,#REF!,#REF!,#REF!,#REF!,#REF!,#REF!,#REF!,#REF!,#REF!,#REF!,#REF!,#REF!,#REF!</definedName>
    <definedName name="TRIPLEX_PUMP_DATA___GARDNER_DENVER">#REF!</definedName>
    <definedName name="TRIPLEX_PUMP_DATA___NATIONAL">#REF!</definedName>
    <definedName name="Type" localSheetId="1">#REF!</definedName>
    <definedName name="Type">#REF!</definedName>
    <definedName name="Vendors" localSheetId="1">#REF!</definedName>
    <definedName name="Vendors">#REF!</definedName>
    <definedName name="vv" localSheetId="1" hidden="1">#REF!</definedName>
    <definedName name="vv" localSheetId="7" hidden="1">#REF!</definedName>
    <definedName name="vv" hidden="1">#REF!</definedName>
    <definedName name="w" localSheetId="1" hidden="1">#REF!</definedName>
    <definedName name="w" hidden="1">#REF!</definedName>
    <definedName name="weather" localSheetId="1">#REF!</definedName>
    <definedName name="weather">#REF!</definedName>
    <definedName name="wrn.AT._.Reports." localSheetId="1" hidden="1">{#N/A,#N/A,FALSE,"Drlg Param Run 1-1";#N/A,#N/A,FALSE,"DDR (3)";#N/A,#N/A,FALSE,"BHA AT (1)";#N/A,#N/A,FALSE,"Downlinkbha";#N/A,#N/A,FALSE,"Job Status Report"}</definedName>
    <definedName name="wrn.AT._.Reports." localSheetId="2" hidden="1">{#N/A,#N/A,FALSE,"Drlg Param Run 1-1";#N/A,#N/A,FALSE,"DDR (3)";#N/A,#N/A,FALSE,"BHA AT (1)";#N/A,#N/A,FALSE,"Downlinkbha";#N/A,#N/A,FALSE,"Job Status Report"}</definedName>
    <definedName name="wrn.AT._.Reports." localSheetId="5" hidden="1">{#N/A,#N/A,FALSE,"Drlg Param Run 1-1";#N/A,#N/A,FALSE,"DDR (3)";#N/A,#N/A,FALSE,"BHA AT (1)";#N/A,#N/A,FALSE,"Downlinkbha";#N/A,#N/A,FALSE,"Job Status Report"}</definedName>
    <definedName name="wrn.AT._.Reports." localSheetId="4" hidden="1">{#N/A,#N/A,FALSE,"Drlg Param Run 1-1";#N/A,#N/A,FALSE,"DDR (3)";#N/A,#N/A,FALSE,"BHA AT (1)";#N/A,#N/A,FALSE,"Downlinkbha";#N/A,#N/A,FALSE,"Job Status Report"}</definedName>
    <definedName name="wrn.AT._.Reports." localSheetId="7" hidden="1">{#N/A,#N/A,FALSE,"Drlg Param Run 1-1";#N/A,#N/A,FALSE,"DDR (3)";#N/A,#N/A,FALSE,"BHA AT (1)";#N/A,#N/A,FALSE,"Downlinkbha";#N/A,#N/A,FALSE,"Job Status Report"}</definedName>
    <definedName name="wrn.AT._.Reports." localSheetId="3" hidden="1">{#N/A,#N/A,FALSE,"Drlg Param Run 1-1";#N/A,#N/A,FALSE,"DDR (3)";#N/A,#N/A,FALSE,"BHA AT (1)";#N/A,#N/A,FALSE,"Downlinkbha";#N/A,#N/A,FALSE,"Job Status Report"}</definedName>
    <definedName name="wrn.AT._.Reports." hidden="1">{#N/A,#N/A,FALSE,"Drlg Param Run 1-1";#N/A,#N/A,FALSE,"DDR (3)";#N/A,#N/A,FALSE,"BHA AT (1)";#N/A,#N/A,FALSE,"Downlinkbha";#N/A,#N/A,FALSE,"Job Status Report"}</definedName>
    <definedName name="x" hidden="1">#REF!</definedName>
    <definedName name="xxxx" localSheetId="1" hidden="1">{#N/A,#N/A,FALSE,"Drlg Param Run 1-1";#N/A,#N/A,FALSE,"DDR (3)";#N/A,#N/A,FALSE,"BHA AT (1)";#N/A,#N/A,FALSE,"Downlinkbha";#N/A,#N/A,FALSE,"Job Status Report"}</definedName>
    <definedName name="xxxx" localSheetId="2" hidden="1">{#N/A,#N/A,FALSE,"Drlg Param Run 1-1";#N/A,#N/A,FALSE,"DDR (3)";#N/A,#N/A,FALSE,"BHA AT (1)";#N/A,#N/A,FALSE,"Downlinkbha";#N/A,#N/A,FALSE,"Job Status Report"}</definedName>
    <definedName name="xxxx" localSheetId="5" hidden="1">{#N/A,#N/A,FALSE,"Drlg Param Run 1-1";#N/A,#N/A,FALSE,"DDR (3)";#N/A,#N/A,FALSE,"BHA AT (1)";#N/A,#N/A,FALSE,"Downlinkbha";#N/A,#N/A,FALSE,"Job Status Report"}</definedName>
    <definedName name="xxxx" localSheetId="4" hidden="1">{#N/A,#N/A,FALSE,"Drlg Param Run 1-1";#N/A,#N/A,FALSE,"DDR (3)";#N/A,#N/A,FALSE,"BHA AT (1)";#N/A,#N/A,FALSE,"Downlinkbha";#N/A,#N/A,FALSE,"Job Status Report"}</definedName>
    <definedName name="xxxx" localSheetId="7" hidden="1">{#N/A,#N/A,FALSE,"Drlg Param Run 1-1";#N/A,#N/A,FALSE,"DDR (3)";#N/A,#N/A,FALSE,"BHA AT (1)";#N/A,#N/A,FALSE,"Downlinkbha";#N/A,#N/A,FALSE,"Job Status Report"}</definedName>
    <definedName name="xxxx" localSheetId="3" hidden="1">{#N/A,#N/A,FALSE,"Drlg Param Run 1-1";#N/A,#N/A,FALSE,"DDR (3)";#N/A,#N/A,FALSE,"BHA AT (1)";#N/A,#N/A,FALSE,"Downlinkbha";#N/A,#N/A,FALSE,"Job Status Report"}</definedName>
    <definedName name="xxxx" hidden="1">{#N/A,#N/A,FALSE,"Drlg Param Run 1-1";#N/A,#N/A,FALSE,"DDR (3)";#N/A,#N/A,FALSE,"BHA AT (1)";#N/A,#N/A,FALSE,"Downlinkbha";#N/A,#N/A,FALSE,"Job Status Report"}</definedName>
    <definedName name="Yesno" localSheetId="1">#REF!</definedName>
    <definedName name="Yesno">#REF!</definedName>
    <definedName name="Yesnon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" i="8" l="1"/>
  <c r="S55" i="6"/>
  <c r="S54" i="6"/>
  <c r="S53" i="6"/>
  <c r="S52" i="6"/>
  <c r="S51" i="6"/>
  <c r="S50" i="6"/>
  <c r="S49" i="6"/>
  <c r="S48" i="6"/>
  <c r="S47" i="6"/>
  <c r="S46" i="6"/>
  <c r="S45" i="6"/>
  <c r="S44" i="6"/>
  <c r="S43" i="6"/>
  <c r="S42" i="6"/>
  <c r="S38" i="6"/>
  <c r="S37" i="6"/>
  <c r="S36" i="6"/>
  <c r="S35" i="6"/>
  <c r="S34" i="6"/>
  <c r="S33" i="6"/>
  <c r="M47" i="6"/>
  <c r="L47" i="6"/>
  <c r="K47" i="6"/>
  <c r="J47" i="6"/>
  <c r="I47" i="6"/>
  <c r="H47" i="6"/>
  <c r="M46" i="6"/>
  <c r="L46" i="6"/>
  <c r="K46" i="6"/>
  <c r="J46" i="6"/>
  <c r="I46" i="6"/>
  <c r="H46" i="6"/>
  <c r="M45" i="6"/>
  <c r="L45" i="6"/>
  <c r="K45" i="6"/>
  <c r="J45" i="6"/>
  <c r="I45" i="6"/>
  <c r="H45" i="6"/>
  <c r="M44" i="6"/>
  <c r="L44" i="6"/>
  <c r="K44" i="6"/>
  <c r="J44" i="6"/>
  <c r="I44" i="6"/>
  <c r="H44" i="6"/>
  <c r="M43" i="6"/>
  <c r="L43" i="6"/>
  <c r="K43" i="6"/>
  <c r="J43" i="6"/>
  <c r="I43" i="6"/>
  <c r="H43" i="6"/>
  <c r="M42" i="6"/>
  <c r="L42" i="6"/>
  <c r="K42" i="6"/>
  <c r="J42" i="6"/>
  <c r="I42" i="6"/>
  <c r="H42" i="6"/>
  <c r="M41" i="6"/>
  <c r="L41" i="6"/>
  <c r="K41" i="6"/>
  <c r="J41" i="6"/>
  <c r="I41" i="6"/>
  <c r="H41" i="6"/>
  <c r="M40" i="6"/>
  <c r="L40" i="6"/>
  <c r="K40" i="6"/>
  <c r="J40" i="6"/>
  <c r="I40" i="6"/>
  <c r="H40" i="6"/>
  <c r="M39" i="6"/>
  <c r="L39" i="6"/>
  <c r="K39" i="6"/>
  <c r="J39" i="6"/>
  <c r="I39" i="6"/>
  <c r="H39" i="6"/>
  <c r="M38" i="6"/>
  <c r="L38" i="6"/>
  <c r="K38" i="6"/>
  <c r="J38" i="6"/>
  <c r="I38" i="6"/>
  <c r="H38" i="6"/>
  <c r="M37" i="6"/>
  <c r="L37" i="6"/>
  <c r="K37" i="6"/>
  <c r="J37" i="6"/>
  <c r="I37" i="6"/>
  <c r="H37" i="6"/>
  <c r="M36" i="6"/>
  <c r="L36" i="6"/>
  <c r="K36" i="6"/>
  <c r="J36" i="6"/>
  <c r="I36" i="6"/>
  <c r="H36" i="6"/>
  <c r="M35" i="6"/>
  <c r="L35" i="6"/>
  <c r="K35" i="6"/>
  <c r="J35" i="6"/>
  <c r="I35" i="6"/>
  <c r="H35" i="6"/>
  <c r="C32" i="6"/>
  <c r="C31" i="6"/>
  <c r="F32" i="6"/>
  <c r="F30" i="6"/>
  <c r="F28" i="6"/>
  <c r="F27" i="6"/>
  <c r="F26" i="6"/>
  <c r="F25" i="6"/>
  <c r="F24" i="6"/>
  <c r="C24" i="6"/>
  <c r="C26" i="6" s="1"/>
  <c r="C28" i="6" s="1"/>
  <c r="C23" i="6"/>
  <c r="Q24" i="6"/>
  <c r="P24" i="6"/>
  <c r="N24" i="6"/>
  <c r="M24" i="6"/>
  <c r="L24" i="6"/>
  <c r="R24" i="6" s="1"/>
  <c r="Q23" i="6" a="1"/>
  <c r="Q23" i="6"/>
  <c r="C30" i="6" s="1"/>
  <c r="P23" i="6" a="1"/>
  <c r="P23" i="6"/>
  <c r="C29" i="6" s="1"/>
  <c r="N23" i="6" a="1"/>
  <c r="N23" i="6" s="1"/>
  <c r="M23" i="6" a="1"/>
  <c r="M23" i="6" s="1"/>
  <c r="L23" i="6" a="1"/>
  <c r="L23" i="6" s="1"/>
  <c r="J23" i="6" a="1"/>
  <c r="J23" i="6"/>
  <c r="I23" i="6" a="1"/>
  <c r="I23" i="6"/>
  <c r="O22" i="6"/>
  <c r="O21" i="6"/>
  <c r="O20" i="6"/>
  <c r="O19" i="6"/>
  <c r="O18" i="6"/>
  <c r="O17" i="6"/>
  <c r="O16" i="6"/>
  <c r="O15" i="6"/>
  <c r="O14" i="6"/>
  <c r="O13" i="6"/>
  <c r="O12" i="6"/>
  <c r="O11" i="6"/>
  <c r="O23" i="6" s="1" a="1"/>
  <c r="O23" i="6" s="1"/>
  <c r="X13" i="6" s="1"/>
  <c r="O10" i="6"/>
  <c r="O9" i="6"/>
  <c r="O8" i="6"/>
  <c r="O7" i="6"/>
  <c r="O6" i="6"/>
  <c r="O5" i="6"/>
  <c r="O4" i="6"/>
  <c r="O24" i="6" s="1"/>
  <c r="K22" i="6"/>
  <c r="K21" i="6"/>
  <c r="K20" i="6"/>
  <c r="K19" i="6"/>
  <c r="K18" i="6"/>
  <c r="K17" i="6"/>
  <c r="K16" i="6"/>
  <c r="K15" i="6"/>
  <c r="K14" i="6"/>
  <c r="K13" i="6"/>
  <c r="K23" i="6" s="1" a="1"/>
  <c r="K23" i="6" s="1"/>
  <c r="C6" i="6" s="1"/>
  <c r="K12" i="6"/>
  <c r="K11" i="6"/>
  <c r="K10" i="6"/>
  <c r="K9" i="6"/>
  <c r="K8" i="6"/>
  <c r="K7" i="6"/>
  <c r="K6" i="6"/>
  <c r="K24" i="6" s="1"/>
  <c r="K5" i="6"/>
  <c r="K4" i="6"/>
  <c r="C20" i="6"/>
  <c r="C19" i="6"/>
  <c r="C14" i="6"/>
  <c r="C5" i="6"/>
  <c r="C4" i="6"/>
  <c r="C3" i="6"/>
  <c r="C12" i="6" s="1"/>
  <c r="D14" i="6"/>
  <c r="D13" i="6"/>
  <c r="E11" i="6"/>
  <c r="E10" i="6"/>
  <c r="E9" i="6"/>
  <c r="E8" i="6"/>
  <c r="E7" i="6"/>
  <c r="X10" i="6"/>
  <c r="B5" i="6" a="1"/>
  <c r="B5" i="6" s="1"/>
  <c r="V22" i="6"/>
  <c r="U22" i="6"/>
  <c r="T22" i="6"/>
  <c r="S22" i="6"/>
  <c r="R22" i="6"/>
  <c r="V21" i="6"/>
  <c r="U21" i="6"/>
  <c r="T21" i="6"/>
  <c r="S21" i="6"/>
  <c r="R21" i="6"/>
  <c r="V20" i="6"/>
  <c r="U20" i="6"/>
  <c r="T20" i="6"/>
  <c r="S20" i="6"/>
  <c r="R20" i="6"/>
  <c r="V19" i="6"/>
  <c r="U19" i="6"/>
  <c r="T19" i="6"/>
  <c r="S19" i="6"/>
  <c r="R19" i="6"/>
  <c r="V18" i="6"/>
  <c r="U18" i="6"/>
  <c r="T18" i="6"/>
  <c r="S18" i="6"/>
  <c r="R18" i="6"/>
  <c r="V17" i="6"/>
  <c r="U17" i="6"/>
  <c r="T17" i="6"/>
  <c r="S17" i="6"/>
  <c r="R17" i="6"/>
  <c r="V16" i="6"/>
  <c r="U16" i="6"/>
  <c r="T16" i="6"/>
  <c r="S16" i="6"/>
  <c r="R16" i="6"/>
  <c r="V15" i="6"/>
  <c r="U15" i="6"/>
  <c r="U23" i="6" s="1" a="1"/>
  <c r="U23" i="6" s="1"/>
  <c r="T15" i="6"/>
  <c r="T23" i="6" s="1" a="1"/>
  <c r="T23" i="6" s="1"/>
  <c r="X14" i="6" s="1"/>
  <c r="S15" i="6"/>
  <c r="S23" i="6" s="1" a="1"/>
  <c r="S23" i="6" s="1"/>
  <c r="R15" i="6"/>
  <c r="R23" i="6" s="1" a="1"/>
  <c r="R23" i="6" s="1"/>
  <c r="V14" i="6"/>
  <c r="U14" i="6"/>
  <c r="T14" i="6"/>
  <c r="S14" i="6"/>
  <c r="R14" i="6"/>
  <c r="V13" i="6"/>
  <c r="U13" i="6"/>
  <c r="T13" i="6"/>
  <c r="S13" i="6"/>
  <c r="R13" i="6"/>
  <c r="V12" i="6"/>
  <c r="U12" i="6"/>
  <c r="T12" i="6"/>
  <c r="S12" i="6"/>
  <c r="R12" i="6"/>
  <c r="V11" i="6"/>
  <c r="U11" i="6"/>
  <c r="T11" i="6"/>
  <c r="S11" i="6"/>
  <c r="R11" i="6"/>
  <c r="V10" i="6"/>
  <c r="U10" i="6"/>
  <c r="T10" i="6"/>
  <c r="S10" i="6"/>
  <c r="R10" i="6"/>
  <c r="V9" i="6"/>
  <c r="U9" i="6"/>
  <c r="T9" i="6"/>
  <c r="S9" i="6"/>
  <c r="R9" i="6"/>
  <c r="V8" i="6"/>
  <c r="U8" i="6"/>
  <c r="T8" i="6"/>
  <c r="S8" i="6"/>
  <c r="R8" i="6"/>
  <c r="V7" i="6"/>
  <c r="U7" i="6"/>
  <c r="T7" i="6"/>
  <c r="S7" i="6"/>
  <c r="R7" i="6"/>
  <c r="V6" i="6"/>
  <c r="U6" i="6"/>
  <c r="T6" i="6"/>
  <c r="S6" i="6"/>
  <c r="R6" i="6"/>
  <c r="V5" i="6"/>
  <c r="V24" i="6" s="1"/>
  <c r="X37" i="6" s="1"/>
  <c r="U5" i="6"/>
  <c r="T5" i="6"/>
  <c r="S5" i="6"/>
  <c r="R5" i="6"/>
  <c r="V4" i="6"/>
  <c r="V23" i="6" s="1" a="1"/>
  <c r="V23" i="6" s="1"/>
  <c r="U4" i="6"/>
  <c r="T4" i="6"/>
  <c r="S4" i="6"/>
  <c r="R4" i="6"/>
  <c r="E4" i="6"/>
  <c r="E3" i="6"/>
  <c r="E46" i="6"/>
  <c r="E24" i="6"/>
  <c r="E25" i="6"/>
  <c r="E26" i="6"/>
  <c r="E27" i="6"/>
  <c r="E28" i="6"/>
  <c r="E30" i="6"/>
  <c r="E31" i="6"/>
  <c r="F31" i="6"/>
  <c r="E32" i="6"/>
  <c r="E45" i="6"/>
  <c r="F45" i="6"/>
  <c r="F46" i="6"/>
  <c r="E47" i="6"/>
  <c r="F47" i="6"/>
  <c r="E48" i="6"/>
  <c r="F48" i="6"/>
  <c r="E49" i="6"/>
  <c r="F49" i="6"/>
  <c r="E50" i="6"/>
  <c r="F50" i="6"/>
  <c r="E51" i="6"/>
  <c r="F51" i="6"/>
  <c r="E52" i="6"/>
  <c r="F52" i="6"/>
  <c r="E53" i="6"/>
  <c r="F53" i="6"/>
  <c r="E54" i="6"/>
  <c r="F54" i="6"/>
  <c r="E55" i="6"/>
  <c r="F55" i="6"/>
  <c r="G72" i="36"/>
  <c r="C72" i="36"/>
  <c r="G71" i="36"/>
  <c r="C71" i="36"/>
  <c r="G70" i="36"/>
  <c r="C70" i="36"/>
  <c r="G69" i="36"/>
  <c r="C69" i="36"/>
  <c r="G68" i="36"/>
  <c r="C68" i="36"/>
  <c r="G67" i="36"/>
  <c r="C67" i="36"/>
  <c r="G66" i="36"/>
  <c r="C66" i="36"/>
  <c r="G65" i="36"/>
  <c r="C65" i="36"/>
  <c r="G64" i="36"/>
  <c r="C64" i="36"/>
  <c r="G63" i="36"/>
  <c r="C63" i="36"/>
  <c r="G62" i="36"/>
  <c r="C62" i="36"/>
  <c r="G61" i="36"/>
  <c r="C61" i="36"/>
  <c r="G60" i="36"/>
  <c r="C60" i="36"/>
  <c r="G59" i="36"/>
  <c r="C59" i="36"/>
  <c r="G58" i="36"/>
  <c r="C58" i="36"/>
  <c r="G57" i="36"/>
  <c r="C57" i="36"/>
  <c r="G56" i="36"/>
  <c r="C56" i="36"/>
  <c r="G55" i="36"/>
  <c r="C55" i="36"/>
  <c r="G54" i="36"/>
  <c r="C54" i="36"/>
  <c r="G53" i="36"/>
  <c r="C53" i="36"/>
  <c r="G52" i="36"/>
  <c r="C52" i="36"/>
  <c r="G51" i="36"/>
  <c r="C51" i="36"/>
  <c r="G50" i="36"/>
  <c r="C50" i="36"/>
  <c r="G49" i="36"/>
  <c r="C49" i="36"/>
  <c r="G48" i="36"/>
  <c r="C48" i="36"/>
  <c r="G47" i="36"/>
  <c r="C47" i="36"/>
  <c r="G46" i="36"/>
  <c r="C46" i="36"/>
  <c r="G45" i="36"/>
  <c r="C45" i="36"/>
  <c r="G44" i="36"/>
  <c r="C44" i="36"/>
  <c r="G43" i="36"/>
  <c r="C43" i="36"/>
  <c r="G42" i="36"/>
  <c r="C42" i="36"/>
  <c r="G41" i="36"/>
  <c r="C41" i="36"/>
  <c r="G40" i="36"/>
  <c r="C40" i="36"/>
  <c r="G39" i="36"/>
  <c r="C39" i="36"/>
  <c r="G38" i="36"/>
  <c r="C38" i="36"/>
  <c r="G37" i="36"/>
  <c r="C37" i="36"/>
  <c r="G36" i="36"/>
  <c r="C36" i="36"/>
  <c r="G35" i="36"/>
  <c r="C35" i="36"/>
  <c r="G34" i="36"/>
  <c r="C34" i="36"/>
  <c r="G33" i="36"/>
  <c r="C33" i="36"/>
  <c r="G32" i="36"/>
  <c r="C32" i="36"/>
  <c r="G31" i="36"/>
  <c r="C31" i="36"/>
  <c r="G30" i="36"/>
  <c r="C30" i="36"/>
  <c r="G29" i="36"/>
  <c r="C29" i="36"/>
  <c r="G28" i="36"/>
  <c r="C28" i="36"/>
  <c r="G27" i="36"/>
  <c r="C27" i="36"/>
  <c r="G26" i="36"/>
  <c r="C26" i="36"/>
  <c r="G25" i="36"/>
  <c r="C25" i="36"/>
  <c r="G24" i="36"/>
  <c r="C24" i="36"/>
  <c r="G23" i="36"/>
  <c r="C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4" i="36"/>
  <c r="C4" i="36"/>
  <c r="C5" i="36" s="1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G3" i="36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71" i="8"/>
  <c r="AA193" i="8"/>
  <c r="AA194" i="8"/>
  <c r="AA195" i="8"/>
  <c r="AA196" i="8"/>
  <c r="AA197" i="8"/>
  <c r="AA198" i="8"/>
  <c r="AA199" i="8"/>
  <c r="AA200" i="8"/>
  <c r="AA201" i="8"/>
  <c r="AA202" i="8"/>
  <c r="AA220" i="8"/>
  <c r="AA222" i="8"/>
  <c r="AA223" i="8"/>
  <c r="AA224" i="8"/>
  <c r="AA225" i="8"/>
  <c r="AA226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E15" i="8"/>
  <c r="AA145" i="8" s="1"/>
  <c r="AE16" i="8"/>
  <c r="AA158" i="8" s="1"/>
  <c r="AE17" i="8"/>
  <c r="AA159" i="8" s="1"/>
  <c r="AE18" i="8"/>
  <c r="AA166" i="8" s="1"/>
  <c r="AE19" i="8"/>
  <c r="AA175" i="8" s="1"/>
  <c r="AE20" i="8"/>
  <c r="AA181" i="8" s="1"/>
  <c r="AE21" i="8"/>
  <c r="AA186" i="8" s="1"/>
  <c r="AE22" i="8"/>
  <c r="AE23" i="8"/>
  <c r="AA203" i="8" s="1"/>
  <c r="AE24" i="8"/>
  <c r="AA208" i="8" s="1"/>
  <c r="AE25" i="8"/>
  <c r="AA215" i="8" s="1"/>
  <c r="AE26" i="8"/>
  <c r="AA221" i="8" s="1"/>
  <c r="AE27" i="8"/>
  <c r="AA232" i="8" s="1"/>
  <c r="AE28" i="8"/>
  <c r="AA239" i="8" s="1"/>
  <c r="AE29" i="8"/>
  <c r="AA243" i="8" s="1"/>
  <c r="AE30" i="8"/>
  <c r="AE31" i="8"/>
  <c r="AE32" i="8"/>
  <c r="AE33" i="8"/>
  <c r="K332" i="51"/>
  <c r="K330" i="51"/>
  <c r="K328" i="51"/>
  <c r="K326" i="51"/>
  <c r="K324" i="51"/>
  <c r="K322" i="51"/>
  <c r="K320" i="51"/>
  <c r="K318" i="51"/>
  <c r="K316" i="51"/>
  <c r="N315" i="51"/>
  <c r="O315" i="51" s="1"/>
  <c r="P212" i="51" s="1"/>
  <c r="R212" i="51" s="1"/>
  <c r="T212" i="51" s="1"/>
  <c r="H315" i="51"/>
  <c r="K314" i="51"/>
  <c r="H314" i="51"/>
  <c r="H313" i="51"/>
  <c r="N312" i="51"/>
  <c r="O311" i="51" s="1"/>
  <c r="P209" i="51" s="1"/>
  <c r="R209" i="51" s="1"/>
  <c r="T209" i="51" s="1"/>
  <c r="K312" i="51"/>
  <c r="H312" i="51"/>
  <c r="H311" i="51"/>
  <c r="K310" i="51"/>
  <c r="H310" i="51"/>
  <c r="N309" i="51"/>
  <c r="O309" i="51" s="1"/>
  <c r="P208" i="51" s="1"/>
  <c r="R208" i="51" s="1"/>
  <c r="T208" i="51" s="1"/>
  <c r="H309" i="51"/>
  <c r="K308" i="51"/>
  <c r="H308" i="51"/>
  <c r="H307" i="51"/>
  <c r="N306" i="51"/>
  <c r="O306" i="51" s="1"/>
  <c r="P206" i="51" s="1"/>
  <c r="R206" i="51" s="1"/>
  <c r="T206" i="51" s="1"/>
  <c r="K306" i="51"/>
  <c r="H306" i="51"/>
  <c r="H305" i="51"/>
  <c r="H304" i="51"/>
  <c r="N303" i="51"/>
  <c r="O303" i="51" s="1"/>
  <c r="P204" i="51" s="1"/>
  <c r="R204" i="51" s="1"/>
  <c r="T204" i="51" s="1"/>
  <c r="H303" i="51"/>
  <c r="O302" i="51"/>
  <c r="P203" i="51" s="1"/>
  <c r="R203" i="51" s="1"/>
  <c r="T203" i="51" s="1"/>
  <c r="H302" i="51"/>
  <c r="H301" i="51"/>
  <c r="N300" i="51"/>
  <c r="O299" i="51" s="1"/>
  <c r="P201" i="51" s="1"/>
  <c r="R201" i="51" s="1"/>
  <c r="T201" i="51" s="1"/>
  <c r="H300" i="51"/>
  <c r="H299" i="51"/>
  <c r="H298" i="51"/>
  <c r="N297" i="51"/>
  <c r="O297" i="51" s="1"/>
  <c r="P200" i="51" s="1"/>
  <c r="R200" i="51" s="1"/>
  <c r="T200" i="51" s="1"/>
  <c r="H297" i="51"/>
  <c r="H296" i="51"/>
  <c r="H295" i="51"/>
  <c r="N294" i="51"/>
  <c r="O294" i="51" s="1"/>
  <c r="P198" i="51" s="1"/>
  <c r="R198" i="51" s="1"/>
  <c r="T198" i="51" s="1"/>
  <c r="H294" i="51"/>
  <c r="H293" i="51"/>
  <c r="H292" i="51"/>
  <c r="N291" i="51"/>
  <c r="O290" i="51" s="1"/>
  <c r="P195" i="51" s="1"/>
  <c r="R195" i="51" s="1"/>
  <c r="T195" i="51" s="1"/>
  <c r="H291" i="51"/>
  <c r="H290" i="51"/>
  <c r="H289" i="51"/>
  <c r="N288" i="51"/>
  <c r="O287" i="51" s="1"/>
  <c r="P193" i="51" s="1"/>
  <c r="R193" i="51" s="1"/>
  <c r="T193" i="51" s="1"/>
  <c r="H288" i="51"/>
  <c r="H287" i="51"/>
  <c r="H286" i="51"/>
  <c r="N285" i="51"/>
  <c r="O285" i="51" s="1"/>
  <c r="P192" i="51" s="1"/>
  <c r="R192" i="51" s="1"/>
  <c r="T192" i="51" s="1"/>
  <c r="H285" i="51"/>
  <c r="H284" i="51"/>
  <c r="H283" i="51"/>
  <c r="N282" i="51"/>
  <c r="H282" i="51"/>
  <c r="H281" i="51"/>
  <c r="H280" i="51"/>
  <c r="N279" i="51"/>
  <c r="O278" i="51" s="1"/>
  <c r="P187" i="51" s="1"/>
  <c r="R187" i="51" s="1"/>
  <c r="T187" i="51" s="1"/>
  <c r="H279" i="51"/>
  <c r="H278" i="51"/>
  <c r="H277" i="51"/>
  <c r="N276" i="51"/>
  <c r="O275" i="51" s="1"/>
  <c r="P185" i="51" s="1"/>
  <c r="R185" i="51" s="1"/>
  <c r="T185" i="51" s="1"/>
  <c r="H276" i="51"/>
  <c r="H275" i="51"/>
  <c r="H274" i="51"/>
  <c r="N273" i="51"/>
  <c r="O273" i="51" s="1"/>
  <c r="P184" i="51" s="1"/>
  <c r="R184" i="51" s="1"/>
  <c r="T184" i="51" s="1"/>
  <c r="H273" i="51"/>
  <c r="H272" i="51"/>
  <c r="H271" i="51"/>
  <c r="N270" i="51"/>
  <c r="O269" i="51" s="1"/>
  <c r="P181" i="51" s="1"/>
  <c r="R181" i="51" s="1"/>
  <c r="T181" i="51" s="1"/>
  <c r="H270" i="51"/>
  <c r="H269" i="51"/>
  <c r="H268" i="51"/>
  <c r="N267" i="51"/>
  <c r="O266" i="51" s="1"/>
  <c r="P179" i="51" s="1"/>
  <c r="R179" i="51" s="1"/>
  <c r="T179" i="51" s="1"/>
  <c r="H267" i="51"/>
  <c r="H266" i="51"/>
  <c r="H265" i="51"/>
  <c r="N264" i="51"/>
  <c r="O263" i="51" s="1"/>
  <c r="P177" i="51" s="1"/>
  <c r="R177" i="51" s="1"/>
  <c r="T177" i="51" s="1"/>
  <c r="H264" i="51"/>
  <c r="H263" i="51"/>
  <c r="H262" i="51"/>
  <c r="N261" i="51"/>
  <c r="O260" i="51" s="1"/>
  <c r="P175" i="51" s="1"/>
  <c r="R175" i="51" s="1"/>
  <c r="T175" i="51" s="1"/>
  <c r="H261" i="51"/>
  <c r="H260" i="51"/>
  <c r="H259" i="51"/>
  <c r="N258" i="51"/>
  <c r="H258" i="51"/>
  <c r="H257" i="51"/>
  <c r="H256" i="51"/>
  <c r="N255" i="51"/>
  <c r="O255" i="51" s="1"/>
  <c r="P172" i="51" s="1"/>
  <c r="R172" i="51" s="1"/>
  <c r="T172" i="51" s="1"/>
  <c r="H255" i="51"/>
  <c r="H254" i="51"/>
  <c r="H253" i="51"/>
  <c r="N252" i="51"/>
  <c r="O251" i="51" s="1"/>
  <c r="P169" i="51" s="1"/>
  <c r="R169" i="51" s="1"/>
  <c r="T169" i="51" s="1"/>
  <c r="H252" i="51"/>
  <c r="H251" i="51"/>
  <c r="H250" i="51"/>
  <c r="N249" i="51"/>
  <c r="O249" i="51" s="1"/>
  <c r="P168" i="51" s="1"/>
  <c r="R168" i="51" s="1"/>
  <c r="T168" i="51" s="1"/>
  <c r="H249" i="51"/>
  <c r="H248" i="51"/>
  <c r="H247" i="51"/>
  <c r="N246" i="51"/>
  <c r="O245" i="51" s="1"/>
  <c r="P165" i="51" s="1"/>
  <c r="R165" i="51" s="1"/>
  <c r="T165" i="51" s="1"/>
  <c r="H246" i="51"/>
  <c r="H245" i="51"/>
  <c r="H244" i="51"/>
  <c r="N243" i="51"/>
  <c r="O243" i="51" s="1"/>
  <c r="P164" i="51" s="1"/>
  <c r="R164" i="51" s="1"/>
  <c r="T164" i="51" s="1"/>
  <c r="H243" i="51"/>
  <c r="H242" i="51"/>
  <c r="H241" i="51"/>
  <c r="N240" i="51"/>
  <c r="O239" i="51" s="1"/>
  <c r="P161" i="51" s="1"/>
  <c r="R161" i="51" s="1"/>
  <c r="T161" i="51" s="1"/>
  <c r="H240" i="51"/>
  <c r="H239" i="51"/>
  <c r="H238" i="51"/>
  <c r="N237" i="51"/>
  <c r="O237" i="51" s="1"/>
  <c r="P160" i="51" s="1"/>
  <c r="R160" i="51" s="1"/>
  <c r="T160" i="51" s="1"/>
  <c r="H237" i="51"/>
  <c r="H236" i="51"/>
  <c r="H235" i="51"/>
  <c r="N234" i="51"/>
  <c r="H234" i="51"/>
  <c r="H233" i="51"/>
  <c r="H232" i="51"/>
  <c r="N231" i="51"/>
  <c r="O231" i="51" s="1"/>
  <c r="P156" i="51" s="1"/>
  <c r="R156" i="51" s="1"/>
  <c r="T156" i="51" s="1"/>
  <c r="H231" i="51"/>
  <c r="H230" i="51"/>
  <c r="H229" i="51"/>
  <c r="N228" i="51"/>
  <c r="O227" i="51" s="1"/>
  <c r="P153" i="51" s="1"/>
  <c r="R153" i="51" s="1"/>
  <c r="T153" i="51" s="1"/>
  <c r="H228" i="51"/>
  <c r="H227" i="51"/>
  <c r="H226" i="51"/>
  <c r="N225" i="51"/>
  <c r="O225" i="51" s="1"/>
  <c r="P152" i="51" s="1"/>
  <c r="R152" i="51" s="1"/>
  <c r="T152" i="51" s="1"/>
  <c r="H225" i="51"/>
  <c r="H224" i="51"/>
  <c r="H223" i="51"/>
  <c r="N222" i="51"/>
  <c r="O221" i="51" s="1"/>
  <c r="P149" i="51" s="1"/>
  <c r="R149" i="51" s="1"/>
  <c r="T149" i="51" s="1"/>
  <c r="H222" i="51"/>
  <c r="H221" i="51"/>
  <c r="H220" i="51"/>
  <c r="N219" i="51"/>
  <c r="O219" i="51" s="1"/>
  <c r="P148" i="51" s="1"/>
  <c r="R148" i="51" s="1"/>
  <c r="T148" i="51" s="1"/>
  <c r="H219" i="51"/>
  <c r="H218" i="51"/>
  <c r="H217" i="51"/>
  <c r="N216" i="51"/>
  <c r="O215" i="51" s="1"/>
  <c r="P145" i="51" s="1"/>
  <c r="R145" i="51" s="1"/>
  <c r="T145" i="51" s="1"/>
  <c r="H216" i="51"/>
  <c r="H215" i="51"/>
  <c r="H214" i="51"/>
  <c r="N213" i="51"/>
  <c r="O213" i="51" s="1"/>
  <c r="P144" i="51" s="1"/>
  <c r="R144" i="51" s="1"/>
  <c r="T144" i="51" s="1"/>
  <c r="H213" i="51"/>
  <c r="H212" i="51"/>
  <c r="H211" i="51"/>
  <c r="N210" i="51"/>
  <c r="O210" i="51" s="1"/>
  <c r="P142" i="51" s="1"/>
  <c r="R142" i="51" s="1"/>
  <c r="T142" i="51" s="1"/>
  <c r="H210" i="51"/>
  <c r="H209" i="51"/>
  <c r="H208" i="51"/>
  <c r="N207" i="51"/>
  <c r="O206" i="51" s="1"/>
  <c r="P139" i="51" s="1"/>
  <c r="R139" i="51" s="1"/>
  <c r="T139" i="51" s="1"/>
  <c r="H207" i="51"/>
  <c r="H206" i="51"/>
  <c r="H205" i="51"/>
  <c r="N204" i="51"/>
  <c r="O204" i="51" s="1"/>
  <c r="P138" i="51" s="1"/>
  <c r="R138" i="51" s="1"/>
  <c r="T138" i="51" s="1"/>
  <c r="H204" i="51"/>
  <c r="H203" i="51"/>
  <c r="H202" i="51"/>
  <c r="N201" i="51"/>
  <c r="O201" i="51" s="1"/>
  <c r="P136" i="51" s="1"/>
  <c r="R136" i="51" s="1"/>
  <c r="T136" i="51" s="1"/>
  <c r="H201" i="51"/>
  <c r="H200" i="51"/>
  <c r="H199" i="51"/>
  <c r="N198" i="51"/>
  <c r="H198" i="51"/>
  <c r="H197" i="51"/>
  <c r="H196" i="51"/>
  <c r="N195" i="51"/>
  <c r="O195" i="51" s="1"/>
  <c r="P132" i="51" s="1"/>
  <c r="R132" i="51" s="1"/>
  <c r="T132" i="51" s="1"/>
  <c r="H195" i="51"/>
  <c r="H194" i="51"/>
  <c r="H193" i="51"/>
  <c r="N192" i="51"/>
  <c r="O191" i="51" s="1"/>
  <c r="P129" i="51" s="1"/>
  <c r="R129" i="51" s="1"/>
  <c r="T129" i="51" s="1"/>
  <c r="H192" i="51"/>
  <c r="H191" i="51"/>
  <c r="H190" i="51"/>
  <c r="N189" i="51"/>
  <c r="O188" i="51" s="1"/>
  <c r="P127" i="51" s="1"/>
  <c r="R127" i="51" s="1"/>
  <c r="T127" i="51" s="1"/>
  <c r="H189" i="51"/>
  <c r="H188" i="51"/>
  <c r="H187" i="51"/>
  <c r="N186" i="51"/>
  <c r="H186" i="51"/>
  <c r="H185" i="51"/>
  <c r="H184" i="51"/>
  <c r="N183" i="51"/>
  <c r="O183" i="51" s="1"/>
  <c r="P124" i="51" s="1"/>
  <c r="R124" i="51" s="1"/>
  <c r="T124" i="51" s="1"/>
  <c r="H183" i="51"/>
  <c r="H182" i="51"/>
  <c r="H181" i="51"/>
  <c r="N180" i="51"/>
  <c r="O179" i="51" s="1"/>
  <c r="P121" i="51" s="1"/>
  <c r="R121" i="51" s="1"/>
  <c r="T121" i="51" s="1"/>
  <c r="H180" i="51"/>
  <c r="H179" i="51"/>
  <c r="H178" i="51"/>
  <c r="N177" i="51"/>
  <c r="O176" i="51" s="1"/>
  <c r="P119" i="51" s="1"/>
  <c r="R119" i="51" s="1"/>
  <c r="T119" i="51" s="1"/>
  <c r="H177" i="51"/>
  <c r="H176" i="51"/>
  <c r="H175" i="51"/>
  <c r="N174" i="51"/>
  <c r="H174" i="51"/>
  <c r="H173" i="51"/>
  <c r="H172" i="51"/>
  <c r="N171" i="51"/>
  <c r="O171" i="51" s="1"/>
  <c r="P116" i="51" s="1"/>
  <c r="R116" i="51" s="1"/>
  <c r="T116" i="51" s="1"/>
  <c r="H171" i="51"/>
  <c r="H170" i="51"/>
  <c r="H169" i="51"/>
  <c r="N168" i="51"/>
  <c r="O167" i="51" s="1"/>
  <c r="P113" i="51" s="1"/>
  <c r="R113" i="51" s="1"/>
  <c r="T113" i="51" s="1"/>
  <c r="H168" i="51"/>
  <c r="H167" i="51"/>
  <c r="H166" i="51"/>
  <c r="N165" i="51"/>
  <c r="O164" i="51" s="1"/>
  <c r="P111" i="51" s="1"/>
  <c r="R111" i="51" s="1"/>
  <c r="T111" i="51" s="1"/>
  <c r="H165" i="51"/>
  <c r="H164" i="51"/>
  <c r="H163" i="51"/>
  <c r="N162" i="51"/>
  <c r="H162" i="51"/>
  <c r="H161" i="51"/>
  <c r="J160" i="51"/>
  <c r="L160" i="51" s="1"/>
  <c r="H160" i="51"/>
  <c r="N159" i="51"/>
  <c r="O158" i="51" s="1"/>
  <c r="P107" i="51" s="1"/>
  <c r="R107" i="51" s="1"/>
  <c r="T107" i="51" s="1"/>
  <c r="J159" i="51"/>
  <c r="L159" i="51" s="1"/>
  <c r="H159" i="51"/>
  <c r="J158" i="51"/>
  <c r="L158" i="51" s="1"/>
  <c r="H158" i="51"/>
  <c r="J157" i="51"/>
  <c r="L157" i="51" s="1"/>
  <c r="H157" i="51"/>
  <c r="N156" i="51"/>
  <c r="O155" i="51" s="1"/>
  <c r="P105" i="51" s="1"/>
  <c r="R105" i="51" s="1"/>
  <c r="T105" i="51" s="1"/>
  <c r="J156" i="51"/>
  <c r="L156" i="51" s="1"/>
  <c r="H156" i="51"/>
  <c r="J155" i="51"/>
  <c r="L155" i="51" s="1"/>
  <c r="H155" i="51"/>
  <c r="J154" i="51"/>
  <c r="L154" i="51" s="1"/>
  <c r="H154" i="51"/>
  <c r="N153" i="51"/>
  <c r="O152" i="51" s="1"/>
  <c r="P103" i="51" s="1"/>
  <c r="R103" i="51" s="1"/>
  <c r="T103" i="51" s="1"/>
  <c r="J153" i="51"/>
  <c r="L153" i="51" s="1"/>
  <c r="H153" i="51"/>
  <c r="J152" i="51"/>
  <c r="L152" i="51" s="1"/>
  <c r="H152" i="51"/>
  <c r="J151" i="51"/>
  <c r="L151" i="51" s="1"/>
  <c r="H151" i="51"/>
  <c r="N150" i="51"/>
  <c r="O149" i="51" s="1"/>
  <c r="P101" i="51" s="1"/>
  <c r="R101" i="51" s="1"/>
  <c r="T101" i="51" s="1"/>
  <c r="J150" i="51"/>
  <c r="L150" i="51" s="1"/>
  <c r="H150" i="51"/>
  <c r="J149" i="51"/>
  <c r="L149" i="51" s="1"/>
  <c r="H149" i="51"/>
  <c r="J148" i="51"/>
  <c r="L148" i="51" s="1"/>
  <c r="H148" i="51"/>
  <c r="N147" i="51"/>
  <c r="O146" i="51" s="1"/>
  <c r="P99" i="51" s="1"/>
  <c r="R99" i="51" s="1"/>
  <c r="T99" i="51" s="1"/>
  <c r="J147" i="51"/>
  <c r="L147" i="51" s="1"/>
  <c r="H147" i="51"/>
  <c r="J146" i="51"/>
  <c r="L146" i="51" s="1"/>
  <c r="H146" i="51"/>
  <c r="J145" i="51"/>
  <c r="L145" i="51" s="1"/>
  <c r="H145" i="51"/>
  <c r="N144" i="51"/>
  <c r="O143" i="51" s="1"/>
  <c r="P97" i="51" s="1"/>
  <c r="R97" i="51" s="1"/>
  <c r="T97" i="51" s="1"/>
  <c r="J144" i="51"/>
  <c r="L144" i="51" s="1"/>
  <c r="H144" i="51"/>
  <c r="J143" i="51"/>
  <c r="L143" i="51" s="1"/>
  <c r="H143" i="51"/>
  <c r="J142" i="51"/>
  <c r="L142" i="51" s="1"/>
  <c r="H142" i="51"/>
  <c r="N141" i="51"/>
  <c r="O140" i="51" s="1"/>
  <c r="P95" i="51" s="1"/>
  <c r="R95" i="51" s="1"/>
  <c r="T95" i="51" s="1"/>
  <c r="J141" i="51"/>
  <c r="L141" i="51" s="1"/>
  <c r="H141" i="51"/>
  <c r="J140" i="51"/>
  <c r="L140" i="51" s="1"/>
  <c r="H140" i="51"/>
  <c r="J139" i="51"/>
  <c r="L139" i="51" s="1"/>
  <c r="H139" i="51"/>
  <c r="N138" i="51"/>
  <c r="O137" i="51" s="1"/>
  <c r="P93" i="51" s="1"/>
  <c r="R93" i="51" s="1"/>
  <c r="T93" i="51" s="1"/>
  <c r="J138" i="51"/>
  <c r="L138" i="51" s="1"/>
  <c r="H138" i="51"/>
  <c r="J137" i="51"/>
  <c r="L137" i="51" s="1"/>
  <c r="H137" i="51"/>
  <c r="J136" i="51"/>
  <c r="L136" i="51" s="1"/>
  <c r="H136" i="51"/>
  <c r="N135" i="51"/>
  <c r="O134" i="51" s="1"/>
  <c r="P91" i="51" s="1"/>
  <c r="R91" i="51" s="1"/>
  <c r="T91" i="51" s="1"/>
  <c r="J135" i="51"/>
  <c r="L135" i="51" s="1"/>
  <c r="H135" i="51"/>
  <c r="J134" i="51"/>
  <c r="L134" i="51" s="1"/>
  <c r="H134" i="51"/>
  <c r="J133" i="51"/>
  <c r="L133" i="51" s="1"/>
  <c r="H133" i="51"/>
  <c r="N132" i="51"/>
  <c r="O131" i="51" s="1"/>
  <c r="P89" i="51" s="1"/>
  <c r="R89" i="51" s="1"/>
  <c r="T89" i="51" s="1"/>
  <c r="J132" i="51"/>
  <c r="L132" i="51" s="1"/>
  <c r="H132" i="51"/>
  <c r="J131" i="51"/>
  <c r="L131" i="51" s="1"/>
  <c r="H131" i="51"/>
  <c r="J130" i="51"/>
  <c r="L130" i="51" s="1"/>
  <c r="H130" i="51"/>
  <c r="N129" i="51"/>
  <c r="O128" i="51" s="1"/>
  <c r="P87" i="51" s="1"/>
  <c r="R87" i="51" s="1"/>
  <c r="T87" i="51" s="1"/>
  <c r="J129" i="51"/>
  <c r="L129" i="51" s="1"/>
  <c r="H129" i="51"/>
  <c r="J128" i="51"/>
  <c r="L128" i="51" s="1"/>
  <c r="H128" i="51"/>
  <c r="J127" i="51"/>
  <c r="L127" i="51" s="1"/>
  <c r="H127" i="51"/>
  <c r="N126" i="51"/>
  <c r="O125" i="51" s="1"/>
  <c r="P85" i="51" s="1"/>
  <c r="R85" i="51" s="1"/>
  <c r="T85" i="51" s="1"/>
  <c r="J126" i="51"/>
  <c r="L126" i="51" s="1"/>
  <c r="H126" i="51"/>
  <c r="J125" i="51"/>
  <c r="L125" i="51" s="1"/>
  <c r="H125" i="51"/>
  <c r="J124" i="51"/>
  <c r="L124" i="51" s="1"/>
  <c r="H124" i="51"/>
  <c r="N123" i="51"/>
  <c r="O122" i="51" s="1"/>
  <c r="P83" i="51" s="1"/>
  <c r="R83" i="51" s="1"/>
  <c r="T83" i="51" s="1"/>
  <c r="J123" i="51"/>
  <c r="L123" i="51" s="1"/>
  <c r="H123" i="51"/>
  <c r="J122" i="51"/>
  <c r="L122" i="51" s="1"/>
  <c r="H122" i="51"/>
  <c r="J121" i="51"/>
  <c r="L121" i="51" s="1"/>
  <c r="H121" i="51"/>
  <c r="N120" i="51"/>
  <c r="O119" i="51" s="1"/>
  <c r="P81" i="51" s="1"/>
  <c r="R81" i="51" s="1"/>
  <c r="T81" i="51" s="1"/>
  <c r="J120" i="51"/>
  <c r="L120" i="51" s="1"/>
  <c r="H120" i="51"/>
  <c r="J119" i="51"/>
  <c r="L119" i="51" s="1"/>
  <c r="H119" i="51"/>
  <c r="J118" i="51"/>
  <c r="L118" i="51" s="1"/>
  <c r="H118" i="51"/>
  <c r="N117" i="51"/>
  <c r="O116" i="51" s="1"/>
  <c r="P79" i="51" s="1"/>
  <c r="R79" i="51" s="1"/>
  <c r="T79" i="51" s="1"/>
  <c r="J117" i="51"/>
  <c r="L117" i="51" s="1"/>
  <c r="H117" i="51"/>
  <c r="J116" i="51"/>
  <c r="L116" i="51" s="1"/>
  <c r="H116" i="51"/>
  <c r="J115" i="51"/>
  <c r="L115" i="51" s="1"/>
  <c r="H115" i="51"/>
  <c r="N114" i="51"/>
  <c r="O113" i="51" s="1"/>
  <c r="P77" i="51" s="1"/>
  <c r="R77" i="51" s="1"/>
  <c r="T77" i="51" s="1"/>
  <c r="J114" i="51"/>
  <c r="L114" i="51" s="1"/>
  <c r="H114" i="51"/>
  <c r="J113" i="51"/>
  <c r="L113" i="51" s="1"/>
  <c r="H113" i="51"/>
  <c r="J112" i="51"/>
  <c r="L112" i="51" s="1"/>
  <c r="H112" i="51"/>
  <c r="N111" i="51"/>
  <c r="O110" i="51" s="1"/>
  <c r="P75" i="51" s="1"/>
  <c r="R75" i="51" s="1"/>
  <c r="T75" i="51" s="1"/>
  <c r="J111" i="51"/>
  <c r="L111" i="51" s="1"/>
  <c r="H111" i="51"/>
  <c r="J110" i="51"/>
  <c r="L110" i="51" s="1"/>
  <c r="H110" i="51"/>
  <c r="J109" i="51"/>
  <c r="L109" i="51" s="1"/>
  <c r="H109" i="51"/>
  <c r="N108" i="51"/>
  <c r="O107" i="51" s="1"/>
  <c r="P73" i="51" s="1"/>
  <c r="R73" i="51" s="1"/>
  <c r="T73" i="51" s="1"/>
  <c r="J108" i="51"/>
  <c r="L108" i="51" s="1"/>
  <c r="H108" i="51"/>
  <c r="J107" i="51"/>
  <c r="L107" i="51" s="1"/>
  <c r="H107" i="51"/>
  <c r="J106" i="51"/>
  <c r="L106" i="51" s="1"/>
  <c r="H106" i="51"/>
  <c r="N105" i="51"/>
  <c r="O104" i="51" s="1"/>
  <c r="P71" i="51" s="1"/>
  <c r="R71" i="51" s="1"/>
  <c r="T71" i="51" s="1"/>
  <c r="J105" i="51"/>
  <c r="L105" i="51" s="1"/>
  <c r="H105" i="51"/>
  <c r="J104" i="51"/>
  <c r="L104" i="51" s="1"/>
  <c r="H104" i="51"/>
  <c r="J103" i="51"/>
  <c r="L103" i="51" s="1"/>
  <c r="H103" i="51"/>
  <c r="N102" i="51"/>
  <c r="J102" i="51"/>
  <c r="L102" i="51" s="1"/>
  <c r="H102" i="51"/>
  <c r="J101" i="51"/>
  <c r="L101" i="51" s="1"/>
  <c r="H101" i="51"/>
  <c r="J100" i="51"/>
  <c r="L100" i="51" s="1"/>
  <c r="H100" i="51"/>
  <c r="N99" i="51"/>
  <c r="O98" i="51" s="1"/>
  <c r="P67" i="51" s="1"/>
  <c r="R67" i="51" s="1"/>
  <c r="T67" i="51" s="1"/>
  <c r="J99" i="51"/>
  <c r="L99" i="51" s="1"/>
  <c r="H99" i="51"/>
  <c r="J98" i="51"/>
  <c r="L98" i="51" s="1"/>
  <c r="H98" i="51"/>
  <c r="J97" i="51"/>
  <c r="L97" i="51" s="1"/>
  <c r="H97" i="51"/>
  <c r="N96" i="51"/>
  <c r="O95" i="51" s="1"/>
  <c r="P65" i="51" s="1"/>
  <c r="R65" i="51" s="1"/>
  <c r="T65" i="51" s="1"/>
  <c r="J96" i="51"/>
  <c r="L96" i="51" s="1"/>
  <c r="H96" i="51"/>
  <c r="J95" i="51"/>
  <c r="L95" i="51" s="1"/>
  <c r="H95" i="51"/>
  <c r="J94" i="51"/>
  <c r="L94" i="51" s="1"/>
  <c r="H94" i="51"/>
  <c r="N93" i="51"/>
  <c r="O92" i="51" s="1"/>
  <c r="P63" i="51" s="1"/>
  <c r="R63" i="51" s="1"/>
  <c r="T63" i="51" s="1"/>
  <c r="J93" i="51"/>
  <c r="L93" i="51" s="1"/>
  <c r="H93" i="51"/>
  <c r="J92" i="51"/>
  <c r="L92" i="51" s="1"/>
  <c r="H92" i="51"/>
  <c r="J91" i="51"/>
  <c r="L91" i="51" s="1"/>
  <c r="H91" i="51"/>
  <c r="N90" i="51"/>
  <c r="J90" i="51"/>
  <c r="L90" i="51" s="1"/>
  <c r="H90" i="51"/>
  <c r="J89" i="51"/>
  <c r="L89" i="51" s="1"/>
  <c r="H89" i="51"/>
  <c r="J88" i="51"/>
  <c r="L88" i="51" s="1"/>
  <c r="H88" i="51"/>
  <c r="N87" i="51"/>
  <c r="O86" i="51" s="1"/>
  <c r="P59" i="51" s="1"/>
  <c r="R59" i="51" s="1"/>
  <c r="T59" i="51" s="1"/>
  <c r="J87" i="51"/>
  <c r="L87" i="51" s="1"/>
  <c r="H87" i="51"/>
  <c r="J86" i="51"/>
  <c r="L86" i="51" s="1"/>
  <c r="H86" i="51"/>
  <c r="J85" i="51"/>
  <c r="L85" i="51" s="1"/>
  <c r="H85" i="51"/>
  <c r="N84" i="51"/>
  <c r="O83" i="51" s="1"/>
  <c r="P57" i="51" s="1"/>
  <c r="R57" i="51" s="1"/>
  <c r="T57" i="51" s="1"/>
  <c r="J84" i="51"/>
  <c r="L84" i="51" s="1"/>
  <c r="H84" i="51"/>
  <c r="J83" i="51"/>
  <c r="L83" i="51" s="1"/>
  <c r="H83" i="51"/>
  <c r="J82" i="51"/>
  <c r="L82" i="51" s="1"/>
  <c r="H82" i="51"/>
  <c r="N81" i="51"/>
  <c r="O80" i="51" s="1"/>
  <c r="P55" i="51" s="1"/>
  <c r="R55" i="51" s="1"/>
  <c r="T55" i="51" s="1"/>
  <c r="J81" i="51"/>
  <c r="L81" i="51" s="1"/>
  <c r="H81" i="51"/>
  <c r="J80" i="51"/>
  <c r="L80" i="51" s="1"/>
  <c r="H80" i="51"/>
  <c r="J79" i="51"/>
  <c r="L79" i="51" s="1"/>
  <c r="H79" i="51"/>
  <c r="N78" i="51"/>
  <c r="J78" i="51"/>
  <c r="L78" i="51" s="1"/>
  <c r="H78" i="51"/>
  <c r="J77" i="51"/>
  <c r="L77" i="51" s="1"/>
  <c r="H77" i="51"/>
  <c r="J76" i="51"/>
  <c r="L76" i="51" s="1"/>
  <c r="H76" i="51"/>
  <c r="N75" i="51"/>
  <c r="O74" i="51" s="1"/>
  <c r="P51" i="51" s="1"/>
  <c r="R51" i="51" s="1"/>
  <c r="T51" i="51" s="1"/>
  <c r="J75" i="51"/>
  <c r="L75" i="51" s="1"/>
  <c r="H75" i="51"/>
  <c r="J74" i="51"/>
  <c r="L74" i="51" s="1"/>
  <c r="H74" i="51"/>
  <c r="J73" i="51"/>
  <c r="L73" i="51" s="1"/>
  <c r="H73" i="51"/>
  <c r="N72" i="51"/>
  <c r="O71" i="51" s="1"/>
  <c r="P49" i="51" s="1"/>
  <c r="R49" i="51" s="1"/>
  <c r="T49" i="51" s="1"/>
  <c r="J72" i="51"/>
  <c r="L72" i="51" s="1"/>
  <c r="H72" i="51"/>
  <c r="J71" i="51"/>
  <c r="L71" i="51" s="1"/>
  <c r="H71" i="51"/>
  <c r="J70" i="51"/>
  <c r="L70" i="51" s="1"/>
  <c r="H70" i="51"/>
  <c r="N69" i="51"/>
  <c r="O68" i="51" s="1"/>
  <c r="P47" i="51" s="1"/>
  <c r="R47" i="51" s="1"/>
  <c r="T47" i="51" s="1"/>
  <c r="J69" i="51"/>
  <c r="L69" i="51" s="1"/>
  <c r="H69" i="51"/>
  <c r="J68" i="51"/>
  <c r="L68" i="51" s="1"/>
  <c r="H68" i="51"/>
  <c r="J67" i="51"/>
  <c r="L67" i="51" s="1"/>
  <c r="H67" i="51"/>
  <c r="N66" i="51"/>
  <c r="J66" i="51"/>
  <c r="L66" i="51" s="1"/>
  <c r="H66" i="51"/>
  <c r="J65" i="51"/>
  <c r="L65" i="51" s="1"/>
  <c r="H65" i="51"/>
  <c r="J64" i="51"/>
  <c r="L64" i="51" s="1"/>
  <c r="H64" i="51"/>
  <c r="N63" i="51"/>
  <c r="O62" i="51" s="1"/>
  <c r="P43" i="51" s="1"/>
  <c r="R43" i="51" s="1"/>
  <c r="T43" i="51" s="1"/>
  <c r="J63" i="51"/>
  <c r="L63" i="51" s="1"/>
  <c r="H63" i="51"/>
  <c r="J62" i="51"/>
  <c r="L62" i="51" s="1"/>
  <c r="H62" i="51"/>
  <c r="J61" i="51"/>
  <c r="L61" i="51" s="1"/>
  <c r="H61" i="51"/>
  <c r="N60" i="51"/>
  <c r="O59" i="51" s="1"/>
  <c r="P41" i="51" s="1"/>
  <c r="R41" i="51" s="1"/>
  <c r="T41" i="51" s="1"/>
  <c r="J60" i="51"/>
  <c r="L60" i="51" s="1"/>
  <c r="H60" i="51"/>
  <c r="J59" i="51"/>
  <c r="L59" i="51" s="1"/>
  <c r="H59" i="51"/>
  <c r="J58" i="51"/>
  <c r="L58" i="51" s="1"/>
  <c r="H58" i="51"/>
  <c r="N57" i="51"/>
  <c r="O56" i="51" s="1"/>
  <c r="P39" i="51" s="1"/>
  <c r="R39" i="51" s="1"/>
  <c r="T39" i="51" s="1"/>
  <c r="J57" i="51"/>
  <c r="L57" i="51" s="1"/>
  <c r="H57" i="51"/>
  <c r="J56" i="51"/>
  <c r="L56" i="51" s="1"/>
  <c r="H56" i="51"/>
  <c r="J55" i="51"/>
  <c r="L55" i="51" s="1"/>
  <c r="H55" i="51"/>
  <c r="N54" i="51"/>
  <c r="O53" i="51" s="1"/>
  <c r="P37" i="51" s="1"/>
  <c r="R37" i="51" s="1"/>
  <c r="T37" i="51" s="1"/>
  <c r="J54" i="51"/>
  <c r="L54" i="51" s="1"/>
  <c r="H54" i="51"/>
  <c r="J53" i="51"/>
  <c r="L53" i="51" s="1"/>
  <c r="H53" i="51"/>
  <c r="J52" i="51"/>
  <c r="L52" i="51" s="1"/>
  <c r="H52" i="51"/>
  <c r="N51" i="51"/>
  <c r="O50" i="51" s="1"/>
  <c r="P35" i="51" s="1"/>
  <c r="R35" i="51" s="1"/>
  <c r="T35" i="51" s="1"/>
  <c r="J51" i="51"/>
  <c r="L51" i="51" s="1"/>
  <c r="H51" i="51"/>
  <c r="J50" i="51"/>
  <c r="L50" i="51" s="1"/>
  <c r="H50" i="51"/>
  <c r="J49" i="51"/>
  <c r="L49" i="51" s="1"/>
  <c r="H49" i="51"/>
  <c r="N48" i="51"/>
  <c r="O47" i="51" s="1"/>
  <c r="P33" i="51" s="1"/>
  <c r="R33" i="51" s="1"/>
  <c r="T33" i="51" s="1"/>
  <c r="J48" i="51"/>
  <c r="L48" i="51" s="1"/>
  <c r="H48" i="51"/>
  <c r="J47" i="51"/>
  <c r="L47" i="51" s="1"/>
  <c r="H47" i="51"/>
  <c r="J46" i="51"/>
  <c r="L46" i="51" s="1"/>
  <c r="H46" i="51"/>
  <c r="N45" i="51"/>
  <c r="O44" i="51" s="1"/>
  <c r="P31" i="51" s="1"/>
  <c r="R31" i="51" s="1"/>
  <c r="T31" i="51" s="1"/>
  <c r="J45" i="51"/>
  <c r="L45" i="51" s="1"/>
  <c r="H45" i="51"/>
  <c r="J44" i="51"/>
  <c r="L44" i="51" s="1"/>
  <c r="H44" i="51"/>
  <c r="J43" i="51"/>
  <c r="L43" i="51" s="1"/>
  <c r="H43" i="51"/>
  <c r="N42" i="51"/>
  <c r="O41" i="51" s="1"/>
  <c r="P29" i="51" s="1"/>
  <c r="R29" i="51" s="1"/>
  <c r="T29" i="51" s="1"/>
  <c r="J42" i="51"/>
  <c r="L42" i="51" s="1"/>
  <c r="H42" i="51"/>
  <c r="J41" i="51"/>
  <c r="L41" i="51" s="1"/>
  <c r="H41" i="51"/>
  <c r="J40" i="51"/>
  <c r="L40" i="51" s="1"/>
  <c r="H40" i="51"/>
  <c r="N39" i="51"/>
  <c r="O38" i="51" s="1"/>
  <c r="P27" i="51" s="1"/>
  <c r="R27" i="51" s="1"/>
  <c r="J39" i="51"/>
  <c r="L39" i="51" s="1"/>
  <c r="H39" i="51"/>
  <c r="J38" i="51"/>
  <c r="L38" i="51" s="1"/>
  <c r="H38" i="51"/>
  <c r="J37" i="51"/>
  <c r="L37" i="51" s="1"/>
  <c r="H37" i="51"/>
  <c r="N36" i="51"/>
  <c r="O35" i="51" s="1"/>
  <c r="P25" i="51" s="1"/>
  <c r="R25" i="51" s="1"/>
  <c r="J36" i="51"/>
  <c r="L36" i="51" s="1"/>
  <c r="H36" i="51"/>
  <c r="J35" i="51"/>
  <c r="L35" i="51" s="1"/>
  <c r="H35" i="51"/>
  <c r="J34" i="51"/>
  <c r="L34" i="51" s="1"/>
  <c r="H34" i="51"/>
  <c r="N33" i="51"/>
  <c r="O32" i="51" s="1"/>
  <c r="P23" i="51" s="1"/>
  <c r="R23" i="51" s="1"/>
  <c r="J33" i="51"/>
  <c r="L33" i="51" s="1"/>
  <c r="H33" i="51"/>
  <c r="J32" i="51"/>
  <c r="L32" i="51" s="1"/>
  <c r="H32" i="51"/>
  <c r="J31" i="51"/>
  <c r="L31" i="51" s="1"/>
  <c r="H31" i="51"/>
  <c r="N30" i="51"/>
  <c r="O30" i="51" s="1"/>
  <c r="P22" i="51" s="1"/>
  <c r="R22" i="51" s="1"/>
  <c r="J30" i="51"/>
  <c r="L30" i="51" s="1"/>
  <c r="H30" i="51"/>
  <c r="J29" i="51"/>
  <c r="L29" i="51" s="1"/>
  <c r="H29" i="51"/>
  <c r="J28" i="51"/>
  <c r="L28" i="51" s="1"/>
  <c r="H28" i="51"/>
  <c r="N27" i="51"/>
  <c r="O27" i="51" s="1"/>
  <c r="P20" i="51" s="1"/>
  <c r="R20" i="51" s="1"/>
  <c r="J27" i="51"/>
  <c r="L27" i="51" s="1"/>
  <c r="H27" i="51"/>
  <c r="J26" i="51"/>
  <c r="L26" i="51" s="1"/>
  <c r="H26" i="51"/>
  <c r="J25" i="51"/>
  <c r="L25" i="51" s="1"/>
  <c r="H25" i="51"/>
  <c r="N24" i="51"/>
  <c r="O23" i="51" s="1"/>
  <c r="P17" i="51" s="1"/>
  <c r="R17" i="51" s="1"/>
  <c r="J24" i="51"/>
  <c r="L24" i="51" s="1"/>
  <c r="H24" i="51"/>
  <c r="J23" i="51"/>
  <c r="L23" i="51" s="1"/>
  <c r="H23" i="51"/>
  <c r="J22" i="51"/>
  <c r="L22" i="51" s="1"/>
  <c r="H22" i="51"/>
  <c r="N21" i="51"/>
  <c r="O21" i="51" s="1"/>
  <c r="P16" i="51" s="1"/>
  <c r="R16" i="51" s="1"/>
  <c r="J21" i="51"/>
  <c r="H21" i="51"/>
  <c r="J20" i="51"/>
  <c r="H20" i="51"/>
  <c r="J19" i="51"/>
  <c r="H19" i="51"/>
  <c r="N18" i="51"/>
  <c r="O18" i="51" s="1"/>
  <c r="P14" i="51" s="1"/>
  <c r="R14" i="51" s="1"/>
  <c r="J18" i="51"/>
  <c r="H18" i="51"/>
  <c r="J17" i="51"/>
  <c r="H17" i="51"/>
  <c r="J16" i="51"/>
  <c r="N15" i="51"/>
  <c r="O15" i="51" s="1"/>
  <c r="P12" i="51" s="1"/>
  <c r="R12" i="51" s="1"/>
  <c r="J15" i="51"/>
  <c r="J14" i="51"/>
  <c r="J13" i="51"/>
  <c r="N12" i="51"/>
  <c r="J12" i="51"/>
  <c r="J11" i="51"/>
  <c r="J10" i="51"/>
  <c r="N9" i="51"/>
  <c r="O8" i="51" s="1"/>
  <c r="P7" i="51" s="1"/>
  <c r="R7" i="51" s="1"/>
  <c r="J9" i="51"/>
  <c r="J8" i="51"/>
  <c r="J7" i="51"/>
  <c r="M53" i="6"/>
  <c r="L53" i="6"/>
  <c r="K53" i="6"/>
  <c r="J53" i="6"/>
  <c r="I53" i="6"/>
  <c r="M55" i="6"/>
  <c r="L55" i="6"/>
  <c r="K55" i="6"/>
  <c r="J55" i="6"/>
  <c r="I55" i="6"/>
  <c r="X15" i="6" l="1"/>
  <c r="C10" i="6"/>
  <c r="C15" i="6"/>
  <c r="C13" i="6"/>
  <c r="T24" i="6"/>
  <c r="C16" i="6"/>
  <c r="C7" i="6"/>
  <c r="C8" i="6" s="1"/>
  <c r="C9" i="6"/>
  <c r="S24" i="6"/>
  <c r="U24" i="6"/>
  <c r="C11" i="6"/>
  <c r="AA244" i="8"/>
  <c r="AA206" i="8"/>
  <c r="AA229" i="8"/>
  <c r="AA205" i="8"/>
  <c r="AA207" i="8"/>
  <c r="AA230" i="8"/>
  <c r="AA228" i="8"/>
  <c r="AA204" i="8"/>
  <c r="AA231" i="8"/>
  <c r="AA227" i="8"/>
  <c r="AA242" i="8"/>
  <c r="AA218" i="8"/>
  <c r="AA240" i="8"/>
  <c r="AA238" i="8"/>
  <c r="AA214" i="8"/>
  <c r="AA237" i="8"/>
  <c r="AA213" i="8"/>
  <c r="AA170" i="8"/>
  <c r="AA236" i="8"/>
  <c r="AA212" i="8"/>
  <c r="AA144" i="8"/>
  <c r="AA219" i="8"/>
  <c r="AA192" i="8"/>
  <c r="AA235" i="8"/>
  <c r="AA211" i="8"/>
  <c r="AA143" i="8"/>
  <c r="AA191" i="8"/>
  <c r="AA234" i="8"/>
  <c r="AA210" i="8"/>
  <c r="AA241" i="8"/>
  <c r="AA216" i="8"/>
  <c r="AA233" i="8"/>
  <c r="AA209" i="8"/>
  <c r="AA217" i="8"/>
  <c r="O254" i="51"/>
  <c r="P171" i="51" s="1"/>
  <c r="R171" i="51" s="1"/>
  <c r="T171" i="51" s="1"/>
  <c r="AA142" i="8"/>
  <c r="O203" i="51"/>
  <c r="P137" i="51" s="1"/>
  <c r="R137" i="51" s="1"/>
  <c r="T137" i="51" s="1"/>
  <c r="O224" i="51"/>
  <c r="P151" i="51" s="1"/>
  <c r="R151" i="51" s="1"/>
  <c r="T151" i="51" s="1"/>
  <c r="O212" i="51"/>
  <c r="P143" i="51" s="1"/>
  <c r="R143" i="51" s="1"/>
  <c r="T143" i="51" s="1"/>
  <c r="O284" i="51"/>
  <c r="P191" i="51" s="1"/>
  <c r="R191" i="51" s="1"/>
  <c r="T191" i="51" s="1"/>
  <c r="O308" i="51"/>
  <c r="P207" i="51" s="1"/>
  <c r="R207" i="51" s="1"/>
  <c r="T207" i="51" s="1"/>
  <c r="O267" i="51"/>
  <c r="P180" i="51" s="1"/>
  <c r="R180" i="51" s="1"/>
  <c r="T180" i="51" s="1"/>
  <c r="O45" i="51"/>
  <c r="P32" i="51" s="1"/>
  <c r="R32" i="51" s="1"/>
  <c r="T32" i="51" s="1"/>
  <c r="O200" i="51"/>
  <c r="P135" i="51" s="1"/>
  <c r="R135" i="51" s="1"/>
  <c r="T135" i="51" s="1"/>
  <c r="O117" i="51"/>
  <c r="P80" i="51" s="1"/>
  <c r="R80" i="51" s="1"/>
  <c r="T80" i="51" s="1"/>
  <c r="O177" i="51"/>
  <c r="P120" i="51" s="1"/>
  <c r="R120" i="51" s="1"/>
  <c r="T120" i="51" s="1"/>
  <c r="O270" i="51"/>
  <c r="P182" i="51" s="1"/>
  <c r="R182" i="51" s="1"/>
  <c r="T182" i="51" s="1"/>
  <c r="O240" i="51"/>
  <c r="P162" i="51" s="1"/>
  <c r="R162" i="51" s="1"/>
  <c r="T162" i="51" s="1"/>
  <c r="AA185" i="8"/>
  <c r="O170" i="51"/>
  <c r="P115" i="51" s="1"/>
  <c r="R115" i="51" s="1"/>
  <c r="T115" i="51" s="1"/>
  <c r="O272" i="51"/>
  <c r="P183" i="51" s="1"/>
  <c r="R183" i="51" s="1"/>
  <c r="T183" i="51" s="1"/>
  <c r="AA184" i="8"/>
  <c r="O242" i="51"/>
  <c r="P163" i="51" s="1"/>
  <c r="R163" i="51" s="1"/>
  <c r="T163" i="51" s="1"/>
  <c r="AA172" i="8"/>
  <c r="O230" i="51"/>
  <c r="P155" i="51" s="1"/>
  <c r="R155" i="51" s="1"/>
  <c r="T155" i="51" s="1"/>
  <c r="AA154" i="8"/>
  <c r="AA153" i="8"/>
  <c r="AA152" i="8"/>
  <c r="AA151" i="8"/>
  <c r="O248" i="51"/>
  <c r="P167" i="51" s="1"/>
  <c r="R167" i="51" s="1"/>
  <c r="T167" i="51" s="1"/>
  <c r="O279" i="51"/>
  <c r="P188" i="51" s="1"/>
  <c r="R188" i="51" s="1"/>
  <c r="T188" i="51" s="1"/>
  <c r="AA150" i="8"/>
  <c r="AA156" i="8"/>
  <c r="AA149" i="8"/>
  <c r="AA157" i="8"/>
  <c r="AA155" i="8"/>
  <c r="O192" i="51"/>
  <c r="P130" i="51" s="1"/>
  <c r="R130" i="51" s="1"/>
  <c r="T130" i="51" s="1"/>
  <c r="AA148" i="8"/>
  <c r="O180" i="51"/>
  <c r="P122" i="51" s="1"/>
  <c r="R122" i="51" s="1"/>
  <c r="T122" i="51" s="1"/>
  <c r="O291" i="51"/>
  <c r="P196" i="51" s="1"/>
  <c r="R196" i="51" s="1"/>
  <c r="T196" i="51" s="1"/>
  <c r="AA147" i="8"/>
  <c r="O165" i="51"/>
  <c r="P112" i="51" s="1"/>
  <c r="R112" i="51" s="1"/>
  <c r="T112" i="51" s="1"/>
  <c r="AA146" i="8"/>
  <c r="O168" i="51"/>
  <c r="P114" i="51" s="1"/>
  <c r="R114" i="51" s="1"/>
  <c r="T114" i="51" s="1"/>
  <c r="O105" i="51"/>
  <c r="P72" i="51" s="1"/>
  <c r="R72" i="51" s="1"/>
  <c r="T72" i="51" s="1"/>
  <c r="AA189" i="8"/>
  <c r="AA188" i="8"/>
  <c r="AA190" i="8"/>
  <c r="AA187" i="8"/>
  <c r="O26" i="51"/>
  <c r="P19" i="51" s="1"/>
  <c r="R19" i="51" s="1"/>
  <c r="O261" i="51"/>
  <c r="P176" i="51" s="1"/>
  <c r="R176" i="51" s="1"/>
  <c r="T176" i="51" s="1"/>
  <c r="O120" i="51"/>
  <c r="P82" i="51" s="1"/>
  <c r="R82" i="51" s="1"/>
  <c r="T82" i="51" s="1"/>
  <c r="O209" i="51"/>
  <c r="P141" i="51" s="1"/>
  <c r="R141" i="51" s="1"/>
  <c r="T141" i="51" s="1"/>
  <c r="O126" i="51"/>
  <c r="P86" i="51" s="1"/>
  <c r="R86" i="51" s="1"/>
  <c r="T86" i="51" s="1"/>
  <c r="O236" i="51"/>
  <c r="P159" i="51" s="1"/>
  <c r="R159" i="51" s="1"/>
  <c r="T159" i="51" s="1"/>
  <c r="O218" i="51"/>
  <c r="P147" i="51" s="1"/>
  <c r="R147" i="51" s="1"/>
  <c r="T147" i="51" s="1"/>
  <c r="O293" i="51"/>
  <c r="P197" i="51" s="1"/>
  <c r="R197" i="51" s="1"/>
  <c r="T197" i="51" s="1"/>
  <c r="O228" i="51"/>
  <c r="P154" i="51" s="1"/>
  <c r="R154" i="51" s="1"/>
  <c r="T154" i="51" s="1"/>
  <c r="O246" i="51"/>
  <c r="P166" i="51" s="1"/>
  <c r="R166" i="51" s="1"/>
  <c r="T166" i="51" s="1"/>
  <c r="O194" i="51"/>
  <c r="P131" i="51" s="1"/>
  <c r="R131" i="51" s="1"/>
  <c r="T131" i="51" s="1"/>
  <c r="O14" i="51"/>
  <c r="P11" i="51" s="1"/>
  <c r="R11" i="51" s="1"/>
  <c r="O29" i="51"/>
  <c r="P21" i="51" s="1"/>
  <c r="R21" i="51" s="1"/>
  <c r="O312" i="51"/>
  <c r="P210" i="51" s="1"/>
  <c r="R210" i="51" s="1"/>
  <c r="T210" i="51" s="1"/>
  <c r="O296" i="51"/>
  <c r="P199" i="51" s="1"/>
  <c r="R199" i="51" s="1"/>
  <c r="T199" i="51" s="1"/>
  <c r="O20" i="51"/>
  <c r="P15" i="51" s="1"/>
  <c r="R15" i="51" s="1"/>
  <c r="O182" i="51"/>
  <c r="P123" i="51" s="1"/>
  <c r="R123" i="51" s="1"/>
  <c r="T123" i="51" s="1"/>
  <c r="O189" i="51"/>
  <c r="P128" i="51" s="1"/>
  <c r="R128" i="51" s="1"/>
  <c r="T128" i="51" s="1"/>
  <c r="O222" i="51"/>
  <c r="P150" i="51" s="1"/>
  <c r="R150" i="51" s="1"/>
  <c r="T150" i="51" s="1"/>
  <c r="O314" i="51"/>
  <c r="P211" i="51" s="1"/>
  <c r="R211" i="51" s="1"/>
  <c r="T211" i="51" s="1"/>
  <c r="AA180" i="8"/>
  <c r="AA179" i="8"/>
  <c r="AA178" i="8"/>
  <c r="AA177" i="8"/>
  <c r="AA183" i="8"/>
  <c r="AA182" i="8"/>
  <c r="AA176" i="8"/>
  <c r="AA174" i="8"/>
  <c r="AA173" i="8"/>
  <c r="AA169" i="8"/>
  <c r="AA168" i="8"/>
  <c r="AA167" i="8"/>
  <c r="AA165" i="8"/>
  <c r="AA164" i="8"/>
  <c r="AA163" i="8"/>
  <c r="AA162" i="8"/>
  <c r="AA161" i="8"/>
  <c r="AA160" i="8"/>
  <c r="G207" i="51"/>
  <c r="G117" i="51"/>
  <c r="G126" i="51"/>
  <c r="G111" i="51"/>
  <c r="G54" i="51"/>
  <c r="G62" i="51"/>
  <c r="G138" i="51"/>
  <c r="G214" i="51"/>
  <c r="G287" i="51"/>
  <c r="G58" i="51"/>
  <c r="G42" i="51"/>
  <c r="G148" i="51"/>
  <c r="G97" i="51"/>
  <c r="G136" i="51"/>
  <c r="G103" i="51"/>
  <c r="G73" i="51"/>
  <c r="G80" i="51"/>
  <c r="G205" i="51"/>
  <c r="G75" i="51"/>
  <c r="G174" i="51"/>
  <c r="G172" i="51"/>
  <c r="G50" i="51"/>
  <c r="G154" i="51"/>
  <c r="G262" i="51"/>
  <c r="G81" i="51"/>
  <c r="G272" i="51"/>
  <c r="G107" i="51"/>
  <c r="G310" i="51"/>
  <c r="G176" i="51"/>
  <c r="G312" i="51"/>
  <c r="G183" i="51"/>
  <c r="G238" i="51"/>
  <c r="G244" i="51"/>
  <c r="G146" i="51"/>
  <c r="G180" i="51"/>
  <c r="G209" i="51"/>
  <c r="G166" i="51"/>
  <c r="G270" i="51"/>
  <c r="G285" i="51"/>
  <c r="G198" i="51"/>
  <c r="G271" i="51"/>
  <c r="G53" i="51"/>
  <c r="G78" i="51"/>
  <c r="G108" i="51"/>
  <c r="G286" i="51"/>
  <c r="G45" i="51"/>
  <c r="G92" i="51"/>
  <c r="G131" i="51"/>
  <c r="G158" i="51"/>
  <c r="G313" i="51"/>
  <c r="G264" i="51"/>
  <c r="G192" i="51"/>
  <c r="G305" i="51"/>
  <c r="G59" i="51"/>
  <c r="G86" i="51"/>
  <c r="G79" i="51"/>
  <c r="G109" i="51"/>
  <c r="G295" i="51"/>
  <c r="G241" i="51"/>
  <c r="G254" i="51"/>
  <c r="G190" i="51"/>
  <c r="G245" i="51"/>
  <c r="G303" i="51"/>
  <c r="G189" i="51"/>
  <c r="G231" i="51"/>
  <c r="G259" i="51"/>
  <c r="G273" i="51"/>
  <c r="G55" i="51"/>
  <c r="G63" i="51"/>
  <c r="G57" i="51"/>
  <c r="G223" i="51"/>
  <c r="G168" i="51"/>
  <c r="G208" i="51"/>
  <c r="G235" i="51"/>
  <c r="G248" i="51"/>
  <c r="G221" i="51"/>
  <c r="G99" i="51"/>
  <c r="G293" i="51"/>
  <c r="G36" i="51"/>
  <c r="G52" i="51"/>
  <c r="G98" i="51"/>
  <c r="G149" i="51"/>
  <c r="G164" i="51"/>
  <c r="G184" i="51"/>
  <c r="G195" i="51"/>
  <c r="G212" i="51"/>
  <c r="G224" i="51"/>
  <c r="G253" i="51"/>
  <c r="G68" i="51"/>
  <c r="G239" i="51"/>
  <c r="G152" i="51"/>
  <c r="G200" i="51"/>
  <c r="G288" i="51"/>
  <c r="G95" i="51"/>
  <c r="G291" i="51"/>
  <c r="G297" i="51"/>
  <c r="G119" i="51"/>
  <c r="G147" i="51"/>
  <c r="G181" i="51"/>
  <c r="G34" i="51"/>
  <c r="G105" i="51"/>
  <c r="G210" i="51"/>
  <c r="G140" i="51"/>
  <c r="G162" i="51"/>
  <c r="G118" i="51"/>
  <c r="G44" i="51"/>
  <c r="G67" i="51"/>
  <c r="G202" i="51"/>
  <c r="G178" i="51"/>
  <c r="G142" i="51"/>
  <c r="G194" i="51"/>
  <c r="G204" i="51"/>
  <c r="G255" i="51"/>
  <c r="G289" i="51"/>
  <c r="G137" i="51"/>
  <c r="G173" i="51"/>
  <c r="G88" i="51"/>
  <c r="G69" i="51"/>
  <c r="G122" i="51"/>
  <c r="G129" i="51"/>
  <c r="G165" i="51"/>
  <c r="G268" i="51"/>
  <c r="G70" i="51"/>
  <c r="G65" i="51"/>
  <c r="G311" i="51"/>
  <c r="G300" i="51"/>
  <c r="G83" i="51"/>
  <c r="G302" i="51"/>
  <c r="G76" i="51"/>
  <c r="G128" i="51"/>
  <c r="G169" i="51"/>
  <c r="G247" i="51"/>
  <c r="G260" i="51"/>
  <c r="G84" i="51"/>
  <c r="G106" i="51"/>
  <c r="G115" i="51"/>
  <c r="G161" i="51"/>
  <c r="G171" i="51"/>
  <c r="G201" i="51"/>
  <c r="G48" i="51"/>
  <c r="G56" i="51"/>
  <c r="G72" i="51"/>
  <c r="G116" i="51"/>
  <c r="G130" i="51"/>
  <c r="G156" i="51"/>
  <c r="G278" i="51"/>
  <c r="G141" i="51"/>
  <c r="G100" i="51"/>
  <c r="G203" i="51"/>
  <c r="G93" i="51"/>
  <c r="G101" i="51"/>
  <c r="G123" i="51"/>
  <c r="G150" i="51"/>
  <c r="G143" i="51"/>
  <c r="G40" i="51"/>
  <c r="G139" i="51"/>
  <c r="G185" i="51"/>
  <c r="G89" i="51"/>
  <c r="G64" i="51"/>
  <c r="G87" i="51"/>
  <c r="G186" i="51"/>
  <c r="G213" i="51"/>
  <c r="G265" i="51"/>
  <c r="G217" i="51"/>
  <c r="G60" i="51"/>
  <c r="G276" i="51"/>
  <c r="G39" i="51"/>
  <c r="G163" i="51"/>
  <c r="G263" i="51"/>
  <c r="G132" i="51"/>
  <c r="G144" i="51"/>
  <c r="G175" i="51"/>
  <c r="G187" i="51"/>
  <c r="G225" i="51"/>
  <c r="G267" i="51"/>
  <c r="G120" i="51"/>
  <c r="G94" i="51"/>
  <c r="G110" i="51"/>
  <c r="G124" i="51"/>
  <c r="G151" i="51"/>
  <c r="G157" i="51"/>
  <c r="G197" i="51"/>
  <c r="G46" i="51"/>
  <c r="G135" i="51"/>
  <c r="G113" i="51"/>
  <c r="G155" i="51"/>
  <c r="G133" i="51"/>
  <c r="G74" i="51"/>
  <c r="G104" i="51"/>
  <c r="G296" i="51"/>
  <c r="G160" i="51"/>
  <c r="G43" i="51"/>
  <c r="G66" i="51"/>
  <c r="G82" i="51"/>
  <c r="G112" i="51"/>
  <c r="G159" i="51"/>
  <c r="G167" i="51"/>
  <c r="G229" i="51"/>
  <c r="G309" i="51"/>
  <c r="G134" i="51"/>
  <c r="G314" i="51"/>
  <c r="G35" i="51"/>
  <c r="G51" i="51"/>
  <c r="G127" i="51"/>
  <c r="G145" i="51"/>
  <c r="G153" i="51"/>
  <c r="G177" i="51"/>
  <c r="G199" i="51"/>
  <c r="G206" i="51"/>
  <c r="G215" i="51"/>
  <c r="G269" i="51"/>
  <c r="G283" i="51"/>
  <c r="G85" i="51"/>
  <c r="G211" i="51"/>
  <c r="G281" i="51"/>
  <c r="G294" i="51"/>
  <c r="G91" i="51"/>
  <c r="G191" i="51"/>
  <c r="G237" i="51"/>
  <c r="G304" i="51"/>
  <c r="G179" i="51"/>
  <c r="G280" i="51"/>
  <c r="G121" i="51"/>
  <c r="G249" i="51"/>
  <c r="G307" i="51"/>
  <c r="G256" i="51"/>
  <c r="G284" i="51"/>
  <c r="G279" i="51"/>
  <c r="G37" i="51"/>
  <c r="G38" i="51"/>
  <c r="G193" i="51"/>
  <c r="G216" i="51"/>
  <c r="G240" i="51"/>
  <c r="G222" i="51"/>
  <c r="G49" i="51"/>
  <c r="G71" i="51"/>
  <c r="G77" i="51"/>
  <c r="G252" i="51"/>
  <c r="G125" i="51"/>
  <c r="G61" i="51"/>
  <c r="G315" i="51"/>
  <c r="G188" i="51"/>
  <c r="G277" i="51"/>
  <c r="G102" i="51"/>
  <c r="G114" i="51"/>
  <c r="G196" i="51"/>
  <c r="G219" i="51"/>
  <c r="G230" i="51"/>
  <c r="G96" i="51"/>
  <c r="G90" i="51"/>
  <c r="G232" i="51"/>
  <c r="G261" i="51"/>
  <c r="G41" i="51"/>
  <c r="G47" i="51"/>
  <c r="G243" i="51"/>
  <c r="G301" i="51"/>
  <c r="O81" i="51"/>
  <c r="P56" i="51" s="1"/>
  <c r="R56" i="51" s="1"/>
  <c r="T56" i="51" s="1"/>
  <c r="O138" i="51"/>
  <c r="P94" i="51" s="1"/>
  <c r="R94" i="51" s="1"/>
  <c r="T94" i="51" s="1"/>
  <c r="G170" i="51"/>
  <c r="G292" i="51"/>
  <c r="O65" i="51"/>
  <c r="P45" i="51" s="1"/>
  <c r="R45" i="51" s="1"/>
  <c r="T45" i="51" s="1"/>
  <c r="O66" i="51"/>
  <c r="P46" i="51" s="1"/>
  <c r="R46" i="51" s="1"/>
  <c r="T46" i="51" s="1"/>
  <c r="G282" i="51"/>
  <c r="O57" i="51"/>
  <c r="P40" i="51" s="1"/>
  <c r="R40" i="51" s="1"/>
  <c r="T40" i="51" s="1"/>
  <c r="O135" i="51"/>
  <c r="P92" i="51" s="1"/>
  <c r="R92" i="51" s="1"/>
  <c r="T92" i="51" s="1"/>
  <c r="G251" i="51"/>
  <c r="G250" i="51"/>
  <c r="O77" i="51"/>
  <c r="P53" i="51" s="1"/>
  <c r="R53" i="51" s="1"/>
  <c r="T53" i="51" s="1"/>
  <c r="O78" i="51"/>
  <c r="P54" i="51" s="1"/>
  <c r="R54" i="51" s="1"/>
  <c r="T54" i="51" s="1"/>
  <c r="O33" i="51"/>
  <c r="P24" i="51" s="1"/>
  <c r="R24" i="51" s="1"/>
  <c r="O9" i="51"/>
  <c r="P8" i="51" s="1"/>
  <c r="R8" i="51" s="1"/>
  <c r="O24" i="51"/>
  <c r="P18" i="51" s="1"/>
  <c r="R18" i="51" s="1"/>
  <c r="O150" i="51"/>
  <c r="P102" i="51" s="1"/>
  <c r="R102" i="51" s="1"/>
  <c r="T102" i="51" s="1"/>
  <c r="O252" i="51"/>
  <c r="P170" i="51" s="1"/>
  <c r="R170" i="51" s="1"/>
  <c r="T170" i="51" s="1"/>
  <c r="O282" i="51"/>
  <c r="P190" i="51" s="1"/>
  <c r="R190" i="51" s="1"/>
  <c r="T190" i="51" s="1"/>
  <c r="O281" i="51"/>
  <c r="P189" i="51" s="1"/>
  <c r="R189" i="51" s="1"/>
  <c r="T189" i="51" s="1"/>
  <c r="O42" i="51"/>
  <c r="P30" i="51" s="1"/>
  <c r="R30" i="51" s="1"/>
  <c r="T30" i="51" s="1"/>
  <c r="O69" i="51"/>
  <c r="P48" i="51" s="1"/>
  <c r="R48" i="51" s="1"/>
  <c r="T48" i="51" s="1"/>
  <c r="O89" i="51"/>
  <c r="P61" i="51" s="1"/>
  <c r="R61" i="51" s="1"/>
  <c r="T61" i="51" s="1"/>
  <c r="O90" i="51"/>
  <c r="P62" i="51" s="1"/>
  <c r="R62" i="51" s="1"/>
  <c r="T62" i="51" s="1"/>
  <c r="G182" i="51"/>
  <c r="G220" i="51"/>
  <c r="O101" i="51"/>
  <c r="P69" i="51" s="1"/>
  <c r="R69" i="51" s="1"/>
  <c r="T69" i="51" s="1"/>
  <c r="O102" i="51"/>
  <c r="P70" i="51" s="1"/>
  <c r="R70" i="51" s="1"/>
  <c r="T70" i="51" s="1"/>
  <c r="O93" i="51"/>
  <c r="P64" i="51" s="1"/>
  <c r="R64" i="51" s="1"/>
  <c r="T64" i="51" s="1"/>
  <c r="O54" i="51"/>
  <c r="P38" i="51" s="1"/>
  <c r="R38" i="51" s="1"/>
  <c r="T38" i="51" s="1"/>
  <c r="O114" i="51"/>
  <c r="P78" i="51" s="1"/>
  <c r="R78" i="51" s="1"/>
  <c r="T78" i="51" s="1"/>
  <c r="O159" i="51"/>
  <c r="P108" i="51" s="1"/>
  <c r="R108" i="51" s="1"/>
  <c r="T108" i="51" s="1"/>
  <c r="O12" i="51"/>
  <c r="P10" i="51" s="1"/>
  <c r="R10" i="51" s="1"/>
  <c r="O11" i="51"/>
  <c r="P9" i="51" s="1"/>
  <c r="R9" i="51" s="1"/>
  <c r="O111" i="51"/>
  <c r="P76" i="51" s="1"/>
  <c r="R76" i="51" s="1"/>
  <c r="T76" i="51" s="1"/>
  <c r="O234" i="51"/>
  <c r="P158" i="51" s="1"/>
  <c r="R158" i="51" s="1"/>
  <c r="T158" i="51" s="1"/>
  <c r="O233" i="51"/>
  <c r="P157" i="51" s="1"/>
  <c r="R157" i="51" s="1"/>
  <c r="T157" i="51" s="1"/>
  <c r="O39" i="51"/>
  <c r="P28" i="51" s="1"/>
  <c r="R28" i="51" s="1"/>
  <c r="O51" i="51"/>
  <c r="P36" i="51" s="1"/>
  <c r="R36" i="51" s="1"/>
  <c r="T36" i="51" s="1"/>
  <c r="O63" i="51"/>
  <c r="P44" i="51" s="1"/>
  <c r="R44" i="51" s="1"/>
  <c r="T44" i="51" s="1"/>
  <c r="O75" i="51"/>
  <c r="P52" i="51" s="1"/>
  <c r="R52" i="51" s="1"/>
  <c r="T52" i="51" s="1"/>
  <c r="O87" i="51"/>
  <c r="P60" i="51" s="1"/>
  <c r="R60" i="51" s="1"/>
  <c r="T60" i="51" s="1"/>
  <c r="O99" i="51"/>
  <c r="P68" i="51" s="1"/>
  <c r="R68" i="51" s="1"/>
  <c r="T68" i="51" s="1"/>
  <c r="O132" i="51"/>
  <c r="P90" i="51" s="1"/>
  <c r="R90" i="51" s="1"/>
  <c r="T90" i="51" s="1"/>
  <c r="O276" i="51"/>
  <c r="P186" i="51" s="1"/>
  <c r="R186" i="51" s="1"/>
  <c r="T186" i="51" s="1"/>
  <c r="G308" i="51"/>
  <c r="O144" i="51"/>
  <c r="P98" i="51" s="1"/>
  <c r="R98" i="51" s="1"/>
  <c r="T98" i="51" s="1"/>
  <c r="G236" i="51"/>
  <c r="G233" i="51"/>
  <c r="G299" i="51"/>
  <c r="G298" i="51"/>
  <c r="O84" i="51"/>
  <c r="P58" i="51" s="1"/>
  <c r="R58" i="51" s="1"/>
  <c r="T58" i="51" s="1"/>
  <c r="O96" i="51"/>
  <c r="P66" i="51" s="1"/>
  <c r="R66" i="51" s="1"/>
  <c r="T66" i="51" s="1"/>
  <c r="O108" i="51"/>
  <c r="P74" i="51" s="1"/>
  <c r="R74" i="51" s="1"/>
  <c r="T74" i="51" s="1"/>
  <c r="O129" i="51"/>
  <c r="P88" i="51" s="1"/>
  <c r="R88" i="51" s="1"/>
  <c r="T88" i="51" s="1"/>
  <c r="O186" i="51"/>
  <c r="P126" i="51" s="1"/>
  <c r="R126" i="51" s="1"/>
  <c r="T126" i="51" s="1"/>
  <c r="O185" i="51"/>
  <c r="P125" i="51" s="1"/>
  <c r="R125" i="51" s="1"/>
  <c r="T125" i="51" s="1"/>
  <c r="G227" i="51"/>
  <c r="G226" i="51"/>
  <c r="O258" i="51"/>
  <c r="P174" i="51" s="1"/>
  <c r="R174" i="51" s="1"/>
  <c r="T174" i="51" s="1"/>
  <c r="O257" i="51"/>
  <c r="P173" i="51" s="1"/>
  <c r="R173" i="51" s="1"/>
  <c r="T173" i="51" s="1"/>
  <c r="G275" i="51"/>
  <c r="G274" i="51"/>
  <c r="O147" i="51"/>
  <c r="P100" i="51" s="1"/>
  <c r="R100" i="51" s="1"/>
  <c r="T100" i="51" s="1"/>
  <c r="G306" i="51"/>
  <c r="O156" i="51"/>
  <c r="P106" i="51" s="1"/>
  <c r="R106" i="51" s="1"/>
  <c r="T106" i="51" s="1"/>
  <c r="G257" i="51"/>
  <c r="O36" i="51"/>
  <c r="P26" i="51" s="1"/>
  <c r="R26" i="51" s="1"/>
  <c r="O48" i="51"/>
  <c r="P34" i="51" s="1"/>
  <c r="R34" i="51" s="1"/>
  <c r="T34" i="51" s="1"/>
  <c r="O216" i="51"/>
  <c r="P146" i="51" s="1"/>
  <c r="R146" i="51" s="1"/>
  <c r="T146" i="51" s="1"/>
  <c r="O288" i="51"/>
  <c r="P194" i="51" s="1"/>
  <c r="R194" i="51" s="1"/>
  <c r="T194" i="51" s="1"/>
  <c r="O141" i="51"/>
  <c r="P96" i="51" s="1"/>
  <c r="R96" i="51" s="1"/>
  <c r="T96" i="51" s="1"/>
  <c r="O60" i="51"/>
  <c r="P42" i="51" s="1"/>
  <c r="R42" i="51" s="1"/>
  <c r="T42" i="51" s="1"/>
  <c r="O72" i="51"/>
  <c r="P50" i="51" s="1"/>
  <c r="R50" i="51" s="1"/>
  <c r="T50" i="51" s="1"/>
  <c r="O153" i="51"/>
  <c r="P104" i="51" s="1"/>
  <c r="R104" i="51" s="1"/>
  <c r="T104" i="51" s="1"/>
  <c r="O174" i="51"/>
  <c r="P118" i="51" s="1"/>
  <c r="R118" i="51" s="1"/>
  <c r="T118" i="51" s="1"/>
  <c r="O173" i="51"/>
  <c r="P117" i="51" s="1"/>
  <c r="R117" i="51" s="1"/>
  <c r="T117" i="51" s="1"/>
  <c r="O198" i="51"/>
  <c r="P134" i="51" s="1"/>
  <c r="R134" i="51" s="1"/>
  <c r="T134" i="51" s="1"/>
  <c r="O197" i="51"/>
  <c r="P133" i="51" s="1"/>
  <c r="R133" i="51" s="1"/>
  <c r="T133" i="51" s="1"/>
  <c r="G228" i="51"/>
  <c r="O300" i="51"/>
  <c r="P202" i="51" s="1"/>
  <c r="R202" i="51" s="1"/>
  <c r="T202" i="51" s="1"/>
  <c r="O123" i="51"/>
  <c r="P84" i="51" s="1"/>
  <c r="R84" i="51" s="1"/>
  <c r="T84" i="51" s="1"/>
  <c r="O264" i="51"/>
  <c r="P178" i="51" s="1"/>
  <c r="R178" i="51" s="1"/>
  <c r="T178" i="51" s="1"/>
  <c r="O162" i="51"/>
  <c r="P110" i="51" s="1"/>
  <c r="R110" i="51" s="1"/>
  <c r="T110" i="51" s="1"/>
  <c r="O161" i="51"/>
  <c r="P109" i="51" s="1"/>
  <c r="R109" i="51" s="1"/>
  <c r="T109" i="51" s="1"/>
  <c r="O305" i="51"/>
  <c r="P205" i="51" s="1"/>
  <c r="R205" i="51" s="1"/>
  <c r="T205" i="51" s="1"/>
  <c r="O207" i="51"/>
  <c r="P140" i="51" s="1"/>
  <c r="R140" i="51" s="1"/>
  <c r="T140" i="51" s="1"/>
  <c r="G218" i="51"/>
  <c r="G234" i="51"/>
  <c r="G242" i="51"/>
  <c r="G258" i="51"/>
  <c r="G266" i="51"/>
  <c r="G290" i="51"/>
  <c r="O17" i="51"/>
  <c r="P13" i="51" s="1"/>
  <c r="R13" i="51" s="1"/>
  <c r="G246" i="51"/>
  <c r="X36" i="6" l="1"/>
  <c r="C17" i="6"/>
  <c r="C18" i="6"/>
  <c r="S157" i="8"/>
  <c r="AK14" i="8" l="1"/>
  <c r="AK15" i="8"/>
  <c r="AK18" i="8"/>
  <c r="AK19" i="8"/>
  <c r="AK21" i="8"/>
  <c r="AK22" i="8"/>
  <c r="AK23" i="8"/>
  <c r="AK24" i="8"/>
  <c r="AK25" i="8"/>
  <c r="AK26" i="8"/>
  <c r="AK27" i="8"/>
  <c r="AK31" i="8"/>
  <c r="AK32" i="8"/>
  <c r="AK33" i="8"/>
  <c r="AK34" i="8"/>
  <c r="AK35" i="8"/>
  <c r="AK37" i="8"/>
  <c r="AK39" i="8"/>
  <c r="AK40" i="8"/>
  <c r="AK41" i="8"/>
  <c r="AK42" i="8"/>
  <c r="AK44" i="8"/>
  <c r="AK45" i="8"/>
  <c r="AK46" i="8"/>
  <c r="AK47" i="8"/>
  <c r="AK48" i="8"/>
  <c r="AK49" i="8"/>
  <c r="AK50" i="8"/>
  <c r="AK51" i="8"/>
  <c r="AK52" i="8"/>
  <c r="AK53" i="8"/>
  <c r="AK55" i="8"/>
  <c r="AK56" i="8"/>
  <c r="AK57" i="8"/>
  <c r="AK58" i="8"/>
  <c r="AK60" i="8"/>
  <c r="AK61" i="8"/>
  <c r="AK62" i="8"/>
  <c r="AK63" i="8"/>
  <c r="AK64" i="8"/>
  <c r="AK66" i="8"/>
  <c r="AK67" i="8"/>
  <c r="AK68" i="8"/>
  <c r="AK69" i="8"/>
  <c r="AK70" i="8"/>
  <c r="AK73" i="8"/>
  <c r="AK75" i="8"/>
  <c r="AK76" i="8"/>
  <c r="AK77" i="8"/>
  <c r="AK78" i="8"/>
  <c r="AK79" i="8"/>
  <c r="AK80" i="8"/>
  <c r="AK81" i="8"/>
  <c r="AK85" i="8"/>
  <c r="AK87" i="8"/>
  <c r="AK88" i="8"/>
  <c r="AK89" i="8"/>
  <c r="AK90" i="8"/>
  <c r="AK92" i="8"/>
  <c r="AK93" i="8"/>
  <c r="AK94" i="8"/>
  <c r="AK96" i="8"/>
  <c r="AK97" i="8"/>
  <c r="AK98" i="8"/>
  <c r="AK99" i="8"/>
  <c r="AK100" i="8"/>
  <c r="AK101" i="8"/>
  <c r="AK102" i="8"/>
  <c r="AK104" i="8"/>
  <c r="AK105" i="8"/>
  <c r="AK142" i="8"/>
  <c r="AK147" i="8"/>
  <c r="AK148" i="8"/>
  <c r="AK149" i="8"/>
  <c r="AK153" i="8"/>
  <c r="AK154" i="8"/>
  <c r="AK155" i="8"/>
  <c r="AK160" i="8"/>
  <c r="AK162" i="8"/>
  <c r="AK168" i="8"/>
  <c r="AK170" i="8"/>
  <c r="AK172" i="8"/>
  <c r="AK173" i="8"/>
  <c r="AK179" i="8"/>
  <c r="AK180" i="8"/>
  <c r="AK181" i="8"/>
  <c r="AK182" i="8"/>
  <c r="AK183" i="8"/>
  <c r="AK185" i="8"/>
  <c r="AK188" i="8"/>
  <c r="AK189" i="8"/>
  <c r="AK190" i="8"/>
  <c r="AK191" i="8"/>
  <c r="AK192" i="8"/>
  <c r="AK193" i="8"/>
  <c r="AK194" i="8"/>
  <c r="AK195" i="8"/>
  <c r="AK196" i="8"/>
  <c r="AK197" i="8"/>
  <c r="AK198" i="8"/>
  <c r="AK199" i="8"/>
  <c r="AK200" i="8"/>
  <c r="AK201" i="8"/>
  <c r="AK202" i="8"/>
  <c r="AK203" i="8"/>
  <c r="AK204" i="8"/>
  <c r="AK205" i="8"/>
  <c r="AK206" i="8"/>
  <c r="AK207" i="8"/>
  <c r="AK208" i="8"/>
  <c r="AK209" i="8"/>
  <c r="AK210" i="8"/>
  <c r="AK211" i="8"/>
  <c r="AK212" i="8"/>
  <c r="AK213" i="8"/>
  <c r="AK214" i="8"/>
  <c r="AK215" i="8"/>
  <c r="AK216" i="8"/>
  <c r="AK217" i="8"/>
  <c r="AK218" i="8"/>
  <c r="AK219" i="8"/>
  <c r="AK220" i="8"/>
  <c r="AK221" i="8"/>
  <c r="AK222" i="8"/>
  <c r="AK223" i="8"/>
  <c r="AK224" i="8"/>
  <c r="AK225" i="8"/>
  <c r="AK226" i="8"/>
  <c r="AK227" i="8"/>
  <c r="AK228" i="8"/>
  <c r="AK229" i="8"/>
  <c r="AK230" i="8"/>
  <c r="AK231" i="8"/>
  <c r="AK232" i="8"/>
  <c r="AK233" i="8"/>
  <c r="AK234" i="8"/>
  <c r="AK235" i="8"/>
  <c r="AK236" i="8"/>
  <c r="AK237" i="8"/>
  <c r="AK238" i="8"/>
  <c r="AK239" i="8"/>
  <c r="AK240" i="8"/>
  <c r="AK241" i="8"/>
  <c r="AK242" i="8"/>
  <c r="AK243" i="8"/>
  <c r="AK244" i="8"/>
  <c r="AK245" i="8"/>
  <c r="AK246" i="8"/>
  <c r="AK247" i="8"/>
  <c r="AK248" i="8"/>
  <c r="AK249" i="8"/>
  <c r="AK250" i="8"/>
  <c r="AK251" i="8"/>
  <c r="AK252" i="8"/>
  <c r="AK253" i="8"/>
  <c r="AK254" i="8"/>
  <c r="AK255" i="8"/>
  <c r="AK256" i="8"/>
  <c r="AK257" i="8"/>
  <c r="AK258" i="8"/>
  <c r="AK259" i="8"/>
  <c r="AK260" i="8"/>
  <c r="AK261" i="8"/>
  <c r="AK262" i="8"/>
  <c r="AK263" i="8"/>
  <c r="AK264" i="8"/>
  <c r="AK265" i="8"/>
  <c r="AK266" i="8"/>
  <c r="AK267" i="8"/>
  <c r="AK268" i="8"/>
  <c r="AK269" i="8"/>
  <c r="AK270" i="8"/>
  <c r="AK271" i="8"/>
  <c r="AK272" i="8"/>
  <c r="AK273" i="8"/>
  <c r="AK274" i="8"/>
  <c r="AK275" i="8"/>
  <c r="AK276" i="8"/>
  <c r="AK277" i="8"/>
  <c r="AK278" i="8"/>
  <c r="AK279" i="8"/>
  <c r="AK280" i="8"/>
  <c r="AK281" i="8"/>
  <c r="AK282" i="8"/>
  <c r="AK283" i="8"/>
  <c r="AK284" i="8"/>
  <c r="AK285" i="8"/>
  <c r="AK286" i="8"/>
  <c r="AK287" i="8"/>
  <c r="AK288" i="8"/>
  <c r="AK289" i="8"/>
  <c r="AK290" i="8"/>
  <c r="AK291" i="8"/>
  <c r="AK292" i="8"/>
  <c r="AK293" i="8"/>
  <c r="AK294" i="8"/>
  <c r="AK295" i="8"/>
  <c r="AK296" i="8"/>
  <c r="AK297" i="8"/>
  <c r="AK298" i="8"/>
  <c r="AK299" i="8"/>
  <c r="AK300" i="8"/>
  <c r="AK301" i="8"/>
  <c r="AK302" i="8"/>
  <c r="AK303" i="8"/>
  <c r="AK304" i="8"/>
  <c r="AK305" i="8"/>
  <c r="AK13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R4" i="8"/>
  <c r="AK130" i="8"/>
  <c r="AK114" i="8"/>
  <c r="AK136" i="8"/>
  <c r="AK115" i="8"/>
  <c r="AK157" i="8"/>
  <c r="AK143" i="8"/>
  <c r="AK106" i="8"/>
  <c r="AK166" i="8"/>
  <c r="AK144" i="8"/>
  <c r="AK54" i="8"/>
  <c r="AK174" i="8"/>
  <c r="AK117" i="8"/>
  <c r="AK120" i="8"/>
  <c r="AK146" i="8"/>
  <c r="AK116" i="8"/>
  <c r="AK30" i="8"/>
  <c r="AK84" i="8"/>
  <c r="AK103" i="8"/>
  <c r="AK150" i="8"/>
  <c r="AK159" i="8"/>
  <c r="AK184" i="8"/>
  <c r="AK38" i="8"/>
  <c r="AK123" i="8"/>
  <c r="AK110" i="8"/>
  <c r="AK119" i="8"/>
  <c r="AK141" i="8"/>
  <c r="AK112" i="8"/>
  <c r="AK165" i="8"/>
  <c r="AK152" i="8"/>
  <c r="AK121" i="8"/>
  <c r="AK113" i="8"/>
  <c r="AK16" i="8"/>
  <c r="AK167" i="8"/>
  <c r="AK178" i="8"/>
  <c r="AK132" i="8"/>
  <c r="AK74" i="8"/>
  <c r="AK107" i="8"/>
  <c r="AK36" i="8"/>
  <c r="AK175" i="8"/>
  <c r="AK124" i="8"/>
  <c r="AK139" i="8"/>
  <c r="AK161" i="8"/>
  <c r="AK164" i="8"/>
  <c r="AK127" i="8"/>
  <c r="AK59" i="8"/>
  <c r="AK163" i="8"/>
  <c r="AK169" i="8"/>
  <c r="AK118" i="8"/>
  <c r="AK176" i="8"/>
  <c r="AK109" i="8"/>
  <c r="AK91" i="8"/>
  <c r="AK151" i="8"/>
  <c r="AK43" i="8"/>
  <c r="AK122" i="8"/>
  <c r="AK145" i="8"/>
  <c r="AK86" i="8"/>
  <c r="AK158" i="8"/>
  <c r="AK17" i="8"/>
  <c r="AK83" i="8"/>
  <c r="AK108" i="8"/>
  <c r="AK72" i="8"/>
  <c r="AK137" i="8"/>
  <c r="AK125" i="8"/>
  <c r="AK156" i="8"/>
  <c r="AK140" i="8"/>
  <c r="AK187" i="8"/>
  <c r="AK131" i="8"/>
  <c r="AK111" i="8"/>
  <c r="AK95" i="8"/>
  <c r="AK71" i="8"/>
  <c r="AK133" i="8"/>
  <c r="AK126" i="8"/>
  <c r="AK138" i="8"/>
  <c r="AK20" i="8"/>
  <c r="AK82" i="8"/>
  <c r="AK128" i="8"/>
  <c r="AK171" i="8"/>
  <c r="AK29" i="8"/>
  <c r="AK28" i="8"/>
  <c r="AK177" i="8"/>
  <c r="AK65" i="8"/>
  <c r="AK134" i="8"/>
  <c r="AK135" i="8"/>
  <c r="AK186" i="8"/>
  <c r="AK129" i="8"/>
  <c r="I198" i="8" l="1"/>
  <c r="I197" i="8"/>
  <c r="C106" i="8"/>
  <c r="C108" i="8"/>
  <c r="L4" i="8" l="1"/>
  <c r="B1" i="36"/>
  <c r="D4" i="8"/>
  <c r="L2" i="8"/>
  <c r="D2" i="8"/>
  <c r="B34" i="8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13" i="8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C13" i="8" l="1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E13" i="8"/>
  <c r="AO13" i="8" s="1"/>
  <c r="AL13" i="8"/>
  <c r="X13" i="8" l="1"/>
  <c r="AN13" i="8" s="1"/>
  <c r="V13" i="8"/>
  <c r="AP13" i="8"/>
  <c r="W13" i="8"/>
  <c r="AQ13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R250" i="8"/>
  <c r="R251" i="8"/>
  <c r="R252" i="8"/>
  <c r="R253" i="8"/>
  <c r="R254" i="8"/>
  <c r="R255" i="8"/>
  <c r="R256" i="8"/>
  <c r="R257" i="8"/>
  <c r="R258" i="8"/>
  <c r="R259" i="8"/>
  <c r="R260" i="8"/>
  <c r="R261" i="8"/>
  <c r="R262" i="8"/>
  <c r="R263" i="8"/>
  <c r="R264" i="8"/>
  <c r="R265" i="8"/>
  <c r="R266" i="8"/>
  <c r="R267" i="8"/>
  <c r="R268" i="8"/>
  <c r="R269" i="8"/>
  <c r="R270" i="8"/>
  <c r="R271" i="8"/>
  <c r="R272" i="8"/>
  <c r="R273" i="8"/>
  <c r="R274" i="8"/>
  <c r="R275" i="8"/>
  <c r="R276" i="8"/>
  <c r="R277" i="8"/>
  <c r="R278" i="8"/>
  <c r="R279" i="8"/>
  <c r="R280" i="8"/>
  <c r="R281" i="8"/>
  <c r="R282" i="8"/>
  <c r="R283" i="8"/>
  <c r="R284" i="8"/>
  <c r="R285" i="8"/>
  <c r="R286" i="8"/>
  <c r="R287" i="8"/>
  <c r="R288" i="8"/>
  <c r="R289" i="8"/>
  <c r="R290" i="8"/>
  <c r="R291" i="8"/>
  <c r="R292" i="8"/>
  <c r="R293" i="8"/>
  <c r="R294" i="8"/>
  <c r="R295" i="8"/>
  <c r="R296" i="8"/>
  <c r="R297" i="8"/>
  <c r="S179" i="8"/>
  <c r="R173" i="8"/>
  <c r="R174" i="8"/>
  <c r="R175" i="8"/>
  <c r="R176" i="8"/>
  <c r="S176" i="8" s="1"/>
  <c r="R177" i="8"/>
  <c r="S177" i="8" s="1"/>
  <c r="R178" i="8"/>
  <c r="S178" i="8" s="1"/>
  <c r="R179" i="8"/>
  <c r="R180" i="8"/>
  <c r="R181" i="8"/>
  <c r="R182" i="8"/>
  <c r="R183" i="8"/>
  <c r="R184" i="8"/>
  <c r="R146" i="8"/>
  <c r="R147" i="8"/>
  <c r="R148" i="8"/>
  <c r="R149" i="8"/>
  <c r="R150" i="8"/>
  <c r="R151" i="8"/>
  <c r="R152" i="8"/>
  <c r="R153" i="8"/>
  <c r="R154" i="8"/>
  <c r="R155" i="8"/>
  <c r="R156" i="8"/>
  <c r="R159" i="8"/>
  <c r="R160" i="8"/>
  <c r="R161" i="8"/>
  <c r="R162" i="8"/>
  <c r="R163" i="8"/>
  <c r="R164" i="8"/>
  <c r="R165" i="8"/>
  <c r="R166" i="8"/>
  <c r="R167" i="8"/>
  <c r="R168" i="8"/>
  <c r="R169" i="8"/>
  <c r="R118" i="8"/>
  <c r="R119" i="8"/>
  <c r="R120" i="8"/>
  <c r="R121" i="8"/>
  <c r="R122" i="8"/>
  <c r="R123" i="8"/>
  <c r="R124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01" i="8"/>
  <c r="R102" i="8"/>
  <c r="R103" i="8"/>
  <c r="R104" i="8"/>
  <c r="R105" i="8"/>
  <c r="R106" i="8"/>
  <c r="R107" i="8"/>
  <c r="R108" i="8"/>
  <c r="R109" i="8"/>
  <c r="R110" i="8"/>
  <c r="R111" i="8"/>
  <c r="R113" i="8"/>
  <c r="R114" i="8"/>
  <c r="R115" i="8"/>
  <c r="R116" i="8"/>
  <c r="R117" i="8"/>
  <c r="R79" i="8"/>
  <c r="R80" i="8"/>
  <c r="R81" i="8"/>
  <c r="R82" i="8"/>
  <c r="R83" i="8"/>
  <c r="R84" i="8"/>
  <c r="R85" i="8"/>
  <c r="R86" i="8"/>
  <c r="R87" i="8"/>
  <c r="R88" i="8"/>
  <c r="R89" i="8"/>
  <c r="R90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13" i="8"/>
  <c r="AM13" i="8"/>
  <c r="AT13" i="8" l="1"/>
  <c r="AR13" i="8"/>
  <c r="AS13" i="8"/>
  <c r="R31" i="8" l="1"/>
  <c r="R32" i="8"/>
  <c r="R33" i="8"/>
  <c r="R34" i="8"/>
  <c r="R35" i="8"/>
  <c r="R36" i="8"/>
  <c r="R37" i="8"/>
  <c r="R38" i="8"/>
  <c r="S38" i="8" s="1"/>
  <c r="S31" i="8"/>
  <c r="S32" i="8"/>
  <c r="S33" i="8"/>
  <c r="S34" i="8"/>
  <c r="S35" i="8"/>
  <c r="S36" i="8"/>
  <c r="S37" i="8"/>
  <c r="S39" i="8"/>
  <c r="M35" i="8"/>
  <c r="P35" i="8" s="1"/>
  <c r="M36" i="8"/>
  <c r="P36" i="8" s="1"/>
  <c r="C33" i="8"/>
  <c r="D307" i="8" l="1" a="1"/>
  <c r="D307" i="8" s="1"/>
  <c r="R12" i="8"/>
  <c r="S13" i="8"/>
  <c r="R14" i="8"/>
  <c r="R15" i="8"/>
  <c r="R16" i="8"/>
  <c r="S16" i="8" s="1"/>
  <c r="R17" i="8"/>
  <c r="S17" i="8" s="1"/>
  <c r="R18" i="8"/>
  <c r="R19" i="8"/>
  <c r="S19" i="8" s="1"/>
  <c r="S12" i="8"/>
  <c r="S18" i="8"/>
  <c r="R20" i="8"/>
  <c r="R21" i="8"/>
  <c r="S21" i="8" s="1"/>
  <c r="R22" i="8"/>
  <c r="S22" i="8" s="1"/>
  <c r="R23" i="8"/>
  <c r="S23" i="8" s="1"/>
  <c r="R24" i="8"/>
  <c r="S24" i="8" s="1"/>
  <c r="R25" i="8"/>
  <c r="S25" i="8" s="1"/>
  <c r="R26" i="8"/>
  <c r="S26" i="8" s="1"/>
  <c r="R27" i="8"/>
  <c r="S27" i="8" s="1"/>
  <c r="R28" i="8"/>
  <c r="R29" i="8"/>
  <c r="R30" i="8"/>
  <c r="R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R58" i="8"/>
  <c r="S58" i="8"/>
  <c r="R59" i="8"/>
  <c r="S59" i="8" s="1"/>
  <c r="R60" i="8"/>
  <c r="S60" i="8" s="1"/>
  <c r="R61" i="8"/>
  <c r="S61" i="8"/>
  <c r="R62" i="8"/>
  <c r="S62" i="8"/>
  <c r="R63" i="8"/>
  <c r="S63" i="8"/>
  <c r="R64" i="8"/>
  <c r="S64" i="8"/>
  <c r="R65" i="8"/>
  <c r="S65" i="8" s="1"/>
  <c r="R66" i="8"/>
  <c r="S66" i="8" s="1"/>
  <c r="R67" i="8"/>
  <c r="S67" i="8"/>
  <c r="R68" i="8"/>
  <c r="S68" i="8"/>
  <c r="R69" i="8"/>
  <c r="S69" i="8" s="1"/>
  <c r="R70" i="8"/>
  <c r="S70" i="8"/>
  <c r="R71" i="8"/>
  <c r="S71" i="8" s="1"/>
  <c r="R72" i="8"/>
  <c r="S72" i="8" s="1"/>
  <c r="R73" i="8"/>
  <c r="S73" i="8"/>
  <c r="R74" i="8"/>
  <c r="S74" i="8" s="1"/>
  <c r="R75" i="8"/>
  <c r="S75" i="8"/>
  <c r="R76" i="8"/>
  <c r="S76" i="8"/>
  <c r="R77" i="8"/>
  <c r="S77" i="8"/>
  <c r="R78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R91" i="8"/>
  <c r="S91" i="8" s="1"/>
  <c r="R92" i="8"/>
  <c r="S92" i="8"/>
  <c r="R93" i="8"/>
  <c r="S93" i="8" s="1"/>
  <c r="R94" i="8"/>
  <c r="S94" i="8"/>
  <c r="R95" i="8"/>
  <c r="S95" i="8" s="1"/>
  <c r="R96" i="8"/>
  <c r="S96" i="8"/>
  <c r="R97" i="8"/>
  <c r="S97" i="8"/>
  <c r="R98" i="8"/>
  <c r="S98" i="8"/>
  <c r="R99" i="8"/>
  <c r="S99" i="8"/>
  <c r="R100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3" i="8"/>
  <c r="R145" i="8"/>
  <c r="S145" i="8" s="1"/>
  <c r="S146" i="8"/>
  <c r="S147" i="8"/>
  <c r="S148" i="8"/>
  <c r="S149" i="8"/>
  <c r="S150" i="8"/>
  <c r="S151" i="8"/>
  <c r="S152" i="8"/>
  <c r="S153" i="8"/>
  <c r="S154" i="8"/>
  <c r="S155" i="8"/>
  <c r="S156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R170" i="8"/>
  <c r="S170" i="8"/>
  <c r="R171" i="8"/>
  <c r="S171" i="8" s="1"/>
  <c r="R172" i="8"/>
  <c r="S172" i="8"/>
  <c r="S173" i="8"/>
  <c r="S175" i="8"/>
  <c r="S180" i="8"/>
  <c r="S181" i="8"/>
  <c r="S182" i="8"/>
  <c r="S183" i="8"/>
  <c r="S184" i="8"/>
  <c r="R185" i="8"/>
  <c r="S185" i="8"/>
  <c r="R186" i="8"/>
  <c r="S186" i="8"/>
  <c r="R187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R298" i="8"/>
  <c r="S298" i="8"/>
  <c r="R299" i="8"/>
  <c r="S299" i="8"/>
  <c r="R300" i="8"/>
  <c r="S300" i="8"/>
  <c r="R301" i="8"/>
  <c r="S301" i="8"/>
  <c r="R302" i="8"/>
  <c r="S302" i="8"/>
  <c r="R303" i="8"/>
  <c r="S303" i="8"/>
  <c r="R304" i="8"/>
  <c r="S304" i="8"/>
  <c r="H267" i="8"/>
  <c r="AB267" i="8" s="1"/>
  <c r="H268" i="8"/>
  <c r="AB268" i="8" s="1"/>
  <c r="H269" i="8"/>
  <c r="AB269" i="8" s="1"/>
  <c r="H270" i="8"/>
  <c r="AB270" i="8" s="1"/>
  <c r="H271" i="8"/>
  <c r="AB271" i="8" s="1"/>
  <c r="H272" i="8"/>
  <c r="AB272" i="8" s="1"/>
  <c r="H273" i="8"/>
  <c r="AB273" i="8" s="1"/>
  <c r="H274" i="8"/>
  <c r="AB274" i="8" s="1"/>
  <c r="H275" i="8"/>
  <c r="AB275" i="8" s="1"/>
  <c r="H276" i="8"/>
  <c r="AB276" i="8" s="1"/>
  <c r="H277" i="8"/>
  <c r="AB277" i="8" s="1"/>
  <c r="H278" i="8"/>
  <c r="AB278" i="8" s="1"/>
  <c r="H279" i="8"/>
  <c r="AB279" i="8" s="1"/>
  <c r="H280" i="8"/>
  <c r="AB280" i="8" s="1"/>
  <c r="H281" i="8"/>
  <c r="AB281" i="8" s="1"/>
  <c r="H282" i="8"/>
  <c r="AB282" i="8" s="1"/>
  <c r="H283" i="8"/>
  <c r="AB283" i="8" s="1"/>
  <c r="H284" i="8"/>
  <c r="AB284" i="8" s="1"/>
  <c r="H285" i="8"/>
  <c r="AB285" i="8" s="1"/>
  <c r="H286" i="8"/>
  <c r="AB286" i="8" s="1"/>
  <c r="H287" i="8"/>
  <c r="AB287" i="8" s="1"/>
  <c r="H288" i="8"/>
  <c r="AB288" i="8" s="1"/>
  <c r="H289" i="8"/>
  <c r="AB289" i="8" s="1"/>
  <c r="H290" i="8"/>
  <c r="AB290" i="8" s="1"/>
  <c r="H291" i="8"/>
  <c r="AB291" i="8" s="1"/>
  <c r="H292" i="8"/>
  <c r="AB292" i="8" s="1"/>
  <c r="H293" i="8"/>
  <c r="AB293" i="8" s="1"/>
  <c r="H294" i="8"/>
  <c r="AB294" i="8" s="1"/>
  <c r="H295" i="8"/>
  <c r="AB295" i="8" s="1"/>
  <c r="H296" i="8"/>
  <c r="AB296" i="8" s="1"/>
  <c r="H297" i="8"/>
  <c r="AB297" i="8" s="1"/>
  <c r="H298" i="8"/>
  <c r="AB298" i="8" s="1"/>
  <c r="H299" i="8"/>
  <c r="AB299" i="8" s="1"/>
  <c r="H300" i="8"/>
  <c r="AB300" i="8" s="1"/>
  <c r="H301" i="8"/>
  <c r="AB301" i="8" s="1"/>
  <c r="H302" i="8"/>
  <c r="AB302" i="8" s="1"/>
  <c r="H303" i="8"/>
  <c r="AB303" i="8" s="1"/>
  <c r="H304" i="8"/>
  <c r="AB304" i="8" s="1"/>
  <c r="E14" i="8"/>
  <c r="AO14" i="8" s="1"/>
  <c r="E35" i="8"/>
  <c r="AO35" i="8" s="1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H305" i="8"/>
  <c r="AB305" i="8" s="1"/>
  <c r="E305" i="8"/>
  <c r="E304" i="8"/>
  <c r="AO304" i="8" s="1"/>
  <c r="E303" i="8"/>
  <c r="AO303" i="8" s="1"/>
  <c r="E302" i="8"/>
  <c r="AO302" i="8" s="1"/>
  <c r="E301" i="8"/>
  <c r="AO301" i="8" s="1"/>
  <c r="E300" i="8"/>
  <c r="AO300" i="8" s="1"/>
  <c r="E299" i="8"/>
  <c r="AO299" i="8" s="1"/>
  <c r="E298" i="8"/>
  <c r="AO298" i="8" s="1"/>
  <c r="E297" i="8"/>
  <c r="AO297" i="8" s="1"/>
  <c r="E296" i="8"/>
  <c r="AO296" i="8" s="1"/>
  <c r="E295" i="8"/>
  <c r="AO295" i="8" s="1"/>
  <c r="E294" i="8"/>
  <c r="AO294" i="8" s="1"/>
  <c r="E293" i="8"/>
  <c r="AO293" i="8" s="1"/>
  <c r="E292" i="8"/>
  <c r="AO292" i="8" s="1"/>
  <c r="E291" i="8"/>
  <c r="AO291" i="8" s="1"/>
  <c r="E290" i="8"/>
  <c r="AO290" i="8" s="1"/>
  <c r="E289" i="8"/>
  <c r="AO289" i="8" s="1"/>
  <c r="E288" i="8"/>
  <c r="AO288" i="8" s="1"/>
  <c r="E287" i="8"/>
  <c r="AO287" i="8" s="1"/>
  <c r="E286" i="8"/>
  <c r="AO286" i="8" s="1"/>
  <c r="E285" i="8"/>
  <c r="AO285" i="8" s="1"/>
  <c r="E284" i="8"/>
  <c r="AO284" i="8" s="1"/>
  <c r="E283" i="8"/>
  <c r="AO283" i="8" s="1"/>
  <c r="E282" i="8"/>
  <c r="AO282" i="8" s="1"/>
  <c r="E281" i="8"/>
  <c r="AO281" i="8" s="1"/>
  <c r="E280" i="8"/>
  <c r="AO280" i="8" s="1"/>
  <c r="E279" i="8"/>
  <c r="AO279" i="8" s="1"/>
  <c r="E278" i="8"/>
  <c r="AO278" i="8" s="1"/>
  <c r="E277" i="8"/>
  <c r="AO277" i="8" s="1"/>
  <c r="E276" i="8"/>
  <c r="AO276" i="8" s="1"/>
  <c r="E275" i="8"/>
  <c r="AO275" i="8" s="1"/>
  <c r="E34" i="8"/>
  <c r="AO34" i="8" s="1"/>
  <c r="E33" i="8"/>
  <c r="AO33" i="8" s="1"/>
  <c r="D306" i="8" a="1"/>
  <c r="D306" i="8" s="1"/>
  <c r="B5" i="51" s="1"/>
  <c r="S305" i="8"/>
  <c r="B305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E74" i="36"/>
  <c r="I4" i="36" s="1"/>
  <c r="E73" i="36" a="1"/>
  <c r="E73" i="36" s="1"/>
  <c r="R305" i="8"/>
  <c r="F10" i="14"/>
  <c r="F9" i="14"/>
  <c r="F306" i="8" a="1"/>
  <c r="F306" i="8" s="1"/>
  <c r="C105" i="8"/>
  <c r="AA14" i="14"/>
  <c r="AA13" i="14"/>
  <c r="M12" i="14"/>
  <c r="AA12" i="14" s="1"/>
  <c r="M11" i="14"/>
  <c r="AA11" i="14" s="1"/>
  <c r="M10" i="14"/>
  <c r="AA10" i="14" s="1"/>
  <c r="AA9" i="14"/>
  <c r="S9" i="14"/>
  <c r="R9" i="14"/>
  <c r="Q10" i="14" s="1"/>
  <c r="C163" i="8"/>
  <c r="M240" i="8"/>
  <c r="P240" i="8"/>
  <c r="M251" i="8"/>
  <c r="P251" i="8" s="1"/>
  <c r="M261" i="8"/>
  <c r="P261" i="8" s="1"/>
  <c r="K267" i="8"/>
  <c r="P267" i="8"/>
  <c r="K268" i="8"/>
  <c r="P268" i="8"/>
  <c r="K269" i="8"/>
  <c r="K270" i="8"/>
  <c r="K271" i="8"/>
  <c r="O271" i="8"/>
  <c r="P271" i="8"/>
  <c r="K272" i="8"/>
  <c r="O272" i="8"/>
  <c r="P272" i="8"/>
  <c r="K273" i="8"/>
  <c r="M273" i="8"/>
  <c r="O273" i="8"/>
  <c r="P273" i="8"/>
  <c r="K274" i="8"/>
  <c r="M274" i="8"/>
  <c r="O274" i="8"/>
  <c r="P274" i="8"/>
  <c r="K275" i="8"/>
  <c r="M275" i="8"/>
  <c r="O275" i="8"/>
  <c r="P275" i="8"/>
  <c r="K276" i="8"/>
  <c r="M276" i="8"/>
  <c r="O276" i="8"/>
  <c r="P276" i="8"/>
  <c r="K277" i="8"/>
  <c r="M277" i="8"/>
  <c r="O277" i="8"/>
  <c r="P277" i="8"/>
  <c r="K278" i="8"/>
  <c r="M278" i="8"/>
  <c r="O278" i="8"/>
  <c r="P278" i="8"/>
  <c r="K279" i="8"/>
  <c r="M279" i="8"/>
  <c r="O279" i="8"/>
  <c r="P279" i="8"/>
  <c r="K280" i="8"/>
  <c r="M280" i="8"/>
  <c r="O280" i="8"/>
  <c r="P280" i="8"/>
  <c r="K281" i="8"/>
  <c r="M281" i="8"/>
  <c r="O281" i="8"/>
  <c r="P281" i="8"/>
  <c r="K282" i="8"/>
  <c r="M282" i="8"/>
  <c r="O282" i="8"/>
  <c r="P282" i="8"/>
  <c r="K283" i="8"/>
  <c r="M283" i="8"/>
  <c r="O283" i="8"/>
  <c r="P283" i="8"/>
  <c r="K284" i="8"/>
  <c r="M284" i="8"/>
  <c r="O284" i="8"/>
  <c r="P284" i="8"/>
  <c r="K285" i="8"/>
  <c r="M285" i="8"/>
  <c r="O285" i="8"/>
  <c r="P285" i="8"/>
  <c r="K286" i="8"/>
  <c r="M286" i="8"/>
  <c r="O286" i="8"/>
  <c r="P286" i="8"/>
  <c r="K287" i="8"/>
  <c r="M287" i="8"/>
  <c r="O287" i="8"/>
  <c r="P287" i="8"/>
  <c r="K288" i="8"/>
  <c r="M288" i="8"/>
  <c r="O288" i="8"/>
  <c r="P288" i="8"/>
  <c r="K289" i="8"/>
  <c r="M289" i="8"/>
  <c r="O289" i="8"/>
  <c r="P289" i="8"/>
  <c r="K290" i="8"/>
  <c r="M290" i="8"/>
  <c r="O290" i="8"/>
  <c r="P290" i="8"/>
  <c r="K291" i="8"/>
  <c r="M291" i="8"/>
  <c r="O291" i="8"/>
  <c r="P291" i="8"/>
  <c r="K292" i="8"/>
  <c r="M292" i="8"/>
  <c r="O292" i="8"/>
  <c r="P292" i="8"/>
  <c r="K293" i="8"/>
  <c r="M293" i="8"/>
  <c r="O293" i="8"/>
  <c r="P293" i="8"/>
  <c r="K294" i="8"/>
  <c r="M294" i="8"/>
  <c r="O294" i="8"/>
  <c r="P294" i="8"/>
  <c r="K295" i="8"/>
  <c r="M295" i="8"/>
  <c r="O295" i="8"/>
  <c r="P295" i="8"/>
  <c r="K296" i="8"/>
  <c r="M296" i="8"/>
  <c r="O296" i="8"/>
  <c r="P296" i="8"/>
  <c r="K297" i="8"/>
  <c r="M297" i="8"/>
  <c r="O297" i="8"/>
  <c r="P297" i="8"/>
  <c r="K298" i="8"/>
  <c r="M298" i="8"/>
  <c r="O298" i="8"/>
  <c r="P298" i="8"/>
  <c r="K299" i="8"/>
  <c r="M299" i="8"/>
  <c r="O299" i="8"/>
  <c r="P299" i="8"/>
  <c r="K300" i="8"/>
  <c r="M300" i="8"/>
  <c r="O300" i="8"/>
  <c r="P300" i="8"/>
  <c r="K301" i="8"/>
  <c r="M301" i="8"/>
  <c r="O301" i="8"/>
  <c r="P301" i="8"/>
  <c r="K302" i="8"/>
  <c r="M302" i="8"/>
  <c r="O302" i="8"/>
  <c r="P302" i="8"/>
  <c r="K303" i="8"/>
  <c r="M303" i="8"/>
  <c r="O303" i="8"/>
  <c r="P303" i="8"/>
  <c r="K304" i="8"/>
  <c r="M304" i="8"/>
  <c r="O304" i="8"/>
  <c r="P304" i="8"/>
  <c r="M101" i="8"/>
  <c r="P101" i="8" s="1"/>
  <c r="C164" i="8"/>
  <c r="C165" i="8"/>
  <c r="C166" i="8"/>
  <c r="C167" i="8"/>
  <c r="C168" i="8"/>
  <c r="M100" i="8"/>
  <c r="P100" i="8" s="1"/>
  <c r="Q305" i="8"/>
  <c r="C102" i="8"/>
  <c r="C103" i="8"/>
  <c r="C104" i="8"/>
  <c r="C107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H8" i="8"/>
  <c r="H9" i="8"/>
  <c r="H10" i="8"/>
  <c r="H11" i="8"/>
  <c r="O305" i="8"/>
  <c r="P305" i="8"/>
  <c r="K305" i="8"/>
  <c r="M305" i="8"/>
  <c r="T306" i="8"/>
  <c r="C64" i="8"/>
  <c r="C92" i="8"/>
  <c r="C74" i="8"/>
  <c r="C38" i="8"/>
  <c r="C55" i="8"/>
  <c r="C56" i="8"/>
  <c r="C87" i="8"/>
  <c r="C46" i="8"/>
  <c r="C66" i="8"/>
  <c r="C83" i="8"/>
  <c r="C40" i="8"/>
  <c r="C47" i="8"/>
  <c r="C39" i="8"/>
  <c r="C76" i="8"/>
  <c r="C68" i="8"/>
  <c r="C95" i="8"/>
  <c r="C94" i="8"/>
  <c r="C48" i="8"/>
  <c r="C63" i="8"/>
  <c r="C62" i="8"/>
  <c r="C31" i="8"/>
  <c r="C77" i="8"/>
  <c r="C51" i="8"/>
  <c r="C70" i="8"/>
  <c r="C100" i="8"/>
  <c r="C52" i="8"/>
  <c r="C79" i="8"/>
  <c r="C81" i="8"/>
  <c r="C73" i="8"/>
  <c r="C82" i="8"/>
  <c r="C57" i="8"/>
  <c r="C96" i="8"/>
  <c r="C42" i="8"/>
  <c r="C53" i="8"/>
  <c r="C72" i="8"/>
  <c r="C32" i="8"/>
  <c r="C50" i="8"/>
  <c r="C30" i="8"/>
  <c r="C89" i="8"/>
  <c r="C59" i="8"/>
  <c r="C44" i="8"/>
  <c r="C45" i="8"/>
  <c r="C86" i="8"/>
  <c r="C34" i="8"/>
  <c r="C54" i="8"/>
  <c r="C41" i="8"/>
  <c r="C84" i="8"/>
  <c r="C58" i="8"/>
  <c r="C49" i="8"/>
  <c r="C71" i="8"/>
  <c r="C35" i="8"/>
  <c r="C80" i="8"/>
  <c r="C43" i="8"/>
  <c r="C75" i="8"/>
  <c r="C78" i="8"/>
  <c r="C36" i="8"/>
  <c r="C69" i="8"/>
  <c r="C67" i="8"/>
  <c r="C37" i="8"/>
  <c r="C93" i="8"/>
  <c r="C99" i="8"/>
  <c r="C88" i="8"/>
  <c r="C91" i="8"/>
  <c r="C90" i="8"/>
  <c r="C60" i="8"/>
  <c r="C101" i="8"/>
  <c r="C97" i="8"/>
  <c r="C98" i="8"/>
  <c r="C85" i="8"/>
  <c r="C65" i="8"/>
  <c r="C61" i="8"/>
  <c r="M65" i="8"/>
  <c r="P65" i="8" s="1"/>
  <c r="M79" i="8"/>
  <c r="P79" i="8" s="1"/>
  <c r="M91" i="8"/>
  <c r="P91" i="8" s="1"/>
  <c r="M51" i="8"/>
  <c r="P51" i="8" s="1"/>
  <c r="AM14" i="8"/>
  <c r="AL14" i="8"/>
  <c r="AO305" i="8" l="1"/>
  <c r="H11" i="51"/>
  <c r="H10" i="51"/>
  <c r="H16" i="51"/>
  <c r="H9" i="51"/>
  <c r="H8" i="51"/>
  <c r="H15" i="51"/>
  <c r="H14" i="51"/>
  <c r="H13" i="51"/>
  <c r="H12" i="51"/>
  <c r="H7" i="51"/>
  <c r="L7" i="5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T7" i="51"/>
  <c r="T8" i="51" s="1"/>
  <c r="T9" i="51" s="1"/>
  <c r="T10" i="51" s="1"/>
  <c r="T11" i="51" s="1"/>
  <c r="T12" i="51" s="1"/>
  <c r="T13" i="51" s="1"/>
  <c r="T14" i="51" s="1"/>
  <c r="T15" i="51" s="1"/>
  <c r="T16" i="51" s="1"/>
  <c r="T17" i="51" s="1"/>
  <c r="T18" i="51" s="1"/>
  <c r="T19" i="51" s="1"/>
  <c r="T20" i="51" s="1"/>
  <c r="T21" i="51" s="1"/>
  <c r="T22" i="51" s="1"/>
  <c r="T23" i="51" s="1"/>
  <c r="T24" i="51" s="1"/>
  <c r="T25" i="51" s="1"/>
  <c r="T26" i="51" s="1"/>
  <c r="T27" i="51" s="1"/>
  <c r="T28" i="51" s="1"/>
  <c r="V300" i="8"/>
  <c r="AP300" i="8"/>
  <c r="AQ300" i="8"/>
  <c r="W300" i="8"/>
  <c r="X300" i="8"/>
  <c r="AN300" i="8" s="1"/>
  <c r="AQ293" i="8"/>
  <c r="W293" i="8"/>
  <c r="X293" i="8"/>
  <c r="AN293" i="8" s="1"/>
  <c r="AP293" i="8"/>
  <c r="V293" i="8"/>
  <c r="AQ294" i="8"/>
  <c r="W294" i="8"/>
  <c r="V294" i="8"/>
  <c r="X294" i="8"/>
  <c r="AN294" i="8" s="1"/>
  <c r="AP294" i="8"/>
  <c r="AP295" i="8"/>
  <c r="AQ295" i="8"/>
  <c r="W295" i="8"/>
  <c r="X295" i="8"/>
  <c r="AN295" i="8" s="1"/>
  <c r="V295" i="8"/>
  <c r="AP296" i="8"/>
  <c r="AQ296" i="8"/>
  <c r="W296" i="8"/>
  <c r="X296" i="8"/>
  <c r="AN296" i="8" s="1"/>
  <c r="V296" i="8"/>
  <c r="X33" i="8"/>
  <c r="AN33" i="8" s="1"/>
  <c r="V33" i="8"/>
  <c r="AP33" i="8"/>
  <c r="AQ33" i="8"/>
  <c r="W33" i="8"/>
  <c r="AP297" i="8"/>
  <c r="AQ297" i="8"/>
  <c r="W297" i="8"/>
  <c r="X297" i="8"/>
  <c r="AN297" i="8" s="1"/>
  <c r="V297" i="8"/>
  <c r="V301" i="8"/>
  <c r="AP301" i="8"/>
  <c r="AQ301" i="8"/>
  <c r="W301" i="8"/>
  <c r="X301" i="8"/>
  <c r="AN301" i="8" s="1"/>
  <c r="V278" i="8"/>
  <c r="AP278" i="8"/>
  <c r="AQ278" i="8"/>
  <c r="X278" i="8"/>
  <c r="AN278" i="8" s="1"/>
  <c r="W278" i="8"/>
  <c r="V302" i="8"/>
  <c r="AP302" i="8"/>
  <c r="AQ302" i="8"/>
  <c r="X302" i="8"/>
  <c r="AN302" i="8" s="1"/>
  <c r="W302" i="8"/>
  <c r="X280" i="8"/>
  <c r="AN280" i="8" s="1"/>
  <c r="V280" i="8"/>
  <c r="AP280" i="8"/>
  <c r="AQ280" i="8"/>
  <c r="W280" i="8"/>
  <c r="X304" i="8"/>
  <c r="AN304" i="8" s="1"/>
  <c r="V304" i="8"/>
  <c r="AP304" i="8"/>
  <c r="AQ304" i="8"/>
  <c r="W304" i="8"/>
  <c r="V276" i="8"/>
  <c r="AP276" i="8"/>
  <c r="AQ276" i="8"/>
  <c r="W276" i="8"/>
  <c r="X276" i="8"/>
  <c r="AN276" i="8" s="1"/>
  <c r="X281" i="8"/>
  <c r="AN281" i="8" s="1"/>
  <c r="V281" i="8"/>
  <c r="AP281" i="8"/>
  <c r="W281" i="8"/>
  <c r="AQ281" i="8"/>
  <c r="X285" i="8"/>
  <c r="AN285" i="8" s="1"/>
  <c r="V285" i="8"/>
  <c r="W285" i="8"/>
  <c r="AP285" i="8"/>
  <c r="AQ285" i="8"/>
  <c r="W286" i="8"/>
  <c r="X286" i="8"/>
  <c r="AN286" i="8" s="1"/>
  <c r="V286" i="8"/>
  <c r="AP286" i="8"/>
  <c r="AQ286" i="8"/>
  <c r="X34" i="8"/>
  <c r="AN34" i="8" s="1"/>
  <c r="V34" i="8"/>
  <c r="AP34" i="8"/>
  <c r="AQ34" i="8"/>
  <c r="W34" i="8"/>
  <c r="V298" i="8"/>
  <c r="AP298" i="8"/>
  <c r="AQ298" i="8"/>
  <c r="W298" i="8"/>
  <c r="X298" i="8"/>
  <c r="AN298" i="8" s="1"/>
  <c r="V299" i="8"/>
  <c r="AP299" i="8"/>
  <c r="AQ299" i="8"/>
  <c r="W299" i="8"/>
  <c r="X299" i="8"/>
  <c r="AN299" i="8" s="1"/>
  <c r="X282" i="8"/>
  <c r="AN282" i="8" s="1"/>
  <c r="V282" i="8"/>
  <c r="AP282" i="8"/>
  <c r="W282" i="8"/>
  <c r="AQ282" i="8"/>
  <c r="X283" i="8"/>
  <c r="AN283" i="8" s="1"/>
  <c r="V283" i="8"/>
  <c r="AP283" i="8"/>
  <c r="W283" i="8"/>
  <c r="AQ283" i="8"/>
  <c r="X284" i="8"/>
  <c r="AN284" i="8" s="1"/>
  <c r="V284" i="8"/>
  <c r="AP284" i="8"/>
  <c r="W284" i="8"/>
  <c r="AQ284" i="8"/>
  <c r="W287" i="8"/>
  <c r="X287" i="8"/>
  <c r="AN287" i="8" s="1"/>
  <c r="V287" i="8"/>
  <c r="AQ287" i="8"/>
  <c r="AP287" i="8"/>
  <c r="X305" i="8"/>
  <c r="AN305" i="8" s="1"/>
  <c r="V305" i="8"/>
  <c r="AP305" i="8"/>
  <c r="W305" i="8"/>
  <c r="AQ305" i="8"/>
  <c r="W288" i="8"/>
  <c r="X288" i="8"/>
  <c r="AN288" i="8" s="1"/>
  <c r="AQ288" i="8"/>
  <c r="AP288" i="8"/>
  <c r="V288" i="8"/>
  <c r="V277" i="8"/>
  <c r="AP277" i="8"/>
  <c r="AQ277" i="8"/>
  <c r="W277" i="8"/>
  <c r="X277" i="8"/>
  <c r="AN277" i="8" s="1"/>
  <c r="AQ289" i="8"/>
  <c r="W289" i="8"/>
  <c r="X289" i="8"/>
  <c r="AN289" i="8" s="1"/>
  <c r="V289" i="8"/>
  <c r="AP289" i="8"/>
  <c r="W35" i="8"/>
  <c r="X35" i="8"/>
  <c r="AN35" i="8" s="1"/>
  <c r="V35" i="8"/>
  <c r="AP35" i="8"/>
  <c r="AQ35" i="8"/>
  <c r="V275" i="8"/>
  <c r="AP275" i="8"/>
  <c r="AQ275" i="8"/>
  <c r="W275" i="8"/>
  <c r="X275" i="8"/>
  <c r="AN275" i="8" s="1"/>
  <c r="AQ290" i="8"/>
  <c r="W290" i="8"/>
  <c r="X290" i="8"/>
  <c r="AN290" i="8" s="1"/>
  <c r="AP290" i="8"/>
  <c r="V290" i="8"/>
  <c r="AQ14" i="8"/>
  <c r="W14" i="8"/>
  <c r="X14" i="8"/>
  <c r="AN14" i="8" s="1"/>
  <c r="V14" i="8"/>
  <c r="AP14" i="8"/>
  <c r="V279" i="8"/>
  <c r="AP279" i="8"/>
  <c r="AQ279" i="8"/>
  <c r="W279" i="8"/>
  <c r="X279" i="8"/>
  <c r="AN279" i="8" s="1"/>
  <c r="V303" i="8"/>
  <c r="AP303" i="8"/>
  <c r="X303" i="8"/>
  <c r="AN303" i="8" s="1"/>
  <c r="W303" i="8"/>
  <c r="AQ303" i="8"/>
  <c r="AQ291" i="8"/>
  <c r="W291" i="8"/>
  <c r="X291" i="8"/>
  <c r="AN291" i="8" s="1"/>
  <c r="AP291" i="8"/>
  <c r="V291" i="8"/>
  <c r="AQ292" i="8"/>
  <c r="W292" i="8"/>
  <c r="X292" i="8"/>
  <c r="AN292" i="8" s="1"/>
  <c r="V292" i="8"/>
  <c r="AP292" i="8"/>
  <c r="AJ293" i="8"/>
  <c r="AJ294" i="8"/>
  <c r="AJ297" i="8"/>
  <c r="AJ296" i="8"/>
  <c r="AJ300" i="8"/>
  <c r="AJ295" i="8"/>
  <c r="AJ302" i="8"/>
  <c r="AJ279" i="8"/>
  <c r="AJ303" i="8"/>
  <c r="AJ276" i="8"/>
  <c r="AJ280" i="8"/>
  <c r="AJ304" i="8"/>
  <c r="AJ298" i="8"/>
  <c r="AJ275" i="8"/>
  <c r="AJ281" i="8"/>
  <c r="AJ305" i="8"/>
  <c r="AJ284" i="8"/>
  <c r="AJ299" i="8"/>
  <c r="AJ285" i="8"/>
  <c r="AJ286" i="8"/>
  <c r="AJ278" i="8"/>
  <c r="AJ287" i="8"/>
  <c r="AJ282" i="8"/>
  <c r="AJ283" i="8"/>
  <c r="AJ288" i="8"/>
  <c r="AJ277" i="8"/>
  <c r="AJ301" i="8"/>
  <c r="AJ290" i="8"/>
  <c r="AJ289" i="8"/>
  <c r="AJ291" i="8"/>
  <c r="AJ292" i="8"/>
  <c r="J34" i="8"/>
  <c r="AM293" i="8"/>
  <c r="AL293" i="8"/>
  <c r="AM294" i="8"/>
  <c r="AL294" i="8"/>
  <c r="AM295" i="8"/>
  <c r="AL295" i="8"/>
  <c r="AM296" i="8"/>
  <c r="AL296" i="8"/>
  <c r="AM297" i="8"/>
  <c r="AL297" i="8"/>
  <c r="AM298" i="8"/>
  <c r="AL298" i="8"/>
  <c r="AM275" i="8"/>
  <c r="AL275" i="8"/>
  <c r="AM299" i="8"/>
  <c r="AL299" i="8"/>
  <c r="AM277" i="8"/>
  <c r="AL277" i="8"/>
  <c r="AM301" i="8"/>
  <c r="AL301" i="8"/>
  <c r="AM278" i="8"/>
  <c r="AL278" i="8"/>
  <c r="AM302" i="8"/>
  <c r="AL302" i="8"/>
  <c r="AL280" i="8"/>
  <c r="AM280" i="8"/>
  <c r="AL304" i="8"/>
  <c r="AM304" i="8"/>
  <c r="AM303" i="8"/>
  <c r="AL303" i="8"/>
  <c r="AL281" i="8"/>
  <c r="AM281" i="8"/>
  <c r="AL305" i="8"/>
  <c r="AM305" i="8"/>
  <c r="AL282" i="8"/>
  <c r="AM282" i="8"/>
  <c r="AL283" i="8"/>
  <c r="AM283" i="8"/>
  <c r="AL284" i="8"/>
  <c r="AM284" i="8"/>
  <c r="AL285" i="8"/>
  <c r="AM285" i="8"/>
  <c r="AL286" i="8"/>
  <c r="AM286" i="8"/>
  <c r="AM300" i="8"/>
  <c r="AL300" i="8"/>
  <c r="AL279" i="8"/>
  <c r="AM279" i="8"/>
  <c r="AL287" i="8"/>
  <c r="AM287" i="8"/>
  <c r="AL288" i="8"/>
  <c r="AM288" i="8"/>
  <c r="AL289" i="8"/>
  <c r="AM289" i="8"/>
  <c r="AM276" i="8"/>
  <c r="AL276" i="8"/>
  <c r="AL290" i="8"/>
  <c r="AM290" i="8"/>
  <c r="AL291" i="8"/>
  <c r="AM291" i="8"/>
  <c r="AM292" i="8"/>
  <c r="AL292" i="8"/>
  <c r="T9" i="14"/>
  <c r="S10" i="14" s="1"/>
  <c r="T10" i="14" s="1"/>
  <c r="S11" i="14" s="1"/>
  <c r="T11" i="14" s="1"/>
  <c r="S12" i="14" s="1"/>
  <c r="T12" i="14" s="1"/>
  <c r="S13" i="14" s="1"/>
  <c r="T13" i="14" s="1"/>
  <c r="S30" i="8"/>
  <c r="M34" i="8" s="1"/>
  <c r="P34" i="8" s="1"/>
  <c r="S28" i="8"/>
  <c r="M271" i="8"/>
  <c r="M272" i="8"/>
  <c r="M270" i="8"/>
  <c r="P270" i="8" s="1"/>
  <c r="K35" i="8"/>
  <c r="S235" i="8"/>
  <c r="S222" i="8"/>
  <c r="M216" i="8"/>
  <c r="P216" i="8" s="1"/>
  <c r="S174" i="8"/>
  <c r="S144" i="8"/>
  <c r="S142" i="8"/>
  <c r="S127" i="8"/>
  <c r="K34" i="8"/>
  <c r="M28" i="8"/>
  <c r="P28" i="8" s="1"/>
  <c r="S29" i="8"/>
  <c r="M27" i="8"/>
  <c r="P27" i="8" s="1"/>
  <c r="M26" i="8"/>
  <c r="P26" i="8" s="1"/>
  <c r="M25" i="8"/>
  <c r="P25" i="8" s="1"/>
  <c r="S20" i="8"/>
  <c r="J14" i="8"/>
  <c r="R10" i="14"/>
  <c r="Q11" i="14" s="1"/>
  <c r="J279" i="8"/>
  <c r="J292" i="8"/>
  <c r="J293" i="8"/>
  <c r="M16" i="14"/>
  <c r="J35" i="8"/>
  <c r="J287" i="8"/>
  <c r="Q9" i="14"/>
  <c r="W9" i="14" s="1"/>
  <c r="J281" i="8"/>
  <c r="J300" i="8"/>
  <c r="J275" i="8"/>
  <c r="L275" i="8" s="1"/>
  <c r="J301" i="8"/>
  <c r="J282" i="8"/>
  <c r="N282" i="8" s="1"/>
  <c r="J295" i="8"/>
  <c r="J302" i="8"/>
  <c r="J276" i="8"/>
  <c r="J296" i="8"/>
  <c r="J290" i="8"/>
  <c r="J277" i="8"/>
  <c r="J303" i="8"/>
  <c r="J284" i="8"/>
  <c r="J304" i="8"/>
  <c r="J285" i="8"/>
  <c r="J298" i="8"/>
  <c r="J291" i="8"/>
  <c r="J278" i="8"/>
  <c r="L278" i="8" s="1"/>
  <c r="J294" i="8"/>
  <c r="L294" i="8" s="1"/>
  <c r="J280" i="8"/>
  <c r="J297" i="8"/>
  <c r="J283" i="8"/>
  <c r="L283" i="8" s="1"/>
  <c r="J299" i="8"/>
  <c r="J286" i="8"/>
  <c r="L286" i="8" s="1"/>
  <c r="J288" i="8"/>
  <c r="J289" i="8"/>
  <c r="J305" i="8"/>
  <c r="S15" i="8"/>
  <c r="S14" i="8"/>
  <c r="M14" i="8"/>
  <c r="P14" i="8" s="1"/>
  <c r="M13" i="8"/>
  <c r="P13" i="8" s="1"/>
  <c r="AJ33" i="8"/>
  <c r="AJ35" i="8"/>
  <c r="AJ14" i="8"/>
  <c r="AJ13" i="8"/>
  <c r="AJ34" i="8"/>
  <c r="AT282" i="8" l="1"/>
  <c r="AR282" i="8"/>
  <c r="AS282" i="8"/>
  <c r="AR279" i="8"/>
  <c r="AT279" i="8"/>
  <c r="AS279" i="8"/>
  <c r="AS292" i="8"/>
  <c r="AT292" i="8"/>
  <c r="AR292" i="8"/>
  <c r="AR14" i="8"/>
  <c r="AT14" i="8"/>
  <c r="AS14" i="8"/>
  <c r="AT289" i="8"/>
  <c r="AS289" i="8"/>
  <c r="AR289" i="8"/>
  <c r="AS293" i="8"/>
  <c r="AR293" i="8"/>
  <c r="AT293" i="8"/>
  <c r="AT33" i="8"/>
  <c r="AS33" i="8"/>
  <c r="AR33" i="8"/>
  <c r="AS35" i="8"/>
  <c r="AT35" i="8"/>
  <c r="AR35" i="8"/>
  <c r="AT298" i="8"/>
  <c r="AS298" i="8"/>
  <c r="AR298" i="8"/>
  <c r="AS277" i="8"/>
  <c r="AT277" i="8"/>
  <c r="AR277" i="8"/>
  <c r="AR302" i="8"/>
  <c r="AT302" i="8"/>
  <c r="AS302" i="8"/>
  <c r="AS301" i="8"/>
  <c r="AT301" i="8"/>
  <c r="AR301" i="8"/>
  <c r="AT297" i="8"/>
  <c r="AS297" i="8"/>
  <c r="AR297" i="8"/>
  <c r="AR287" i="8"/>
  <c r="AS287" i="8"/>
  <c r="AT287" i="8"/>
  <c r="AS295" i="8"/>
  <c r="AR295" i="8"/>
  <c r="AT295" i="8"/>
  <c r="AR284" i="8"/>
  <c r="AS284" i="8"/>
  <c r="AT284" i="8"/>
  <c r="AS275" i="8"/>
  <c r="AT275" i="8"/>
  <c r="AR275" i="8"/>
  <c r="AS276" i="8"/>
  <c r="AT276" i="8"/>
  <c r="AR276" i="8"/>
  <c r="AT305" i="8"/>
  <c r="AR305" i="8"/>
  <c r="AS305" i="8"/>
  <c r="AS294" i="8"/>
  <c r="AR294" i="8"/>
  <c r="AT294" i="8"/>
  <c r="AS299" i="8"/>
  <c r="AT299" i="8"/>
  <c r="AR299" i="8"/>
  <c r="AS296" i="8"/>
  <c r="AR296" i="8"/>
  <c r="AT296" i="8"/>
  <c r="AS300" i="8"/>
  <c r="AT300" i="8"/>
  <c r="AR300" i="8"/>
  <c r="AT304" i="8"/>
  <c r="AR304" i="8"/>
  <c r="AS304" i="8"/>
  <c r="AT280" i="8"/>
  <c r="AR280" i="8"/>
  <c r="AS280" i="8"/>
  <c r="AT291" i="8"/>
  <c r="AS291" i="8"/>
  <c r="AR291" i="8"/>
  <c r="AT290" i="8"/>
  <c r="AS290" i="8"/>
  <c r="AR290" i="8"/>
  <c r="AT288" i="8"/>
  <c r="AS288" i="8"/>
  <c r="AR288" i="8"/>
  <c r="AT281" i="8"/>
  <c r="AR281" i="8"/>
  <c r="AS281" i="8"/>
  <c r="AR283" i="8"/>
  <c r="AS283" i="8"/>
  <c r="AT283" i="8"/>
  <c r="AT34" i="8"/>
  <c r="AS34" i="8"/>
  <c r="AR34" i="8"/>
  <c r="AR286" i="8"/>
  <c r="AS286" i="8"/>
  <c r="AT286" i="8"/>
  <c r="AR285" i="8"/>
  <c r="AS285" i="8"/>
  <c r="AT285" i="8"/>
  <c r="AR303" i="8"/>
  <c r="AT303" i="8"/>
  <c r="AS303" i="8"/>
  <c r="AR278" i="8"/>
  <c r="AT278" i="8"/>
  <c r="AS278" i="8"/>
  <c r="E36" i="8"/>
  <c r="AO36" i="8" s="1"/>
  <c r="Q34" i="8"/>
  <c r="L34" i="8"/>
  <c r="N34" i="8"/>
  <c r="O34" i="8" s="1"/>
  <c r="L35" i="8"/>
  <c r="N35" i="8"/>
  <c r="O35" i="8" s="1"/>
  <c r="Q35" i="8"/>
  <c r="J13" i="8"/>
  <c r="N13" i="8" s="1"/>
  <c r="O13" i="8" s="1"/>
  <c r="N275" i="8"/>
  <c r="K14" i="8"/>
  <c r="N14" i="8" s="1"/>
  <c r="O14" i="8" s="1"/>
  <c r="K13" i="8"/>
  <c r="H13" i="8"/>
  <c r="Q14" i="8"/>
  <c r="E15" i="8"/>
  <c r="AO15" i="8" s="1"/>
  <c r="E17" i="8"/>
  <c r="AO17" i="8" s="1"/>
  <c r="N286" i="8"/>
  <c r="N283" i="8"/>
  <c r="N278" i="8"/>
  <c r="L14" i="8"/>
  <c r="L282" i="8"/>
  <c r="N300" i="8"/>
  <c r="L300" i="8"/>
  <c r="N305" i="8"/>
  <c r="L305" i="8"/>
  <c r="N294" i="8"/>
  <c r="N289" i="8"/>
  <c r="L289" i="8"/>
  <c r="L297" i="8"/>
  <c r="N297" i="8"/>
  <c r="N281" i="8"/>
  <c r="L281" i="8"/>
  <c r="L295" i="8"/>
  <c r="N295" i="8"/>
  <c r="L288" i="8"/>
  <c r="N288" i="8"/>
  <c r="N296" i="8"/>
  <c r="L296" i="8"/>
  <c r="R11" i="14"/>
  <c r="Q12" i="14" s="1"/>
  <c r="L287" i="8"/>
  <c r="N287" i="8"/>
  <c r="W10" i="14"/>
  <c r="L276" i="8"/>
  <c r="N276" i="8"/>
  <c r="L301" i="8"/>
  <c r="N301" i="8"/>
  <c r="L304" i="8"/>
  <c r="N304" i="8"/>
  <c r="L298" i="8"/>
  <c r="N298" i="8"/>
  <c r="N303" i="8"/>
  <c r="L303" i="8"/>
  <c r="N299" i="8"/>
  <c r="L299" i="8"/>
  <c r="N284" i="8"/>
  <c r="L284" i="8"/>
  <c r="L302" i="8"/>
  <c r="N302" i="8"/>
  <c r="L292" i="8"/>
  <c r="N292" i="8"/>
  <c r="N285" i="8"/>
  <c r="L285" i="8"/>
  <c r="L277" i="8"/>
  <c r="N277" i="8"/>
  <c r="L290" i="8"/>
  <c r="N290" i="8"/>
  <c r="N280" i="8"/>
  <c r="L280" i="8"/>
  <c r="N291" i="8"/>
  <c r="L291" i="8"/>
  <c r="N293" i="8"/>
  <c r="L293" i="8"/>
  <c r="L279" i="8"/>
  <c r="N279" i="8"/>
  <c r="AL15" i="8"/>
  <c r="AJ15" i="8"/>
  <c r="AJ17" i="8"/>
  <c r="AM15" i="8"/>
  <c r="AJ36" i="8"/>
  <c r="AQ15" i="8" l="1"/>
  <c r="W15" i="8"/>
  <c r="X15" i="8"/>
  <c r="AN15" i="8" s="1"/>
  <c r="V15" i="8"/>
  <c r="AP15" i="8"/>
  <c r="AQ17" i="8"/>
  <c r="W17" i="8"/>
  <c r="X17" i="8"/>
  <c r="AN17" i="8" s="1"/>
  <c r="AP17" i="8"/>
  <c r="V17" i="8"/>
  <c r="W36" i="8"/>
  <c r="X36" i="8"/>
  <c r="AN36" i="8" s="1"/>
  <c r="V36" i="8"/>
  <c r="AP36" i="8"/>
  <c r="AQ36" i="8"/>
  <c r="I13" i="8"/>
  <c r="H14" i="8"/>
  <c r="I14" i="8" s="1"/>
  <c r="M15" i="8"/>
  <c r="P15" i="8" s="1"/>
  <c r="Q13" i="8"/>
  <c r="L13" i="8"/>
  <c r="E37" i="8"/>
  <c r="AO37" i="8" s="1"/>
  <c r="K36" i="8"/>
  <c r="J36" i="8"/>
  <c r="E16" i="8"/>
  <c r="AO16" i="8" s="1"/>
  <c r="K15" i="8"/>
  <c r="J15" i="8"/>
  <c r="R12" i="14"/>
  <c r="Q13" i="14" s="1"/>
  <c r="W11" i="14"/>
  <c r="E18" i="8"/>
  <c r="AO18" i="8" s="1"/>
  <c r="AJ37" i="8"/>
  <c r="AL16" i="8"/>
  <c r="AJ16" i="8"/>
  <c r="AJ18" i="8"/>
  <c r="AM16" i="8"/>
  <c r="AT17" i="8" l="1"/>
  <c r="AR17" i="8"/>
  <c r="AS17" i="8"/>
  <c r="AS36" i="8"/>
  <c r="AT36" i="8"/>
  <c r="AR36" i="8"/>
  <c r="AR15" i="8"/>
  <c r="AT15" i="8"/>
  <c r="AS15" i="8"/>
  <c r="W37" i="8"/>
  <c r="X37" i="8"/>
  <c r="AN37" i="8" s="1"/>
  <c r="AP37" i="8"/>
  <c r="V37" i="8"/>
  <c r="AQ37" i="8"/>
  <c r="AQ18" i="8"/>
  <c r="W18" i="8"/>
  <c r="X18" i="8"/>
  <c r="AN18" i="8" s="1"/>
  <c r="AP18" i="8"/>
  <c r="V18" i="8"/>
  <c r="AQ16" i="8"/>
  <c r="W16" i="8"/>
  <c r="X16" i="8"/>
  <c r="AN16" i="8" s="1"/>
  <c r="AP16" i="8"/>
  <c r="V16" i="8"/>
  <c r="H15" i="8"/>
  <c r="I15" i="8" s="1"/>
  <c r="M37" i="8"/>
  <c r="P37" i="8" s="1"/>
  <c r="J17" i="8"/>
  <c r="L17" i="8" s="1"/>
  <c r="W12" i="14"/>
  <c r="M17" i="8"/>
  <c r="P17" i="8" s="1"/>
  <c r="N36" i="8"/>
  <c r="O36" i="8" s="1"/>
  <c r="Q36" i="8"/>
  <c r="L36" i="8"/>
  <c r="E38" i="8"/>
  <c r="AO38" i="8" s="1"/>
  <c r="K37" i="8"/>
  <c r="J37" i="8"/>
  <c r="K17" i="8"/>
  <c r="M18" i="8"/>
  <c r="P18" i="8" s="1"/>
  <c r="K18" i="8"/>
  <c r="L15" i="8"/>
  <c r="N15" i="8"/>
  <c r="O15" i="8" s="1"/>
  <c r="Q15" i="8"/>
  <c r="K16" i="8"/>
  <c r="M16" i="8"/>
  <c r="P16" i="8" s="1"/>
  <c r="J16" i="8"/>
  <c r="J18" i="8"/>
  <c r="R13" i="14"/>
  <c r="Q14" i="14" s="1"/>
  <c r="E19" i="8"/>
  <c r="AO19" i="8" s="1"/>
  <c r="AJ19" i="8"/>
  <c r="AM17" i="8"/>
  <c r="AJ38" i="8"/>
  <c r="AL17" i="8"/>
  <c r="AS37" i="8" l="1"/>
  <c r="AT37" i="8"/>
  <c r="AR37" i="8"/>
  <c r="AT18" i="8"/>
  <c r="AR18" i="8"/>
  <c r="AS18" i="8"/>
  <c r="AT16" i="8"/>
  <c r="AR16" i="8"/>
  <c r="AS16" i="8"/>
  <c r="AQ38" i="8"/>
  <c r="W38" i="8"/>
  <c r="X38" i="8"/>
  <c r="AN38" i="8" s="1"/>
  <c r="V38" i="8"/>
  <c r="AP38" i="8"/>
  <c r="AQ19" i="8"/>
  <c r="W19" i="8"/>
  <c r="X19" i="8"/>
  <c r="AN19" i="8" s="1"/>
  <c r="AP19" i="8"/>
  <c r="V19" i="8"/>
  <c r="H16" i="8"/>
  <c r="N17" i="8"/>
  <c r="O17" i="8" s="1"/>
  <c r="M38" i="8"/>
  <c r="P38" i="8" s="1"/>
  <c r="Q18" i="8"/>
  <c r="Q17" i="8"/>
  <c r="J38" i="8"/>
  <c r="K38" i="8"/>
  <c r="L37" i="8"/>
  <c r="N37" i="8"/>
  <c r="O37" i="8" s="1"/>
  <c r="Q37" i="8"/>
  <c r="E39" i="8"/>
  <c r="AO39" i="8" s="1"/>
  <c r="M19" i="8"/>
  <c r="P19" i="8" s="1"/>
  <c r="K19" i="8"/>
  <c r="Q16" i="8"/>
  <c r="L16" i="8"/>
  <c r="N16" i="8"/>
  <c r="O16" i="8" s="1"/>
  <c r="W13" i="14"/>
  <c r="L18" i="8"/>
  <c r="N18" i="8"/>
  <c r="O18" i="8" s="1"/>
  <c r="J19" i="8"/>
  <c r="R14" i="14"/>
  <c r="Q15" i="14" s="1"/>
  <c r="R15" i="14" s="1"/>
  <c r="E20" i="8"/>
  <c r="AO20" i="8" s="1"/>
  <c r="AJ20" i="8"/>
  <c r="AL18" i="8"/>
  <c r="AJ39" i="8"/>
  <c r="AM18" i="8"/>
  <c r="I16" i="8" l="1"/>
  <c r="AB16" i="8"/>
  <c r="H17" i="8"/>
  <c r="AB17" i="8" s="1"/>
  <c r="AR38" i="8"/>
  <c r="AT38" i="8"/>
  <c r="AS38" i="8"/>
  <c r="AR19" i="8"/>
  <c r="AS19" i="8"/>
  <c r="AT19" i="8"/>
  <c r="AP20" i="8"/>
  <c r="AQ20" i="8"/>
  <c r="W20" i="8"/>
  <c r="X20" i="8"/>
  <c r="AN20" i="8" s="1"/>
  <c r="V20" i="8"/>
  <c r="AQ39" i="8"/>
  <c r="W39" i="8"/>
  <c r="X39" i="8"/>
  <c r="AN39" i="8" s="1"/>
  <c r="AP39" i="8"/>
  <c r="V39" i="8"/>
  <c r="H18" i="8"/>
  <c r="AB18" i="8" s="1"/>
  <c r="I17" i="8"/>
  <c r="M39" i="8"/>
  <c r="P39" i="8" s="1"/>
  <c r="W14" i="14"/>
  <c r="Q19" i="8"/>
  <c r="E40" i="8"/>
  <c r="AO40" i="8" s="1"/>
  <c r="K39" i="8"/>
  <c r="J39" i="8"/>
  <c r="N38" i="8"/>
  <c r="O38" i="8" s="1"/>
  <c r="L38" i="8"/>
  <c r="Q38" i="8"/>
  <c r="M20" i="8"/>
  <c r="P20" i="8" s="1"/>
  <c r="K20" i="8"/>
  <c r="J20" i="8"/>
  <c r="L19" i="8"/>
  <c r="N19" i="8"/>
  <c r="E21" i="8"/>
  <c r="AO21" i="8" s="1"/>
  <c r="AL19" i="8"/>
  <c r="AJ40" i="8"/>
  <c r="AM19" i="8"/>
  <c r="AJ21" i="8"/>
  <c r="H19" i="8" l="1"/>
  <c r="AB19" i="8" s="1"/>
  <c r="AR39" i="8"/>
  <c r="AT39" i="8"/>
  <c r="AS39" i="8"/>
  <c r="AR20" i="8"/>
  <c r="AS20" i="8"/>
  <c r="AT20" i="8"/>
  <c r="AP21" i="8"/>
  <c r="AQ21" i="8"/>
  <c r="W21" i="8"/>
  <c r="X21" i="8"/>
  <c r="AN21" i="8" s="1"/>
  <c r="V21" i="8"/>
  <c r="AQ40" i="8"/>
  <c r="W40" i="8"/>
  <c r="X40" i="8"/>
  <c r="AN40" i="8" s="1"/>
  <c r="AP40" i="8"/>
  <c r="V40" i="8"/>
  <c r="I18" i="8"/>
  <c r="H20" i="8"/>
  <c r="AB20" i="8" s="1"/>
  <c r="I19" i="8"/>
  <c r="M40" i="8"/>
  <c r="P40" i="8" s="1"/>
  <c r="K21" i="8"/>
  <c r="M21" i="8"/>
  <c r="P21" i="8" s="1"/>
  <c r="Q39" i="8"/>
  <c r="N39" i="8"/>
  <c r="O39" i="8" s="1"/>
  <c r="L39" i="8"/>
  <c r="J40" i="8"/>
  <c r="K40" i="8"/>
  <c r="E41" i="8"/>
  <c r="AO41" i="8" s="1"/>
  <c r="Q20" i="8"/>
  <c r="O19" i="8"/>
  <c r="L20" i="8"/>
  <c r="N20" i="8"/>
  <c r="O20" i="8" s="1"/>
  <c r="J21" i="8"/>
  <c r="E22" i="8"/>
  <c r="AO22" i="8" s="1"/>
  <c r="AM20" i="8"/>
  <c r="AL20" i="8"/>
  <c r="AJ41" i="8"/>
  <c r="AJ22" i="8"/>
  <c r="AT40" i="8" l="1"/>
  <c r="AR40" i="8"/>
  <c r="AS40" i="8"/>
  <c r="AR21" i="8"/>
  <c r="AS21" i="8"/>
  <c r="AT21" i="8"/>
  <c r="AP22" i="8"/>
  <c r="AQ22" i="8"/>
  <c r="W22" i="8"/>
  <c r="X22" i="8"/>
  <c r="AN22" i="8" s="1"/>
  <c r="V22" i="8"/>
  <c r="AQ41" i="8"/>
  <c r="W41" i="8"/>
  <c r="X41" i="8"/>
  <c r="AN41" i="8" s="1"/>
  <c r="AP41" i="8"/>
  <c r="V41" i="8"/>
  <c r="H21" i="8"/>
  <c r="AB21" i="8" s="1"/>
  <c r="I20" i="8"/>
  <c r="M41" i="8"/>
  <c r="P41" i="8" s="1"/>
  <c r="Q21" i="8"/>
  <c r="J41" i="8"/>
  <c r="K41" i="8"/>
  <c r="E42" i="8"/>
  <c r="AO42" i="8" s="1"/>
  <c r="L40" i="8"/>
  <c r="Q40" i="8"/>
  <c r="N40" i="8"/>
  <c r="O40" i="8" s="1"/>
  <c r="M22" i="8"/>
  <c r="P22" i="8" s="1"/>
  <c r="K22" i="8"/>
  <c r="J22" i="8"/>
  <c r="N21" i="8"/>
  <c r="L21" i="8"/>
  <c r="E23" i="8"/>
  <c r="AO23" i="8" s="1"/>
  <c r="AM21" i="8"/>
  <c r="AL21" i="8"/>
  <c r="AJ42" i="8"/>
  <c r="AJ23" i="8"/>
  <c r="AT41" i="8" l="1"/>
  <c r="AR41" i="8"/>
  <c r="AS41" i="8"/>
  <c r="AR22" i="8"/>
  <c r="AS22" i="8"/>
  <c r="AT22" i="8"/>
  <c r="AQ42" i="8"/>
  <c r="W42" i="8"/>
  <c r="X42" i="8"/>
  <c r="AN42" i="8" s="1"/>
  <c r="AP42" i="8"/>
  <c r="V42" i="8"/>
  <c r="V23" i="8"/>
  <c r="AP23" i="8"/>
  <c r="AQ23" i="8"/>
  <c r="W23" i="8"/>
  <c r="X23" i="8"/>
  <c r="AN23" i="8" s="1"/>
  <c r="H22" i="8"/>
  <c r="AB22" i="8" s="1"/>
  <c r="I21" i="8"/>
  <c r="M42" i="8"/>
  <c r="P42" i="8" s="1"/>
  <c r="K42" i="8"/>
  <c r="J42" i="8"/>
  <c r="Q41" i="8"/>
  <c r="N41" i="8"/>
  <c r="O41" i="8" s="1"/>
  <c r="L41" i="8"/>
  <c r="E43" i="8"/>
  <c r="AO43" i="8" s="1"/>
  <c r="M23" i="8"/>
  <c r="P23" i="8" s="1"/>
  <c r="K23" i="8"/>
  <c r="Q22" i="8"/>
  <c r="O21" i="8"/>
  <c r="J23" i="8"/>
  <c r="N22" i="8"/>
  <c r="L22" i="8"/>
  <c r="E24" i="8"/>
  <c r="AO24" i="8" s="1"/>
  <c r="AL22" i="8"/>
  <c r="AM22" i="8"/>
  <c r="AJ24" i="8"/>
  <c r="AJ43" i="8"/>
  <c r="AT42" i="8" l="1"/>
  <c r="AR42" i="8"/>
  <c r="AS42" i="8"/>
  <c r="AR23" i="8"/>
  <c r="AS23" i="8"/>
  <c r="AT23" i="8"/>
  <c r="V24" i="8"/>
  <c r="AP24" i="8"/>
  <c r="AQ24" i="8"/>
  <c r="W24" i="8"/>
  <c r="X24" i="8"/>
  <c r="AN24" i="8" s="1"/>
  <c r="AQ43" i="8"/>
  <c r="W43" i="8"/>
  <c r="X43" i="8"/>
  <c r="AN43" i="8" s="1"/>
  <c r="AP43" i="8"/>
  <c r="V43" i="8"/>
  <c r="H23" i="8"/>
  <c r="AB23" i="8" s="1"/>
  <c r="I22" i="8"/>
  <c r="M43" i="8"/>
  <c r="P43" i="8" s="1"/>
  <c r="J43" i="8"/>
  <c r="K43" i="8"/>
  <c r="E44" i="8"/>
  <c r="AO44" i="8" s="1"/>
  <c r="L42" i="8"/>
  <c r="Q42" i="8"/>
  <c r="N42" i="8"/>
  <c r="O42" i="8" s="1"/>
  <c r="Q23" i="8"/>
  <c r="M24" i="8"/>
  <c r="P24" i="8" s="1"/>
  <c r="K24" i="8"/>
  <c r="O22" i="8"/>
  <c r="J24" i="8"/>
  <c r="L23" i="8"/>
  <c r="N23" i="8"/>
  <c r="E25" i="8"/>
  <c r="AO25" i="8" s="1"/>
  <c r="AL23" i="8"/>
  <c r="AJ25" i="8"/>
  <c r="AJ44" i="8"/>
  <c r="AM23" i="8"/>
  <c r="AR43" i="8" l="1"/>
  <c r="AS43" i="8"/>
  <c r="AT43" i="8"/>
  <c r="AT24" i="8"/>
  <c r="AR24" i="8"/>
  <c r="AS24" i="8"/>
  <c r="V25" i="8"/>
  <c r="AP25" i="8"/>
  <c r="AQ25" i="8"/>
  <c r="W25" i="8"/>
  <c r="X25" i="8"/>
  <c r="AN25" i="8" s="1"/>
  <c r="AP44" i="8"/>
  <c r="AQ44" i="8"/>
  <c r="W44" i="8"/>
  <c r="X44" i="8"/>
  <c r="AN44" i="8" s="1"/>
  <c r="V44" i="8"/>
  <c r="H24" i="8"/>
  <c r="AB24" i="8" s="1"/>
  <c r="I23" i="8"/>
  <c r="K25" i="8"/>
  <c r="Q24" i="8"/>
  <c r="L24" i="8"/>
  <c r="K44" i="8"/>
  <c r="M44" i="8"/>
  <c r="P44" i="8" s="1"/>
  <c r="J44" i="8"/>
  <c r="Q43" i="8"/>
  <c r="N43" i="8"/>
  <c r="O43" i="8" s="1"/>
  <c r="L43" i="8"/>
  <c r="E45" i="8"/>
  <c r="AO45" i="8" s="1"/>
  <c r="O23" i="8"/>
  <c r="J25" i="8"/>
  <c r="N24" i="8"/>
  <c r="E26" i="8"/>
  <c r="AO26" i="8" s="1"/>
  <c r="AJ45" i="8"/>
  <c r="AM24" i="8"/>
  <c r="AJ26" i="8"/>
  <c r="AL24" i="8"/>
  <c r="AT25" i="8" l="1"/>
  <c r="AR25" i="8"/>
  <c r="AS25" i="8"/>
  <c r="AR44" i="8"/>
  <c r="AS44" i="8"/>
  <c r="AT44" i="8"/>
  <c r="V26" i="8"/>
  <c r="AP26" i="8"/>
  <c r="AQ26" i="8"/>
  <c r="W26" i="8"/>
  <c r="X26" i="8"/>
  <c r="AN26" i="8" s="1"/>
  <c r="AP45" i="8"/>
  <c r="AQ45" i="8"/>
  <c r="W45" i="8"/>
  <c r="X45" i="8"/>
  <c r="AN45" i="8" s="1"/>
  <c r="V45" i="8"/>
  <c r="H25" i="8"/>
  <c r="AB25" i="8" s="1"/>
  <c r="I24" i="8"/>
  <c r="K26" i="8"/>
  <c r="Q25" i="8"/>
  <c r="L25" i="8"/>
  <c r="Q44" i="8"/>
  <c r="N44" i="8"/>
  <c r="O44" i="8" s="1"/>
  <c r="L44" i="8"/>
  <c r="E46" i="8"/>
  <c r="AO46" i="8" s="1"/>
  <c r="J45" i="8"/>
  <c r="K45" i="8"/>
  <c r="M45" i="8"/>
  <c r="P45" i="8" s="1"/>
  <c r="O24" i="8"/>
  <c r="J26" i="8"/>
  <c r="N25" i="8"/>
  <c r="E27" i="8"/>
  <c r="AO27" i="8" s="1"/>
  <c r="AL25" i="8"/>
  <c r="AJ27" i="8"/>
  <c r="AM25" i="8"/>
  <c r="AJ46" i="8"/>
  <c r="AT26" i="8" l="1"/>
  <c r="AS26" i="8"/>
  <c r="AR26" i="8"/>
  <c r="AR45" i="8"/>
  <c r="AS45" i="8"/>
  <c r="AT45" i="8"/>
  <c r="V27" i="8"/>
  <c r="AP27" i="8"/>
  <c r="AQ27" i="8"/>
  <c r="W27" i="8"/>
  <c r="X27" i="8"/>
  <c r="AN27" i="8" s="1"/>
  <c r="AP46" i="8"/>
  <c r="AQ46" i="8"/>
  <c r="W46" i="8"/>
  <c r="X46" i="8"/>
  <c r="AN46" i="8" s="1"/>
  <c r="V46" i="8"/>
  <c r="H26" i="8"/>
  <c r="AB26" i="8" s="1"/>
  <c r="I25" i="8"/>
  <c r="K27" i="8"/>
  <c r="M46" i="8"/>
  <c r="P46" i="8" s="1"/>
  <c r="Q26" i="8"/>
  <c r="L26" i="8"/>
  <c r="Q45" i="8"/>
  <c r="N45" i="8"/>
  <c r="O45" i="8" s="1"/>
  <c r="L45" i="8"/>
  <c r="E47" i="8"/>
  <c r="AO47" i="8" s="1"/>
  <c r="K46" i="8"/>
  <c r="J46" i="8"/>
  <c r="O25" i="8"/>
  <c r="N26" i="8"/>
  <c r="J27" i="8"/>
  <c r="E28" i="8"/>
  <c r="AO28" i="8" s="1"/>
  <c r="C28" i="8"/>
  <c r="AJ28" i="8"/>
  <c r="AL26" i="8"/>
  <c r="AM26" i="8"/>
  <c r="AJ47" i="8"/>
  <c r="AR46" i="8" l="1"/>
  <c r="AS46" i="8"/>
  <c r="AT46" i="8"/>
  <c r="AT27" i="8"/>
  <c r="AR27" i="8"/>
  <c r="AS27" i="8"/>
  <c r="V28" i="8"/>
  <c r="AP28" i="8"/>
  <c r="W28" i="8"/>
  <c r="X28" i="8"/>
  <c r="AN28" i="8" s="1"/>
  <c r="AQ28" i="8"/>
  <c r="V47" i="8"/>
  <c r="AP47" i="8"/>
  <c r="AQ47" i="8"/>
  <c r="W47" i="8"/>
  <c r="X47" i="8"/>
  <c r="AN47" i="8" s="1"/>
  <c r="H27" i="8"/>
  <c r="AB27" i="8" s="1"/>
  <c r="I26" i="8"/>
  <c r="K28" i="8"/>
  <c r="E48" i="8"/>
  <c r="AO48" i="8" s="1"/>
  <c r="N46" i="8"/>
  <c r="O46" i="8" s="1"/>
  <c r="L46" i="8"/>
  <c r="Q46" i="8"/>
  <c r="J47" i="8"/>
  <c r="K47" i="8"/>
  <c r="M47" i="8"/>
  <c r="P47" i="8" s="1"/>
  <c r="Q27" i="8"/>
  <c r="L27" i="8"/>
  <c r="O26" i="8"/>
  <c r="J28" i="8"/>
  <c r="N27" i="8"/>
  <c r="C29" i="8"/>
  <c r="AL27" i="8"/>
  <c r="AM27" i="8"/>
  <c r="AJ48" i="8"/>
  <c r="AS28" i="8" l="1"/>
  <c r="AT28" i="8"/>
  <c r="AR28" i="8"/>
  <c r="AR47" i="8"/>
  <c r="AS47" i="8"/>
  <c r="AT47" i="8"/>
  <c r="V48" i="8"/>
  <c r="AP48" i="8"/>
  <c r="AQ48" i="8"/>
  <c r="W48" i="8"/>
  <c r="X48" i="8"/>
  <c r="AN48" i="8" s="1"/>
  <c r="H28" i="8"/>
  <c r="AB28" i="8" s="1"/>
  <c r="I27" i="8"/>
  <c r="L47" i="8"/>
  <c r="Q47" i="8"/>
  <c r="N47" i="8"/>
  <c r="O47" i="8" s="1"/>
  <c r="M48" i="8"/>
  <c r="P48" i="8" s="1"/>
  <c r="K48" i="8"/>
  <c r="J48" i="8"/>
  <c r="E49" i="8"/>
  <c r="AO49" i="8" s="1"/>
  <c r="Q28" i="8"/>
  <c r="L28" i="8"/>
  <c r="E29" i="8"/>
  <c r="AO29" i="8" s="1"/>
  <c r="O27" i="8"/>
  <c r="E30" i="8"/>
  <c r="AO30" i="8" s="1"/>
  <c r="N28" i="8"/>
  <c r="C306" i="8"/>
  <c r="AM28" i="8"/>
  <c r="AJ30" i="8"/>
  <c r="AL28" i="8"/>
  <c r="AJ49" i="8"/>
  <c r="AT48" i="8" l="1"/>
  <c r="AR48" i="8"/>
  <c r="AS48" i="8"/>
  <c r="X29" i="8"/>
  <c r="AN29" i="8" s="1"/>
  <c r="V29" i="8"/>
  <c r="AP29" i="8"/>
  <c r="AQ29" i="8"/>
  <c r="W29" i="8"/>
  <c r="V49" i="8"/>
  <c r="AP49" i="8"/>
  <c r="AQ49" i="8"/>
  <c r="W49" i="8"/>
  <c r="X49" i="8"/>
  <c r="AN49" i="8" s="1"/>
  <c r="X30" i="8"/>
  <c r="AN30" i="8" s="1"/>
  <c r="V30" i="8"/>
  <c r="AP30" i="8"/>
  <c r="AQ30" i="8"/>
  <c r="W30" i="8"/>
  <c r="H29" i="8"/>
  <c r="AB29" i="8" s="1"/>
  <c r="I28" i="8"/>
  <c r="M30" i="8"/>
  <c r="P30" i="8" s="1"/>
  <c r="K29" i="8"/>
  <c r="M29" i="8"/>
  <c r="P29" i="8" s="1"/>
  <c r="E50" i="8"/>
  <c r="AO50" i="8" s="1"/>
  <c r="J49" i="8"/>
  <c r="M49" i="8"/>
  <c r="P49" i="8" s="1"/>
  <c r="K49" i="8"/>
  <c r="L48" i="8"/>
  <c r="Q48" i="8"/>
  <c r="N48" i="8"/>
  <c r="O48" i="8" s="1"/>
  <c r="J29" i="8"/>
  <c r="K30" i="8"/>
  <c r="O28" i="8"/>
  <c r="E31" i="8"/>
  <c r="AO31" i="8" s="1"/>
  <c r="J30" i="8"/>
  <c r="AJ31" i="8"/>
  <c r="AJ29" i="8"/>
  <c r="AM29" i="8"/>
  <c r="AL29" i="8"/>
  <c r="AJ50" i="8"/>
  <c r="AS30" i="8" l="1"/>
  <c r="AR30" i="8"/>
  <c r="AT30" i="8"/>
  <c r="AS29" i="8"/>
  <c r="AR29" i="8"/>
  <c r="AT29" i="8"/>
  <c r="AT49" i="8"/>
  <c r="AS49" i="8"/>
  <c r="AR49" i="8"/>
  <c r="X31" i="8"/>
  <c r="AN31" i="8" s="1"/>
  <c r="V31" i="8"/>
  <c r="AP31" i="8"/>
  <c r="AQ31" i="8"/>
  <c r="W31" i="8"/>
  <c r="V50" i="8"/>
  <c r="AP50" i="8"/>
  <c r="AQ50" i="8"/>
  <c r="W50" i="8"/>
  <c r="X50" i="8"/>
  <c r="AN50" i="8" s="1"/>
  <c r="H30" i="8"/>
  <c r="AB30" i="8" s="1"/>
  <c r="I29" i="8"/>
  <c r="N29" i="8"/>
  <c r="O29" i="8" s="1"/>
  <c r="K31" i="8"/>
  <c r="M31" i="8"/>
  <c r="P31" i="8" s="1"/>
  <c r="N49" i="8"/>
  <c r="O49" i="8" s="1"/>
  <c r="Q49" i="8"/>
  <c r="L49" i="8"/>
  <c r="E51" i="8"/>
  <c r="AO51" i="8" s="1"/>
  <c r="J50" i="8"/>
  <c r="K50" i="8"/>
  <c r="M50" i="8"/>
  <c r="P50" i="8" s="1"/>
  <c r="Q30" i="8"/>
  <c r="N30" i="8"/>
  <c r="O30" i="8" s="1"/>
  <c r="L30" i="8"/>
  <c r="Q29" i="8"/>
  <c r="L29" i="8"/>
  <c r="J31" i="8"/>
  <c r="E32" i="8"/>
  <c r="AO32" i="8" s="1"/>
  <c r="AL30" i="8"/>
  <c r="AJ51" i="8"/>
  <c r="AM30" i="8"/>
  <c r="AJ32" i="8"/>
  <c r="AS31" i="8" l="1"/>
  <c r="AR31" i="8"/>
  <c r="AT31" i="8"/>
  <c r="AT50" i="8"/>
  <c r="AS50" i="8"/>
  <c r="AR50" i="8"/>
  <c r="X32" i="8"/>
  <c r="AN32" i="8" s="1"/>
  <c r="V32" i="8"/>
  <c r="AP32" i="8"/>
  <c r="AQ32" i="8"/>
  <c r="W32" i="8"/>
  <c r="V51" i="8"/>
  <c r="AP51" i="8"/>
  <c r="AQ51" i="8"/>
  <c r="X51" i="8"/>
  <c r="AN51" i="8" s="1"/>
  <c r="W51" i="8"/>
  <c r="J33" i="8"/>
  <c r="L33" i="8" s="1"/>
  <c r="H31" i="8"/>
  <c r="AB31" i="8" s="1"/>
  <c r="I30" i="8"/>
  <c r="K33" i="8"/>
  <c r="M33" i="8"/>
  <c r="P33" i="8" s="1"/>
  <c r="M32" i="8"/>
  <c r="P32" i="8" s="1"/>
  <c r="Q50" i="8"/>
  <c r="N50" i="8"/>
  <c r="O50" i="8" s="1"/>
  <c r="L50" i="8"/>
  <c r="E52" i="8"/>
  <c r="AO52" i="8" s="1"/>
  <c r="K51" i="8"/>
  <c r="J51" i="8"/>
  <c r="N31" i="8"/>
  <c r="O31" i="8" s="1"/>
  <c r="L31" i="8"/>
  <c r="Q31" i="8"/>
  <c r="K32" i="8"/>
  <c r="J32" i="8"/>
  <c r="AL31" i="8"/>
  <c r="AM31" i="8"/>
  <c r="AJ52" i="8"/>
  <c r="AS32" i="8" l="1"/>
  <c r="AR32" i="8"/>
  <c r="AT32" i="8"/>
  <c r="AT51" i="8"/>
  <c r="AS51" i="8"/>
  <c r="AR51" i="8"/>
  <c r="V52" i="8"/>
  <c r="AP52" i="8"/>
  <c r="X52" i="8"/>
  <c r="AN52" i="8" s="1"/>
  <c r="AQ52" i="8"/>
  <c r="W52" i="8"/>
  <c r="H32" i="8"/>
  <c r="AB32" i="8" s="1"/>
  <c r="I31" i="8"/>
  <c r="M52" i="8"/>
  <c r="P52" i="8" s="1"/>
  <c r="K52" i="8"/>
  <c r="J52" i="8"/>
  <c r="N51" i="8"/>
  <c r="O51" i="8" s="1"/>
  <c r="L51" i="8"/>
  <c r="Q51" i="8"/>
  <c r="E53" i="8"/>
  <c r="AO53" i="8" s="1"/>
  <c r="Q33" i="8"/>
  <c r="N33" i="8"/>
  <c r="O33" i="8" s="1"/>
  <c r="L32" i="8"/>
  <c r="Q32" i="8"/>
  <c r="N32" i="8"/>
  <c r="O32" i="8" s="1"/>
  <c r="AM32" i="8"/>
  <c r="AM33" i="8"/>
  <c r="AJ53" i="8"/>
  <c r="AL32" i="8"/>
  <c r="AL33" i="8" s="1"/>
  <c r="AS52" i="8" l="1"/>
  <c r="AT52" i="8"/>
  <c r="AR52" i="8"/>
  <c r="X53" i="8"/>
  <c r="AN53" i="8" s="1"/>
  <c r="V53" i="8"/>
  <c r="AP53" i="8"/>
  <c r="AQ53" i="8"/>
  <c r="W53" i="8"/>
  <c r="H33" i="8"/>
  <c r="AB33" i="8" s="1"/>
  <c r="I32" i="8"/>
  <c r="J53" i="8"/>
  <c r="M53" i="8"/>
  <c r="P53" i="8" s="1"/>
  <c r="K53" i="8"/>
  <c r="Q52" i="8"/>
  <c r="L52" i="8"/>
  <c r="N52" i="8"/>
  <c r="O52" i="8" s="1"/>
  <c r="E54" i="8"/>
  <c r="AO54" i="8" s="1"/>
  <c r="AL34" i="8"/>
  <c r="AM34" i="8"/>
  <c r="AL35" i="8"/>
  <c r="AJ54" i="8"/>
  <c r="AS53" i="8" l="1"/>
  <c r="AR53" i="8"/>
  <c r="AT53" i="8"/>
  <c r="X54" i="8"/>
  <c r="AN54" i="8" s="1"/>
  <c r="V54" i="8"/>
  <c r="AP54" i="8"/>
  <c r="W54" i="8"/>
  <c r="AQ54" i="8"/>
  <c r="I33" i="8"/>
  <c r="H34" i="8"/>
  <c r="AB34" i="8" s="1"/>
  <c r="M183" i="8"/>
  <c r="P183" i="8" s="1"/>
  <c r="E55" i="8"/>
  <c r="AO55" i="8" s="1"/>
  <c r="J54" i="8"/>
  <c r="M54" i="8"/>
  <c r="P54" i="8" s="1"/>
  <c r="K54" i="8"/>
  <c r="N53" i="8"/>
  <c r="O53" i="8" s="1"/>
  <c r="L53" i="8"/>
  <c r="Q53" i="8"/>
  <c r="AJ55" i="8"/>
  <c r="AL36" i="8"/>
  <c r="AM35" i="8"/>
  <c r="AS54" i="8" l="1"/>
  <c r="AR54" i="8"/>
  <c r="AT54" i="8"/>
  <c r="X55" i="8"/>
  <c r="AN55" i="8" s="1"/>
  <c r="V55" i="8"/>
  <c r="AP55" i="8"/>
  <c r="W55" i="8"/>
  <c r="AQ55" i="8"/>
  <c r="H35" i="8"/>
  <c r="AB35" i="8" s="1"/>
  <c r="I34" i="8"/>
  <c r="M184" i="8"/>
  <c r="P184" i="8" s="1"/>
  <c r="K55" i="8"/>
  <c r="M55" i="8"/>
  <c r="P55" i="8" s="1"/>
  <c r="J55" i="8"/>
  <c r="N54" i="8"/>
  <c r="O54" i="8" s="1"/>
  <c r="Q54" i="8"/>
  <c r="L54" i="8"/>
  <c r="E56" i="8"/>
  <c r="AO56" i="8" s="1"/>
  <c r="AJ56" i="8"/>
  <c r="AM36" i="8"/>
  <c r="AM37" i="8"/>
  <c r="AL37" i="8"/>
  <c r="AS55" i="8" l="1"/>
  <c r="AR55" i="8"/>
  <c r="AT55" i="8"/>
  <c r="X56" i="8"/>
  <c r="AN56" i="8" s="1"/>
  <c r="V56" i="8"/>
  <c r="AP56" i="8"/>
  <c r="W56" i="8"/>
  <c r="AQ56" i="8"/>
  <c r="I35" i="8"/>
  <c r="H36" i="8"/>
  <c r="AB36" i="8" s="1"/>
  <c r="M56" i="8"/>
  <c r="P56" i="8" s="1"/>
  <c r="K56" i="8"/>
  <c r="J56" i="8"/>
  <c r="E57" i="8"/>
  <c r="AO57" i="8" s="1"/>
  <c r="B58" i="8"/>
  <c r="N55" i="8"/>
  <c r="O55" i="8" s="1"/>
  <c r="Q55" i="8"/>
  <c r="L55" i="8"/>
  <c r="AL38" i="8"/>
  <c r="AJ57" i="8"/>
  <c r="AM38" i="8"/>
  <c r="AS56" i="8" l="1"/>
  <c r="AR56" i="8"/>
  <c r="AT56" i="8"/>
  <c r="X57" i="8"/>
  <c r="AN57" i="8" s="1"/>
  <c r="V57" i="8"/>
  <c r="AP57" i="8"/>
  <c r="W57" i="8"/>
  <c r="AQ57" i="8"/>
  <c r="I36" i="8"/>
  <c r="H37" i="8"/>
  <c r="AB37" i="8" s="1"/>
  <c r="K57" i="8"/>
  <c r="J57" i="8"/>
  <c r="M57" i="8"/>
  <c r="P57" i="8" s="1"/>
  <c r="B59" i="8"/>
  <c r="E58" i="8"/>
  <c r="AO58" i="8" s="1"/>
  <c r="Q56" i="8"/>
  <c r="L56" i="8"/>
  <c r="N56" i="8"/>
  <c r="O56" i="8" s="1"/>
  <c r="AJ58" i="8"/>
  <c r="AM39" i="8"/>
  <c r="AM40" i="8"/>
  <c r="AL39" i="8"/>
  <c r="AT57" i="8" l="1"/>
  <c r="AS57" i="8"/>
  <c r="AR57" i="8"/>
  <c r="X58" i="8"/>
  <c r="AN58" i="8" s="1"/>
  <c r="V58" i="8"/>
  <c r="W58" i="8"/>
  <c r="AP58" i="8"/>
  <c r="AQ58" i="8"/>
  <c r="I37" i="8"/>
  <c r="H38" i="8"/>
  <c r="AB38" i="8" s="1"/>
  <c r="K187" i="8"/>
  <c r="E59" i="8"/>
  <c r="AO59" i="8" s="1"/>
  <c r="B60" i="8"/>
  <c r="Q57" i="8"/>
  <c r="L57" i="8"/>
  <c r="N57" i="8"/>
  <c r="O57" i="8" s="1"/>
  <c r="K58" i="8"/>
  <c r="M58" i="8"/>
  <c r="P58" i="8" s="1"/>
  <c r="J58" i="8"/>
  <c r="AM41" i="8"/>
  <c r="AL40" i="8"/>
  <c r="AJ59" i="8"/>
  <c r="AT58" i="8" l="1"/>
  <c r="AS58" i="8"/>
  <c r="AR58" i="8"/>
  <c r="W59" i="8"/>
  <c r="X59" i="8"/>
  <c r="AN59" i="8" s="1"/>
  <c r="V59" i="8"/>
  <c r="AP59" i="8"/>
  <c r="AQ59" i="8"/>
  <c r="I38" i="8"/>
  <c r="H39" i="8"/>
  <c r="AB39" i="8" s="1"/>
  <c r="K188" i="8"/>
  <c r="N58" i="8"/>
  <c r="O58" i="8" s="1"/>
  <c r="L58" i="8"/>
  <c r="Q58" i="8"/>
  <c r="B61" i="8"/>
  <c r="E60" i="8"/>
  <c r="AO60" i="8" s="1"/>
  <c r="M59" i="8"/>
  <c r="P59" i="8" s="1"/>
  <c r="K59" i="8"/>
  <c r="J59" i="8"/>
  <c r="AM42" i="8"/>
  <c r="AL41" i="8"/>
  <c r="AJ60" i="8"/>
  <c r="AS59" i="8" l="1"/>
  <c r="AT59" i="8"/>
  <c r="AR59" i="8"/>
  <c r="W60" i="8"/>
  <c r="X60" i="8"/>
  <c r="AN60" i="8" s="1"/>
  <c r="V60" i="8"/>
  <c r="AQ60" i="8"/>
  <c r="AP60" i="8"/>
  <c r="I39" i="8"/>
  <c r="H40" i="8"/>
  <c r="AB40" i="8" s="1"/>
  <c r="K189" i="8"/>
  <c r="Q59" i="8"/>
  <c r="L59" i="8"/>
  <c r="N59" i="8"/>
  <c r="O59" i="8" s="1"/>
  <c r="K60" i="8"/>
  <c r="M60" i="8"/>
  <c r="P60" i="8" s="1"/>
  <c r="J60" i="8"/>
  <c r="B62" i="8"/>
  <c r="E61" i="8"/>
  <c r="AO61" i="8" s="1"/>
  <c r="AJ61" i="8"/>
  <c r="AM43" i="8"/>
  <c r="AL42" i="8"/>
  <c r="AS60" i="8" l="1"/>
  <c r="AT60" i="8"/>
  <c r="AR60" i="8"/>
  <c r="W61" i="8"/>
  <c r="X61" i="8"/>
  <c r="AN61" i="8" s="1"/>
  <c r="AQ61" i="8"/>
  <c r="AP61" i="8"/>
  <c r="V61" i="8"/>
  <c r="I40" i="8"/>
  <c r="H41" i="8"/>
  <c r="AB41" i="8" s="1"/>
  <c r="K190" i="8"/>
  <c r="K61" i="8"/>
  <c r="M61" i="8"/>
  <c r="P61" i="8" s="1"/>
  <c r="J61" i="8"/>
  <c r="B63" i="8"/>
  <c r="E62" i="8"/>
  <c r="AO62" i="8" s="1"/>
  <c r="Q60" i="8"/>
  <c r="L60" i="8"/>
  <c r="N60" i="8"/>
  <c r="O60" i="8" s="1"/>
  <c r="AM44" i="8"/>
  <c r="AL43" i="8"/>
  <c r="AJ62" i="8"/>
  <c r="AS61" i="8" l="1"/>
  <c r="AT61" i="8"/>
  <c r="AR61" i="8"/>
  <c r="AQ62" i="8"/>
  <c r="W62" i="8"/>
  <c r="X62" i="8"/>
  <c r="AN62" i="8" s="1"/>
  <c r="V62" i="8"/>
  <c r="AP62" i="8"/>
  <c r="I41" i="8"/>
  <c r="H42" i="8"/>
  <c r="AB42" i="8" s="1"/>
  <c r="K191" i="8"/>
  <c r="K62" i="8"/>
  <c r="M62" i="8"/>
  <c r="P62" i="8" s="1"/>
  <c r="J62" i="8"/>
  <c r="E63" i="8"/>
  <c r="AO63" i="8" s="1"/>
  <c r="B64" i="8"/>
  <c r="N61" i="8"/>
  <c r="O61" i="8" s="1"/>
  <c r="L61" i="8"/>
  <c r="Q61" i="8"/>
  <c r="AM45" i="8"/>
  <c r="AL44" i="8"/>
  <c r="AJ63" i="8"/>
  <c r="AR62" i="8" l="1"/>
  <c r="AT62" i="8"/>
  <c r="AS62" i="8"/>
  <c r="AQ63" i="8"/>
  <c r="W63" i="8"/>
  <c r="X63" i="8"/>
  <c r="AN63" i="8" s="1"/>
  <c r="V63" i="8"/>
  <c r="AP63" i="8"/>
  <c r="I42" i="8"/>
  <c r="H43" i="8"/>
  <c r="AB43" i="8" s="1"/>
  <c r="K192" i="8"/>
  <c r="M192" i="8"/>
  <c r="P192" i="8" s="1"/>
  <c r="K63" i="8"/>
  <c r="M63" i="8"/>
  <c r="P63" i="8" s="1"/>
  <c r="J63" i="8"/>
  <c r="N62" i="8"/>
  <c r="O62" i="8" s="1"/>
  <c r="L62" i="8"/>
  <c r="Q62" i="8"/>
  <c r="B65" i="8"/>
  <c r="E64" i="8"/>
  <c r="AO64" i="8" s="1"/>
  <c r="AM46" i="8"/>
  <c r="AL45" i="8"/>
  <c r="AJ64" i="8"/>
  <c r="AR63" i="8" l="1"/>
  <c r="AT63" i="8"/>
  <c r="AS63" i="8"/>
  <c r="AQ64" i="8"/>
  <c r="W64" i="8"/>
  <c r="X64" i="8"/>
  <c r="AN64" i="8" s="1"/>
  <c r="AP64" i="8"/>
  <c r="V64" i="8"/>
  <c r="I43" i="8"/>
  <c r="H44" i="8"/>
  <c r="AB44" i="8" s="1"/>
  <c r="K193" i="8"/>
  <c r="M193" i="8"/>
  <c r="P193" i="8" s="1"/>
  <c r="K64" i="8"/>
  <c r="J64" i="8"/>
  <c r="M64" i="8"/>
  <c r="P64" i="8" s="1"/>
  <c r="L63" i="8"/>
  <c r="N63" i="8"/>
  <c r="O63" i="8" s="1"/>
  <c r="Q63" i="8"/>
  <c r="B66" i="8"/>
  <c r="E65" i="8"/>
  <c r="AO65" i="8" s="1"/>
  <c r="AJ65" i="8"/>
  <c r="AL46" i="8"/>
  <c r="AM47" i="8"/>
  <c r="AT64" i="8" l="1"/>
  <c r="AR64" i="8"/>
  <c r="AS64" i="8"/>
  <c r="AQ65" i="8"/>
  <c r="W65" i="8"/>
  <c r="X65" i="8"/>
  <c r="AN65" i="8" s="1"/>
  <c r="V65" i="8"/>
  <c r="AP65" i="8"/>
  <c r="I44" i="8"/>
  <c r="H45" i="8"/>
  <c r="AB45" i="8" s="1"/>
  <c r="K194" i="8"/>
  <c r="M194" i="8"/>
  <c r="P194" i="8" s="1"/>
  <c r="E66" i="8"/>
  <c r="AO66" i="8" s="1"/>
  <c r="B67" i="8"/>
  <c r="L64" i="8"/>
  <c r="N64" i="8"/>
  <c r="O64" i="8" s="1"/>
  <c r="Q64" i="8"/>
  <c r="J65" i="8"/>
  <c r="K65" i="8"/>
  <c r="AJ66" i="8"/>
  <c r="AL47" i="8"/>
  <c r="AM48" i="8"/>
  <c r="AT65" i="8" l="1"/>
  <c r="AR65" i="8"/>
  <c r="AS65" i="8"/>
  <c r="AQ66" i="8"/>
  <c r="W66" i="8"/>
  <c r="X66" i="8"/>
  <c r="AN66" i="8" s="1"/>
  <c r="V66" i="8"/>
  <c r="AP66" i="8"/>
  <c r="I45" i="8"/>
  <c r="H46" i="8"/>
  <c r="AB46" i="8" s="1"/>
  <c r="M66" i="8"/>
  <c r="P66" i="8" s="1"/>
  <c r="K195" i="8"/>
  <c r="M195" i="8"/>
  <c r="P195" i="8" s="1"/>
  <c r="Q65" i="8"/>
  <c r="N65" i="8"/>
  <c r="O65" i="8" s="1"/>
  <c r="L65" i="8"/>
  <c r="B68" i="8"/>
  <c r="E67" i="8"/>
  <c r="AO67" i="8" s="1"/>
  <c r="K66" i="8"/>
  <c r="J66" i="8"/>
  <c r="AL48" i="8"/>
  <c r="AJ67" i="8"/>
  <c r="AM49" i="8"/>
  <c r="AT66" i="8" l="1"/>
  <c r="AR66" i="8"/>
  <c r="AS66" i="8"/>
  <c r="AQ67" i="8"/>
  <c r="W67" i="8"/>
  <c r="X67" i="8"/>
  <c r="AN67" i="8" s="1"/>
  <c r="V67" i="8"/>
  <c r="AP67" i="8"/>
  <c r="I46" i="8"/>
  <c r="H47" i="8"/>
  <c r="AB47" i="8" s="1"/>
  <c r="K196" i="8"/>
  <c r="M196" i="8"/>
  <c r="P196" i="8" s="1"/>
  <c r="B198" i="8"/>
  <c r="Q66" i="8"/>
  <c r="N66" i="8"/>
  <c r="O66" i="8" s="1"/>
  <c r="L66" i="8"/>
  <c r="J67" i="8"/>
  <c r="M67" i="8"/>
  <c r="P67" i="8" s="1"/>
  <c r="K67" i="8"/>
  <c r="B69" i="8"/>
  <c r="E68" i="8"/>
  <c r="AO68" i="8" s="1"/>
  <c r="AM50" i="8"/>
  <c r="AL49" i="8"/>
  <c r="AJ68" i="8"/>
  <c r="AR67" i="8" l="1"/>
  <c r="AS67" i="8"/>
  <c r="AT67" i="8"/>
  <c r="AP68" i="8"/>
  <c r="AQ68" i="8"/>
  <c r="W68" i="8"/>
  <c r="X68" i="8"/>
  <c r="AN68" i="8" s="1"/>
  <c r="V68" i="8"/>
  <c r="I47" i="8"/>
  <c r="H48" i="8"/>
  <c r="AB48" i="8" s="1"/>
  <c r="K197" i="8"/>
  <c r="M197" i="8"/>
  <c r="P197" i="8" s="1"/>
  <c r="B199" i="8"/>
  <c r="E198" i="8"/>
  <c r="K68" i="8"/>
  <c r="M68" i="8"/>
  <c r="P68" i="8" s="1"/>
  <c r="J68" i="8"/>
  <c r="B70" i="8"/>
  <c r="E69" i="8"/>
  <c r="AO69" i="8" s="1"/>
  <c r="N67" i="8"/>
  <c r="O67" i="8" s="1"/>
  <c r="Q67" i="8"/>
  <c r="L67" i="8"/>
  <c r="AL50" i="8"/>
  <c r="AJ69" i="8"/>
  <c r="AM51" i="8"/>
  <c r="AR68" i="8" l="1"/>
  <c r="AS68" i="8"/>
  <c r="AT68" i="8"/>
  <c r="AP69" i="8"/>
  <c r="AQ69" i="8"/>
  <c r="W69" i="8"/>
  <c r="X69" i="8"/>
  <c r="AN69" i="8" s="1"/>
  <c r="V69" i="8"/>
  <c r="I48" i="8"/>
  <c r="H49" i="8"/>
  <c r="AB49" i="8" s="1"/>
  <c r="K198" i="8"/>
  <c r="M198" i="8"/>
  <c r="P198" i="8" s="1"/>
  <c r="J198" i="8"/>
  <c r="E199" i="8"/>
  <c r="B200" i="8"/>
  <c r="K69" i="8"/>
  <c r="M69" i="8"/>
  <c r="P69" i="8" s="1"/>
  <c r="J69" i="8"/>
  <c r="B71" i="8"/>
  <c r="E70" i="8"/>
  <c r="AO70" i="8" s="1"/>
  <c r="Q68" i="8"/>
  <c r="L68" i="8"/>
  <c r="N68" i="8"/>
  <c r="O68" i="8" s="1"/>
  <c r="AM52" i="8"/>
  <c r="AL51" i="8"/>
  <c r="AJ70" i="8"/>
  <c r="AJ198" i="8"/>
  <c r="AR69" i="8" l="1"/>
  <c r="AS69" i="8"/>
  <c r="AT69" i="8"/>
  <c r="AP70" i="8"/>
  <c r="AQ70" i="8"/>
  <c r="W70" i="8"/>
  <c r="V70" i="8"/>
  <c r="X70" i="8"/>
  <c r="AN70" i="8" s="1"/>
  <c r="I49" i="8"/>
  <c r="H50" i="8"/>
  <c r="AB50" i="8" s="1"/>
  <c r="K199" i="8"/>
  <c r="M199" i="8"/>
  <c r="P199" i="8" s="1"/>
  <c r="Q198" i="8"/>
  <c r="B201" i="8"/>
  <c r="E200" i="8"/>
  <c r="J199" i="8"/>
  <c r="Q199" i="8" s="1"/>
  <c r="L198" i="8"/>
  <c r="N198" i="8"/>
  <c r="K70" i="8"/>
  <c r="J70" i="8"/>
  <c r="M70" i="8"/>
  <c r="P70" i="8" s="1"/>
  <c r="B72" i="8"/>
  <c r="E71" i="8"/>
  <c r="AO71" i="8" s="1"/>
  <c r="Q69" i="8"/>
  <c r="N69" i="8"/>
  <c r="O69" i="8" s="1"/>
  <c r="L69" i="8"/>
  <c r="AJ71" i="8"/>
  <c r="AJ199" i="8"/>
  <c r="W199" i="8" s="1"/>
  <c r="AL52" i="8"/>
  <c r="W198" i="8"/>
  <c r="AM53" i="8"/>
  <c r="X198" i="8"/>
  <c r="AN198" i="8" l="1"/>
  <c r="AR70" i="8"/>
  <c r="AS70" i="8"/>
  <c r="AT70" i="8"/>
  <c r="V71" i="8"/>
  <c r="AP71" i="8"/>
  <c r="AQ71" i="8"/>
  <c r="W71" i="8"/>
  <c r="X71" i="8"/>
  <c r="AN71" i="8" s="1"/>
  <c r="I50" i="8"/>
  <c r="H51" i="8"/>
  <c r="AB51" i="8" s="1"/>
  <c r="E72" i="8"/>
  <c r="AO72" i="8" s="1"/>
  <c r="B73" i="8"/>
  <c r="K200" i="8"/>
  <c r="M200" i="8"/>
  <c r="P200" i="8" s="1"/>
  <c r="O198" i="8"/>
  <c r="L199" i="8"/>
  <c r="N199" i="8"/>
  <c r="J200" i="8"/>
  <c r="B202" i="8"/>
  <c r="E201" i="8"/>
  <c r="K71" i="8"/>
  <c r="M71" i="8"/>
  <c r="P71" i="8" s="1"/>
  <c r="J71" i="8"/>
  <c r="Q70" i="8"/>
  <c r="L70" i="8"/>
  <c r="N70" i="8"/>
  <c r="O70" i="8" s="1"/>
  <c r="AM54" i="8"/>
  <c r="X199" i="8"/>
  <c r="AJ200" i="8"/>
  <c r="AJ72" i="8"/>
  <c r="AL53" i="8"/>
  <c r="X200" i="8"/>
  <c r="AN199" i="8" l="1"/>
  <c r="AN200" i="8"/>
  <c r="AR71" i="8"/>
  <c r="AS71" i="8"/>
  <c r="AT71" i="8"/>
  <c r="V72" i="8"/>
  <c r="AP72" i="8"/>
  <c r="AQ72" i="8"/>
  <c r="W72" i="8"/>
  <c r="X72" i="8"/>
  <c r="AN72" i="8" s="1"/>
  <c r="I51" i="8"/>
  <c r="H52" i="8"/>
  <c r="AB52" i="8" s="1"/>
  <c r="M72" i="8"/>
  <c r="P72" i="8" s="1"/>
  <c r="J72" i="8"/>
  <c r="L72" i="8" s="1"/>
  <c r="K72" i="8"/>
  <c r="B74" i="8"/>
  <c r="E73" i="8"/>
  <c r="AO73" i="8" s="1"/>
  <c r="K201" i="8"/>
  <c r="M201" i="8"/>
  <c r="P201" i="8" s="1"/>
  <c r="Q200" i="8"/>
  <c r="O199" i="8"/>
  <c r="J201" i="8"/>
  <c r="Q201" i="8" s="1"/>
  <c r="N200" i="8"/>
  <c r="L200" i="8"/>
  <c r="B203" i="8"/>
  <c r="E202" i="8"/>
  <c r="Q71" i="8"/>
  <c r="N71" i="8"/>
  <c r="O71" i="8" s="1"/>
  <c r="L71" i="8"/>
  <c r="AM55" i="8"/>
  <c r="AJ73" i="8"/>
  <c r="W200" i="8"/>
  <c r="AL54" i="8"/>
  <c r="AJ201" i="8"/>
  <c r="X201" i="8"/>
  <c r="AN201" i="8" l="1"/>
  <c r="AT72" i="8"/>
  <c r="AR72" i="8"/>
  <c r="AS72" i="8"/>
  <c r="V73" i="8"/>
  <c r="AP73" i="8"/>
  <c r="AQ73" i="8"/>
  <c r="W73" i="8"/>
  <c r="X73" i="8"/>
  <c r="AN73" i="8" s="1"/>
  <c r="I52" i="8"/>
  <c r="H53" i="8"/>
  <c r="AB53" i="8" s="1"/>
  <c r="Q72" i="8"/>
  <c r="N72" i="8"/>
  <c r="O72" i="8" s="1"/>
  <c r="M73" i="8"/>
  <c r="P73" i="8" s="1"/>
  <c r="J73" i="8"/>
  <c r="K73" i="8"/>
  <c r="B75" i="8"/>
  <c r="E74" i="8"/>
  <c r="AO74" i="8" s="1"/>
  <c r="K202" i="8"/>
  <c r="M202" i="8"/>
  <c r="P202" i="8" s="1"/>
  <c r="O200" i="8"/>
  <c r="L201" i="8"/>
  <c r="N201" i="8"/>
  <c r="B204" i="8"/>
  <c r="E203" i="8"/>
  <c r="J202" i="8"/>
  <c r="AM56" i="8"/>
  <c r="AL55" i="8"/>
  <c r="AJ74" i="8"/>
  <c r="W201" i="8"/>
  <c r="AJ202" i="8"/>
  <c r="X202" i="8" s="1"/>
  <c r="AN202" i="8" l="1"/>
  <c r="O201" i="8"/>
  <c r="AT73" i="8"/>
  <c r="AS73" i="8"/>
  <c r="AR73" i="8"/>
  <c r="V74" i="8"/>
  <c r="AP74" i="8"/>
  <c r="AQ74" i="8"/>
  <c r="W74" i="8"/>
  <c r="X74" i="8"/>
  <c r="AN74" i="8" s="1"/>
  <c r="I53" i="8"/>
  <c r="H54" i="8"/>
  <c r="AB54" i="8" s="1"/>
  <c r="L73" i="8"/>
  <c r="N73" i="8"/>
  <c r="O73" i="8" s="1"/>
  <c r="Q73" i="8"/>
  <c r="E75" i="8"/>
  <c r="AO75" i="8" s="1"/>
  <c r="B76" i="8"/>
  <c r="M74" i="8"/>
  <c r="P74" i="8" s="1"/>
  <c r="K74" i="8"/>
  <c r="J74" i="8"/>
  <c r="Q202" i="8"/>
  <c r="K203" i="8"/>
  <c r="M203" i="8"/>
  <c r="P203" i="8" s="1"/>
  <c r="L202" i="8"/>
  <c r="N202" i="8"/>
  <c r="O202" i="8" s="1"/>
  <c r="J203" i="8"/>
  <c r="B205" i="8"/>
  <c r="E204" i="8"/>
  <c r="AJ75" i="8"/>
  <c r="AL56" i="8"/>
  <c r="AM57" i="8"/>
  <c r="AJ203" i="8"/>
  <c r="W202" i="8"/>
  <c r="AT74" i="8" l="1"/>
  <c r="AS74" i="8"/>
  <c r="AR74" i="8"/>
  <c r="V75" i="8"/>
  <c r="AP75" i="8"/>
  <c r="AQ75" i="8"/>
  <c r="X75" i="8"/>
  <c r="AN75" i="8" s="1"/>
  <c r="W75" i="8"/>
  <c r="I54" i="8"/>
  <c r="H55" i="8"/>
  <c r="AB55" i="8" s="1"/>
  <c r="Q74" i="8"/>
  <c r="N74" i="8"/>
  <c r="O74" i="8" s="1"/>
  <c r="L74" i="8"/>
  <c r="E76" i="8"/>
  <c r="AO76" i="8" s="1"/>
  <c r="B77" i="8"/>
  <c r="K75" i="8"/>
  <c r="M75" i="8"/>
  <c r="P75" i="8" s="1"/>
  <c r="J75" i="8"/>
  <c r="K204" i="8"/>
  <c r="M204" i="8"/>
  <c r="P204" i="8" s="1"/>
  <c r="Q203" i="8"/>
  <c r="E205" i="8"/>
  <c r="B206" i="8"/>
  <c r="L203" i="8"/>
  <c r="N203" i="8"/>
  <c r="O203" i="8" s="1"/>
  <c r="J204" i="8"/>
  <c r="Q204" i="8" s="1"/>
  <c r="AJ204" i="8"/>
  <c r="AM58" i="8"/>
  <c r="X203" i="8"/>
  <c r="W203" i="8"/>
  <c r="AL57" i="8"/>
  <c r="AJ76" i="8"/>
  <c r="AN203" i="8" l="1"/>
  <c r="AT75" i="8"/>
  <c r="AS75" i="8"/>
  <c r="AR75" i="8"/>
  <c r="V76" i="8"/>
  <c r="AP76" i="8"/>
  <c r="W76" i="8"/>
  <c r="X76" i="8"/>
  <c r="AN76" i="8" s="1"/>
  <c r="AQ76" i="8"/>
  <c r="I55" i="8"/>
  <c r="H56" i="8"/>
  <c r="AB56" i="8" s="1"/>
  <c r="Q75" i="8"/>
  <c r="L75" i="8"/>
  <c r="N75" i="8"/>
  <c r="O75" i="8" s="1"/>
  <c r="B78" i="8"/>
  <c r="E77" i="8"/>
  <c r="AO77" i="8" s="1"/>
  <c r="K76" i="8"/>
  <c r="M76" i="8"/>
  <c r="P76" i="8" s="1"/>
  <c r="J76" i="8"/>
  <c r="K205" i="8"/>
  <c r="M205" i="8"/>
  <c r="P205" i="8" s="1"/>
  <c r="E206" i="8"/>
  <c r="B207" i="8"/>
  <c r="L204" i="8"/>
  <c r="N204" i="8"/>
  <c r="O204" i="8" s="1"/>
  <c r="J205" i="8"/>
  <c r="Q205" i="8" s="1"/>
  <c r="AJ205" i="8"/>
  <c r="AL58" i="8"/>
  <c r="W205" i="8"/>
  <c r="AM59" i="8"/>
  <c r="AJ77" i="8"/>
  <c r="X205" i="8"/>
  <c r="W204" i="8"/>
  <c r="X204" i="8"/>
  <c r="AN204" i="8" l="1"/>
  <c r="AN205" i="8"/>
  <c r="AS76" i="8"/>
  <c r="AT76" i="8"/>
  <c r="AR76" i="8"/>
  <c r="X77" i="8"/>
  <c r="AN77" i="8" s="1"/>
  <c r="V77" i="8"/>
  <c r="AP77" i="8"/>
  <c r="AQ77" i="8"/>
  <c r="W77" i="8"/>
  <c r="I56" i="8"/>
  <c r="H57" i="8"/>
  <c r="AB57" i="8" s="1"/>
  <c r="E78" i="8"/>
  <c r="AO78" i="8" s="1"/>
  <c r="B79" i="8"/>
  <c r="Q76" i="8"/>
  <c r="L76" i="8"/>
  <c r="N76" i="8"/>
  <c r="O76" i="8" s="1"/>
  <c r="J77" i="8"/>
  <c r="K77" i="8"/>
  <c r="M77" i="8"/>
  <c r="P77" i="8" s="1"/>
  <c r="K206" i="8"/>
  <c r="M206" i="8"/>
  <c r="P206" i="8" s="1"/>
  <c r="L205" i="8"/>
  <c r="N205" i="8"/>
  <c r="E207" i="8"/>
  <c r="B208" i="8"/>
  <c r="J206" i="8"/>
  <c r="Q206" i="8" s="1"/>
  <c r="AM60" i="8"/>
  <c r="AL59" i="8"/>
  <c r="AJ206" i="8"/>
  <c r="AJ78" i="8"/>
  <c r="AS77" i="8" l="1"/>
  <c r="AR77" i="8"/>
  <c r="AT77" i="8"/>
  <c r="X78" i="8"/>
  <c r="AN78" i="8" s="1"/>
  <c r="V78" i="8"/>
  <c r="AP78" i="8"/>
  <c r="W78" i="8"/>
  <c r="AQ78" i="8"/>
  <c r="K78" i="8"/>
  <c r="I57" i="8"/>
  <c r="H58" i="8"/>
  <c r="AB58" i="8" s="1"/>
  <c r="B80" i="8"/>
  <c r="E79" i="8"/>
  <c r="AO79" i="8" s="1"/>
  <c r="L77" i="8"/>
  <c r="N77" i="8"/>
  <c r="O77" i="8" s="1"/>
  <c r="Q77" i="8"/>
  <c r="M78" i="8"/>
  <c r="P78" i="8" s="1"/>
  <c r="J78" i="8"/>
  <c r="K207" i="8"/>
  <c r="M207" i="8"/>
  <c r="P207" i="8" s="1"/>
  <c r="O205" i="8"/>
  <c r="N206" i="8"/>
  <c r="L206" i="8"/>
  <c r="B209" i="8"/>
  <c r="E208" i="8"/>
  <c r="J207" i="8"/>
  <c r="Q207" i="8" s="1"/>
  <c r="M80" i="8"/>
  <c r="P80" i="8" s="1"/>
  <c r="AL60" i="8"/>
  <c r="X206" i="8"/>
  <c r="AM61" i="8"/>
  <c r="AJ79" i="8"/>
  <c r="AJ207" i="8"/>
  <c r="W206" i="8"/>
  <c r="AN206" i="8" l="1"/>
  <c r="Q78" i="8"/>
  <c r="AS78" i="8"/>
  <c r="AR78" i="8"/>
  <c r="AT78" i="8"/>
  <c r="X79" i="8"/>
  <c r="AN79" i="8" s="1"/>
  <c r="V79" i="8"/>
  <c r="AP79" i="8"/>
  <c r="W79" i="8"/>
  <c r="AQ79" i="8"/>
  <c r="K79" i="8"/>
  <c r="I58" i="8"/>
  <c r="H59" i="8"/>
  <c r="AB59" i="8" s="1"/>
  <c r="N78" i="8"/>
  <c r="L78" i="8"/>
  <c r="J79" i="8"/>
  <c r="E80" i="8"/>
  <c r="AO80" i="8" s="1"/>
  <c r="B81" i="8"/>
  <c r="K208" i="8"/>
  <c r="M208" i="8"/>
  <c r="P208" i="8" s="1"/>
  <c r="O206" i="8"/>
  <c r="L207" i="8"/>
  <c r="N207" i="8"/>
  <c r="O207" i="8" s="1"/>
  <c r="J208" i="8"/>
  <c r="Q208" i="8" s="1"/>
  <c r="B210" i="8"/>
  <c r="E209" i="8"/>
  <c r="M81" i="8"/>
  <c r="P81" i="8" s="1"/>
  <c r="AJ208" i="8"/>
  <c r="AL61" i="8"/>
  <c r="W207" i="8"/>
  <c r="AM62" i="8"/>
  <c r="X207" i="8"/>
  <c r="AJ80" i="8"/>
  <c r="X208" i="8"/>
  <c r="AN207" i="8" l="1"/>
  <c r="AN208" i="8"/>
  <c r="AS79" i="8"/>
  <c r="AR79" i="8"/>
  <c r="AT79" i="8"/>
  <c r="X80" i="8"/>
  <c r="AN80" i="8" s="1"/>
  <c r="V80" i="8"/>
  <c r="AP80" i="8"/>
  <c r="AQ80" i="8"/>
  <c r="W80" i="8"/>
  <c r="I59" i="8"/>
  <c r="H60" i="8"/>
  <c r="AB60" i="8" s="1"/>
  <c r="K80" i="8"/>
  <c r="O78" i="8"/>
  <c r="Q79" i="8"/>
  <c r="N79" i="8"/>
  <c r="L79" i="8"/>
  <c r="B82" i="8"/>
  <c r="E81" i="8"/>
  <c r="AO81" i="8" s="1"/>
  <c r="J80" i="8"/>
  <c r="Q80" i="8" s="1"/>
  <c r="K209" i="8"/>
  <c r="M209" i="8"/>
  <c r="P209" i="8" s="1"/>
  <c r="J209" i="8"/>
  <c r="E210" i="8"/>
  <c r="B211" i="8"/>
  <c r="L208" i="8"/>
  <c r="N208" i="8"/>
  <c r="O208" i="8" s="1"/>
  <c r="M82" i="8"/>
  <c r="P82" i="8" s="1"/>
  <c r="AL62" i="8"/>
  <c r="AM63" i="8"/>
  <c r="AJ81" i="8"/>
  <c r="W208" i="8"/>
  <c r="AJ209" i="8"/>
  <c r="AS80" i="8" l="1"/>
  <c r="AR80" i="8"/>
  <c r="AT80" i="8"/>
  <c r="X81" i="8"/>
  <c r="AN81" i="8" s="1"/>
  <c r="V81" i="8"/>
  <c r="AP81" i="8"/>
  <c r="W81" i="8"/>
  <c r="AQ81" i="8"/>
  <c r="K81" i="8"/>
  <c r="I60" i="8"/>
  <c r="H61" i="8"/>
  <c r="AB61" i="8" s="1"/>
  <c r="O79" i="8"/>
  <c r="L80" i="8"/>
  <c r="N80" i="8"/>
  <c r="J81" i="8"/>
  <c r="Q81" i="8" s="1"/>
  <c r="E82" i="8"/>
  <c r="AO82" i="8" s="1"/>
  <c r="B83" i="8"/>
  <c r="Q209" i="8"/>
  <c r="K210" i="8"/>
  <c r="M210" i="8"/>
  <c r="P210" i="8" s="1"/>
  <c r="E211" i="8"/>
  <c r="B212" i="8"/>
  <c r="N209" i="8"/>
  <c r="L209" i="8"/>
  <c r="J210" i="8"/>
  <c r="Q210" i="8" s="1"/>
  <c r="AJ82" i="8"/>
  <c r="AJ210" i="8"/>
  <c r="W209" i="8"/>
  <c r="AM64" i="8"/>
  <c r="AL63" i="8"/>
  <c r="X209" i="8"/>
  <c r="AN209" i="8" l="1"/>
  <c r="AT81" i="8"/>
  <c r="AS81" i="8"/>
  <c r="AR81" i="8"/>
  <c r="X82" i="8"/>
  <c r="AN82" i="8" s="1"/>
  <c r="V82" i="8"/>
  <c r="W82" i="8"/>
  <c r="AQ82" i="8"/>
  <c r="AP82" i="8"/>
  <c r="K82" i="8"/>
  <c r="I61" i="8"/>
  <c r="H62" i="8"/>
  <c r="AB62" i="8" s="1"/>
  <c r="E83" i="8"/>
  <c r="AO83" i="8" s="1"/>
  <c r="B84" i="8"/>
  <c r="O80" i="8"/>
  <c r="J82" i="8"/>
  <c r="Q82" i="8" s="1"/>
  <c r="L81" i="8"/>
  <c r="N81" i="8"/>
  <c r="O81" i="8" s="1"/>
  <c r="K211" i="8"/>
  <c r="M211" i="8"/>
  <c r="P211" i="8" s="1"/>
  <c r="O209" i="8"/>
  <c r="L210" i="8"/>
  <c r="N210" i="8"/>
  <c r="O210" i="8" s="1"/>
  <c r="E212" i="8"/>
  <c r="B213" i="8"/>
  <c r="J211" i="8"/>
  <c r="Q211" i="8" s="1"/>
  <c r="AL64" i="8"/>
  <c r="AM65" i="8"/>
  <c r="W210" i="8"/>
  <c r="AJ83" i="8"/>
  <c r="X210" i="8"/>
  <c r="AJ211" i="8"/>
  <c r="W211" i="8" s="1"/>
  <c r="AN210" i="8" l="1"/>
  <c r="AT82" i="8"/>
  <c r="AS82" i="8"/>
  <c r="AR82" i="8"/>
  <c r="W83" i="8"/>
  <c r="X83" i="8"/>
  <c r="AN83" i="8" s="1"/>
  <c r="V83" i="8"/>
  <c r="AP83" i="8"/>
  <c r="AQ83" i="8"/>
  <c r="I62" i="8"/>
  <c r="H63" i="8"/>
  <c r="AB63" i="8" s="1"/>
  <c r="J83" i="8"/>
  <c r="K83" i="8"/>
  <c r="M83" i="8"/>
  <c r="P83" i="8" s="1"/>
  <c r="B85" i="8"/>
  <c r="E84" i="8"/>
  <c r="AO84" i="8" s="1"/>
  <c r="L82" i="8"/>
  <c r="N82" i="8"/>
  <c r="O82" i="8" s="1"/>
  <c r="K212" i="8"/>
  <c r="M212" i="8"/>
  <c r="P212" i="8" s="1"/>
  <c r="E213" i="8"/>
  <c r="B214" i="8"/>
  <c r="L211" i="8"/>
  <c r="N211" i="8"/>
  <c r="O211" i="8" s="1"/>
  <c r="J212" i="8"/>
  <c r="Q212" i="8" s="1"/>
  <c r="AJ212" i="8"/>
  <c r="AJ84" i="8"/>
  <c r="X211" i="8"/>
  <c r="AM66" i="8"/>
  <c r="AL65" i="8"/>
  <c r="AN211" i="8" l="1"/>
  <c r="AS83" i="8"/>
  <c r="AT83" i="8"/>
  <c r="AR83" i="8"/>
  <c r="W84" i="8"/>
  <c r="X84" i="8"/>
  <c r="AN84" i="8" s="1"/>
  <c r="V84" i="8"/>
  <c r="AQ84" i="8"/>
  <c r="AP84" i="8"/>
  <c r="Q83" i="8"/>
  <c r="L83" i="8"/>
  <c r="N83" i="8"/>
  <c r="O83" i="8" s="1"/>
  <c r="K84" i="8"/>
  <c r="M84" i="8"/>
  <c r="P84" i="8" s="1"/>
  <c r="I63" i="8"/>
  <c r="H64" i="8"/>
  <c r="AB64" i="8" s="1"/>
  <c r="J84" i="8"/>
  <c r="B86" i="8"/>
  <c r="E85" i="8"/>
  <c r="AO85" i="8" s="1"/>
  <c r="K213" i="8"/>
  <c r="M213" i="8"/>
  <c r="P213" i="8" s="1"/>
  <c r="L212" i="8"/>
  <c r="N212" i="8"/>
  <c r="O212" i="8" s="1"/>
  <c r="B215" i="8"/>
  <c r="E214" i="8"/>
  <c r="J213" i="8"/>
  <c r="Q213" i="8" s="1"/>
  <c r="W212" i="8"/>
  <c r="AJ85" i="8"/>
  <c r="AL66" i="8"/>
  <c r="X212" i="8"/>
  <c r="AM67" i="8"/>
  <c r="AJ213" i="8"/>
  <c r="AN212" i="8" l="1"/>
  <c r="AS84" i="8"/>
  <c r="AT84" i="8"/>
  <c r="AR84" i="8"/>
  <c r="W85" i="8"/>
  <c r="X85" i="8"/>
  <c r="AN85" i="8" s="1"/>
  <c r="V85" i="8"/>
  <c r="AQ85" i="8"/>
  <c r="AP85" i="8"/>
  <c r="Q84" i="8"/>
  <c r="M85" i="8"/>
  <c r="P85" i="8" s="1"/>
  <c r="K85" i="8"/>
  <c r="I64" i="8"/>
  <c r="H65" i="8"/>
  <c r="AB65" i="8" s="1"/>
  <c r="B87" i="8"/>
  <c r="E86" i="8"/>
  <c r="AO86" i="8" s="1"/>
  <c r="J85" i="8"/>
  <c r="L84" i="8"/>
  <c r="N84" i="8"/>
  <c r="O84" i="8" s="1"/>
  <c r="K214" i="8"/>
  <c r="M214" i="8"/>
  <c r="P214" i="8" s="1"/>
  <c r="N213" i="8"/>
  <c r="L213" i="8"/>
  <c r="J214" i="8"/>
  <c r="Q214" i="8" s="1"/>
  <c r="E215" i="8"/>
  <c r="B216" i="8"/>
  <c r="AM68" i="8"/>
  <c r="AJ86" i="8"/>
  <c r="AJ214" i="8"/>
  <c r="AL67" i="8"/>
  <c r="X213" i="8"/>
  <c r="W213" i="8"/>
  <c r="AN213" i="8" l="1"/>
  <c r="AS85" i="8"/>
  <c r="AT85" i="8"/>
  <c r="AR85" i="8"/>
  <c r="AQ86" i="8"/>
  <c r="W86" i="8"/>
  <c r="X86" i="8"/>
  <c r="AN86" i="8" s="1"/>
  <c r="V86" i="8"/>
  <c r="AP86" i="8"/>
  <c r="M86" i="8"/>
  <c r="P86" i="8" s="1"/>
  <c r="K86" i="8"/>
  <c r="I65" i="8"/>
  <c r="H66" i="8"/>
  <c r="AB66" i="8" s="1"/>
  <c r="Q85" i="8"/>
  <c r="N85" i="8"/>
  <c r="O85" i="8" s="1"/>
  <c r="L85" i="8"/>
  <c r="J86" i="8"/>
  <c r="B88" i="8"/>
  <c r="E87" i="8"/>
  <c r="AO87" i="8" s="1"/>
  <c r="K215" i="8"/>
  <c r="M215" i="8"/>
  <c r="P215" i="8" s="1"/>
  <c r="O213" i="8"/>
  <c r="J215" i="8"/>
  <c r="Q215" i="8" s="1"/>
  <c r="L214" i="8"/>
  <c r="N214" i="8"/>
  <c r="O214" i="8" s="1"/>
  <c r="B217" i="8"/>
  <c r="E216" i="8"/>
  <c r="W214" i="8"/>
  <c r="AJ87" i="8"/>
  <c r="AM69" i="8"/>
  <c r="X214" i="8"/>
  <c r="AL68" i="8"/>
  <c r="AJ215" i="8"/>
  <c r="AN214" i="8" l="1"/>
  <c r="AR86" i="8"/>
  <c r="AT86" i="8"/>
  <c r="AS86" i="8"/>
  <c r="AQ87" i="8"/>
  <c r="W87" i="8"/>
  <c r="X87" i="8"/>
  <c r="AN87" i="8" s="1"/>
  <c r="AP87" i="8"/>
  <c r="V87" i="8"/>
  <c r="Q86" i="8"/>
  <c r="K87" i="8"/>
  <c r="M87" i="8"/>
  <c r="P87" i="8" s="1"/>
  <c r="I66" i="8"/>
  <c r="H67" i="8"/>
  <c r="AB67" i="8" s="1"/>
  <c r="J87" i="8"/>
  <c r="E88" i="8"/>
  <c r="AO88" i="8" s="1"/>
  <c r="B89" i="8"/>
  <c r="L86" i="8"/>
  <c r="N86" i="8"/>
  <c r="O86" i="8" s="1"/>
  <c r="K216" i="8"/>
  <c r="B218" i="8"/>
  <c r="E217" i="8"/>
  <c r="N215" i="8"/>
  <c r="L215" i="8"/>
  <c r="J216" i="8"/>
  <c r="Q216" i="8" s="1"/>
  <c r="AJ216" i="8"/>
  <c r="AJ88" i="8"/>
  <c r="AM70" i="8"/>
  <c r="X215" i="8"/>
  <c r="AL69" i="8"/>
  <c r="W215" i="8"/>
  <c r="AN215" i="8" l="1"/>
  <c r="AR87" i="8"/>
  <c r="AT87" i="8"/>
  <c r="AS87" i="8"/>
  <c r="AQ88" i="8"/>
  <c r="W88" i="8"/>
  <c r="X88" i="8"/>
  <c r="AN88" i="8" s="1"/>
  <c r="AP88" i="8"/>
  <c r="V88" i="8"/>
  <c r="Q87" i="8"/>
  <c r="I67" i="8"/>
  <c r="H68" i="8"/>
  <c r="AB68" i="8" s="1"/>
  <c r="K88" i="8"/>
  <c r="M88" i="8"/>
  <c r="P88" i="8" s="1"/>
  <c r="J88" i="8"/>
  <c r="E89" i="8"/>
  <c r="AO89" i="8" s="1"/>
  <c r="B90" i="8"/>
  <c r="N87" i="8"/>
  <c r="O87" i="8" s="1"/>
  <c r="L87" i="8"/>
  <c r="K217" i="8"/>
  <c r="M217" i="8"/>
  <c r="P217" i="8" s="1"/>
  <c r="O215" i="8"/>
  <c r="N216" i="8"/>
  <c r="L216" i="8"/>
  <c r="J217" i="8"/>
  <c r="Q217" i="8" s="1"/>
  <c r="B219" i="8"/>
  <c r="E218" i="8"/>
  <c r="AL70" i="8"/>
  <c r="AJ89" i="8"/>
  <c r="W216" i="8"/>
  <c r="AJ217" i="8"/>
  <c r="X216" i="8"/>
  <c r="W217" i="8"/>
  <c r="AM71" i="8"/>
  <c r="X217" i="8"/>
  <c r="AN216" i="8" l="1"/>
  <c r="AN217" i="8"/>
  <c r="AT88" i="8"/>
  <c r="AR88" i="8"/>
  <c r="AS88" i="8"/>
  <c r="AQ89" i="8"/>
  <c r="W89" i="8"/>
  <c r="X89" i="8"/>
  <c r="AN89" i="8" s="1"/>
  <c r="AP89" i="8"/>
  <c r="V89" i="8"/>
  <c r="Q88" i="8"/>
  <c r="E90" i="8"/>
  <c r="AO90" i="8" s="1"/>
  <c r="B91" i="8"/>
  <c r="K89" i="8"/>
  <c r="M89" i="8"/>
  <c r="P89" i="8" s="1"/>
  <c r="I68" i="8"/>
  <c r="H69" i="8"/>
  <c r="AB69" i="8" s="1"/>
  <c r="J89" i="8"/>
  <c r="L88" i="8"/>
  <c r="N88" i="8"/>
  <c r="O88" i="8" s="1"/>
  <c r="K218" i="8"/>
  <c r="M218" i="8"/>
  <c r="P218" i="8" s="1"/>
  <c r="O216" i="8"/>
  <c r="J218" i="8"/>
  <c r="Q218" i="8" s="1"/>
  <c r="B220" i="8"/>
  <c r="E219" i="8"/>
  <c r="N217" i="8"/>
  <c r="L217" i="8"/>
  <c r="AM72" i="8"/>
  <c r="AL71" i="8"/>
  <c r="AJ218" i="8"/>
  <c r="AJ90" i="8"/>
  <c r="AT89" i="8" l="1"/>
  <c r="AR89" i="8"/>
  <c r="AS89" i="8"/>
  <c r="AQ90" i="8"/>
  <c r="W90" i="8"/>
  <c r="X90" i="8"/>
  <c r="AN90" i="8" s="1"/>
  <c r="AP90" i="8"/>
  <c r="V90" i="8"/>
  <c r="Q89" i="8"/>
  <c r="I69" i="8"/>
  <c r="H70" i="8"/>
  <c r="AB70" i="8" s="1"/>
  <c r="E91" i="8"/>
  <c r="AO91" i="8" s="1"/>
  <c r="B92" i="8"/>
  <c r="K90" i="8"/>
  <c r="J90" i="8"/>
  <c r="M90" i="8"/>
  <c r="P90" i="8" s="1"/>
  <c r="N89" i="8"/>
  <c r="O89" i="8" s="1"/>
  <c r="L89" i="8"/>
  <c r="K219" i="8"/>
  <c r="M219" i="8"/>
  <c r="P219" i="8" s="1"/>
  <c r="O217" i="8"/>
  <c r="J219" i="8"/>
  <c r="Q219" i="8" s="1"/>
  <c r="B221" i="8"/>
  <c r="E220" i="8"/>
  <c r="N218" i="8"/>
  <c r="O218" i="8" s="1"/>
  <c r="L218" i="8"/>
  <c r="AJ219" i="8"/>
  <c r="X218" i="8"/>
  <c r="AL72" i="8"/>
  <c r="W218" i="8"/>
  <c r="AJ91" i="8"/>
  <c r="AM73" i="8"/>
  <c r="AN218" i="8" l="1"/>
  <c r="AT90" i="8"/>
  <c r="AR90" i="8"/>
  <c r="AS90" i="8"/>
  <c r="AQ91" i="8"/>
  <c r="W91" i="8"/>
  <c r="X91" i="8"/>
  <c r="AN91" i="8" s="1"/>
  <c r="AP91" i="8"/>
  <c r="V91" i="8"/>
  <c r="Q90" i="8"/>
  <c r="L90" i="8"/>
  <c r="N90" i="8"/>
  <c r="O90" i="8" s="1"/>
  <c r="I70" i="8"/>
  <c r="H71" i="8"/>
  <c r="AB71" i="8" s="1"/>
  <c r="E92" i="8"/>
  <c r="AO92" i="8" s="1"/>
  <c r="B93" i="8"/>
  <c r="K91" i="8"/>
  <c r="J91" i="8"/>
  <c r="K220" i="8"/>
  <c r="M220" i="8"/>
  <c r="P220" i="8" s="1"/>
  <c r="J220" i="8"/>
  <c r="Q220" i="8" s="1"/>
  <c r="E221" i="8"/>
  <c r="B222" i="8"/>
  <c r="L219" i="8"/>
  <c r="N219" i="8"/>
  <c r="W219" i="8"/>
  <c r="AJ92" i="8"/>
  <c r="AL73" i="8"/>
  <c r="AJ220" i="8"/>
  <c r="AM74" i="8"/>
  <c r="X220" i="8"/>
  <c r="X219" i="8"/>
  <c r="AN219" i="8" l="1"/>
  <c r="AN220" i="8"/>
  <c r="AR91" i="8"/>
  <c r="AS91" i="8"/>
  <c r="AT91" i="8"/>
  <c r="AP92" i="8"/>
  <c r="AQ92" i="8"/>
  <c r="W92" i="8"/>
  <c r="X92" i="8"/>
  <c r="AN92" i="8" s="1"/>
  <c r="V92" i="8"/>
  <c r="Q91" i="8"/>
  <c r="N91" i="8"/>
  <c r="O91" i="8" s="1"/>
  <c r="L91" i="8"/>
  <c r="K92" i="8"/>
  <c r="M92" i="8"/>
  <c r="P92" i="8" s="1"/>
  <c r="J92" i="8"/>
  <c r="E93" i="8"/>
  <c r="AO93" i="8" s="1"/>
  <c r="B94" i="8"/>
  <c r="I71" i="8"/>
  <c r="H72" i="8"/>
  <c r="AB72" i="8" s="1"/>
  <c r="K221" i="8"/>
  <c r="M221" i="8"/>
  <c r="P221" i="8" s="1"/>
  <c r="O219" i="8"/>
  <c r="J221" i="8"/>
  <c r="Q221" i="8" s="1"/>
  <c r="N220" i="8"/>
  <c r="L220" i="8"/>
  <c r="E222" i="8"/>
  <c r="B223" i="8"/>
  <c r="AL74" i="8"/>
  <c r="AJ93" i="8"/>
  <c r="AM75" i="8"/>
  <c r="AJ221" i="8"/>
  <c r="W220" i="8"/>
  <c r="AR92" i="8" l="1"/>
  <c r="AS92" i="8"/>
  <c r="AT92" i="8"/>
  <c r="AP93" i="8"/>
  <c r="AQ93" i="8"/>
  <c r="W93" i="8"/>
  <c r="X93" i="8"/>
  <c r="AN93" i="8" s="1"/>
  <c r="V93" i="8"/>
  <c r="B95" i="8"/>
  <c r="E94" i="8"/>
  <c r="AO94" i="8" s="1"/>
  <c r="I72" i="8"/>
  <c r="H73" i="8"/>
  <c r="AB73" i="8" s="1"/>
  <c r="M93" i="8"/>
  <c r="P93" i="8" s="1"/>
  <c r="K93" i="8"/>
  <c r="J93" i="8"/>
  <c r="Q92" i="8"/>
  <c r="L92" i="8"/>
  <c r="N92" i="8"/>
  <c r="O92" i="8" s="1"/>
  <c r="K222" i="8"/>
  <c r="M222" i="8"/>
  <c r="P222" i="8" s="1"/>
  <c r="O220" i="8"/>
  <c r="J222" i="8"/>
  <c r="Q222" i="8" s="1"/>
  <c r="E223" i="8"/>
  <c r="B224" i="8"/>
  <c r="L221" i="8"/>
  <c r="N221" i="8"/>
  <c r="AJ94" i="8"/>
  <c r="W221" i="8"/>
  <c r="AJ222" i="8"/>
  <c r="AL75" i="8"/>
  <c r="AM76" i="8"/>
  <c r="X221" i="8"/>
  <c r="AN221" i="8" l="1"/>
  <c r="AR93" i="8"/>
  <c r="AS93" i="8"/>
  <c r="AT93" i="8"/>
  <c r="AP94" i="8"/>
  <c r="AQ94" i="8"/>
  <c r="W94" i="8"/>
  <c r="X94" i="8"/>
  <c r="AN94" i="8" s="1"/>
  <c r="V94" i="8"/>
  <c r="L93" i="8"/>
  <c r="Q93" i="8"/>
  <c r="N93" i="8"/>
  <c r="O93" i="8" s="1"/>
  <c r="I73" i="8"/>
  <c r="H74" i="8"/>
  <c r="AB74" i="8" s="1"/>
  <c r="K94" i="8"/>
  <c r="J94" i="8"/>
  <c r="M94" i="8"/>
  <c r="P94" i="8" s="1"/>
  <c r="E95" i="8"/>
  <c r="AO95" i="8" s="1"/>
  <c r="B96" i="8"/>
  <c r="K223" i="8"/>
  <c r="M223" i="8"/>
  <c r="P223" i="8" s="1"/>
  <c r="O221" i="8"/>
  <c r="B225" i="8"/>
  <c r="E224" i="8"/>
  <c r="J223" i="8"/>
  <c r="L222" i="8"/>
  <c r="N222" i="8"/>
  <c r="AM77" i="8"/>
  <c r="X222" i="8"/>
  <c r="AJ223" i="8"/>
  <c r="AJ95" i="8"/>
  <c r="AL76" i="8"/>
  <c r="W222" i="8"/>
  <c r="X223" i="8"/>
  <c r="AN222" i="8" l="1"/>
  <c r="AN223" i="8"/>
  <c r="AR94" i="8"/>
  <c r="AS94" i="8"/>
  <c r="AT94" i="8"/>
  <c r="V95" i="8"/>
  <c r="AP95" i="8"/>
  <c r="AQ95" i="8"/>
  <c r="W95" i="8"/>
  <c r="X95" i="8"/>
  <c r="AN95" i="8" s="1"/>
  <c r="B97" i="8"/>
  <c r="E96" i="8"/>
  <c r="Q94" i="8"/>
  <c r="N94" i="8"/>
  <c r="O94" i="8" s="1"/>
  <c r="L94" i="8"/>
  <c r="I74" i="8"/>
  <c r="H75" i="8"/>
  <c r="AB75" i="8" s="1"/>
  <c r="K95" i="8"/>
  <c r="M95" i="8"/>
  <c r="P95" i="8" s="1"/>
  <c r="J95" i="8"/>
  <c r="O222" i="8"/>
  <c r="Q223" i="8"/>
  <c r="K224" i="8"/>
  <c r="M224" i="8"/>
  <c r="P224" i="8" s="1"/>
  <c r="N223" i="8"/>
  <c r="L223" i="8"/>
  <c r="J224" i="8"/>
  <c r="B226" i="8"/>
  <c r="E225" i="8"/>
  <c r="AJ96" i="8"/>
  <c r="AJ224" i="8"/>
  <c r="W223" i="8"/>
  <c r="AL77" i="8"/>
  <c r="AM78" i="8"/>
  <c r="AR95" i="8" l="1"/>
  <c r="AS95" i="8"/>
  <c r="AT95" i="8"/>
  <c r="L95" i="8"/>
  <c r="Q95" i="8"/>
  <c r="N95" i="8"/>
  <c r="O95" i="8" s="1"/>
  <c r="I75" i="8"/>
  <c r="H76" i="8"/>
  <c r="AB76" i="8" s="1"/>
  <c r="J96" i="8"/>
  <c r="M96" i="8"/>
  <c r="P96" i="8" s="1"/>
  <c r="K96" i="8"/>
  <c r="B98" i="8"/>
  <c r="E97" i="8"/>
  <c r="Q224" i="8"/>
  <c r="K225" i="8"/>
  <c r="M225" i="8"/>
  <c r="P225" i="8" s="1"/>
  <c r="O223" i="8"/>
  <c r="J225" i="8"/>
  <c r="E226" i="8"/>
  <c r="B227" i="8"/>
  <c r="N224" i="8"/>
  <c r="L224" i="8"/>
  <c r="AJ97" i="8"/>
  <c r="X96" i="8"/>
  <c r="AL78" i="8"/>
  <c r="W224" i="8"/>
  <c r="X224" i="8"/>
  <c r="AM79" i="8"/>
  <c r="AJ225" i="8"/>
  <c r="X225" i="8" s="1"/>
  <c r="W96" i="8"/>
  <c r="V96" i="8"/>
  <c r="AN96" i="8" l="1"/>
  <c r="AN224" i="8"/>
  <c r="AN225" i="8"/>
  <c r="Q96" i="8"/>
  <c r="N96" i="8"/>
  <c r="O96" i="8" s="1"/>
  <c r="L96" i="8"/>
  <c r="K97" i="8"/>
  <c r="J97" i="8"/>
  <c r="M97" i="8"/>
  <c r="P97" i="8" s="1"/>
  <c r="I76" i="8"/>
  <c r="H77" i="8"/>
  <c r="AB77" i="8" s="1"/>
  <c r="E98" i="8"/>
  <c r="B99" i="8"/>
  <c r="M226" i="8"/>
  <c r="P226" i="8" s="1"/>
  <c r="K226" i="8"/>
  <c r="Q225" i="8"/>
  <c r="O224" i="8"/>
  <c r="J226" i="8"/>
  <c r="Q226" i="8" s="1"/>
  <c r="E227" i="8"/>
  <c r="B228" i="8"/>
  <c r="L225" i="8"/>
  <c r="N225" i="8"/>
  <c r="AO96" i="8"/>
  <c r="AJ98" i="8"/>
  <c r="AL79" i="8"/>
  <c r="AM80" i="8"/>
  <c r="W97" i="8"/>
  <c r="W225" i="8"/>
  <c r="X97" i="8"/>
  <c r="V97" i="8"/>
  <c r="AJ226" i="8"/>
  <c r="X226" i="8" s="1"/>
  <c r="AN97" i="8" l="1"/>
  <c r="AN226" i="8"/>
  <c r="M98" i="8"/>
  <c r="P98" i="8" s="1"/>
  <c r="K98" i="8"/>
  <c r="J98" i="8"/>
  <c r="L97" i="8"/>
  <c r="N97" i="8"/>
  <c r="O97" i="8" s="1"/>
  <c r="Q97" i="8"/>
  <c r="B100" i="8"/>
  <c r="E99" i="8"/>
  <c r="I77" i="8"/>
  <c r="H78" i="8"/>
  <c r="AB78" i="8" s="1"/>
  <c r="K227" i="8"/>
  <c r="M227" i="8"/>
  <c r="P227" i="8" s="1"/>
  <c r="O225" i="8"/>
  <c r="E228" i="8"/>
  <c r="B229" i="8"/>
  <c r="L226" i="8"/>
  <c r="N226" i="8"/>
  <c r="J227" i="8"/>
  <c r="Q227" i="8" s="1"/>
  <c r="AO97" i="8"/>
  <c r="AM81" i="8"/>
  <c r="AJ99" i="8"/>
  <c r="AT96" i="8"/>
  <c r="AR96" i="8"/>
  <c r="AJ227" i="8"/>
  <c r="X98" i="8"/>
  <c r="AS96" i="8"/>
  <c r="W226" i="8"/>
  <c r="W98" i="8"/>
  <c r="AL80" i="8"/>
  <c r="V98" i="8"/>
  <c r="AN98" i="8" l="1"/>
  <c r="I78" i="8"/>
  <c r="H79" i="8"/>
  <c r="AB79" i="8" s="1"/>
  <c r="Q98" i="8"/>
  <c r="L98" i="8"/>
  <c r="N98" i="8"/>
  <c r="O98" i="8" s="1"/>
  <c r="B101" i="8"/>
  <c r="E100" i="8"/>
  <c r="M99" i="8"/>
  <c r="P99" i="8" s="1"/>
  <c r="K99" i="8"/>
  <c r="J99" i="8"/>
  <c r="K228" i="8"/>
  <c r="M228" i="8"/>
  <c r="P228" i="8" s="1"/>
  <c r="O226" i="8"/>
  <c r="E229" i="8"/>
  <c r="B230" i="8"/>
  <c r="N227" i="8"/>
  <c r="L227" i="8"/>
  <c r="J228" i="8"/>
  <c r="Q228" i="8" s="1"/>
  <c r="AO98" i="8"/>
  <c r="AT97" i="8"/>
  <c r="AJ228" i="8"/>
  <c r="W227" i="8"/>
  <c r="X99" i="8"/>
  <c r="AJ100" i="8"/>
  <c r="AS97" i="8"/>
  <c r="AM82" i="8"/>
  <c r="AR97" i="8"/>
  <c r="X227" i="8"/>
  <c r="W99" i="8"/>
  <c r="AL81" i="8"/>
  <c r="V99" i="8"/>
  <c r="AN99" i="8" l="1"/>
  <c r="AN227" i="8"/>
  <c r="J100" i="8"/>
  <c r="K100" i="8"/>
  <c r="E101" i="8"/>
  <c r="B102" i="8"/>
  <c r="I79" i="8"/>
  <c r="H80" i="8"/>
  <c r="AB80" i="8" s="1"/>
  <c r="Q99" i="8"/>
  <c r="N99" i="8"/>
  <c r="O99" i="8" s="1"/>
  <c r="L99" i="8"/>
  <c r="K229" i="8"/>
  <c r="M229" i="8"/>
  <c r="P229" i="8" s="1"/>
  <c r="O227" i="8"/>
  <c r="L228" i="8"/>
  <c r="N228" i="8"/>
  <c r="B231" i="8"/>
  <c r="E230" i="8"/>
  <c r="J229" i="8"/>
  <c r="Q229" i="8" s="1"/>
  <c r="M102" i="8"/>
  <c r="P102" i="8" s="1"/>
  <c r="AO99" i="8"/>
  <c r="AM83" i="8"/>
  <c r="AT98" i="8"/>
  <c r="AJ101" i="8"/>
  <c r="AS98" i="8"/>
  <c r="AL82" i="8"/>
  <c r="AR98" i="8"/>
  <c r="AJ229" i="8"/>
  <c r="W228" i="8"/>
  <c r="X228" i="8"/>
  <c r="W100" i="8"/>
  <c r="X100" i="8"/>
  <c r="V100" i="8"/>
  <c r="AN100" i="8" l="1"/>
  <c r="AN228" i="8"/>
  <c r="Q100" i="8"/>
  <c r="L100" i="8"/>
  <c r="N100" i="8"/>
  <c r="O100" i="8" s="1"/>
  <c r="I80" i="8"/>
  <c r="H81" i="8"/>
  <c r="AB81" i="8" s="1"/>
  <c r="J101" i="8"/>
  <c r="K101" i="8"/>
  <c r="B103" i="8"/>
  <c r="E102" i="8"/>
  <c r="K230" i="8"/>
  <c r="M230" i="8"/>
  <c r="P230" i="8" s="1"/>
  <c r="O228" i="8"/>
  <c r="E231" i="8"/>
  <c r="B232" i="8"/>
  <c r="L229" i="8"/>
  <c r="N229" i="8"/>
  <c r="O229" i="8" s="1"/>
  <c r="J230" i="8"/>
  <c r="Q230" i="8" s="1"/>
  <c r="M103" i="8"/>
  <c r="P103" i="8" s="1"/>
  <c r="AO100" i="8"/>
  <c r="AM84" i="8"/>
  <c r="AJ230" i="8"/>
  <c r="AJ102" i="8"/>
  <c r="AL83" i="8"/>
  <c r="X101" i="8"/>
  <c r="X229" i="8"/>
  <c r="AT99" i="8"/>
  <c r="AR99" i="8"/>
  <c r="W101" i="8"/>
  <c r="AS99" i="8"/>
  <c r="W229" i="8"/>
  <c r="X230" i="8"/>
  <c r="W230" i="8"/>
  <c r="V101" i="8"/>
  <c r="AN101" i="8" l="1"/>
  <c r="AN229" i="8"/>
  <c r="AN230" i="8"/>
  <c r="I81" i="8"/>
  <c r="H82" i="8"/>
  <c r="AB82" i="8" s="1"/>
  <c r="B104" i="8"/>
  <c r="E103" i="8"/>
  <c r="Q101" i="8"/>
  <c r="N101" i="8"/>
  <c r="O101" i="8" s="1"/>
  <c r="L101" i="8"/>
  <c r="K102" i="8"/>
  <c r="J102" i="8"/>
  <c r="K231" i="8"/>
  <c r="M231" i="8"/>
  <c r="P231" i="8" s="1"/>
  <c r="L230" i="8"/>
  <c r="N230" i="8"/>
  <c r="B233" i="8"/>
  <c r="E232" i="8"/>
  <c r="J231" i="8"/>
  <c r="Q231" i="8" s="1"/>
  <c r="AO101" i="8"/>
  <c r="AJ231" i="8"/>
  <c r="AM85" i="8"/>
  <c r="AS100" i="8"/>
  <c r="AJ103" i="8"/>
  <c r="AT100" i="8"/>
  <c r="AR100" i="8"/>
  <c r="X102" i="8"/>
  <c r="W102" i="8"/>
  <c r="V102" i="8" s="1"/>
  <c r="AL84" i="8"/>
  <c r="AN102" i="8" l="1"/>
  <c r="L102" i="8"/>
  <c r="N102" i="8"/>
  <c r="O102" i="8" s="1"/>
  <c r="Q102" i="8"/>
  <c r="J103" i="8"/>
  <c r="K103" i="8"/>
  <c r="B105" i="8"/>
  <c r="E104" i="8"/>
  <c r="I82" i="8"/>
  <c r="H83" i="8"/>
  <c r="AB83" i="8" s="1"/>
  <c r="O230" i="8"/>
  <c r="K232" i="8"/>
  <c r="M232" i="8"/>
  <c r="P232" i="8" s="1"/>
  <c r="N231" i="8"/>
  <c r="L231" i="8"/>
  <c r="B234" i="8"/>
  <c r="E233" i="8"/>
  <c r="J232" i="8"/>
  <c r="Q232" i="8" s="1"/>
  <c r="AO102" i="8"/>
  <c r="AM86" i="8"/>
  <c r="W231" i="8"/>
  <c r="AJ232" i="8"/>
  <c r="AS101" i="8"/>
  <c r="AJ104" i="8"/>
  <c r="X232" i="8"/>
  <c r="AR101" i="8"/>
  <c r="AT101" i="8"/>
  <c r="X231" i="8"/>
  <c r="AL85" i="8"/>
  <c r="W103" i="8"/>
  <c r="X103" i="8"/>
  <c r="V103" i="8"/>
  <c r="AN103" i="8" l="1"/>
  <c r="AN231" i="8"/>
  <c r="AN232" i="8"/>
  <c r="O231" i="8"/>
  <c r="B106" i="8"/>
  <c r="E105" i="8"/>
  <c r="M104" i="8"/>
  <c r="P104" i="8" s="1"/>
  <c r="J104" i="8"/>
  <c r="K104" i="8"/>
  <c r="I83" i="8"/>
  <c r="H84" i="8"/>
  <c r="AB84" i="8" s="1"/>
  <c r="L103" i="8"/>
  <c r="Q103" i="8"/>
  <c r="N103" i="8"/>
  <c r="O103" i="8" s="1"/>
  <c r="K233" i="8"/>
  <c r="M233" i="8"/>
  <c r="P233" i="8" s="1"/>
  <c r="L232" i="8"/>
  <c r="N232" i="8"/>
  <c r="O232" i="8" s="1"/>
  <c r="J233" i="8"/>
  <c r="Q233" i="8" s="1"/>
  <c r="B235" i="8"/>
  <c r="E234" i="8"/>
  <c r="AO103" i="8"/>
  <c r="AT102" i="8"/>
  <c r="AJ105" i="8"/>
  <c r="AM87" i="8"/>
  <c r="X104" i="8"/>
  <c r="AS102" i="8"/>
  <c r="AR102" i="8"/>
  <c r="AJ233" i="8"/>
  <c r="W233" i="8" s="1"/>
  <c r="AL86" i="8"/>
  <c r="W104" i="8"/>
  <c r="W232" i="8"/>
  <c r="V104" i="8"/>
  <c r="AN104" i="8" l="1"/>
  <c r="L104" i="8"/>
  <c r="Q104" i="8"/>
  <c r="N104" i="8"/>
  <c r="O104" i="8" s="1"/>
  <c r="I84" i="8"/>
  <c r="H85" i="8"/>
  <c r="AB85" i="8" s="1"/>
  <c r="K105" i="8"/>
  <c r="J105" i="8"/>
  <c r="M105" i="8"/>
  <c r="P105" i="8" s="1"/>
  <c r="B107" i="8"/>
  <c r="E106" i="8"/>
  <c r="K234" i="8"/>
  <c r="M234" i="8"/>
  <c r="P234" i="8" s="1"/>
  <c r="J234" i="8"/>
  <c r="Q234" i="8" s="1"/>
  <c r="B236" i="8"/>
  <c r="E235" i="8"/>
  <c r="L233" i="8"/>
  <c r="N233" i="8"/>
  <c r="AO104" i="8"/>
  <c r="AJ234" i="8"/>
  <c r="AS103" i="8"/>
  <c r="AL87" i="8"/>
  <c r="AT103" i="8"/>
  <c r="W105" i="8"/>
  <c r="X233" i="8"/>
  <c r="AR103" i="8"/>
  <c r="AM88" i="8"/>
  <c r="AJ106" i="8"/>
  <c r="X105" i="8"/>
  <c r="V105" i="8" s="1"/>
  <c r="AN105" i="8" l="1"/>
  <c r="AN233" i="8"/>
  <c r="B108" i="8"/>
  <c r="E107" i="8"/>
  <c r="K106" i="8"/>
  <c r="M106" i="8"/>
  <c r="P106" i="8" s="1"/>
  <c r="J106" i="8"/>
  <c r="I85" i="8"/>
  <c r="H86" i="8"/>
  <c r="AB86" i="8" s="1"/>
  <c r="L105" i="8"/>
  <c r="Q105" i="8"/>
  <c r="N105" i="8"/>
  <c r="O105" i="8" s="1"/>
  <c r="K235" i="8"/>
  <c r="M235" i="8"/>
  <c r="P235" i="8" s="1"/>
  <c r="O233" i="8"/>
  <c r="J235" i="8"/>
  <c r="Q235" i="8" s="1"/>
  <c r="N234" i="8"/>
  <c r="L234" i="8"/>
  <c r="B237" i="8"/>
  <c r="E236" i="8"/>
  <c r="AO105" i="8"/>
  <c r="AJ235" i="8"/>
  <c r="AM89" i="8"/>
  <c r="W106" i="8"/>
  <c r="AL88" i="8"/>
  <c r="AR104" i="8"/>
  <c r="AS104" i="8"/>
  <c r="AJ107" i="8"/>
  <c r="X234" i="8"/>
  <c r="AT104" i="8"/>
  <c r="X106" i="8"/>
  <c r="V106" i="8"/>
  <c r="W234" i="8"/>
  <c r="AN106" i="8" l="1"/>
  <c r="AN234" i="8"/>
  <c r="I86" i="8"/>
  <c r="H87" i="8"/>
  <c r="AB87" i="8" s="1"/>
  <c r="K107" i="8"/>
  <c r="M107" i="8"/>
  <c r="P107" i="8" s="1"/>
  <c r="J107" i="8"/>
  <c r="N106" i="8"/>
  <c r="O106" i="8" s="1"/>
  <c r="L106" i="8"/>
  <c r="Q106" i="8"/>
  <c r="E108" i="8"/>
  <c r="B109" i="8"/>
  <c r="K236" i="8"/>
  <c r="M236" i="8"/>
  <c r="P236" i="8" s="1"/>
  <c r="O234" i="8"/>
  <c r="J236" i="8"/>
  <c r="Q236" i="8" s="1"/>
  <c r="E237" i="8"/>
  <c r="B238" i="8"/>
  <c r="L235" i="8"/>
  <c r="N235" i="8"/>
  <c r="O235" i="8" s="1"/>
  <c r="AO106" i="8"/>
  <c r="AS105" i="8"/>
  <c r="AT105" i="8"/>
  <c r="W107" i="8"/>
  <c r="X235" i="8"/>
  <c r="AM90" i="8"/>
  <c r="AJ108" i="8"/>
  <c r="AL89" i="8"/>
  <c r="W235" i="8"/>
  <c r="AR105" i="8"/>
  <c r="AJ236" i="8"/>
  <c r="X107" i="8"/>
  <c r="V107" i="8"/>
  <c r="AN107" i="8" l="1"/>
  <c r="AN235" i="8"/>
  <c r="E109" i="8"/>
  <c r="B110" i="8"/>
  <c r="J108" i="8"/>
  <c r="M108" i="8"/>
  <c r="K108" i="8"/>
  <c r="I87" i="8"/>
  <c r="H88" i="8"/>
  <c r="AB88" i="8" s="1"/>
  <c r="N107" i="8"/>
  <c r="O107" i="8" s="1"/>
  <c r="Q107" i="8"/>
  <c r="L107" i="8"/>
  <c r="K237" i="8"/>
  <c r="M237" i="8"/>
  <c r="P237" i="8" s="1"/>
  <c r="E238" i="8"/>
  <c r="B239" i="8"/>
  <c r="J237" i="8"/>
  <c r="Q237" i="8" s="1"/>
  <c r="N236" i="8"/>
  <c r="L236" i="8"/>
  <c r="AO107" i="8"/>
  <c r="AL90" i="8"/>
  <c r="W236" i="8"/>
  <c r="AR106" i="8"/>
  <c r="AJ237" i="8"/>
  <c r="X108" i="8"/>
  <c r="X236" i="8"/>
  <c r="AT106" i="8"/>
  <c r="W108" i="8"/>
  <c r="AM91" i="8"/>
  <c r="AS106" i="8"/>
  <c r="AN236" i="8" l="1"/>
  <c r="AN108" i="8"/>
  <c r="I88" i="8"/>
  <c r="H89" i="8"/>
  <c r="AB89" i="8" s="1"/>
  <c r="P108" i="8"/>
  <c r="L108" i="8"/>
  <c r="Q108" i="8"/>
  <c r="N108" i="8"/>
  <c r="O108" i="8" s="1"/>
  <c r="B111" i="8"/>
  <c r="E110" i="8"/>
  <c r="J109" i="8"/>
  <c r="M109" i="8"/>
  <c r="K109" i="8"/>
  <c r="K238" i="8"/>
  <c r="M238" i="8"/>
  <c r="P238" i="8" s="1"/>
  <c r="O236" i="8"/>
  <c r="N237" i="8"/>
  <c r="L237" i="8"/>
  <c r="E239" i="8"/>
  <c r="B240" i="8"/>
  <c r="J238" i="8"/>
  <c r="Q238" i="8" s="1"/>
  <c r="AR107" i="8"/>
  <c r="AJ238" i="8"/>
  <c r="AJ109" i="8"/>
  <c r="AT107" i="8"/>
  <c r="AM92" i="8"/>
  <c r="X237" i="8"/>
  <c r="AL91" i="8"/>
  <c r="AS107" i="8"/>
  <c r="W237" i="8"/>
  <c r="AN237" i="8" l="1"/>
  <c r="B112" i="8"/>
  <c r="E111" i="8"/>
  <c r="P109" i="8"/>
  <c r="M110" i="8"/>
  <c r="K110" i="8"/>
  <c r="J110" i="8"/>
  <c r="I89" i="8"/>
  <c r="H90" i="8"/>
  <c r="AB90" i="8" s="1"/>
  <c r="Q109" i="8"/>
  <c r="L109" i="8"/>
  <c r="N109" i="8"/>
  <c r="K239" i="8"/>
  <c r="M239" i="8"/>
  <c r="P239" i="8" s="1"/>
  <c r="O237" i="8"/>
  <c r="L238" i="8"/>
  <c r="N238" i="8"/>
  <c r="O238" i="8" s="1"/>
  <c r="B241" i="8"/>
  <c r="E240" i="8"/>
  <c r="J239" i="8"/>
  <c r="Q239" i="8" s="1"/>
  <c r="AM93" i="8"/>
  <c r="W109" i="8"/>
  <c r="AJ111" i="8"/>
  <c r="AJ110" i="8"/>
  <c r="AL92" i="8"/>
  <c r="W238" i="8"/>
  <c r="X238" i="8"/>
  <c r="X109" i="8"/>
  <c r="AJ239" i="8"/>
  <c r="AN238" i="8" l="1"/>
  <c r="AN109" i="8"/>
  <c r="O109" i="8"/>
  <c r="L110" i="8"/>
  <c r="N110" i="8"/>
  <c r="Q110" i="8"/>
  <c r="P110" i="8"/>
  <c r="I90" i="8"/>
  <c r="H91" i="8"/>
  <c r="AB91" i="8" s="1"/>
  <c r="J111" i="8"/>
  <c r="K111" i="8"/>
  <c r="M111" i="8"/>
  <c r="B113" i="8"/>
  <c r="E112" i="8"/>
  <c r="K240" i="8"/>
  <c r="N239" i="8"/>
  <c r="L239" i="8"/>
  <c r="J240" i="8"/>
  <c r="Q240" i="8" s="1"/>
  <c r="B242" i="8"/>
  <c r="E241" i="8"/>
  <c r="AJ240" i="8"/>
  <c r="AJ112" i="8"/>
  <c r="X239" i="8"/>
  <c r="W239" i="8"/>
  <c r="AM94" i="8"/>
  <c r="AQ240" i="8"/>
  <c r="W110" i="8"/>
  <c r="W111" i="8"/>
  <c r="AL240" i="8"/>
  <c r="X240" i="8"/>
  <c r="AP240" i="8"/>
  <c r="X110" i="8"/>
  <c r="W240" i="8"/>
  <c r="X111" i="8"/>
  <c r="AL93" i="8"/>
  <c r="AM240" i="8"/>
  <c r="AN239" i="8" l="1"/>
  <c r="AN240" i="8"/>
  <c r="AN110" i="8"/>
  <c r="AN111" i="8"/>
  <c r="O110" i="8"/>
  <c r="P111" i="8"/>
  <c r="N111" i="8"/>
  <c r="L111" i="8"/>
  <c r="Q111" i="8"/>
  <c r="J112" i="8"/>
  <c r="K112" i="8"/>
  <c r="M112" i="8"/>
  <c r="B114" i="8"/>
  <c r="E113" i="8"/>
  <c r="I91" i="8"/>
  <c r="H92" i="8"/>
  <c r="AB92" i="8" s="1"/>
  <c r="K241" i="8"/>
  <c r="M241" i="8"/>
  <c r="P241" i="8" s="1"/>
  <c r="O239" i="8"/>
  <c r="J241" i="8"/>
  <c r="Q241" i="8" s="1"/>
  <c r="E242" i="8"/>
  <c r="B243" i="8"/>
  <c r="N240" i="8"/>
  <c r="L240" i="8"/>
  <c r="AM95" i="8"/>
  <c r="X241" i="8"/>
  <c r="AJ241" i="8"/>
  <c r="AL94" i="8"/>
  <c r="AJ113" i="8"/>
  <c r="X112" i="8"/>
  <c r="W112" i="8"/>
  <c r="AP241" i="8"/>
  <c r="AL241" i="8"/>
  <c r="AM241" i="8"/>
  <c r="AQ241" i="8"/>
  <c r="W241" i="8"/>
  <c r="AN241" i="8" l="1"/>
  <c r="AN112" i="8"/>
  <c r="O111" i="8"/>
  <c r="M113" i="8"/>
  <c r="I92" i="8"/>
  <c r="H93" i="8"/>
  <c r="AB93" i="8" s="1"/>
  <c r="P112" i="8"/>
  <c r="N112" i="8"/>
  <c r="L112" i="8"/>
  <c r="Q112" i="8"/>
  <c r="K113" i="8"/>
  <c r="J113" i="8"/>
  <c r="E114" i="8"/>
  <c r="B115" i="8"/>
  <c r="K242" i="8"/>
  <c r="M242" i="8"/>
  <c r="P242" i="8" s="1"/>
  <c r="O240" i="8"/>
  <c r="E243" i="8"/>
  <c r="B244" i="8"/>
  <c r="N241" i="8"/>
  <c r="L241" i="8"/>
  <c r="J242" i="8"/>
  <c r="Q242" i="8" s="1"/>
  <c r="AJ114" i="8"/>
  <c r="X113" i="8"/>
  <c r="AM96" i="8"/>
  <c r="AQ96" i="8" s="1"/>
  <c r="AL242" i="8"/>
  <c r="AQ242" i="8"/>
  <c r="AM242" i="8"/>
  <c r="W242" i="8"/>
  <c r="AJ242" i="8"/>
  <c r="X242" i="8"/>
  <c r="AP242" i="8"/>
  <c r="AL95" i="8"/>
  <c r="W113" i="8"/>
  <c r="AN242" i="8" l="1"/>
  <c r="AN113" i="8"/>
  <c r="P113" i="8"/>
  <c r="M114" i="8"/>
  <c r="O112" i="8"/>
  <c r="K114" i="8"/>
  <c r="J114" i="8"/>
  <c r="I93" i="8"/>
  <c r="H94" i="8"/>
  <c r="AB94" i="8" s="1"/>
  <c r="Q113" i="8"/>
  <c r="L113" i="8"/>
  <c r="N113" i="8"/>
  <c r="B116" i="8"/>
  <c r="E115" i="8"/>
  <c r="K243" i="8"/>
  <c r="M243" i="8"/>
  <c r="P243" i="8" s="1"/>
  <c r="O241" i="8"/>
  <c r="L242" i="8"/>
  <c r="N242" i="8"/>
  <c r="E244" i="8"/>
  <c r="B245" i="8"/>
  <c r="J243" i="8"/>
  <c r="Q243" i="8" s="1"/>
  <c r="AJ115" i="8"/>
  <c r="AJ243" i="8"/>
  <c r="AP243" i="8"/>
  <c r="X114" i="8"/>
  <c r="X243" i="8"/>
  <c r="AM97" i="8"/>
  <c r="AQ97" i="8" s="1"/>
  <c r="W114" i="8"/>
  <c r="AL243" i="8"/>
  <c r="AL96" i="8"/>
  <c r="AP96" i="8" s="1"/>
  <c r="W243" i="8"/>
  <c r="AQ243" i="8"/>
  <c r="AM243" i="8"/>
  <c r="AN243" i="8" l="1"/>
  <c r="AN114" i="8"/>
  <c r="P114" i="8"/>
  <c r="M115" i="8"/>
  <c r="Q114" i="8"/>
  <c r="L114" i="8"/>
  <c r="N114" i="8"/>
  <c r="K115" i="8"/>
  <c r="J115" i="8"/>
  <c r="B117" i="8"/>
  <c r="E116" i="8"/>
  <c r="I94" i="8"/>
  <c r="H95" i="8"/>
  <c r="AB95" i="8" s="1"/>
  <c r="O113" i="8"/>
  <c r="K244" i="8"/>
  <c r="M244" i="8"/>
  <c r="P244" i="8" s="1"/>
  <c r="O242" i="8"/>
  <c r="N243" i="8"/>
  <c r="L243" i="8"/>
  <c r="E245" i="8"/>
  <c r="AO245" i="8" s="1"/>
  <c r="B246" i="8"/>
  <c r="J244" i="8"/>
  <c r="Q244" i="8" s="1"/>
  <c r="AM98" i="8"/>
  <c r="AQ98" i="8" s="1"/>
  <c r="AJ244" i="8"/>
  <c r="X244" i="8"/>
  <c r="AQ244" i="8"/>
  <c r="AL244" i="8"/>
  <c r="X115" i="8"/>
  <c r="W244" i="8"/>
  <c r="AM244" i="8"/>
  <c r="W115" i="8"/>
  <c r="AL97" i="8"/>
  <c r="AP97" i="8" s="1"/>
  <c r="AP244" i="8"/>
  <c r="AN244" i="8" l="1"/>
  <c r="AN115" i="8"/>
  <c r="AQ245" i="8"/>
  <c r="W245" i="8"/>
  <c r="X245" i="8"/>
  <c r="AN245" i="8" s="1"/>
  <c r="AP245" i="8"/>
  <c r="V245" i="8"/>
  <c r="P115" i="8"/>
  <c r="AJ245" i="8"/>
  <c r="M116" i="8"/>
  <c r="P116" i="8" s="1"/>
  <c r="I95" i="8"/>
  <c r="H96" i="8"/>
  <c r="AB96" i="8" s="1"/>
  <c r="Q115" i="8"/>
  <c r="L115" i="8"/>
  <c r="N115" i="8"/>
  <c r="O114" i="8"/>
  <c r="J116" i="8"/>
  <c r="K116" i="8"/>
  <c r="AM245" i="8"/>
  <c r="AL245" i="8"/>
  <c r="E117" i="8"/>
  <c r="B118" i="8"/>
  <c r="M245" i="8"/>
  <c r="P245" i="8" s="1"/>
  <c r="K245" i="8"/>
  <c r="O243" i="8"/>
  <c r="B247" i="8"/>
  <c r="E246" i="8"/>
  <c r="AO246" i="8" s="1"/>
  <c r="L244" i="8"/>
  <c r="N244" i="8"/>
  <c r="O244" i="8" s="1"/>
  <c r="J245" i="8"/>
  <c r="Q245" i="8" s="1"/>
  <c r="AJ116" i="8"/>
  <c r="AL98" i="8"/>
  <c r="AP98" i="8" s="1"/>
  <c r="AM99" i="8"/>
  <c r="AQ99" i="8" s="1"/>
  <c r="AS245" i="8" l="1"/>
  <c r="AR245" i="8"/>
  <c r="AT245" i="8"/>
  <c r="AQ246" i="8"/>
  <c r="W246" i="8"/>
  <c r="AP246" i="8"/>
  <c r="V246" i="8"/>
  <c r="X246" i="8"/>
  <c r="AN246" i="8" s="1"/>
  <c r="AJ246" i="8"/>
  <c r="M117" i="8"/>
  <c r="P117" i="8" s="1"/>
  <c r="B119" i="8"/>
  <c r="E118" i="8"/>
  <c r="O115" i="8"/>
  <c r="I96" i="8"/>
  <c r="H97" i="8"/>
  <c r="AB97" i="8" s="1"/>
  <c r="J117" i="8"/>
  <c r="K117" i="8"/>
  <c r="Q116" i="8"/>
  <c r="N116" i="8"/>
  <c r="L116" i="8"/>
  <c r="AM246" i="8"/>
  <c r="AL246" i="8"/>
  <c r="M246" i="8"/>
  <c r="P246" i="8" s="1"/>
  <c r="K246" i="8"/>
  <c r="N245" i="8"/>
  <c r="L245" i="8"/>
  <c r="J246" i="8"/>
  <c r="Q246" i="8" s="1"/>
  <c r="E247" i="8"/>
  <c r="AO247" i="8" s="1"/>
  <c r="B248" i="8"/>
  <c r="AJ117" i="8"/>
  <c r="W116" i="8"/>
  <c r="AL99" i="8"/>
  <c r="AP99" i="8" s="1"/>
  <c r="AJ118" i="8"/>
  <c r="AM100" i="8"/>
  <c r="AQ100" i="8" s="1"/>
  <c r="X116" i="8"/>
  <c r="AN116" i="8" l="1"/>
  <c r="AS246" i="8"/>
  <c r="AR246" i="8"/>
  <c r="AT246" i="8"/>
  <c r="AP247" i="8"/>
  <c r="AQ247" i="8"/>
  <c r="W247" i="8"/>
  <c r="X247" i="8"/>
  <c r="AN247" i="8" s="1"/>
  <c r="V247" i="8"/>
  <c r="AJ247" i="8"/>
  <c r="O116" i="8"/>
  <c r="M118" i="8"/>
  <c r="I97" i="8"/>
  <c r="H98" i="8"/>
  <c r="AB98" i="8" s="1"/>
  <c r="Q117" i="8"/>
  <c r="L117" i="8"/>
  <c r="N117" i="8"/>
  <c r="J118" i="8"/>
  <c r="K118" i="8"/>
  <c r="AM247" i="8"/>
  <c r="AL247" i="8"/>
  <c r="B120" i="8"/>
  <c r="E119" i="8"/>
  <c r="M119" i="8" s="1"/>
  <c r="P119" i="8" s="1"/>
  <c r="M247" i="8"/>
  <c r="P247" i="8" s="1"/>
  <c r="K247" i="8"/>
  <c r="O245" i="8"/>
  <c r="L246" i="8"/>
  <c r="N246" i="8"/>
  <c r="O246" i="8" s="1"/>
  <c r="B249" i="8"/>
  <c r="E248" i="8"/>
  <c r="AO248" i="8" s="1"/>
  <c r="J247" i="8"/>
  <c r="Q247" i="8" s="1"/>
  <c r="AL100" i="8"/>
  <c r="AP100" i="8" s="1"/>
  <c r="W118" i="8"/>
  <c r="AJ119" i="8"/>
  <c r="AM101" i="8"/>
  <c r="AQ101" i="8" s="1"/>
  <c r="X118" i="8"/>
  <c r="W117" i="8"/>
  <c r="X117" i="8"/>
  <c r="AN117" i="8" l="1"/>
  <c r="AS247" i="8"/>
  <c r="AR247" i="8"/>
  <c r="AT247" i="8"/>
  <c r="AN118" i="8"/>
  <c r="AP248" i="8"/>
  <c r="AQ248" i="8"/>
  <c r="W248" i="8"/>
  <c r="X248" i="8"/>
  <c r="AN248" i="8" s="1"/>
  <c r="V248" i="8"/>
  <c r="P118" i="8"/>
  <c r="O117" i="8"/>
  <c r="AJ248" i="8"/>
  <c r="J119" i="8"/>
  <c r="K119" i="8"/>
  <c r="I98" i="8"/>
  <c r="H99" i="8"/>
  <c r="AB99" i="8" s="1"/>
  <c r="L118" i="8"/>
  <c r="N118" i="8"/>
  <c r="Q118" i="8"/>
  <c r="AM248" i="8"/>
  <c r="AL248" i="8"/>
  <c r="B121" i="8"/>
  <c r="E120" i="8"/>
  <c r="M120" i="8" s="1"/>
  <c r="P120" i="8" s="1"/>
  <c r="M248" i="8"/>
  <c r="P248" i="8" s="1"/>
  <c r="K248" i="8"/>
  <c r="L247" i="8"/>
  <c r="N247" i="8"/>
  <c r="J248" i="8"/>
  <c r="Q248" i="8" s="1"/>
  <c r="B250" i="8"/>
  <c r="E249" i="8"/>
  <c r="AO249" i="8" s="1"/>
  <c r="AM102" i="8"/>
  <c r="AQ102" i="8" s="1"/>
  <c r="W119" i="8"/>
  <c r="AL101" i="8"/>
  <c r="AP101" i="8" s="1"/>
  <c r="X119" i="8"/>
  <c r="AS248" i="8" l="1"/>
  <c r="AR248" i="8"/>
  <c r="AT248" i="8"/>
  <c r="AN119" i="8"/>
  <c r="AP249" i="8"/>
  <c r="AQ249" i="8"/>
  <c r="W249" i="8"/>
  <c r="X249" i="8"/>
  <c r="AN249" i="8" s="1"/>
  <c r="V249" i="8"/>
  <c r="O118" i="8"/>
  <c r="AJ249" i="8"/>
  <c r="J120" i="8"/>
  <c r="K120" i="8"/>
  <c r="I99" i="8"/>
  <c r="H100" i="8"/>
  <c r="AB100" i="8" s="1"/>
  <c r="B122" i="8"/>
  <c r="E121" i="8"/>
  <c r="M121" i="8" s="1"/>
  <c r="P121" i="8" s="1"/>
  <c r="AM249" i="8"/>
  <c r="AL249" i="8"/>
  <c r="L119" i="8"/>
  <c r="N119" i="8"/>
  <c r="Q119" i="8"/>
  <c r="K249" i="8"/>
  <c r="M249" i="8"/>
  <c r="P249" i="8" s="1"/>
  <c r="O247" i="8"/>
  <c r="J249" i="8"/>
  <c r="Q249" i="8" s="1"/>
  <c r="L248" i="8"/>
  <c r="N248" i="8"/>
  <c r="O248" i="8" s="1"/>
  <c r="B251" i="8"/>
  <c r="E250" i="8"/>
  <c r="AO250" i="8" s="1"/>
  <c r="AL102" i="8"/>
  <c r="AP102" i="8" s="1"/>
  <c r="AM103" i="8"/>
  <c r="AQ103" i="8" s="1"/>
  <c r="AJ120" i="8"/>
  <c r="AT249" i="8" l="1"/>
  <c r="AS249" i="8"/>
  <c r="AR249" i="8"/>
  <c r="V250" i="8"/>
  <c r="AP250" i="8"/>
  <c r="AQ250" i="8"/>
  <c r="W250" i="8"/>
  <c r="X250" i="8"/>
  <c r="AN250" i="8" s="1"/>
  <c r="AJ250" i="8"/>
  <c r="J121" i="8"/>
  <c r="K121" i="8"/>
  <c r="B123" i="8"/>
  <c r="E122" i="8"/>
  <c r="M122" i="8" s="1"/>
  <c r="P122" i="8" s="1"/>
  <c r="AM250" i="8"/>
  <c r="AL250" i="8"/>
  <c r="Q120" i="8"/>
  <c r="L120" i="8"/>
  <c r="N120" i="8"/>
  <c r="O119" i="8"/>
  <c r="I100" i="8"/>
  <c r="H101" i="8"/>
  <c r="AB101" i="8" s="1"/>
  <c r="K250" i="8"/>
  <c r="M250" i="8"/>
  <c r="J250" i="8"/>
  <c r="Q250" i="8" s="1"/>
  <c r="B252" i="8"/>
  <c r="E251" i="8"/>
  <c r="AO251" i="8" s="1"/>
  <c r="L249" i="8"/>
  <c r="N249" i="8"/>
  <c r="O249" i="8" s="1"/>
  <c r="AM104" i="8"/>
  <c r="AQ104" i="8" s="1"/>
  <c r="AL103" i="8"/>
  <c r="AP103" i="8" s="1"/>
  <c r="AJ121" i="8"/>
  <c r="W120" i="8"/>
  <c r="X120" i="8"/>
  <c r="AN120" i="8" l="1"/>
  <c r="AT250" i="8"/>
  <c r="AS250" i="8"/>
  <c r="AR250" i="8"/>
  <c r="V251" i="8"/>
  <c r="AP251" i="8"/>
  <c r="AQ251" i="8"/>
  <c r="W251" i="8"/>
  <c r="X251" i="8"/>
  <c r="AN251" i="8" s="1"/>
  <c r="AJ251" i="8"/>
  <c r="AM251" i="8"/>
  <c r="AL251" i="8"/>
  <c r="I101" i="8"/>
  <c r="H102" i="8"/>
  <c r="AB102" i="8" s="1"/>
  <c r="K122" i="8"/>
  <c r="J122" i="8"/>
  <c r="O120" i="8"/>
  <c r="B124" i="8"/>
  <c r="E123" i="8"/>
  <c r="M123" i="8" s="1"/>
  <c r="P123" i="8" s="1"/>
  <c r="Q121" i="8"/>
  <c r="L121" i="8"/>
  <c r="N121" i="8"/>
  <c r="K251" i="8"/>
  <c r="J251" i="8"/>
  <c r="Q251" i="8" s="1"/>
  <c r="B253" i="8"/>
  <c r="E252" i="8"/>
  <c r="AO252" i="8" s="1"/>
  <c r="L250" i="8"/>
  <c r="N250" i="8"/>
  <c r="O250" i="8" s="1"/>
  <c r="AJ122" i="8"/>
  <c r="AL104" i="8"/>
  <c r="AP104" i="8" s="1"/>
  <c r="W121" i="8"/>
  <c r="AM105" i="8"/>
  <c r="AQ105" i="8" s="1"/>
  <c r="X121" i="8"/>
  <c r="AN121" i="8" l="1"/>
  <c r="AS251" i="8"/>
  <c r="AT251" i="8"/>
  <c r="AR251" i="8"/>
  <c r="V252" i="8"/>
  <c r="AP252" i="8"/>
  <c r="AQ252" i="8"/>
  <c r="W252" i="8"/>
  <c r="X252" i="8"/>
  <c r="AN252" i="8" s="1"/>
  <c r="E124" i="8"/>
  <c r="M124" i="8" s="1"/>
  <c r="P124" i="8" s="1"/>
  <c r="B125" i="8"/>
  <c r="AJ252" i="8"/>
  <c r="O121" i="8"/>
  <c r="Q122" i="8"/>
  <c r="L122" i="8"/>
  <c r="N122" i="8"/>
  <c r="J123" i="8"/>
  <c r="K123" i="8"/>
  <c r="AM252" i="8"/>
  <c r="AL252" i="8"/>
  <c r="I102" i="8"/>
  <c r="H103" i="8"/>
  <c r="K252" i="8"/>
  <c r="M252" i="8"/>
  <c r="P252" i="8" s="1"/>
  <c r="N251" i="8"/>
  <c r="L251" i="8"/>
  <c r="E253" i="8"/>
  <c r="AO253" i="8" s="1"/>
  <c r="B254" i="8"/>
  <c r="J252" i="8"/>
  <c r="Q252" i="8" s="1"/>
  <c r="AJ124" i="8"/>
  <c r="AL105" i="8"/>
  <c r="AP105" i="8" s="1"/>
  <c r="AJ123" i="8"/>
  <c r="X122" i="8"/>
  <c r="W122" i="8"/>
  <c r="AM106" i="8"/>
  <c r="AQ106" i="8" s="1"/>
  <c r="AB103" i="8" l="1"/>
  <c r="H104" i="8"/>
  <c r="AN122" i="8"/>
  <c r="AS252" i="8"/>
  <c r="AT252" i="8"/>
  <c r="AR252" i="8"/>
  <c r="V253" i="8"/>
  <c r="AP253" i="8"/>
  <c r="AQ253" i="8"/>
  <c r="W253" i="8"/>
  <c r="X253" i="8"/>
  <c r="AN253" i="8" s="1"/>
  <c r="K124" i="8"/>
  <c r="J124" i="8"/>
  <c r="O122" i="8"/>
  <c r="B126" i="8"/>
  <c r="E125" i="8"/>
  <c r="AJ253" i="8"/>
  <c r="AM253" i="8"/>
  <c r="AL253" i="8"/>
  <c r="N123" i="8"/>
  <c r="L123" i="8"/>
  <c r="Q123" i="8"/>
  <c r="I103" i="8"/>
  <c r="K253" i="8"/>
  <c r="M253" i="8"/>
  <c r="P253" i="8" s="1"/>
  <c r="O251" i="8"/>
  <c r="E254" i="8"/>
  <c r="AO254" i="8" s="1"/>
  <c r="B255" i="8"/>
  <c r="L252" i="8"/>
  <c r="N252" i="8"/>
  <c r="O252" i="8" s="1"/>
  <c r="J253" i="8"/>
  <c r="Q253" i="8" s="1"/>
  <c r="AL106" i="8"/>
  <c r="AP106" i="8" s="1"/>
  <c r="W123" i="8"/>
  <c r="W124" i="8"/>
  <c r="AJ125" i="8"/>
  <c r="AM107" i="8"/>
  <c r="AQ107" i="8" s="1"/>
  <c r="X123" i="8"/>
  <c r="X124" i="8"/>
  <c r="AB104" i="8" l="1"/>
  <c r="H105" i="8"/>
  <c r="AB105" i="8" s="1"/>
  <c r="AN123" i="8"/>
  <c r="AS253" i="8"/>
  <c r="AT253" i="8"/>
  <c r="AR253" i="8"/>
  <c r="AN124" i="8"/>
  <c r="Q124" i="8"/>
  <c r="V254" i="8"/>
  <c r="AP254" i="8"/>
  <c r="AQ254" i="8"/>
  <c r="W254" i="8"/>
  <c r="X254" i="8"/>
  <c r="AN254" i="8" s="1"/>
  <c r="N124" i="8"/>
  <c r="L124" i="8"/>
  <c r="J125" i="8"/>
  <c r="K125" i="8"/>
  <c r="M125" i="8"/>
  <c r="B127" i="8"/>
  <c r="E126" i="8"/>
  <c r="AJ254" i="8"/>
  <c r="O123" i="8"/>
  <c r="AM254" i="8"/>
  <c r="AL254" i="8"/>
  <c r="I104" i="8"/>
  <c r="M254" i="8"/>
  <c r="P254" i="8" s="1"/>
  <c r="K254" i="8"/>
  <c r="L253" i="8"/>
  <c r="N253" i="8"/>
  <c r="E255" i="8"/>
  <c r="AO255" i="8" s="1"/>
  <c r="B256" i="8"/>
  <c r="J254" i="8"/>
  <c r="Q254" i="8" s="1"/>
  <c r="AM108" i="8"/>
  <c r="AL107" i="8"/>
  <c r="AP107" i="8" s="1"/>
  <c r="W125" i="8"/>
  <c r="X125" i="8"/>
  <c r="O124" i="8" l="1"/>
  <c r="AR254" i="8"/>
  <c r="AT254" i="8"/>
  <c r="AS254" i="8"/>
  <c r="AN125" i="8"/>
  <c r="V255" i="8"/>
  <c r="AP255" i="8"/>
  <c r="W255" i="8"/>
  <c r="AQ255" i="8"/>
  <c r="X255" i="8"/>
  <c r="AN255" i="8" s="1"/>
  <c r="M126" i="8"/>
  <c r="P126" i="8" s="1"/>
  <c r="K126" i="8"/>
  <c r="J126" i="8"/>
  <c r="P125" i="8"/>
  <c r="B128" i="8"/>
  <c r="E127" i="8"/>
  <c r="Q125" i="8"/>
  <c r="N125" i="8"/>
  <c r="L125" i="8"/>
  <c r="AJ255" i="8"/>
  <c r="AM255" i="8"/>
  <c r="AL255" i="8"/>
  <c r="I105" i="8"/>
  <c r="H106" i="8"/>
  <c r="AB106" i="8" s="1"/>
  <c r="M255" i="8"/>
  <c r="P255" i="8" s="1"/>
  <c r="K255" i="8"/>
  <c r="O253" i="8"/>
  <c r="L254" i="8"/>
  <c r="N254" i="8"/>
  <c r="O254" i="8" s="1"/>
  <c r="B257" i="8"/>
  <c r="E256" i="8"/>
  <c r="AO256" i="8" s="1"/>
  <c r="J255" i="8"/>
  <c r="Q255" i="8" s="1"/>
  <c r="AM109" i="8"/>
  <c r="AQ108" i="8"/>
  <c r="AJ126" i="8"/>
  <c r="AL108" i="8"/>
  <c r="AR255" i="8" l="1"/>
  <c r="AT255" i="8"/>
  <c r="AS255" i="8"/>
  <c r="X256" i="8"/>
  <c r="AN256" i="8" s="1"/>
  <c r="V256" i="8"/>
  <c r="AP256" i="8"/>
  <c r="AQ256" i="8"/>
  <c r="W256" i="8"/>
  <c r="M127" i="8"/>
  <c r="K127" i="8"/>
  <c r="J127" i="8"/>
  <c r="Q126" i="8"/>
  <c r="N126" i="8"/>
  <c r="L126" i="8"/>
  <c r="O125" i="8"/>
  <c r="B129" i="8"/>
  <c r="E128" i="8"/>
  <c r="AJ256" i="8"/>
  <c r="I106" i="8"/>
  <c r="H107" i="8"/>
  <c r="AB107" i="8" s="1"/>
  <c r="AL256" i="8"/>
  <c r="AM256" i="8"/>
  <c r="K256" i="8"/>
  <c r="M256" i="8"/>
  <c r="P256" i="8" s="1"/>
  <c r="L255" i="8"/>
  <c r="N255" i="8"/>
  <c r="O255" i="8" s="1"/>
  <c r="J256" i="8"/>
  <c r="Q256" i="8" s="1"/>
  <c r="B258" i="8"/>
  <c r="E257" i="8"/>
  <c r="AO257" i="8" s="1"/>
  <c r="AM110" i="8"/>
  <c r="AJ127" i="8"/>
  <c r="X126" i="8"/>
  <c r="W126" i="8"/>
  <c r="AQ110" i="8"/>
  <c r="AP108" i="8"/>
  <c r="AL109" i="8"/>
  <c r="AQ109" i="8"/>
  <c r="AM111" i="8"/>
  <c r="AN126" i="8" l="1"/>
  <c r="AT256" i="8"/>
  <c r="AR256" i="8"/>
  <c r="AS256" i="8"/>
  <c r="X257" i="8"/>
  <c r="AN257" i="8" s="1"/>
  <c r="V257" i="8"/>
  <c r="AP257" i="8"/>
  <c r="AQ257" i="8"/>
  <c r="W257" i="8"/>
  <c r="O126" i="8"/>
  <c r="Q127" i="8"/>
  <c r="L127" i="8"/>
  <c r="N127" i="8"/>
  <c r="O127" i="8" s="1"/>
  <c r="K128" i="8"/>
  <c r="M128" i="8"/>
  <c r="J128" i="8"/>
  <c r="B130" i="8"/>
  <c r="E129" i="8"/>
  <c r="P127" i="8"/>
  <c r="AJ257" i="8"/>
  <c r="I107" i="8"/>
  <c r="H108" i="8"/>
  <c r="AB108" i="8" s="1"/>
  <c r="AL257" i="8"/>
  <c r="AM257" i="8"/>
  <c r="K257" i="8"/>
  <c r="M257" i="8"/>
  <c r="P257" i="8" s="1"/>
  <c r="J257" i="8"/>
  <c r="Q257" i="8" s="1"/>
  <c r="E258" i="8"/>
  <c r="AO258" i="8" s="1"/>
  <c r="B259" i="8"/>
  <c r="N256" i="8"/>
  <c r="L256" i="8"/>
  <c r="V108" i="8"/>
  <c r="X127" i="8"/>
  <c r="AJ128" i="8"/>
  <c r="W127" i="8"/>
  <c r="AM112" i="8"/>
  <c r="AM113" i="8" s="1"/>
  <c r="AQ111" i="8"/>
  <c r="AL110" i="8"/>
  <c r="AP109" i="8"/>
  <c r="AN127" i="8" l="1"/>
  <c r="AT257" i="8"/>
  <c r="AR257" i="8"/>
  <c r="AS257" i="8"/>
  <c r="X258" i="8"/>
  <c r="AN258" i="8" s="1"/>
  <c r="V258" i="8"/>
  <c r="AP258" i="8"/>
  <c r="AQ258" i="8"/>
  <c r="W258" i="8"/>
  <c r="P128" i="8"/>
  <c r="K129" i="8"/>
  <c r="J129" i="8"/>
  <c r="M129" i="8"/>
  <c r="B131" i="8"/>
  <c r="E130" i="8"/>
  <c r="Q128" i="8"/>
  <c r="L128" i="8"/>
  <c r="N128" i="8"/>
  <c r="AJ258" i="8"/>
  <c r="AL258" i="8"/>
  <c r="AM258" i="8"/>
  <c r="I108" i="8"/>
  <c r="H109" i="8"/>
  <c r="AB109" i="8" s="1"/>
  <c r="K258" i="8"/>
  <c r="M258" i="8"/>
  <c r="P258" i="8" s="1"/>
  <c r="O256" i="8"/>
  <c r="E259" i="8"/>
  <c r="AO259" i="8" s="1"/>
  <c r="B260" i="8"/>
  <c r="J258" i="8"/>
  <c r="Q258" i="8" s="1"/>
  <c r="N257" i="8"/>
  <c r="L257" i="8"/>
  <c r="AL111" i="8"/>
  <c r="AO108" i="8"/>
  <c r="AM114" i="8"/>
  <c r="W128" i="8"/>
  <c r="AP110" i="8"/>
  <c r="AJ129" i="8"/>
  <c r="V109" i="8"/>
  <c r="X128" i="8"/>
  <c r="AQ112" i="8"/>
  <c r="AQ114" i="8"/>
  <c r="AQ113" i="8"/>
  <c r="AN128" i="8" l="1"/>
  <c r="AT258" i="8"/>
  <c r="AR258" i="8"/>
  <c r="AS258" i="8"/>
  <c r="X259" i="8"/>
  <c r="AN259" i="8" s="1"/>
  <c r="V259" i="8"/>
  <c r="AP259" i="8"/>
  <c r="AQ259" i="8"/>
  <c r="W259" i="8"/>
  <c r="J130" i="8"/>
  <c r="M130" i="8"/>
  <c r="K130" i="8"/>
  <c r="P129" i="8"/>
  <c r="L129" i="8"/>
  <c r="N129" i="8"/>
  <c r="Q129" i="8"/>
  <c r="B132" i="8"/>
  <c r="E131" i="8"/>
  <c r="K131" i="8" s="1"/>
  <c r="O128" i="8"/>
  <c r="AJ259" i="8"/>
  <c r="AL259" i="8"/>
  <c r="AM259" i="8"/>
  <c r="I109" i="8"/>
  <c r="H110" i="8"/>
  <c r="AB110" i="8" s="1"/>
  <c r="K259" i="8"/>
  <c r="M259" i="8"/>
  <c r="P259" i="8" s="1"/>
  <c r="O257" i="8"/>
  <c r="L258" i="8"/>
  <c r="N258" i="8"/>
  <c r="O258" i="8" s="1"/>
  <c r="E260" i="8"/>
  <c r="AO260" i="8" s="1"/>
  <c r="B261" i="8"/>
  <c r="J259" i="8"/>
  <c r="Q259" i="8" s="1"/>
  <c r="AL112" i="8"/>
  <c r="W129" i="8"/>
  <c r="AT108" i="8"/>
  <c r="AM115" i="8"/>
  <c r="AJ130" i="8"/>
  <c r="AP111" i="8"/>
  <c r="X129" i="8"/>
  <c r="AS108" i="8"/>
  <c r="AM116" i="8"/>
  <c r="AO109" i="8"/>
  <c r="V110" i="8"/>
  <c r="AR108" i="8"/>
  <c r="AN129" i="8" l="1"/>
  <c r="AR259" i="8"/>
  <c r="AS259" i="8"/>
  <c r="AT259" i="8"/>
  <c r="X260" i="8"/>
  <c r="AN260" i="8" s="1"/>
  <c r="V260" i="8"/>
  <c r="AP260" i="8"/>
  <c r="AQ260" i="8"/>
  <c r="W260" i="8"/>
  <c r="J131" i="8"/>
  <c r="M131" i="8"/>
  <c r="P131" i="8" s="1"/>
  <c r="P130" i="8"/>
  <c r="B133" i="8"/>
  <c r="E132" i="8"/>
  <c r="K132" i="8" s="1"/>
  <c r="O129" i="8"/>
  <c r="Q130" i="8"/>
  <c r="N130" i="8"/>
  <c r="L130" i="8"/>
  <c r="AJ260" i="8"/>
  <c r="I110" i="8"/>
  <c r="H111" i="8"/>
  <c r="AB111" i="8" s="1"/>
  <c r="AL260" i="8"/>
  <c r="AM260" i="8"/>
  <c r="K260" i="8"/>
  <c r="M260" i="8"/>
  <c r="P260" i="8" s="1"/>
  <c r="N259" i="8"/>
  <c r="L259" i="8"/>
  <c r="E261" i="8"/>
  <c r="AO261" i="8" s="1"/>
  <c r="B262" i="8"/>
  <c r="J260" i="8"/>
  <c r="Q260" i="8" s="1"/>
  <c r="AL113" i="8"/>
  <c r="X130" i="8"/>
  <c r="AT109" i="8"/>
  <c r="AM117" i="8"/>
  <c r="AO110" i="8"/>
  <c r="AQ117" i="8"/>
  <c r="AM118" i="8"/>
  <c r="W130" i="8"/>
  <c r="AQ115" i="8"/>
  <c r="AR109" i="8"/>
  <c r="AP112" i="8"/>
  <c r="AJ131" i="8"/>
  <c r="V111" i="8"/>
  <c r="AS109" i="8"/>
  <c r="AQ116" i="8"/>
  <c r="AN130" i="8" l="1"/>
  <c r="AR260" i="8"/>
  <c r="AS260" i="8"/>
  <c r="AT260" i="8"/>
  <c r="X261" i="8"/>
  <c r="AN261" i="8" s="1"/>
  <c r="V261" i="8"/>
  <c r="AP261" i="8"/>
  <c r="AQ261" i="8"/>
  <c r="W261" i="8"/>
  <c r="O130" i="8"/>
  <c r="J132" i="8"/>
  <c r="M132" i="8"/>
  <c r="P132" i="8" s="1"/>
  <c r="B134" i="8"/>
  <c r="E133" i="8"/>
  <c r="K133" i="8" s="1"/>
  <c r="Q131" i="8"/>
  <c r="N131" i="8"/>
  <c r="L131" i="8"/>
  <c r="AJ261" i="8"/>
  <c r="I111" i="8"/>
  <c r="H112" i="8"/>
  <c r="AB112" i="8" s="1"/>
  <c r="AL261" i="8"/>
  <c r="AM261" i="8"/>
  <c r="K261" i="8"/>
  <c r="O259" i="8"/>
  <c r="N260" i="8"/>
  <c r="L260" i="8"/>
  <c r="B263" i="8"/>
  <c r="E262" i="8"/>
  <c r="AO262" i="8" s="1"/>
  <c r="J261" i="8"/>
  <c r="Q261" i="8" s="1"/>
  <c r="AJ132" i="8"/>
  <c r="AT110" i="8"/>
  <c r="W131" i="8"/>
  <c r="AM119" i="8"/>
  <c r="AS110" i="8"/>
  <c r="AR110" i="8"/>
  <c r="AL114" i="8"/>
  <c r="V112" i="8"/>
  <c r="AO111" i="8"/>
  <c r="AP113" i="8"/>
  <c r="X131" i="8"/>
  <c r="AQ118" i="8"/>
  <c r="AN131" i="8" l="1"/>
  <c r="AR261" i="8"/>
  <c r="AS261" i="8"/>
  <c r="AT261" i="8"/>
  <c r="Q132" i="8"/>
  <c r="O131" i="8"/>
  <c r="M133" i="8"/>
  <c r="P133" i="8" s="1"/>
  <c r="W262" i="8"/>
  <c r="X262" i="8"/>
  <c r="AN262" i="8" s="1"/>
  <c r="V262" i="8"/>
  <c r="AP262" i="8"/>
  <c r="AQ262" i="8"/>
  <c r="E134" i="8"/>
  <c r="K134" i="8" s="1"/>
  <c r="B135" i="8"/>
  <c r="J133" i="8"/>
  <c r="N132" i="8"/>
  <c r="L132" i="8"/>
  <c r="AJ262" i="8"/>
  <c r="AL262" i="8"/>
  <c r="AM262" i="8"/>
  <c r="I112" i="8"/>
  <c r="H113" i="8"/>
  <c r="AB113" i="8" s="1"/>
  <c r="M262" i="8"/>
  <c r="P262" i="8" s="1"/>
  <c r="K262" i="8"/>
  <c r="O260" i="8"/>
  <c r="J262" i="8"/>
  <c r="Q262" i="8" s="1"/>
  <c r="N261" i="8"/>
  <c r="L261" i="8"/>
  <c r="E263" i="8"/>
  <c r="AO263" i="8" s="1"/>
  <c r="B264" i="8"/>
  <c r="AM120" i="8"/>
  <c r="V113" i="8"/>
  <c r="AR111" i="8"/>
  <c r="AT111" i="8"/>
  <c r="AL115" i="8"/>
  <c r="AP114" i="8"/>
  <c r="X132" i="8"/>
  <c r="AJ133" i="8"/>
  <c r="AQ119" i="8"/>
  <c r="W132" i="8"/>
  <c r="AO112" i="8"/>
  <c r="AS111" i="8"/>
  <c r="AM121" i="8"/>
  <c r="AQ120" i="8"/>
  <c r="AQ121" i="8"/>
  <c r="AN132" i="8" l="1"/>
  <c r="M134" i="8"/>
  <c r="P134" i="8" s="1"/>
  <c r="AR262" i="8"/>
  <c r="AS262" i="8"/>
  <c r="AT262" i="8"/>
  <c r="O132" i="8"/>
  <c r="W263" i="8"/>
  <c r="X263" i="8"/>
  <c r="AN263" i="8" s="1"/>
  <c r="V263" i="8"/>
  <c r="AP263" i="8"/>
  <c r="AQ263" i="8"/>
  <c r="J134" i="8"/>
  <c r="B136" i="8"/>
  <c r="E135" i="8"/>
  <c r="Q133" i="8"/>
  <c r="N133" i="8"/>
  <c r="L133" i="8"/>
  <c r="AJ263" i="8"/>
  <c r="I113" i="8"/>
  <c r="H114" i="8"/>
  <c r="AB114" i="8" s="1"/>
  <c r="AL263" i="8"/>
  <c r="AM263" i="8"/>
  <c r="K263" i="8"/>
  <c r="M263" i="8"/>
  <c r="P263" i="8" s="1"/>
  <c r="O261" i="8"/>
  <c r="B265" i="8"/>
  <c r="E264" i="8"/>
  <c r="AO264" i="8" s="1"/>
  <c r="J263" i="8"/>
  <c r="Q263" i="8" s="1"/>
  <c r="N262" i="8"/>
  <c r="O262" i="8" s="1"/>
  <c r="L262" i="8"/>
  <c r="AM122" i="8"/>
  <c r="AT112" i="8"/>
  <c r="X133" i="8"/>
  <c r="AL116" i="8"/>
  <c r="AJ134" i="8"/>
  <c r="AO113" i="8"/>
  <c r="AP115" i="8"/>
  <c r="V114" i="8"/>
  <c r="W133" i="8"/>
  <c r="AR112" i="8"/>
  <c r="AS112" i="8"/>
  <c r="AQ122" i="8"/>
  <c r="AN133" i="8" l="1"/>
  <c r="M135" i="8"/>
  <c r="P135" i="8" s="1"/>
  <c r="K135" i="8"/>
  <c r="AR263" i="8"/>
  <c r="AS263" i="8"/>
  <c r="AT263" i="8"/>
  <c r="Q134" i="8"/>
  <c r="O133" i="8"/>
  <c r="L134" i="8"/>
  <c r="N134" i="8"/>
  <c r="O134" i="8" s="1"/>
  <c r="W264" i="8"/>
  <c r="X264" i="8"/>
  <c r="AN264" i="8" s="1"/>
  <c r="AP264" i="8"/>
  <c r="V264" i="8"/>
  <c r="AQ264" i="8"/>
  <c r="B137" i="8"/>
  <c r="E136" i="8"/>
  <c r="J135" i="8"/>
  <c r="AJ264" i="8"/>
  <c r="AL264" i="8"/>
  <c r="AM264" i="8"/>
  <c r="I114" i="8"/>
  <c r="H115" i="8"/>
  <c r="AB115" i="8" s="1"/>
  <c r="K264" i="8"/>
  <c r="M264" i="8"/>
  <c r="P264" i="8" s="1"/>
  <c r="L263" i="8"/>
  <c r="N263" i="8"/>
  <c r="J264" i="8"/>
  <c r="Q264" i="8" s="1"/>
  <c r="B266" i="8"/>
  <c r="E265" i="8"/>
  <c r="AO265" i="8" s="1"/>
  <c r="AM123" i="8"/>
  <c r="AP116" i="8"/>
  <c r="V115" i="8"/>
  <c r="AS113" i="8"/>
  <c r="W134" i="8"/>
  <c r="AL117" i="8"/>
  <c r="AO114" i="8"/>
  <c r="AT113" i="8"/>
  <c r="AJ135" i="8"/>
  <c r="AR113" i="8"/>
  <c r="X134" i="8"/>
  <c r="AQ123" i="8"/>
  <c r="AM124" i="8"/>
  <c r="AM125" i="8"/>
  <c r="AQ124" i="8"/>
  <c r="AM126" i="8"/>
  <c r="AQ125" i="8"/>
  <c r="AQ126" i="8"/>
  <c r="AM127" i="8"/>
  <c r="AQ127" i="8"/>
  <c r="AM128" i="8"/>
  <c r="AM129" i="8"/>
  <c r="AQ128" i="8"/>
  <c r="AQ129" i="8"/>
  <c r="AM130" i="8"/>
  <c r="AN134" i="8" l="1"/>
  <c r="M136" i="8"/>
  <c r="P136" i="8" s="1"/>
  <c r="K136" i="8"/>
  <c r="AT264" i="8"/>
  <c r="AR264" i="8"/>
  <c r="AS264" i="8"/>
  <c r="AQ265" i="8"/>
  <c r="W265" i="8"/>
  <c r="X265" i="8"/>
  <c r="AN265" i="8" s="1"/>
  <c r="V265" i="8"/>
  <c r="AP265" i="8"/>
  <c r="Q135" i="8"/>
  <c r="N135" i="8"/>
  <c r="O135" i="8" s="1"/>
  <c r="L135" i="8"/>
  <c r="J136" i="8"/>
  <c r="B138" i="8"/>
  <c r="E137" i="8"/>
  <c r="AJ265" i="8"/>
  <c r="I115" i="8"/>
  <c r="H116" i="8"/>
  <c r="AB116" i="8" s="1"/>
  <c r="AL265" i="8"/>
  <c r="AM265" i="8"/>
  <c r="O263" i="8"/>
  <c r="K265" i="8"/>
  <c r="M265" i="8"/>
  <c r="P265" i="8" s="1"/>
  <c r="J265" i="8"/>
  <c r="Q265" i="8" s="1"/>
  <c r="B267" i="8"/>
  <c r="E266" i="8"/>
  <c r="AO266" i="8" s="1"/>
  <c r="N264" i="8"/>
  <c r="L264" i="8"/>
  <c r="AL118" i="8"/>
  <c r="AP117" i="8"/>
  <c r="AS114" i="8"/>
  <c r="X135" i="8"/>
  <c r="AQ130" i="8"/>
  <c r="AT114" i="8"/>
  <c r="AM131" i="8"/>
  <c r="AM132" i="8" s="1"/>
  <c r="W135" i="8"/>
  <c r="AO115" i="8"/>
  <c r="AQ131" i="8"/>
  <c r="AR114" i="8"/>
  <c r="AJ136" i="8"/>
  <c r="V116" i="8"/>
  <c r="AN135" i="8" l="1"/>
  <c r="M137" i="8"/>
  <c r="P137" i="8" s="1"/>
  <c r="K137" i="8"/>
  <c r="AT265" i="8"/>
  <c r="AS265" i="8"/>
  <c r="AR265" i="8"/>
  <c r="Q136" i="8"/>
  <c r="AQ266" i="8"/>
  <c r="W266" i="8"/>
  <c r="X266" i="8"/>
  <c r="AN266" i="8" s="1"/>
  <c r="AP266" i="8"/>
  <c r="V266" i="8"/>
  <c r="B139" i="8"/>
  <c r="E138" i="8"/>
  <c r="J137" i="8"/>
  <c r="L136" i="8"/>
  <c r="N136" i="8"/>
  <c r="AJ266" i="8"/>
  <c r="AL266" i="8"/>
  <c r="AM266" i="8"/>
  <c r="I116" i="8"/>
  <c r="H117" i="8"/>
  <c r="AB117" i="8" s="1"/>
  <c r="O264" i="8"/>
  <c r="K266" i="8"/>
  <c r="M266" i="8"/>
  <c r="P266" i="8" s="1"/>
  <c r="J266" i="8"/>
  <c r="Q266" i="8" s="1"/>
  <c r="B268" i="8"/>
  <c r="E267" i="8"/>
  <c r="AO267" i="8" s="1"/>
  <c r="L265" i="8"/>
  <c r="N265" i="8"/>
  <c r="AJ137" i="8"/>
  <c r="W136" i="8"/>
  <c r="AS115" i="8"/>
  <c r="AL119" i="8"/>
  <c r="AR115" i="8"/>
  <c r="AQ132" i="8"/>
  <c r="AM133" i="8"/>
  <c r="AQ133" i="8" s="1"/>
  <c r="X136" i="8"/>
  <c r="AP118" i="8"/>
  <c r="AT115" i="8"/>
  <c r="AO116" i="8"/>
  <c r="V117" i="8"/>
  <c r="O136" i="8" l="1"/>
  <c r="M138" i="8"/>
  <c r="P138" i="8" s="1"/>
  <c r="K138" i="8"/>
  <c r="AN136" i="8"/>
  <c r="Q137" i="8"/>
  <c r="AT266" i="8"/>
  <c r="AS266" i="8"/>
  <c r="AR266" i="8"/>
  <c r="AQ267" i="8"/>
  <c r="W267" i="8"/>
  <c r="X267" i="8"/>
  <c r="AN267" i="8" s="1"/>
  <c r="AP267" i="8"/>
  <c r="V267" i="8"/>
  <c r="J138" i="8"/>
  <c r="B140" i="8"/>
  <c r="E139" i="8"/>
  <c r="L137" i="8"/>
  <c r="N137" i="8"/>
  <c r="O137" i="8" s="1"/>
  <c r="AJ267" i="8"/>
  <c r="AL267" i="8"/>
  <c r="AM267" i="8"/>
  <c r="I117" i="8"/>
  <c r="H118" i="8"/>
  <c r="AB118" i="8" s="1"/>
  <c r="M267" i="8"/>
  <c r="O265" i="8"/>
  <c r="J267" i="8"/>
  <c r="Q267" i="8" s="1"/>
  <c r="B269" i="8"/>
  <c r="E268" i="8"/>
  <c r="AO268" i="8" s="1"/>
  <c r="L266" i="8"/>
  <c r="N266" i="8"/>
  <c r="AM134" i="8"/>
  <c r="X137" i="8"/>
  <c r="AS116" i="8"/>
  <c r="AP119" i="8"/>
  <c r="V118" i="8"/>
  <c r="AQ134" i="8"/>
  <c r="AJ138" i="8"/>
  <c r="AT116" i="8"/>
  <c r="AL120" i="8"/>
  <c r="AR116" i="8"/>
  <c r="W137" i="8"/>
  <c r="AO117" i="8"/>
  <c r="AN137" i="8" l="1"/>
  <c r="M139" i="8"/>
  <c r="P139" i="8" s="1"/>
  <c r="K139" i="8"/>
  <c r="AT267" i="8"/>
  <c r="AR267" i="8"/>
  <c r="AS267" i="8"/>
  <c r="AQ268" i="8"/>
  <c r="W268" i="8"/>
  <c r="X268" i="8"/>
  <c r="AN268" i="8" s="1"/>
  <c r="AP268" i="8"/>
  <c r="V268" i="8"/>
  <c r="Q138" i="8"/>
  <c r="N138" i="8"/>
  <c r="L138" i="8"/>
  <c r="B141" i="8"/>
  <c r="E140" i="8"/>
  <c r="J139" i="8"/>
  <c r="AJ268" i="8"/>
  <c r="AL268" i="8"/>
  <c r="AM268" i="8"/>
  <c r="I118" i="8"/>
  <c r="H119" i="8"/>
  <c r="AB119" i="8" s="1"/>
  <c r="M268" i="8"/>
  <c r="O266" i="8"/>
  <c r="E269" i="8"/>
  <c r="AO269" i="8" s="1"/>
  <c r="B270" i="8"/>
  <c r="J268" i="8"/>
  <c r="Q268" i="8" s="1"/>
  <c r="N267" i="8"/>
  <c r="L267" i="8"/>
  <c r="AL121" i="8"/>
  <c r="AO118" i="8"/>
  <c r="V119" i="8"/>
  <c r="X138" i="8"/>
  <c r="AJ139" i="8"/>
  <c r="W138" i="8"/>
  <c r="AT117" i="8"/>
  <c r="AP120" i="8"/>
  <c r="AR117" i="8"/>
  <c r="AS117" i="8"/>
  <c r="AM135" i="8"/>
  <c r="AQ135" i="8" s="1"/>
  <c r="AN138" i="8" l="1"/>
  <c r="M140" i="8"/>
  <c r="P140" i="8" s="1"/>
  <c r="K140" i="8"/>
  <c r="O138" i="8"/>
  <c r="AS268" i="8"/>
  <c r="AT268" i="8"/>
  <c r="AR268" i="8"/>
  <c r="AQ269" i="8"/>
  <c r="W269" i="8"/>
  <c r="X269" i="8"/>
  <c r="AN269" i="8" s="1"/>
  <c r="AP269" i="8"/>
  <c r="V269" i="8"/>
  <c r="J140" i="8"/>
  <c r="Q139" i="8"/>
  <c r="N139" i="8"/>
  <c r="L139" i="8"/>
  <c r="B142" i="8"/>
  <c r="E141" i="8"/>
  <c r="AJ269" i="8"/>
  <c r="AM269" i="8"/>
  <c r="AL269" i="8"/>
  <c r="I119" i="8"/>
  <c r="H120" i="8"/>
  <c r="AB120" i="8" s="1"/>
  <c r="M269" i="8"/>
  <c r="P269" i="8" s="1"/>
  <c r="O267" i="8"/>
  <c r="E270" i="8"/>
  <c r="AO270" i="8" s="1"/>
  <c r="B271" i="8"/>
  <c r="N268" i="8"/>
  <c r="L268" i="8"/>
  <c r="J269" i="8"/>
  <c r="Q269" i="8" s="1"/>
  <c r="AS118" i="8"/>
  <c r="AL122" i="8"/>
  <c r="W139" i="8"/>
  <c r="X139" i="8"/>
  <c r="AP121" i="8"/>
  <c r="AM136" i="8"/>
  <c r="AM137" i="8" s="1"/>
  <c r="V120" i="8"/>
  <c r="AQ137" i="8"/>
  <c r="AJ140" i="8"/>
  <c r="AO119" i="8"/>
  <c r="AT118" i="8"/>
  <c r="AM138" i="8"/>
  <c r="AQ138" i="8" s="1"/>
  <c r="AR118" i="8"/>
  <c r="AN139" i="8" l="1"/>
  <c r="E142" i="8"/>
  <c r="K142" i="8" s="1"/>
  <c r="B143" i="8"/>
  <c r="M141" i="8"/>
  <c r="P141" i="8" s="1"/>
  <c r="K141" i="8"/>
  <c r="Q140" i="8"/>
  <c r="O139" i="8"/>
  <c r="AS269" i="8"/>
  <c r="AR269" i="8"/>
  <c r="AT269" i="8"/>
  <c r="AQ270" i="8"/>
  <c r="W270" i="8"/>
  <c r="X270" i="8"/>
  <c r="AN270" i="8" s="1"/>
  <c r="AP270" i="8"/>
  <c r="V270" i="8"/>
  <c r="L140" i="8"/>
  <c r="N140" i="8"/>
  <c r="J141" i="8"/>
  <c r="AJ270" i="8"/>
  <c r="AM270" i="8"/>
  <c r="AL270" i="8"/>
  <c r="I120" i="8"/>
  <c r="H121" i="8"/>
  <c r="AB121" i="8" s="1"/>
  <c r="O268" i="8"/>
  <c r="L269" i="8"/>
  <c r="N269" i="8"/>
  <c r="O269" i="8" s="1"/>
  <c r="E271" i="8"/>
  <c r="AO271" i="8" s="1"/>
  <c r="B272" i="8"/>
  <c r="J270" i="8"/>
  <c r="Q270" i="8" s="1"/>
  <c r="Q306" i="8" s="1"/>
  <c r="AR119" i="8"/>
  <c r="AS119" i="8"/>
  <c r="AT119" i="8"/>
  <c r="AL123" i="8"/>
  <c r="AP123" i="8" s="1"/>
  <c r="AQ136" i="8"/>
  <c r="AJ142" i="8"/>
  <c r="AO120" i="8"/>
  <c r="V121" i="8"/>
  <c r="AJ141" i="8"/>
  <c r="AP122" i="8"/>
  <c r="AL124" i="8"/>
  <c r="X140" i="8"/>
  <c r="AM139" i="8"/>
  <c r="AL125" i="8"/>
  <c r="AP125" i="8" s="1"/>
  <c r="W140" i="8"/>
  <c r="AL126" i="8"/>
  <c r="AQ139" i="8"/>
  <c r="AP126" i="8"/>
  <c r="AL127" i="8"/>
  <c r="AP127" i="8"/>
  <c r="AL128" i="8"/>
  <c r="AL129" i="8"/>
  <c r="AP128" i="8"/>
  <c r="AP129" i="8"/>
  <c r="AL130" i="8"/>
  <c r="AP130" i="8"/>
  <c r="AL131" i="8"/>
  <c r="AN140" i="8" l="1"/>
  <c r="J142" i="8"/>
  <c r="L142" i="8" s="1"/>
  <c r="M142" i="8"/>
  <c r="P142" i="8" s="1"/>
  <c r="B144" i="8"/>
  <c r="E143" i="8"/>
  <c r="Q141" i="8"/>
  <c r="O140" i="8"/>
  <c r="AS270" i="8"/>
  <c r="AR270" i="8"/>
  <c r="AT270" i="8"/>
  <c r="AP271" i="8"/>
  <c r="AQ271" i="8"/>
  <c r="W271" i="8"/>
  <c r="X271" i="8"/>
  <c r="AN271" i="8" s="1"/>
  <c r="V271" i="8"/>
  <c r="L141" i="8"/>
  <c r="N141" i="8"/>
  <c r="AJ271" i="8"/>
  <c r="I121" i="8"/>
  <c r="H122" i="8"/>
  <c r="AB122" i="8" s="1"/>
  <c r="AM271" i="8"/>
  <c r="AL271" i="8"/>
  <c r="B273" i="8"/>
  <c r="E272" i="8"/>
  <c r="AO272" i="8" s="1"/>
  <c r="L270" i="8"/>
  <c r="N270" i="8"/>
  <c r="J271" i="8"/>
  <c r="AS120" i="8"/>
  <c r="AT120" i="8"/>
  <c r="AR120" i="8"/>
  <c r="AM140" i="8"/>
  <c r="AM141" i="8" s="1"/>
  <c r="AJ143" i="8"/>
  <c r="W142" i="8"/>
  <c r="X141" i="8"/>
  <c r="V122" i="8"/>
  <c r="W141" i="8"/>
  <c r="AL132" i="8"/>
  <c r="AO121" i="8"/>
  <c r="AP131" i="8"/>
  <c r="AM142" i="8"/>
  <c r="AP124" i="8"/>
  <c r="AP132" i="8"/>
  <c r="X142" i="8"/>
  <c r="AQ140" i="8"/>
  <c r="Q142" i="8" l="1"/>
  <c r="N142" i="8"/>
  <c r="K143" i="8"/>
  <c r="J143" i="8"/>
  <c r="M143" i="8"/>
  <c r="B145" i="8"/>
  <c r="E144" i="8"/>
  <c r="O142" i="8"/>
  <c r="AN142" i="8"/>
  <c r="AN141" i="8"/>
  <c r="O141" i="8"/>
  <c r="AS271" i="8"/>
  <c r="AR271" i="8"/>
  <c r="AT271" i="8"/>
  <c r="AP272" i="8"/>
  <c r="AQ272" i="8"/>
  <c r="W272" i="8"/>
  <c r="X272" i="8"/>
  <c r="AN272" i="8" s="1"/>
  <c r="V272" i="8"/>
  <c r="AJ272" i="8"/>
  <c r="AM272" i="8"/>
  <c r="AL272" i="8"/>
  <c r="I122" i="8"/>
  <c r="H123" i="8"/>
  <c r="AB123" i="8" s="1"/>
  <c r="O270" i="8"/>
  <c r="N271" i="8"/>
  <c r="L271" i="8"/>
  <c r="J272" i="8"/>
  <c r="B274" i="8"/>
  <c r="E274" i="8" s="1"/>
  <c r="E273" i="8"/>
  <c r="AO273" i="8" s="1"/>
  <c r="AS121" i="8"/>
  <c r="AT121" i="8"/>
  <c r="AR121" i="8"/>
  <c r="AL133" i="8"/>
  <c r="AP133" i="8"/>
  <c r="AM143" i="8"/>
  <c r="AQ142" i="8"/>
  <c r="AO122" i="8"/>
  <c r="V123" i="8"/>
  <c r="AJ144" i="8"/>
  <c r="X143" i="8"/>
  <c r="AQ141" i="8"/>
  <c r="W143" i="8"/>
  <c r="AN143" i="8" l="1"/>
  <c r="J144" i="8"/>
  <c r="M144" i="8"/>
  <c r="K144" i="8"/>
  <c r="B146" i="8"/>
  <c r="E145" i="8"/>
  <c r="P143" i="8"/>
  <c r="N143" i="8"/>
  <c r="L143" i="8"/>
  <c r="Q143" i="8"/>
  <c r="AO274" i="8"/>
  <c r="AS272" i="8"/>
  <c r="AR272" i="8"/>
  <c r="AT272" i="8"/>
  <c r="V274" i="8"/>
  <c r="AP274" i="8"/>
  <c r="AQ274" i="8"/>
  <c r="W274" i="8"/>
  <c r="X274" i="8"/>
  <c r="AN274" i="8" s="1"/>
  <c r="AP273" i="8"/>
  <c r="AQ273" i="8"/>
  <c r="W273" i="8"/>
  <c r="X273" i="8"/>
  <c r="AN273" i="8" s="1"/>
  <c r="V273" i="8"/>
  <c r="AJ274" i="8"/>
  <c r="AJ273" i="8"/>
  <c r="AM274" i="8"/>
  <c r="AL274" i="8"/>
  <c r="AM273" i="8"/>
  <c r="AL273" i="8"/>
  <c r="I123" i="8"/>
  <c r="H124" i="8"/>
  <c r="AB124" i="8" s="1"/>
  <c r="J273" i="8"/>
  <c r="J274" i="8"/>
  <c r="L272" i="8"/>
  <c r="N272" i="8"/>
  <c r="AT122" i="8"/>
  <c r="AR122" i="8"/>
  <c r="AS122" i="8"/>
  <c r="AM144" i="8"/>
  <c r="AL134" i="8"/>
  <c r="W144" i="8"/>
  <c r="AP134" i="8"/>
  <c r="AL135" i="8"/>
  <c r="X144" i="8"/>
  <c r="AQ143" i="8"/>
  <c r="V124" i="8"/>
  <c r="AO123" i="8"/>
  <c r="AJ145" i="8"/>
  <c r="AM145" i="8"/>
  <c r="AN144" i="8" l="1"/>
  <c r="B147" i="8"/>
  <c r="E146" i="8"/>
  <c r="Q144" i="8"/>
  <c r="L144" i="8"/>
  <c r="N144" i="8"/>
  <c r="O143" i="8"/>
  <c r="M145" i="8"/>
  <c r="J145" i="8"/>
  <c r="K145" i="8"/>
  <c r="P144" i="8"/>
  <c r="AT273" i="8"/>
  <c r="AS273" i="8"/>
  <c r="AR273" i="8"/>
  <c r="AT274" i="8"/>
  <c r="AS274" i="8"/>
  <c r="AR274" i="8"/>
  <c r="H125" i="8"/>
  <c r="AB125" i="8" s="1"/>
  <c r="I124" i="8"/>
  <c r="L274" i="8"/>
  <c r="N274" i="8"/>
  <c r="N273" i="8"/>
  <c r="L273" i="8"/>
  <c r="AT123" i="8"/>
  <c r="AS123" i="8"/>
  <c r="AR123" i="8"/>
  <c r="AO124" i="8"/>
  <c r="AQ144" i="8"/>
  <c r="V125" i="8"/>
  <c r="AJ146" i="8"/>
  <c r="AM146" i="8"/>
  <c r="W145" i="8"/>
  <c r="X145" i="8"/>
  <c r="AL136" i="8"/>
  <c r="AP135" i="8"/>
  <c r="AP136" i="8"/>
  <c r="AL137" i="8"/>
  <c r="AL138" i="8" s="1"/>
  <c r="AP138" i="8"/>
  <c r="AL139" i="8"/>
  <c r="AL140" i="8"/>
  <c r="AP139" i="8"/>
  <c r="AL141" i="8"/>
  <c r="AP140" i="8"/>
  <c r="AL142" i="8"/>
  <c r="AP141" i="8"/>
  <c r="AP142" i="8"/>
  <c r="AL143" i="8"/>
  <c r="AP143" i="8"/>
  <c r="AL144" i="8"/>
  <c r="O144" i="8" l="1"/>
  <c r="AN145" i="8"/>
  <c r="L145" i="8"/>
  <c r="N145" i="8"/>
  <c r="O145" i="8" s="1"/>
  <c r="Q145" i="8"/>
  <c r="P145" i="8"/>
  <c r="M146" i="8"/>
  <c r="K146" i="8"/>
  <c r="J146" i="8"/>
  <c r="B148" i="8"/>
  <c r="E147" i="8"/>
  <c r="I125" i="8"/>
  <c r="H126" i="8"/>
  <c r="AB126" i="8" s="1"/>
  <c r="AT124" i="8"/>
  <c r="AS124" i="8"/>
  <c r="AR124" i="8"/>
  <c r="V126" i="8"/>
  <c r="X146" i="8"/>
  <c r="W146" i="8"/>
  <c r="AQ145" i="8"/>
  <c r="AO125" i="8"/>
  <c r="AJ147" i="8"/>
  <c r="AP144" i="8"/>
  <c r="AL145" i="8"/>
  <c r="AP137" i="8"/>
  <c r="AM147" i="8"/>
  <c r="AN146" i="8" l="1"/>
  <c r="N146" i="8"/>
  <c r="L146" i="8"/>
  <c r="Q146" i="8"/>
  <c r="P146" i="8"/>
  <c r="J147" i="8"/>
  <c r="M147" i="8"/>
  <c r="K147" i="8"/>
  <c r="B149" i="8"/>
  <c r="E148" i="8"/>
  <c r="I126" i="8"/>
  <c r="H127" i="8"/>
  <c r="AB127" i="8" s="1"/>
  <c r="AR125" i="8"/>
  <c r="AS125" i="8"/>
  <c r="AT125" i="8"/>
  <c r="W147" i="8"/>
  <c r="X147" i="8"/>
  <c r="AL146" i="8"/>
  <c r="AP145" i="8"/>
  <c r="AM148" i="8"/>
  <c r="AQ146" i="8"/>
  <c r="AP146" i="8"/>
  <c r="AJ148" i="8"/>
  <c r="V127" i="8"/>
  <c r="AO126" i="8"/>
  <c r="AN147" i="8" l="1"/>
  <c r="B150" i="8"/>
  <c r="E149" i="8"/>
  <c r="N147" i="8"/>
  <c r="L147" i="8"/>
  <c r="Q147" i="8"/>
  <c r="P147" i="8"/>
  <c r="J148" i="8"/>
  <c r="K148" i="8"/>
  <c r="M148" i="8"/>
  <c r="O146" i="8"/>
  <c r="I127" i="8"/>
  <c r="H128" i="8"/>
  <c r="AB128" i="8" s="1"/>
  <c r="AT126" i="8"/>
  <c r="AS126" i="8"/>
  <c r="AR126" i="8"/>
  <c r="AL147" i="8"/>
  <c r="W148" i="8"/>
  <c r="AJ149" i="8"/>
  <c r="AL148" i="8"/>
  <c r="V128" i="8"/>
  <c r="AP147" i="8"/>
  <c r="AQ147" i="8"/>
  <c r="X148" i="8"/>
  <c r="AO127" i="8"/>
  <c r="AM149" i="8"/>
  <c r="O147" i="8" l="1"/>
  <c r="AN148" i="8"/>
  <c r="Q148" i="8"/>
  <c r="N148" i="8"/>
  <c r="L148" i="8"/>
  <c r="M149" i="8"/>
  <c r="K149" i="8"/>
  <c r="J149" i="8"/>
  <c r="P148" i="8"/>
  <c r="E150" i="8"/>
  <c r="B151" i="8"/>
  <c r="I128" i="8"/>
  <c r="H129" i="8"/>
  <c r="AB129" i="8" s="1"/>
  <c r="AS127" i="8"/>
  <c r="AT127" i="8"/>
  <c r="AR127" i="8"/>
  <c r="X149" i="8"/>
  <c r="W149" i="8"/>
  <c r="AM150" i="8"/>
  <c r="AO128" i="8"/>
  <c r="V129" i="8"/>
  <c r="AL149" i="8"/>
  <c r="AJ150" i="8"/>
  <c r="AP148" i="8"/>
  <c r="AL150" i="8"/>
  <c r="AQ148" i="8"/>
  <c r="O148" i="8" l="1"/>
  <c r="AN149" i="8"/>
  <c r="L149" i="8"/>
  <c r="Q149" i="8"/>
  <c r="N149" i="8"/>
  <c r="B152" i="8"/>
  <c r="E151" i="8"/>
  <c r="K150" i="8"/>
  <c r="J150" i="8"/>
  <c r="M150" i="8"/>
  <c r="P149" i="8"/>
  <c r="I129" i="8"/>
  <c r="H130" i="8"/>
  <c r="AB130" i="8" s="1"/>
  <c r="AR128" i="8"/>
  <c r="AT128" i="8"/>
  <c r="AS128" i="8"/>
  <c r="AP149" i="8"/>
  <c r="AJ151" i="8"/>
  <c r="X150" i="8"/>
  <c r="V130" i="8"/>
  <c r="W150" i="8"/>
  <c r="AM151" i="8"/>
  <c r="AO129" i="8"/>
  <c r="AL151" i="8"/>
  <c r="AQ149" i="8"/>
  <c r="O149" i="8" l="1"/>
  <c r="AN150" i="8"/>
  <c r="Q150" i="8"/>
  <c r="L150" i="8"/>
  <c r="N150" i="8"/>
  <c r="O150" i="8" s="1"/>
  <c r="B153" i="8"/>
  <c r="E152" i="8"/>
  <c r="P150" i="8"/>
  <c r="K151" i="8"/>
  <c r="J151" i="8"/>
  <c r="M151" i="8"/>
  <c r="H131" i="8"/>
  <c r="H132" i="8"/>
  <c r="AB132" i="8" s="1"/>
  <c r="I130" i="8"/>
  <c r="AS129" i="8"/>
  <c r="AR129" i="8"/>
  <c r="AT129" i="8"/>
  <c r="AL152" i="8"/>
  <c r="V132" i="8"/>
  <c r="AQ150" i="8"/>
  <c r="W151" i="8"/>
  <c r="X151" i="8"/>
  <c r="AO130" i="8"/>
  <c r="AM152" i="8"/>
  <c r="V131" i="8"/>
  <c r="AJ152" i="8"/>
  <c r="AP150" i="8"/>
  <c r="AN151" i="8" l="1"/>
  <c r="P151" i="8"/>
  <c r="B154" i="8"/>
  <c r="E153" i="8"/>
  <c r="K152" i="8"/>
  <c r="J152" i="8"/>
  <c r="M152" i="8"/>
  <c r="Q151" i="8"/>
  <c r="N151" i="8"/>
  <c r="L151" i="8"/>
  <c r="I131" i="8"/>
  <c r="AB131" i="8"/>
  <c r="I132" i="8"/>
  <c r="H133" i="8"/>
  <c r="AB133" i="8" s="1"/>
  <c r="AS130" i="8"/>
  <c r="AR130" i="8"/>
  <c r="AT130" i="8"/>
  <c r="AO132" i="8"/>
  <c r="AQ151" i="8"/>
  <c r="AM153" i="8"/>
  <c r="AL153" i="8"/>
  <c r="X152" i="8"/>
  <c r="AO131" i="8"/>
  <c r="V133" i="8"/>
  <c r="AJ153" i="8"/>
  <c r="W152" i="8"/>
  <c r="AP151" i="8"/>
  <c r="AN152" i="8" l="1"/>
  <c r="Q152" i="8"/>
  <c r="N152" i="8"/>
  <c r="L152" i="8"/>
  <c r="O151" i="8"/>
  <c r="P152" i="8"/>
  <c r="K153" i="8"/>
  <c r="M153" i="8"/>
  <c r="J153" i="8"/>
  <c r="E154" i="8"/>
  <c r="B155" i="8"/>
  <c r="I133" i="8"/>
  <c r="H134" i="8"/>
  <c r="AB134" i="8" s="1"/>
  <c r="AR131" i="8"/>
  <c r="AT131" i="8"/>
  <c r="AT132" i="8"/>
  <c r="AS132" i="8"/>
  <c r="AR132" i="8"/>
  <c r="AS131" i="8"/>
  <c r="AM154" i="8"/>
  <c r="W153" i="8"/>
  <c r="AO133" i="8"/>
  <c r="V134" i="8"/>
  <c r="AQ152" i="8"/>
  <c r="AJ154" i="8"/>
  <c r="AL154" i="8"/>
  <c r="AP152" i="8"/>
  <c r="X153" i="8"/>
  <c r="AN153" i="8" l="1"/>
  <c r="M154" i="8"/>
  <c r="J154" i="8"/>
  <c r="K154" i="8"/>
  <c r="P153" i="8"/>
  <c r="E155" i="8"/>
  <c r="B156" i="8"/>
  <c r="Q153" i="8"/>
  <c r="L153" i="8"/>
  <c r="N153" i="8"/>
  <c r="O153" i="8" s="1"/>
  <c r="O152" i="8"/>
  <c r="I134" i="8"/>
  <c r="H135" i="8"/>
  <c r="AB135" i="8" s="1"/>
  <c r="AR133" i="8"/>
  <c r="AS133" i="8"/>
  <c r="AT133" i="8"/>
  <c r="AO134" i="8"/>
  <c r="AL155" i="8"/>
  <c r="AQ153" i="8"/>
  <c r="V135" i="8"/>
  <c r="AJ155" i="8"/>
  <c r="AP153" i="8"/>
  <c r="AM155" i="8"/>
  <c r="X154" i="8"/>
  <c r="W154" i="8"/>
  <c r="AN154" i="8" l="1"/>
  <c r="B157" i="8"/>
  <c r="E156" i="8"/>
  <c r="J155" i="8"/>
  <c r="K155" i="8"/>
  <c r="M155" i="8"/>
  <c r="Q154" i="8"/>
  <c r="N154" i="8"/>
  <c r="L154" i="8"/>
  <c r="P154" i="8"/>
  <c r="I135" i="8"/>
  <c r="H136" i="8"/>
  <c r="AB136" i="8" s="1"/>
  <c r="AR134" i="8"/>
  <c r="AT134" i="8"/>
  <c r="AS134" i="8"/>
  <c r="AM156" i="8"/>
  <c r="AL156" i="8"/>
  <c r="AO135" i="8"/>
  <c r="AP154" i="8"/>
  <c r="W155" i="8"/>
  <c r="AQ154" i="8"/>
  <c r="AJ156" i="8"/>
  <c r="X155" i="8"/>
  <c r="V136" i="8"/>
  <c r="AN155" i="8" l="1"/>
  <c r="O154" i="8"/>
  <c r="P155" i="8"/>
  <c r="Q155" i="8"/>
  <c r="L155" i="8"/>
  <c r="N155" i="8"/>
  <c r="O155" i="8" s="1"/>
  <c r="K156" i="8"/>
  <c r="M156" i="8"/>
  <c r="J156" i="8"/>
  <c r="E157" i="8"/>
  <c r="B158" i="8"/>
  <c r="H137" i="8"/>
  <c r="AB137" i="8" s="1"/>
  <c r="I136" i="8"/>
  <c r="AS135" i="8"/>
  <c r="AT135" i="8"/>
  <c r="AR135" i="8"/>
  <c r="AM157" i="8"/>
  <c r="AJ157" i="8"/>
  <c r="AL157" i="8"/>
  <c r="X156" i="8"/>
  <c r="V137" i="8"/>
  <c r="AQ155" i="8"/>
  <c r="AP155" i="8"/>
  <c r="W156" i="8"/>
  <c r="AO136" i="8"/>
  <c r="AN156" i="8" l="1"/>
  <c r="I137" i="8"/>
  <c r="B159" i="8"/>
  <c r="E158" i="8"/>
  <c r="Q156" i="8"/>
  <c r="L156" i="8"/>
  <c r="N156" i="8"/>
  <c r="O156" i="8" s="1"/>
  <c r="H138" i="8"/>
  <c r="M157" i="8"/>
  <c r="K157" i="8"/>
  <c r="J157" i="8"/>
  <c r="P156" i="8"/>
  <c r="H139" i="8"/>
  <c r="AB139" i="8" s="1"/>
  <c r="AR136" i="8"/>
  <c r="AS136" i="8"/>
  <c r="AT136" i="8"/>
  <c r="AO137" i="8"/>
  <c r="AL158" i="8"/>
  <c r="AO138" i="8"/>
  <c r="V138" i="8"/>
  <c r="AO139" i="8"/>
  <c r="W157" i="8"/>
  <c r="V139" i="8"/>
  <c r="X157" i="8"/>
  <c r="AP156" i="8"/>
  <c r="AQ156" i="8"/>
  <c r="AM158" i="8"/>
  <c r="AJ158" i="8"/>
  <c r="AN157" i="8" l="1"/>
  <c r="Q157" i="8"/>
  <c r="L157" i="8"/>
  <c r="N157" i="8"/>
  <c r="O157" i="8" s="1"/>
  <c r="AB138" i="8"/>
  <c r="I138" i="8"/>
  <c r="P157" i="8"/>
  <c r="K158" i="8"/>
  <c r="M158" i="8"/>
  <c r="J158" i="8"/>
  <c r="B160" i="8"/>
  <c r="E159" i="8"/>
  <c r="I139" i="8"/>
  <c r="H140" i="8"/>
  <c r="AB140" i="8" s="1"/>
  <c r="AR139" i="8"/>
  <c r="AT138" i="8"/>
  <c r="AR137" i="8"/>
  <c r="AT137" i="8"/>
  <c r="AS138" i="8"/>
  <c r="AR138" i="8"/>
  <c r="AS137" i="8"/>
  <c r="AT139" i="8"/>
  <c r="AS139" i="8"/>
  <c r="W158" i="8"/>
  <c r="AP157" i="8"/>
  <c r="AJ159" i="8"/>
  <c r="V140" i="8"/>
  <c r="X158" i="8"/>
  <c r="AL159" i="8"/>
  <c r="AO140" i="8"/>
  <c r="AM159" i="8"/>
  <c r="AQ157" i="8"/>
  <c r="AN158" i="8" l="1"/>
  <c r="K159" i="8"/>
  <c r="J159" i="8"/>
  <c r="M159" i="8"/>
  <c r="E160" i="8"/>
  <c r="B161" i="8"/>
  <c r="P158" i="8"/>
  <c r="L158" i="8"/>
  <c r="N158" i="8"/>
  <c r="Q158" i="8"/>
  <c r="I140" i="8"/>
  <c r="H141" i="8"/>
  <c r="AB141" i="8" s="1"/>
  <c r="AR140" i="8"/>
  <c r="AS140" i="8"/>
  <c r="AT140" i="8"/>
  <c r="AM160" i="8"/>
  <c r="V141" i="8"/>
  <c r="AJ160" i="8"/>
  <c r="W159" i="8"/>
  <c r="AL160" i="8"/>
  <c r="AQ158" i="8"/>
  <c r="AP158" i="8"/>
  <c r="X159" i="8"/>
  <c r="O158" i="8" l="1"/>
  <c r="AN159" i="8"/>
  <c r="K160" i="8"/>
  <c r="M160" i="8"/>
  <c r="J160" i="8"/>
  <c r="E161" i="8"/>
  <c r="B162" i="8"/>
  <c r="P159" i="8"/>
  <c r="Q159" i="8"/>
  <c r="N159" i="8"/>
  <c r="L159" i="8"/>
  <c r="I141" i="8"/>
  <c r="H142" i="8"/>
  <c r="AB142" i="8" s="1"/>
  <c r="AJ161" i="8"/>
  <c r="AQ159" i="8"/>
  <c r="W160" i="8"/>
  <c r="V142" i="8"/>
  <c r="AL161" i="8"/>
  <c r="X160" i="8"/>
  <c r="AM161" i="8"/>
  <c r="AP159" i="8"/>
  <c r="AO141" i="8"/>
  <c r="O159" i="8" l="1"/>
  <c r="AN160" i="8"/>
  <c r="M161" i="8"/>
  <c r="J161" i="8"/>
  <c r="K161" i="8"/>
  <c r="B163" i="8"/>
  <c r="E162" i="8"/>
  <c r="Q160" i="8"/>
  <c r="N160" i="8"/>
  <c r="L160" i="8"/>
  <c r="P160" i="8"/>
  <c r="H143" i="8"/>
  <c r="AB143" i="8" s="1"/>
  <c r="I142" i="8"/>
  <c r="AT141" i="8"/>
  <c r="AR141" i="8"/>
  <c r="AS141" i="8"/>
  <c r="AM162" i="8"/>
  <c r="AQ160" i="8"/>
  <c r="X161" i="8"/>
  <c r="AP160" i="8"/>
  <c r="AJ162" i="8"/>
  <c r="AL162" i="8"/>
  <c r="AO142" i="8"/>
  <c r="W161" i="8"/>
  <c r="V143" i="8"/>
  <c r="AN161" i="8" l="1"/>
  <c r="O160" i="8"/>
  <c r="M162" i="8"/>
  <c r="J162" i="8"/>
  <c r="K162" i="8"/>
  <c r="E163" i="8"/>
  <c r="B164" i="8"/>
  <c r="Q161" i="8"/>
  <c r="L161" i="8"/>
  <c r="N161" i="8"/>
  <c r="P161" i="8"/>
  <c r="I143" i="8"/>
  <c r="H144" i="8"/>
  <c r="AS142" i="8"/>
  <c r="AT142" i="8"/>
  <c r="AR142" i="8"/>
  <c r="AO143" i="8"/>
  <c r="AM163" i="8"/>
  <c r="AL163" i="8"/>
  <c r="AP161" i="8"/>
  <c r="AQ161" i="8"/>
  <c r="V144" i="8"/>
  <c r="X162" i="8"/>
  <c r="W162" i="8"/>
  <c r="AJ163" i="8"/>
  <c r="AN162" i="8" l="1"/>
  <c r="E164" i="8"/>
  <c r="B165" i="8"/>
  <c r="J163" i="8"/>
  <c r="K163" i="8"/>
  <c r="M163" i="8"/>
  <c r="P162" i="8"/>
  <c r="O161" i="8"/>
  <c r="Q162" i="8"/>
  <c r="L162" i="8"/>
  <c r="N162" i="8"/>
  <c r="H145" i="8"/>
  <c r="AB144" i="8"/>
  <c r="AS143" i="8"/>
  <c r="AR143" i="8"/>
  <c r="AT143" i="8"/>
  <c r="I145" i="8"/>
  <c r="I144" i="8"/>
  <c r="AP162" i="8"/>
  <c r="AO145" i="8"/>
  <c r="X163" i="8"/>
  <c r="AO144" i="8"/>
  <c r="AQ162" i="8"/>
  <c r="W163" i="8"/>
  <c r="AL164" i="8"/>
  <c r="AJ164" i="8"/>
  <c r="AM164" i="8"/>
  <c r="V145" i="8"/>
  <c r="O162" i="8" l="1"/>
  <c r="AN163" i="8"/>
  <c r="N163" i="8"/>
  <c r="Q163" i="8"/>
  <c r="L163" i="8"/>
  <c r="B166" i="8"/>
  <c r="E165" i="8"/>
  <c r="M164" i="8"/>
  <c r="J164" i="8"/>
  <c r="K164" i="8"/>
  <c r="P163" i="8"/>
  <c r="AB145" i="8"/>
  <c r="H146" i="8"/>
  <c r="AS145" i="8"/>
  <c r="AT145" i="8"/>
  <c r="AR145" i="8"/>
  <c r="AR144" i="8"/>
  <c r="AT144" i="8"/>
  <c r="AS144" i="8"/>
  <c r="AQ163" i="8"/>
  <c r="AL165" i="8"/>
  <c r="AM165" i="8"/>
  <c r="V146" i="8"/>
  <c r="AJ165" i="8"/>
  <c r="X164" i="8"/>
  <c r="W164" i="8"/>
  <c r="AP163" i="8"/>
  <c r="AN164" i="8" l="1"/>
  <c r="L164" i="8"/>
  <c r="N164" i="8"/>
  <c r="O164" i="8" s="1"/>
  <c r="Q164" i="8"/>
  <c r="M165" i="8"/>
  <c r="K165" i="8"/>
  <c r="J165" i="8"/>
  <c r="P164" i="8"/>
  <c r="E166" i="8"/>
  <c r="B167" i="8"/>
  <c r="O163" i="8"/>
  <c r="I146" i="8"/>
  <c r="AB146" i="8"/>
  <c r="H147" i="8"/>
  <c r="AL166" i="8"/>
  <c r="AM166" i="8"/>
  <c r="V147" i="8"/>
  <c r="X165" i="8"/>
  <c r="W165" i="8"/>
  <c r="AJ166" i="8"/>
  <c r="AO146" i="8"/>
  <c r="AP164" i="8"/>
  <c r="AQ164" i="8"/>
  <c r="AN165" i="8" l="1"/>
  <c r="E167" i="8"/>
  <c r="B168" i="8"/>
  <c r="K166" i="8"/>
  <c r="J166" i="8"/>
  <c r="M166" i="8"/>
  <c r="N165" i="8"/>
  <c r="L165" i="8"/>
  <c r="Q165" i="8"/>
  <c r="P165" i="8"/>
  <c r="AS146" i="8"/>
  <c r="AR146" i="8"/>
  <c r="AT146" i="8"/>
  <c r="I147" i="8"/>
  <c r="AB147" i="8"/>
  <c r="H148" i="8"/>
  <c r="AO147" i="8"/>
  <c r="AM167" i="8"/>
  <c r="AJ167" i="8"/>
  <c r="X166" i="8"/>
  <c r="V148" i="8"/>
  <c r="W166" i="8"/>
  <c r="AQ165" i="8"/>
  <c r="AL167" i="8"/>
  <c r="AP165" i="8"/>
  <c r="AN166" i="8" l="1"/>
  <c r="O165" i="8"/>
  <c r="P166" i="8"/>
  <c r="Q166" i="8"/>
  <c r="L166" i="8"/>
  <c r="N166" i="8"/>
  <c r="O166" i="8" s="1"/>
  <c r="E168" i="8"/>
  <c r="B169" i="8"/>
  <c r="J167" i="8"/>
  <c r="M167" i="8"/>
  <c r="K167" i="8"/>
  <c r="AR147" i="8"/>
  <c r="AS147" i="8"/>
  <c r="AT147" i="8"/>
  <c r="I148" i="8"/>
  <c r="AB148" i="8"/>
  <c r="H149" i="8"/>
  <c r="AQ166" i="8"/>
  <c r="AM168" i="8"/>
  <c r="AJ168" i="8"/>
  <c r="V149" i="8"/>
  <c r="W167" i="8"/>
  <c r="AL168" i="8"/>
  <c r="AP166" i="8"/>
  <c r="X167" i="8"/>
  <c r="AO148" i="8"/>
  <c r="AN167" i="8" l="1"/>
  <c r="L167" i="8"/>
  <c r="Q167" i="8"/>
  <c r="N167" i="8"/>
  <c r="P167" i="8"/>
  <c r="B170" i="8"/>
  <c r="E169" i="8"/>
  <c r="M168" i="8"/>
  <c r="J168" i="8"/>
  <c r="K168" i="8"/>
  <c r="AB149" i="8"/>
  <c r="H150" i="8"/>
  <c r="I149" i="8"/>
  <c r="AT148" i="8"/>
  <c r="AS148" i="8"/>
  <c r="AR148" i="8"/>
  <c r="AQ167" i="8"/>
  <c r="V150" i="8"/>
  <c r="AM169" i="8"/>
  <c r="AP167" i="8"/>
  <c r="X168" i="8"/>
  <c r="AL169" i="8"/>
  <c r="AJ169" i="8"/>
  <c r="AO149" i="8"/>
  <c r="W168" i="8"/>
  <c r="O167" i="8" l="1"/>
  <c r="AN168" i="8"/>
  <c r="L168" i="8"/>
  <c r="Q168" i="8"/>
  <c r="N168" i="8"/>
  <c r="O168" i="8" s="1"/>
  <c r="M169" i="8"/>
  <c r="J169" i="8"/>
  <c r="K169" i="8"/>
  <c r="P168" i="8"/>
  <c r="B171" i="8"/>
  <c r="E170" i="8"/>
  <c r="AT149" i="8"/>
  <c r="AS149" i="8"/>
  <c r="AR149" i="8"/>
  <c r="AB150" i="8"/>
  <c r="I150" i="8"/>
  <c r="H151" i="8"/>
  <c r="V151" i="8"/>
  <c r="AP168" i="8"/>
  <c r="AL170" i="8"/>
  <c r="AJ170" i="8"/>
  <c r="AQ168" i="8"/>
  <c r="W169" i="8"/>
  <c r="AO150" i="8"/>
  <c r="X169" i="8"/>
  <c r="AM170" i="8"/>
  <c r="AN169" i="8" l="1"/>
  <c r="P169" i="8"/>
  <c r="L169" i="8"/>
  <c r="N169" i="8"/>
  <c r="O169" i="8" s="1"/>
  <c r="Q169" i="8"/>
  <c r="K170" i="8"/>
  <c r="M170" i="8"/>
  <c r="J170" i="8"/>
  <c r="E171" i="8"/>
  <c r="B172" i="8"/>
  <c r="AS150" i="8"/>
  <c r="AR150" i="8"/>
  <c r="AT150" i="8"/>
  <c r="I151" i="8"/>
  <c r="AB151" i="8"/>
  <c r="H152" i="8"/>
  <c r="X170" i="8"/>
  <c r="AL171" i="8"/>
  <c r="AM171" i="8"/>
  <c r="W170" i="8"/>
  <c r="AO151" i="8"/>
  <c r="AQ169" i="8"/>
  <c r="AJ171" i="8"/>
  <c r="V152" i="8"/>
  <c r="AP169" i="8"/>
  <c r="AN170" i="8" l="1"/>
  <c r="P170" i="8"/>
  <c r="K171" i="8"/>
  <c r="M171" i="8"/>
  <c r="J171" i="8"/>
  <c r="L170" i="8"/>
  <c r="N170" i="8"/>
  <c r="O170" i="8" s="1"/>
  <c r="Q170" i="8"/>
  <c r="E172" i="8"/>
  <c r="B173" i="8"/>
  <c r="AR151" i="8"/>
  <c r="AT151" i="8"/>
  <c r="AS151" i="8"/>
  <c r="I152" i="8"/>
  <c r="AB152" i="8"/>
  <c r="H153" i="8"/>
  <c r="X171" i="8"/>
  <c r="AL172" i="8"/>
  <c r="AJ172" i="8"/>
  <c r="AM172" i="8"/>
  <c r="V153" i="8"/>
  <c r="W171" i="8"/>
  <c r="AQ170" i="8"/>
  <c r="AO152" i="8"/>
  <c r="AP170" i="8"/>
  <c r="AN171" i="8" l="1"/>
  <c r="Q171" i="8"/>
  <c r="N171" i="8"/>
  <c r="L171" i="8"/>
  <c r="B174" i="8"/>
  <c r="E173" i="8"/>
  <c r="K172" i="8"/>
  <c r="M172" i="8"/>
  <c r="J172" i="8"/>
  <c r="P171" i="8"/>
  <c r="AT152" i="8"/>
  <c r="AS152" i="8"/>
  <c r="AR152" i="8"/>
  <c r="AB153" i="8"/>
  <c r="H154" i="8"/>
  <c r="I153" i="8"/>
  <c r="W172" i="8"/>
  <c r="AM173" i="8"/>
  <c r="AL173" i="8"/>
  <c r="X172" i="8"/>
  <c r="AO153" i="8"/>
  <c r="AP171" i="8"/>
  <c r="AQ171" i="8"/>
  <c r="AJ173" i="8"/>
  <c r="V154" i="8"/>
  <c r="AN172" i="8" l="1"/>
  <c r="M173" i="8"/>
  <c r="J173" i="8"/>
  <c r="K173" i="8"/>
  <c r="Q172" i="8"/>
  <c r="N172" i="8"/>
  <c r="L172" i="8"/>
  <c r="P172" i="8"/>
  <c r="B175" i="8"/>
  <c r="E174" i="8"/>
  <c r="O171" i="8"/>
  <c r="I154" i="8"/>
  <c r="AB154" i="8"/>
  <c r="H155" i="8"/>
  <c r="AR153" i="8"/>
  <c r="AT153" i="8"/>
  <c r="AS153" i="8"/>
  <c r="AQ172" i="8"/>
  <c r="AM174" i="8"/>
  <c r="W173" i="8"/>
  <c r="X173" i="8"/>
  <c r="AO154" i="8"/>
  <c r="AL174" i="8"/>
  <c r="V155" i="8"/>
  <c r="AJ174" i="8"/>
  <c r="AP172" i="8"/>
  <c r="AN173" i="8" l="1"/>
  <c r="O172" i="8"/>
  <c r="B176" i="8"/>
  <c r="E175" i="8"/>
  <c r="M174" i="8"/>
  <c r="K174" i="8"/>
  <c r="J174" i="8"/>
  <c r="Q173" i="8"/>
  <c r="N173" i="8"/>
  <c r="L173" i="8"/>
  <c r="P173" i="8"/>
  <c r="I155" i="8"/>
  <c r="H156" i="8"/>
  <c r="AB155" i="8"/>
  <c r="AS154" i="8"/>
  <c r="AT154" i="8"/>
  <c r="AR154" i="8"/>
  <c r="AP173" i="8"/>
  <c r="X174" i="8"/>
  <c r="V156" i="8"/>
  <c r="AL175" i="8"/>
  <c r="AQ173" i="8"/>
  <c r="W174" i="8"/>
  <c r="AP174" i="8" s="1"/>
  <c r="AM175" i="8"/>
  <c r="AJ175" i="8"/>
  <c r="AO155" i="8"/>
  <c r="O173" i="8" l="1"/>
  <c r="AN174" i="8"/>
  <c r="P174" i="8"/>
  <c r="Q174" i="8"/>
  <c r="N174" i="8"/>
  <c r="L174" i="8"/>
  <c r="M175" i="8"/>
  <c r="J175" i="8"/>
  <c r="K175" i="8"/>
  <c r="B177" i="8"/>
  <c r="E176" i="8"/>
  <c r="H157" i="8"/>
  <c r="AB156" i="8"/>
  <c r="I156" i="8"/>
  <c r="AS155" i="8"/>
  <c r="AR155" i="8"/>
  <c r="AT155" i="8"/>
  <c r="W175" i="8"/>
  <c r="AM176" i="8"/>
  <c r="V157" i="8"/>
  <c r="X175" i="8"/>
  <c r="AQ174" i="8"/>
  <c r="AJ176" i="8"/>
  <c r="AO156" i="8"/>
  <c r="AL176" i="8"/>
  <c r="AN175" i="8" l="1"/>
  <c r="B178" i="8"/>
  <c r="E177" i="8"/>
  <c r="J176" i="8"/>
  <c r="K176" i="8"/>
  <c r="M176" i="8"/>
  <c r="Q175" i="8"/>
  <c r="L175" i="8"/>
  <c r="N175" i="8"/>
  <c r="O175" i="8" s="1"/>
  <c r="P175" i="8"/>
  <c r="O174" i="8"/>
  <c r="I157" i="8"/>
  <c r="H158" i="8"/>
  <c r="AB157" i="8"/>
  <c r="AT156" i="8"/>
  <c r="AR156" i="8"/>
  <c r="AS156" i="8"/>
  <c r="AP175" i="8"/>
  <c r="AQ175" i="8"/>
  <c r="W176" i="8"/>
  <c r="X176" i="8"/>
  <c r="AL177" i="8"/>
  <c r="AJ177" i="8"/>
  <c r="AM177" i="8"/>
  <c r="V158" i="8"/>
  <c r="AO157" i="8"/>
  <c r="AN176" i="8" l="1"/>
  <c r="P176" i="8"/>
  <c r="L176" i="8"/>
  <c r="Q176" i="8"/>
  <c r="N176" i="8"/>
  <c r="O176" i="8" s="1"/>
  <c r="M177" i="8"/>
  <c r="J177" i="8"/>
  <c r="K177" i="8"/>
  <c r="B179" i="8"/>
  <c r="E178" i="8"/>
  <c r="AS157" i="8"/>
  <c r="AT157" i="8"/>
  <c r="AR157" i="8"/>
  <c r="AB158" i="8"/>
  <c r="I158" i="8"/>
  <c r="H159" i="8"/>
  <c r="AO158" i="8"/>
  <c r="AJ178" i="8"/>
  <c r="W177" i="8"/>
  <c r="AM178" i="8"/>
  <c r="AL178" i="8"/>
  <c r="X177" i="8"/>
  <c r="V159" i="8"/>
  <c r="AQ176" i="8"/>
  <c r="AP176" i="8"/>
  <c r="AN177" i="8" l="1"/>
  <c r="K178" i="8"/>
  <c r="J178" i="8"/>
  <c r="M178" i="8"/>
  <c r="P177" i="8"/>
  <c r="B180" i="8"/>
  <c r="E179" i="8"/>
  <c r="Q177" i="8"/>
  <c r="N177" i="8"/>
  <c r="L177" i="8"/>
  <c r="AR158" i="8"/>
  <c r="AS158" i="8"/>
  <c r="AT158" i="8"/>
  <c r="AB159" i="8"/>
  <c r="I159" i="8"/>
  <c r="H160" i="8"/>
  <c r="AQ177" i="8"/>
  <c r="X178" i="8"/>
  <c r="AJ179" i="8"/>
  <c r="AL179" i="8"/>
  <c r="AM179" i="8"/>
  <c r="AO159" i="8"/>
  <c r="V160" i="8"/>
  <c r="AP177" i="8"/>
  <c r="W178" i="8"/>
  <c r="AQ178" i="8"/>
  <c r="AP178" i="8"/>
  <c r="AN178" i="8" l="1"/>
  <c r="K179" i="8"/>
  <c r="M179" i="8"/>
  <c r="J179" i="8"/>
  <c r="O177" i="8"/>
  <c r="B181" i="8"/>
  <c r="E180" i="8"/>
  <c r="P178" i="8"/>
  <c r="Q178" i="8"/>
  <c r="N178" i="8"/>
  <c r="O178" i="8" s="1"/>
  <c r="L178" i="8"/>
  <c r="AB160" i="8"/>
  <c r="I160" i="8"/>
  <c r="H161" i="8"/>
  <c r="H162" i="8" s="1"/>
  <c r="H163" i="8" s="1"/>
  <c r="AS159" i="8"/>
  <c r="AR159" i="8"/>
  <c r="AT159" i="8"/>
  <c r="AO160" i="8"/>
  <c r="X179" i="8"/>
  <c r="V161" i="8"/>
  <c r="V162" i="8"/>
  <c r="V163" i="8"/>
  <c r="AJ180" i="8"/>
  <c r="AL180" i="8"/>
  <c r="AM180" i="8"/>
  <c r="W179" i="8"/>
  <c r="AN179" i="8" l="1"/>
  <c r="J180" i="8"/>
  <c r="K180" i="8"/>
  <c r="M180" i="8"/>
  <c r="Q179" i="8"/>
  <c r="L179" i="8"/>
  <c r="N179" i="8"/>
  <c r="O179" i="8" s="1"/>
  <c r="B182" i="8"/>
  <c r="E181" i="8"/>
  <c r="P179" i="8"/>
  <c r="AB163" i="8"/>
  <c r="I163" i="8"/>
  <c r="H164" i="8"/>
  <c r="AB162" i="8"/>
  <c r="I162" i="8"/>
  <c r="AB161" i="8"/>
  <c r="I161" i="8"/>
  <c r="AT160" i="8"/>
  <c r="AR160" i="8"/>
  <c r="AS160" i="8"/>
  <c r="AO161" i="8"/>
  <c r="V164" i="8"/>
  <c r="AQ179" i="8"/>
  <c r="W180" i="8"/>
  <c r="AL181" i="8"/>
  <c r="AO162" i="8"/>
  <c r="X180" i="8"/>
  <c r="AP179" i="8"/>
  <c r="AM181" i="8"/>
  <c r="AJ181" i="8"/>
  <c r="AO163" i="8"/>
  <c r="AN180" i="8" l="1"/>
  <c r="B183" i="8"/>
  <c r="E182" i="8"/>
  <c r="J181" i="8"/>
  <c r="M181" i="8"/>
  <c r="K181" i="8"/>
  <c r="N180" i="8"/>
  <c r="Q180" i="8"/>
  <c r="L180" i="8"/>
  <c r="O180" i="8" s="1"/>
  <c r="P180" i="8"/>
  <c r="AS163" i="8"/>
  <c r="AR163" i="8"/>
  <c r="AT163" i="8"/>
  <c r="AB164" i="8"/>
  <c r="I164" i="8"/>
  <c r="H165" i="8"/>
  <c r="AS161" i="8"/>
  <c r="AT162" i="8"/>
  <c r="AT161" i="8"/>
  <c r="AS162" i="8"/>
  <c r="AR161" i="8"/>
  <c r="AR162" i="8"/>
  <c r="V165" i="8"/>
  <c r="AP180" i="8"/>
  <c r="AQ180" i="8"/>
  <c r="X181" i="8"/>
  <c r="AJ182" i="8"/>
  <c r="AO164" i="8"/>
  <c r="W181" i="8"/>
  <c r="AL182" i="8"/>
  <c r="AM182" i="8"/>
  <c r="AN181" i="8" l="1"/>
  <c r="P181" i="8"/>
  <c r="Q181" i="8"/>
  <c r="L181" i="8"/>
  <c r="N181" i="8"/>
  <c r="O181" i="8" s="1"/>
  <c r="J182" i="8"/>
  <c r="K182" i="8"/>
  <c r="M182" i="8"/>
  <c r="B184" i="8"/>
  <c r="E183" i="8"/>
  <c r="AT164" i="8"/>
  <c r="AS164" i="8"/>
  <c r="AR164" i="8"/>
  <c r="H166" i="8"/>
  <c r="I165" i="8"/>
  <c r="AB165" i="8"/>
  <c r="AP181" i="8"/>
  <c r="AM183" i="8"/>
  <c r="AJ183" i="8"/>
  <c r="AQ181" i="8"/>
  <c r="W182" i="8"/>
  <c r="AO165" i="8"/>
  <c r="X182" i="8"/>
  <c r="AL183" i="8"/>
  <c r="V166" i="8"/>
  <c r="AN182" i="8" l="1"/>
  <c r="P182" i="8"/>
  <c r="J183" i="8"/>
  <c r="K183" i="8"/>
  <c r="B185" i="8"/>
  <c r="E184" i="8"/>
  <c r="L182" i="8"/>
  <c r="N182" i="8"/>
  <c r="Q182" i="8"/>
  <c r="AT165" i="8"/>
  <c r="AS165" i="8"/>
  <c r="AR165" i="8"/>
  <c r="H167" i="8"/>
  <c r="H168" i="8" s="1"/>
  <c r="AB166" i="8"/>
  <c r="I166" i="8"/>
  <c r="AP182" i="8"/>
  <c r="W183" i="8"/>
  <c r="AL184" i="8"/>
  <c r="AJ184" i="8"/>
  <c r="V168" i="8"/>
  <c r="AO166" i="8"/>
  <c r="V167" i="8"/>
  <c r="AQ182" i="8"/>
  <c r="X183" i="8"/>
  <c r="AM184" i="8"/>
  <c r="AO168" i="8"/>
  <c r="O182" i="8" l="1"/>
  <c r="AN183" i="8"/>
  <c r="Q183" i="8"/>
  <c r="L183" i="8"/>
  <c r="N183" i="8"/>
  <c r="J184" i="8"/>
  <c r="K184" i="8"/>
  <c r="B186" i="8"/>
  <c r="E185" i="8"/>
  <c r="H169" i="8"/>
  <c r="I168" i="8"/>
  <c r="AB168" i="8"/>
  <c r="AB169" i="8"/>
  <c r="I169" i="8"/>
  <c r="AS166" i="8"/>
  <c r="AT166" i="8"/>
  <c r="AR166" i="8"/>
  <c r="AB167" i="8"/>
  <c r="I167" i="8"/>
  <c r="AT168" i="8"/>
  <c r="AS168" i="8"/>
  <c r="AR168" i="8"/>
  <c r="H170" i="8"/>
  <c r="I170" i="8" s="1"/>
  <c r="AL185" i="8"/>
  <c r="AM185" i="8"/>
  <c r="AQ183" i="8"/>
  <c r="V170" i="8"/>
  <c r="X184" i="8"/>
  <c r="AP183" i="8"/>
  <c r="V169" i="8"/>
  <c r="AO167" i="8"/>
  <c r="AO169" i="8"/>
  <c r="W184" i="8"/>
  <c r="AJ185" i="8"/>
  <c r="AO170" i="8"/>
  <c r="O183" i="8" l="1"/>
  <c r="AN184" i="8"/>
  <c r="N184" i="8"/>
  <c r="Q184" i="8"/>
  <c r="L184" i="8"/>
  <c r="J185" i="8"/>
  <c r="K185" i="8"/>
  <c r="M185" i="8"/>
  <c r="B187" i="8"/>
  <c r="E186" i="8"/>
  <c r="AR170" i="8"/>
  <c r="AT170" i="8"/>
  <c r="AS170" i="8"/>
  <c r="AB170" i="8"/>
  <c r="AS167" i="8"/>
  <c r="AT167" i="8"/>
  <c r="AR167" i="8"/>
  <c r="AR169" i="8"/>
  <c r="AT169" i="8"/>
  <c r="AS169" i="8"/>
  <c r="H171" i="8"/>
  <c r="I171" i="8" s="1"/>
  <c r="W185" i="8"/>
  <c r="V171" i="8"/>
  <c r="AM186" i="8"/>
  <c r="AJ186" i="8"/>
  <c r="X185" i="8"/>
  <c r="AL186" i="8"/>
  <c r="AQ184" i="8"/>
  <c r="AP184" i="8"/>
  <c r="AN185" i="8" l="1"/>
  <c r="B188" i="8"/>
  <c r="E187" i="8"/>
  <c r="P185" i="8"/>
  <c r="J186" i="8"/>
  <c r="K186" i="8"/>
  <c r="M186" i="8"/>
  <c r="E306" i="8" a="1"/>
  <c r="E306" i="8" s="1"/>
  <c r="Q185" i="8"/>
  <c r="L185" i="8"/>
  <c r="N185" i="8"/>
  <c r="O184" i="8"/>
  <c r="AB171" i="8"/>
  <c r="H172" i="8"/>
  <c r="I172" i="8" s="1"/>
  <c r="AJ187" i="8"/>
  <c r="AQ185" i="8"/>
  <c r="AP185" i="8"/>
  <c r="V172" i="8"/>
  <c r="AO172" i="8"/>
  <c r="AM187" i="8"/>
  <c r="AO171" i="8"/>
  <c r="AL187" i="8"/>
  <c r="W186" i="8"/>
  <c r="X186" i="8"/>
  <c r="AN186" i="8" l="1"/>
  <c r="AB306" i="8"/>
  <c r="O185" i="8"/>
  <c r="P186" i="8"/>
  <c r="N186" i="8"/>
  <c r="Q186" i="8"/>
  <c r="L186" i="8"/>
  <c r="J187" i="8"/>
  <c r="M187" i="8"/>
  <c r="P187" i="8" s="1"/>
  <c r="B189" i="8"/>
  <c r="E188" i="8"/>
  <c r="AT171" i="8"/>
  <c r="AS171" i="8"/>
  <c r="AR171" i="8"/>
  <c r="AR172" i="8"/>
  <c r="AS172" i="8"/>
  <c r="AT172" i="8"/>
  <c r="AB172" i="8"/>
  <c r="H173" i="8"/>
  <c r="I173" i="8" s="1"/>
  <c r="X187" i="8"/>
  <c r="V173" i="8"/>
  <c r="AL188" i="8"/>
  <c r="W187" i="8"/>
  <c r="AQ186" i="8"/>
  <c r="AJ188" i="8"/>
  <c r="AM188" i="8"/>
  <c r="AP186" i="8"/>
  <c r="AO173" i="8"/>
  <c r="AN187" i="8" l="1"/>
  <c r="E189" i="8"/>
  <c r="B190" i="8"/>
  <c r="M188" i="8"/>
  <c r="P188" i="8" s="1"/>
  <c r="J188" i="8"/>
  <c r="Q187" i="8"/>
  <c r="N187" i="8"/>
  <c r="O187" i="8" s="1"/>
  <c r="L187" i="8"/>
  <c r="O186" i="8"/>
  <c r="AT173" i="8"/>
  <c r="AS173" i="8"/>
  <c r="AR173" i="8"/>
  <c r="AB173" i="8"/>
  <c r="H174" i="8"/>
  <c r="I174" i="8" s="1"/>
  <c r="X188" i="8"/>
  <c r="AM189" i="8"/>
  <c r="AP187" i="8"/>
  <c r="AQ187" i="8"/>
  <c r="W188" i="8"/>
  <c r="V174" i="8"/>
  <c r="AJ189" i="8"/>
  <c r="E190" i="8" l="1"/>
  <c r="B191" i="8"/>
  <c r="AN188" i="8"/>
  <c r="Q188" i="8"/>
  <c r="L188" i="8"/>
  <c r="N188" i="8"/>
  <c r="O188" i="8" s="1"/>
  <c r="J189" i="8"/>
  <c r="M189" i="8"/>
  <c r="P189" i="8" s="1"/>
  <c r="AB174" i="8"/>
  <c r="H175" i="8"/>
  <c r="I175" i="8" s="1"/>
  <c r="AM190" i="8"/>
  <c r="V175" i="8"/>
  <c r="AO174" i="8"/>
  <c r="AL189" i="8"/>
  <c r="AQ188" i="8"/>
  <c r="AP188" i="8"/>
  <c r="X189" i="8"/>
  <c r="W189" i="8"/>
  <c r="Q189" i="8" l="1"/>
  <c r="E191" i="8"/>
  <c r="B192" i="8"/>
  <c r="M191" i="8"/>
  <c r="P191" i="8" s="1"/>
  <c r="M190" i="8"/>
  <c r="P190" i="8" s="1"/>
  <c r="J190" i="8"/>
  <c r="Q190" i="8" s="1"/>
  <c r="AN189" i="8"/>
  <c r="L189" i="8"/>
  <c r="N189" i="8"/>
  <c r="O189" i="8" s="1"/>
  <c r="L190" i="8"/>
  <c r="AT174" i="8"/>
  <c r="AR174" i="8"/>
  <c r="AS174" i="8"/>
  <c r="AB175" i="8"/>
  <c r="H176" i="8"/>
  <c r="I176" i="8" s="1"/>
  <c r="AJ190" i="8"/>
  <c r="AQ189" i="8"/>
  <c r="AO176" i="8"/>
  <c r="AP189" i="8"/>
  <c r="V176" i="8"/>
  <c r="AL190" i="8"/>
  <c r="AO175" i="8"/>
  <c r="N190" i="8" l="1"/>
  <c r="O190" i="8" s="1"/>
  <c r="B193" i="8"/>
  <c r="E192" i="8"/>
  <c r="J191" i="8"/>
  <c r="Q191" i="8" s="1"/>
  <c r="AS175" i="8"/>
  <c r="AR175" i="8"/>
  <c r="AT175" i="8"/>
  <c r="AS176" i="8"/>
  <c r="AR176" i="8"/>
  <c r="AT176" i="8"/>
  <c r="AB176" i="8"/>
  <c r="H177" i="8"/>
  <c r="I177" i="8" s="1"/>
  <c r="AM191" i="8"/>
  <c r="AL191" i="8"/>
  <c r="W190" i="8"/>
  <c r="X190" i="8"/>
  <c r="AJ191" i="8"/>
  <c r="X191" i="8" s="1"/>
  <c r="V177" i="8"/>
  <c r="AO177" i="8"/>
  <c r="W191" i="8"/>
  <c r="AQ190" i="8"/>
  <c r="AN190" i="8" l="1"/>
  <c r="AN191" i="8"/>
  <c r="N191" i="8"/>
  <c r="L191" i="8"/>
  <c r="J192" i="8"/>
  <c r="Q192" i="8" s="1"/>
  <c r="B194" i="8"/>
  <c r="E193" i="8"/>
  <c r="AB177" i="8"/>
  <c r="H178" i="8"/>
  <c r="I178" i="8" s="1"/>
  <c r="AS177" i="8"/>
  <c r="AR177" i="8"/>
  <c r="AT177" i="8"/>
  <c r="AL192" i="8"/>
  <c r="AM192" i="8"/>
  <c r="AP191" i="8"/>
  <c r="AP190" i="8"/>
  <c r="AQ191" i="8"/>
  <c r="AO178" i="8"/>
  <c r="AJ192" i="8"/>
  <c r="X192" i="8" s="1"/>
  <c r="W192" i="8"/>
  <c r="V178" i="8"/>
  <c r="O191" i="8" l="1"/>
  <c r="AN192" i="8"/>
  <c r="B195" i="8"/>
  <c r="E194" i="8"/>
  <c r="J193" i="8"/>
  <c r="Q193" i="8" s="1"/>
  <c r="N192" i="8"/>
  <c r="L192" i="8"/>
  <c r="AB178" i="8"/>
  <c r="H179" i="8"/>
  <c r="I179" i="8" s="1"/>
  <c r="AT178" i="8"/>
  <c r="AS178" i="8"/>
  <c r="AR178" i="8"/>
  <c r="AJ193" i="8"/>
  <c r="V179" i="8"/>
  <c r="AM193" i="8"/>
  <c r="AQ192" i="8"/>
  <c r="X193" i="8"/>
  <c r="AL193" i="8"/>
  <c r="AO179" i="8"/>
  <c r="AP192" i="8"/>
  <c r="O192" i="8" l="1"/>
  <c r="AN193" i="8"/>
  <c r="N193" i="8"/>
  <c r="L193" i="8"/>
  <c r="J194" i="8"/>
  <c r="Q194" i="8" s="1"/>
  <c r="B196" i="8"/>
  <c r="E195" i="8"/>
  <c r="AB179" i="8"/>
  <c r="H180" i="8"/>
  <c r="I180" i="8" s="1"/>
  <c r="AS179" i="8"/>
  <c r="AT179" i="8"/>
  <c r="AR179" i="8"/>
  <c r="AJ194" i="8"/>
  <c r="W193" i="8"/>
  <c r="AM194" i="8"/>
  <c r="AL194" i="8"/>
  <c r="AO180" i="8"/>
  <c r="V180" i="8"/>
  <c r="W194" i="8"/>
  <c r="AP193" i="8"/>
  <c r="O193" i="8" l="1"/>
  <c r="E196" i="8"/>
  <c r="B197" i="8"/>
  <c r="E197" i="8" s="1"/>
  <c r="J195" i="8"/>
  <c r="N194" i="8"/>
  <c r="O194" i="8" s="1"/>
  <c r="L194" i="8"/>
  <c r="AB180" i="8"/>
  <c r="H181" i="8"/>
  <c r="I181" i="8" s="1"/>
  <c r="AS180" i="8"/>
  <c r="AT180" i="8"/>
  <c r="AR180" i="8"/>
  <c r="AQ193" i="8"/>
  <c r="AM195" i="8"/>
  <c r="AJ195" i="8"/>
  <c r="AO181" i="8"/>
  <c r="AL195" i="8"/>
  <c r="X194" i="8"/>
  <c r="V181" i="8"/>
  <c r="AP194" i="8"/>
  <c r="AQ194" i="8"/>
  <c r="AN194" i="8" l="1"/>
  <c r="Q195" i="8"/>
  <c r="L195" i="8"/>
  <c r="N195" i="8"/>
  <c r="O195" i="8" s="1"/>
  <c r="J197" i="8"/>
  <c r="Q197" i="8" s="1"/>
  <c r="J196" i="8"/>
  <c r="AB181" i="8"/>
  <c r="H182" i="8"/>
  <c r="I182" i="8" s="1"/>
  <c r="AS181" i="8"/>
  <c r="AT181" i="8"/>
  <c r="AR181" i="8"/>
  <c r="AJ196" i="8"/>
  <c r="AM196" i="8"/>
  <c r="AL196" i="8"/>
  <c r="AO182" i="8"/>
  <c r="X195" i="8"/>
  <c r="AJ197" i="8"/>
  <c r="V182" i="8"/>
  <c r="W195" i="8"/>
  <c r="W196" i="8"/>
  <c r="X196" i="8"/>
  <c r="AN195" i="8" l="1"/>
  <c r="AN196" i="8"/>
  <c r="Q196" i="8"/>
  <c r="N196" i="8"/>
  <c r="O196" i="8" s="1"/>
  <c r="L196" i="8"/>
  <c r="L197" i="8"/>
  <c r="N197" i="8"/>
  <c r="O197" i="8" s="1"/>
  <c r="J306" i="8" a="1"/>
  <c r="J306" i="8" s="1"/>
  <c r="AB182" i="8"/>
  <c r="H183" i="8"/>
  <c r="I183" i="8" s="1"/>
  <c r="AS182" i="8"/>
  <c r="AT182" i="8"/>
  <c r="AR182" i="8"/>
  <c r="AP195" i="8"/>
  <c r="AP196" i="8"/>
  <c r="AL197" i="8"/>
  <c r="AQ196" i="8"/>
  <c r="V183" i="8"/>
  <c r="X197" i="8"/>
  <c r="AM197" i="8"/>
  <c r="W197" i="8"/>
  <c r="AP197" i="8" s="1"/>
  <c r="AQ195" i="8"/>
  <c r="AN197" i="8" l="1"/>
  <c r="AB183" i="8"/>
  <c r="H184" i="8"/>
  <c r="I184" i="8" s="1"/>
  <c r="AM198" i="8"/>
  <c r="AQ197" i="8"/>
  <c r="V184" i="8"/>
  <c r="AL198" i="8"/>
  <c r="AL199" i="8"/>
  <c r="AP198" i="8"/>
  <c r="AO183" i="8"/>
  <c r="AL200" i="8"/>
  <c r="AL201" i="8" s="1"/>
  <c r="AP199" i="8"/>
  <c r="AP200" i="8"/>
  <c r="AM199" i="8"/>
  <c r="AQ198" i="8"/>
  <c r="AP201" i="8"/>
  <c r="AL202" i="8"/>
  <c r="AM200" i="8"/>
  <c r="AQ199" i="8"/>
  <c r="AP202" i="8"/>
  <c r="AL203" i="8"/>
  <c r="AM201" i="8"/>
  <c r="AQ200" i="8"/>
  <c r="AL204" i="8"/>
  <c r="AP203" i="8"/>
  <c r="AM202" i="8"/>
  <c r="AQ201" i="8"/>
  <c r="AP204" i="8"/>
  <c r="AL205" i="8"/>
  <c r="AM203" i="8"/>
  <c r="AQ202" i="8"/>
  <c r="AL206" i="8"/>
  <c r="AP205" i="8"/>
  <c r="AM204" i="8"/>
  <c r="AQ203" i="8"/>
  <c r="AL207" i="8"/>
  <c r="AP207" i="8" s="1"/>
  <c r="AP206" i="8"/>
  <c r="AM205" i="8"/>
  <c r="AQ204" i="8"/>
  <c r="AQ205" i="8"/>
  <c r="AM206" i="8"/>
  <c r="AM207" i="8"/>
  <c r="AQ206" i="8"/>
  <c r="AM208" i="8"/>
  <c r="AQ207" i="8"/>
  <c r="AQ208" i="8"/>
  <c r="AM209" i="8"/>
  <c r="AQ209" i="8"/>
  <c r="AM210" i="8"/>
  <c r="AM211" i="8"/>
  <c r="AQ210" i="8"/>
  <c r="AQ211" i="8"/>
  <c r="AM212" i="8"/>
  <c r="AM213" i="8"/>
  <c r="AQ212" i="8"/>
  <c r="AM214" i="8"/>
  <c r="AQ213" i="8"/>
  <c r="AM215" i="8"/>
  <c r="AQ214" i="8"/>
  <c r="AM216" i="8"/>
  <c r="AQ215" i="8"/>
  <c r="AM217" i="8"/>
  <c r="AQ216" i="8"/>
  <c r="AM218" i="8"/>
  <c r="AQ217" i="8"/>
  <c r="AQ218" i="8"/>
  <c r="AM219" i="8"/>
  <c r="AQ219" i="8"/>
  <c r="AM220" i="8"/>
  <c r="AM221" i="8"/>
  <c r="AQ220" i="8"/>
  <c r="AQ221" i="8"/>
  <c r="AM222" i="8"/>
  <c r="AQ222" i="8"/>
  <c r="AM223" i="8"/>
  <c r="AM224" i="8"/>
  <c r="AQ223" i="8"/>
  <c r="AQ224" i="8"/>
  <c r="AM225" i="8"/>
  <c r="AQ225" i="8"/>
  <c r="AM226" i="8"/>
  <c r="AM227" i="8"/>
  <c r="AQ226" i="8"/>
  <c r="AM228" i="8"/>
  <c r="AQ227" i="8"/>
  <c r="AM229" i="8"/>
  <c r="AQ228" i="8"/>
  <c r="AM230" i="8"/>
  <c r="AQ229" i="8"/>
  <c r="AM231" i="8"/>
  <c r="AQ230" i="8"/>
  <c r="AQ231" i="8"/>
  <c r="AM232" i="8"/>
  <c r="AQ232" i="8"/>
  <c r="AM233" i="8"/>
  <c r="AQ233" i="8"/>
  <c r="AM234" i="8"/>
  <c r="AM235" i="8"/>
  <c r="AQ234" i="8"/>
  <c r="AQ235" i="8"/>
  <c r="AM236" i="8"/>
  <c r="AM237" i="8"/>
  <c r="AQ236" i="8"/>
  <c r="AM238" i="8"/>
  <c r="AQ237" i="8"/>
  <c r="AM239" i="8"/>
  <c r="AQ238" i="8"/>
  <c r="AB184" i="8" l="1"/>
  <c r="H185" i="8"/>
  <c r="I185" i="8" s="1"/>
  <c r="AR183" i="8"/>
  <c r="AT183" i="8"/>
  <c r="AS183" i="8"/>
  <c r="AO184" i="8"/>
  <c r="AQ239" i="8"/>
  <c r="AL208" i="8"/>
  <c r="V185" i="8"/>
  <c r="AL209" i="8"/>
  <c r="AL210" i="8" s="1"/>
  <c r="AL211" i="8" s="1"/>
  <c r="AL212" i="8" s="1"/>
  <c r="AP209" i="8"/>
  <c r="AL213" i="8"/>
  <c r="AP212" i="8"/>
  <c r="AL214" i="8"/>
  <c r="AP213" i="8"/>
  <c r="AP214" i="8"/>
  <c r="AL215" i="8"/>
  <c r="AL216" i="8"/>
  <c r="AP215" i="8"/>
  <c r="AL217" i="8"/>
  <c r="AP216" i="8"/>
  <c r="AP217" i="8"/>
  <c r="AL218" i="8"/>
  <c r="AP218" i="8"/>
  <c r="AL219" i="8"/>
  <c r="AL220" i="8"/>
  <c r="AP219" i="8"/>
  <c r="AP220" i="8"/>
  <c r="AL221" i="8"/>
  <c r="AP221" i="8"/>
  <c r="AL222" i="8"/>
  <c r="AP222" i="8"/>
  <c r="AL223" i="8"/>
  <c r="AL224" i="8"/>
  <c r="AP223" i="8"/>
  <c r="AL225" i="8"/>
  <c r="AP224" i="8"/>
  <c r="AL226" i="8"/>
  <c r="AP225" i="8"/>
  <c r="AP226" i="8"/>
  <c r="AL227" i="8"/>
  <c r="AL228" i="8"/>
  <c r="AP227" i="8"/>
  <c r="AP228" i="8"/>
  <c r="AL229" i="8"/>
  <c r="AP229" i="8"/>
  <c r="AL230" i="8"/>
  <c r="AP230" i="8"/>
  <c r="AL231" i="8"/>
  <c r="AL232" i="8"/>
  <c r="AP231" i="8"/>
  <c r="AP232" i="8"/>
  <c r="AL233" i="8"/>
  <c r="AP233" i="8"/>
  <c r="AL234" i="8"/>
  <c r="AP234" i="8"/>
  <c r="AL235" i="8"/>
  <c r="AP235" i="8"/>
  <c r="AL236" i="8"/>
  <c r="AP236" i="8"/>
  <c r="AL237" i="8"/>
  <c r="AL238" i="8"/>
  <c r="AP237" i="8"/>
  <c r="AL239" i="8"/>
  <c r="AP238" i="8"/>
  <c r="AR184" i="8" l="1"/>
  <c r="AT184" i="8"/>
  <c r="AS184" i="8"/>
  <c r="AB185" i="8"/>
  <c r="H186" i="8"/>
  <c r="I186" i="8" s="1"/>
  <c r="AO185" i="8"/>
  <c r="AP239" i="8"/>
  <c r="AP210" i="8"/>
  <c r="V186" i="8"/>
  <c r="AP208" i="8"/>
  <c r="AP211" i="8"/>
  <c r="AT185" i="8" l="1"/>
  <c r="AR185" i="8"/>
  <c r="AS185" i="8"/>
  <c r="AB186" i="8"/>
  <c r="H187" i="8"/>
  <c r="I187" i="8" s="1"/>
  <c r="AO186" i="8"/>
  <c r="V187" i="8"/>
  <c r="AR186" i="8" l="1"/>
  <c r="AT186" i="8"/>
  <c r="AS186" i="8"/>
  <c r="AB187" i="8"/>
  <c r="H188" i="8"/>
  <c r="I188" i="8" s="1"/>
  <c r="AO187" i="8"/>
  <c r="V188" i="8"/>
  <c r="AR187" i="8" l="1"/>
  <c r="AS187" i="8"/>
  <c r="AT187" i="8"/>
  <c r="AB188" i="8"/>
  <c r="H189" i="8"/>
  <c r="I189" i="8" s="1"/>
  <c r="AO188" i="8"/>
  <c r="V189" i="8"/>
  <c r="AS188" i="8" l="1"/>
  <c r="AR188" i="8"/>
  <c r="AT188" i="8"/>
  <c r="AB189" i="8"/>
  <c r="H190" i="8"/>
  <c r="I190" i="8" s="1"/>
  <c r="AO189" i="8"/>
  <c r="V190" i="8"/>
  <c r="AT189" i="8" l="1"/>
  <c r="AS189" i="8"/>
  <c r="AR189" i="8"/>
  <c r="AB190" i="8"/>
  <c r="H191" i="8"/>
  <c r="I191" i="8" s="1"/>
  <c r="AO190" i="8"/>
  <c r="V191" i="8"/>
  <c r="AB191" i="8" l="1"/>
  <c r="H192" i="8"/>
  <c r="I192" i="8" s="1"/>
  <c r="AR190" i="8"/>
  <c r="AS190" i="8"/>
  <c r="AT190" i="8"/>
  <c r="AO192" i="8"/>
  <c r="AO191" i="8"/>
  <c r="V192" i="8"/>
  <c r="AB192" i="8" l="1"/>
  <c r="H193" i="8"/>
  <c r="I193" i="8" s="1"/>
  <c r="AT191" i="8"/>
  <c r="AR191" i="8"/>
  <c r="AT192" i="8"/>
  <c r="AR192" i="8"/>
  <c r="AS192" i="8"/>
  <c r="AS191" i="8"/>
  <c r="V193" i="8"/>
  <c r="AO193" i="8"/>
  <c r="AB193" i="8" l="1"/>
  <c r="H194" i="8"/>
  <c r="I194" i="8" s="1"/>
  <c r="AT193" i="8"/>
  <c r="AR193" i="8"/>
  <c r="AS193" i="8"/>
  <c r="AO194" i="8"/>
  <c r="V194" i="8"/>
  <c r="AS194" i="8" l="1"/>
  <c r="AR194" i="8"/>
  <c r="AT194" i="8"/>
  <c r="AB194" i="8"/>
  <c r="H195" i="8"/>
  <c r="I195" i="8" s="1"/>
  <c r="V195" i="8"/>
  <c r="AO195" i="8"/>
  <c r="AS195" i="8" l="1"/>
  <c r="AT195" i="8"/>
  <c r="AR195" i="8"/>
  <c r="AB195" i="8"/>
  <c r="H196" i="8"/>
  <c r="I196" i="8" s="1"/>
  <c r="V196" i="8"/>
  <c r="AB196" i="8" l="1"/>
  <c r="H197" i="8"/>
  <c r="V197" i="8"/>
  <c r="AO196" i="8"/>
  <c r="AS196" i="8" l="1"/>
  <c r="AT196" i="8"/>
  <c r="AR196" i="8"/>
  <c r="AB197" i="8"/>
  <c r="H198" i="8"/>
  <c r="AO197" i="8"/>
  <c r="V198" i="8"/>
  <c r="AR197" i="8" l="1"/>
  <c r="AS197" i="8"/>
  <c r="AT197" i="8"/>
  <c r="AB198" i="8"/>
  <c r="H199" i="8"/>
  <c r="I199" i="8" s="1"/>
  <c r="AO198" i="8"/>
  <c r="V199" i="8"/>
  <c r="AS198" i="8" l="1"/>
  <c r="AR198" i="8"/>
  <c r="AT198" i="8"/>
  <c r="AB199" i="8"/>
  <c r="H200" i="8"/>
  <c r="I200" i="8" s="1"/>
  <c r="V200" i="8"/>
  <c r="AO199" i="8"/>
  <c r="AR199" i="8" l="1"/>
  <c r="AS199" i="8"/>
  <c r="AT199" i="8"/>
  <c r="AB200" i="8"/>
  <c r="H201" i="8"/>
  <c r="V201" i="8"/>
  <c r="AO201" i="8"/>
  <c r="AO200" i="8"/>
  <c r="AS200" i="8" l="1"/>
  <c r="AR200" i="8"/>
  <c r="AT200" i="8"/>
  <c r="AS201" i="8"/>
  <c r="AT201" i="8"/>
  <c r="AR201" i="8"/>
  <c r="AB201" i="8"/>
  <c r="I201" i="8"/>
  <c r="H202" i="8"/>
  <c r="V202" i="8"/>
  <c r="AO202" i="8"/>
  <c r="AB202" i="8" l="1"/>
  <c r="I202" i="8"/>
  <c r="H203" i="8"/>
  <c r="AT202" i="8"/>
  <c r="AR202" i="8"/>
  <c r="AS202" i="8"/>
  <c r="V203" i="8"/>
  <c r="AO203" i="8"/>
  <c r="AB203" i="8" l="1"/>
  <c r="I203" i="8"/>
  <c r="H204" i="8"/>
  <c r="AT203" i="8"/>
  <c r="AS203" i="8"/>
  <c r="AR203" i="8"/>
  <c r="AO204" i="8"/>
  <c r="V204" i="8"/>
  <c r="AB204" i="8" l="1"/>
  <c r="I204" i="8"/>
  <c r="H205" i="8"/>
  <c r="AS204" i="8"/>
  <c r="AR204" i="8"/>
  <c r="AT204" i="8"/>
  <c r="V205" i="8"/>
  <c r="AO205" i="8"/>
  <c r="AB205" i="8" l="1"/>
  <c r="I205" i="8"/>
  <c r="H206" i="8"/>
  <c r="AS205" i="8"/>
  <c r="AT205" i="8"/>
  <c r="AR205" i="8"/>
  <c r="V206" i="8"/>
  <c r="AB206" i="8" l="1"/>
  <c r="I206" i="8"/>
  <c r="H207" i="8"/>
  <c r="V207" i="8"/>
  <c r="AO206" i="8"/>
  <c r="AB207" i="8" l="1"/>
  <c r="I207" i="8"/>
  <c r="H208" i="8"/>
  <c r="AR206" i="8"/>
  <c r="AT206" i="8"/>
  <c r="AS206" i="8"/>
  <c r="AO207" i="8"/>
  <c r="V208" i="8"/>
  <c r="AB208" i="8" l="1"/>
  <c r="I208" i="8"/>
  <c r="H209" i="8"/>
  <c r="AR207" i="8"/>
  <c r="AS207" i="8"/>
  <c r="AT207" i="8"/>
  <c r="AO208" i="8"/>
  <c r="V209" i="8"/>
  <c r="AB209" i="8" l="1"/>
  <c r="I209" i="8"/>
  <c r="H210" i="8"/>
  <c r="AS208" i="8"/>
  <c r="AT208" i="8"/>
  <c r="AR208" i="8"/>
  <c r="V210" i="8"/>
  <c r="AO209" i="8"/>
  <c r="AB210" i="8" l="1"/>
  <c r="I210" i="8"/>
  <c r="H211" i="8"/>
  <c r="AS209" i="8"/>
  <c r="AR209" i="8"/>
  <c r="AT209" i="8"/>
  <c r="AO210" i="8"/>
  <c r="V211" i="8"/>
  <c r="AB211" i="8" l="1"/>
  <c r="I211" i="8"/>
  <c r="H212" i="8"/>
  <c r="AT210" i="8"/>
  <c r="AR210" i="8"/>
  <c r="AS210" i="8"/>
  <c r="V212" i="8"/>
  <c r="AO211" i="8"/>
  <c r="AB212" i="8" l="1"/>
  <c r="I212" i="8"/>
  <c r="H213" i="8"/>
  <c r="AR211" i="8"/>
  <c r="AS211" i="8"/>
  <c r="AT211" i="8"/>
  <c r="AO212" i="8"/>
  <c r="V213" i="8"/>
  <c r="AB213" i="8" l="1"/>
  <c r="I213" i="8"/>
  <c r="H214" i="8"/>
  <c r="AR212" i="8"/>
  <c r="AT212" i="8"/>
  <c r="AS212" i="8"/>
  <c r="AO213" i="8"/>
  <c r="V214" i="8"/>
  <c r="AS213" i="8" l="1"/>
  <c r="AT213" i="8"/>
  <c r="AR213" i="8"/>
  <c r="AB214" i="8"/>
  <c r="I214" i="8"/>
  <c r="H215" i="8"/>
  <c r="AO214" i="8"/>
  <c r="V215" i="8"/>
  <c r="AT214" i="8" l="1"/>
  <c r="AR214" i="8"/>
  <c r="AS214" i="8"/>
  <c r="AB215" i="8"/>
  <c r="I215" i="8"/>
  <c r="H216" i="8"/>
  <c r="AO215" i="8"/>
  <c r="V216" i="8"/>
  <c r="AB216" i="8" l="1"/>
  <c r="I216" i="8"/>
  <c r="H217" i="8"/>
  <c r="AT215" i="8"/>
  <c r="AS215" i="8"/>
  <c r="AR215" i="8"/>
  <c r="AO216" i="8"/>
  <c r="V217" i="8"/>
  <c r="AB217" i="8" l="1"/>
  <c r="I217" i="8"/>
  <c r="H218" i="8"/>
  <c r="AR216" i="8"/>
  <c r="AT216" i="8"/>
  <c r="AS216" i="8"/>
  <c r="AO217" i="8"/>
  <c r="V218" i="8"/>
  <c r="AT217" i="8" l="1"/>
  <c r="AS217" i="8"/>
  <c r="AR217" i="8"/>
  <c r="AB218" i="8"/>
  <c r="I218" i="8"/>
  <c r="H219" i="8"/>
  <c r="AO218" i="8"/>
  <c r="V219" i="8"/>
  <c r="AS218" i="8" l="1"/>
  <c r="AR218" i="8"/>
  <c r="AT218" i="8"/>
  <c r="AB219" i="8"/>
  <c r="I219" i="8"/>
  <c r="H220" i="8"/>
  <c r="AO219" i="8"/>
  <c r="V220" i="8"/>
  <c r="AB220" i="8" l="1"/>
  <c r="I220" i="8"/>
  <c r="H221" i="8"/>
  <c r="AR219" i="8"/>
  <c r="AT219" i="8"/>
  <c r="AS219" i="8"/>
  <c r="V221" i="8"/>
  <c r="AO220" i="8"/>
  <c r="AB221" i="8" l="1"/>
  <c r="I221" i="8"/>
  <c r="H222" i="8"/>
  <c r="AT220" i="8"/>
  <c r="AR220" i="8"/>
  <c r="AS220" i="8"/>
  <c r="AO221" i="8"/>
  <c r="V222" i="8"/>
  <c r="AS221" i="8" l="1"/>
  <c r="AT221" i="8"/>
  <c r="AR221" i="8"/>
  <c r="AB222" i="8"/>
  <c r="I222" i="8"/>
  <c r="H223" i="8"/>
  <c r="AO222" i="8"/>
  <c r="V223" i="8"/>
  <c r="AR222" i="8" l="1"/>
  <c r="AS222" i="8"/>
  <c r="AT222" i="8"/>
  <c r="AB223" i="8"/>
  <c r="I223" i="8"/>
  <c r="H224" i="8"/>
  <c r="AO223" i="8"/>
  <c r="V224" i="8"/>
  <c r="AS223" i="8" l="1"/>
  <c r="AT223" i="8"/>
  <c r="AR223" i="8"/>
  <c r="AB224" i="8"/>
  <c r="I224" i="8"/>
  <c r="H225" i="8"/>
  <c r="V225" i="8"/>
  <c r="AO224" i="8"/>
  <c r="AS224" i="8" l="1"/>
  <c r="AT224" i="8"/>
  <c r="AR224" i="8"/>
  <c r="AB225" i="8"/>
  <c r="I225" i="8"/>
  <c r="H226" i="8"/>
  <c r="V226" i="8"/>
  <c r="AO225" i="8"/>
  <c r="AB226" i="8" l="1"/>
  <c r="I226" i="8"/>
  <c r="H227" i="8"/>
  <c r="H228" i="8"/>
  <c r="AS225" i="8"/>
  <c r="AT225" i="8"/>
  <c r="AR225" i="8"/>
  <c r="AO226" i="8"/>
  <c r="V228" i="8"/>
  <c r="V227" i="8"/>
  <c r="AB228" i="8" l="1"/>
  <c r="I228" i="8"/>
  <c r="AB227" i="8"/>
  <c r="I227" i="8"/>
  <c r="H229" i="8"/>
  <c r="AR226" i="8"/>
  <c r="AT226" i="8"/>
  <c r="AS226" i="8"/>
  <c r="V229" i="8"/>
  <c r="AO228" i="8"/>
  <c r="AO227" i="8"/>
  <c r="AB229" i="8" l="1"/>
  <c r="I229" i="8"/>
  <c r="H230" i="8"/>
  <c r="AR227" i="8"/>
  <c r="AS227" i="8"/>
  <c r="AS228" i="8"/>
  <c r="AT228" i="8"/>
  <c r="AT227" i="8"/>
  <c r="AR228" i="8"/>
  <c r="AO229" i="8"/>
  <c r="V230" i="8"/>
  <c r="AB230" i="8" l="1"/>
  <c r="I230" i="8"/>
  <c r="H231" i="8"/>
  <c r="AS229" i="8"/>
  <c r="AT229" i="8"/>
  <c r="AR229" i="8"/>
  <c r="V231" i="8"/>
  <c r="AO230" i="8"/>
  <c r="AB231" i="8" l="1"/>
  <c r="I231" i="8"/>
  <c r="H232" i="8"/>
  <c r="AT230" i="8"/>
  <c r="AS230" i="8"/>
  <c r="AR230" i="8"/>
  <c r="AO231" i="8"/>
  <c r="V232" i="8"/>
  <c r="AB232" i="8" l="1"/>
  <c r="I232" i="8"/>
  <c r="H233" i="8"/>
  <c r="AS231" i="8"/>
  <c r="AT231" i="8"/>
  <c r="AR231" i="8"/>
  <c r="AO232" i="8"/>
  <c r="V233" i="8"/>
  <c r="AB233" i="8" l="1"/>
  <c r="I233" i="8"/>
  <c r="H234" i="8"/>
  <c r="AS232" i="8"/>
  <c r="AR232" i="8"/>
  <c r="AT232" i="8"/>
  <c r="AO233" i="8"/>
  <c r="V234" i="8"/>
  <c r="AR233" i="8" l="1"/>
  <c r="AS233" i="8"/>
  <c r="AT233" i="8"/>
  <c r="AB234" i="8"/>
  <c r="I234" i="8"/>
  <c r="H235" i="8"/>
  <c r="V235" i="8"/>
  <c r="AO234" i="8"/>
  <c r="AT234" i="8" l="1"/>
  <c r="AS234" i="8"/>
  <c r="AR234" i="8"/>
  <c r="AB235" i="8"/>
  <c r="I235" i="8"/>
  <c r="H236" i="8"/>
  <c r="V236" i="8"/>
  <c r="AO235" i="8"/>
  <c r="AS235" i="8" l="1"/>
  <c r="AR235" i="8"/>
  <c r="AT235" i="8"/>
  <c r="AB236" i="8"/>
  <c r="I236" i="8"/>
  <c r="H237" i="8"/>
  <c r="V237" i="8"/>
  <c r="AO236" i="8"/>
  <c r="AR236" i="8" l="1"/>
  <c r="AT236" i="8"/>
  <c r="AS236" i="8"/>
  <c r="AB237" i="8"/>
  <c r="I237" i="8"/>
  <c r="H238" i="8"/>
  <c r="V238" i="8"/>
  <c r="AO237" i="8"/>
  <c r="AS237" i="8" l="1"/>
  <c r="AR237" i="8"/>
  <c r="AT237" i="8"/>
  <c r="AB238" i="8"/>
  <c r="I238" i="8"/>
  <c r="H239" i="8"/>
  <c r="V239" i="8"/>
  <c r="AO238" i="8"/>
  <c r="AR238" i="8" l="1"/>
  <c r="AS238" i="8"/>
  <c r="AT238" i="8"/>
  <c r="AB239" i="8"/>
  <c r="I239" i="8"/>
  <c r="H240" i="8"/>
  <c r="AO239" i="8"/>
  <c r="V240" i="8"/>
  <c r="AR239" i="8" l="1"/>
  <c r="AS239" i="8"/>
  <c r="AT239" i="8"/>
  <c r="AB240" i="8"/>
  <c r="H241" i="8"/>
  <c r="V241" i="8"/>
  <c r="AO240" i="8"/>
  <c r="AB241" i="8" l="1"/>
  <c r="H242" i="8"/>
  <c r="AT240" i="8"/>
  <c r="AR240" i="8"/>
  <c r="V242" i="8"/>
  <c r="AO241" i="8"/>
  <c r="AS240" i="8"/>
  <c r="AB242" i="8" l="1"/>
  <c r="H243" i="8"/>
  <c r="AR241" i="8"/>
  <c r="AT241" i="8"/>
  <c r="AO242" i="8"/>
  <c r="AS241" i="8"/>
  <c r="V243" i="8"/>
  <c r="AB243" i="8" l="1"/>
  <c r="H244" i="8"/>
  <c r="AS242" i="8"/>
  <c r="AO243" i="8"/>
  <c r="AT242" i="8"/>
  <c r="V244" i="8"/>
  <c r="AR242" i="8"/>
  <c r="V306" i="8" l="1"/>
  <c r="AB244" i="8"/>
  <c r="H245" i="8"/>
  <c r="AB245" i="8" s="1"/>
  <c r="AR243" i="8"/>
  <c r="AT243" i="8"/>
  <c r="AS243" i="8"/>
  <c r="AO244" i="8"/>
  <c r="H246" i="8" l="1"/>
  <c r="AB246" i="8" s="1"/>
  <c r="AT244" i="8"/>
  <c r="AR244" i="8"/>
  <c r="AS244" i="8"/>
  <c r="H247" i="8" l="1"/>
  <c r="AB247" i="8" s="1"/>
  <c r="H248" i="8" l="1"/>
  <c r="AB248" i="8" s="1"/>
  <c r="H249" i="8" l="1"/>
  <c r="AB249" i="8" s="1"/>
  <c r="H250" i="8" l="1"/>
  <c r="AB250" i="8" s="1"/>
  <c r="H251" i="8" l="1"/>
  <c r="AB251" i="8" s="1"/>
  <c r="H252" i="8" l="1"/>
  <c r="AB252" i="8" s="1"/>
  <c r="H253" i="8" l="1"/>
  <c r="AB253" i="8" s="1"/>
  <c r="H254" i="8" l="1"/>
  <c r="AB254" i="8" s="1"/>
  <c r="H255" i="8" l="1"/>
  <c r="AB255" i="8" s="1"/>
  <c r="H256" i="8" l="1"/>
  <c r="AB256" i="8" s="1"/>
  <c r="H257" i="8" l="1"/>
  <c r="AB257" i="8" s="1"/>
  <c r="H258" i="8" l="1"/>
  <c r="AB258" i="8" s="1"/>
  <c r="H259" i="8" l="1"/>
  <c r="AB259" i="8" s="1"/>
  <c r="H260" i="8" l="1"/>
  <c r="AB260" i="8" s="1"/>
  <c r="H261" i="8" l="1"/>
  <c r="AB261" i="8" s="1"/>
  <c r="H262" i="8" l="1"/>
  <c r="AB262" i="8" s="1"/>
  <c r="H263" i="8" l="1"/>
  <c r="AB263" i="8" s="1"/>
  <c r="H264" i="8"/>
  <c r="AB264" i="8" s="1"/>
  <c r="H265" i="8" l="1"/>
  <c r="AB265" i="8" s="1"/>
  <c r="H266" i="8" l="1"/>
  <c r="AB266" i="8" s="1"/>
  <c r="H306" i="8" l="1" a="1"/>
  <c r="H306" i="8" s="1"/>
  <c r="AC306" i="8" l="1"/>
  <c r="AC30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Ian</author>
  </authors>
  <commentList>
    <comment ref="N3" authorId="0" shapeId="0" xr:uid="{E4CAA4F1-9BF2-44D0-A1B3-B9EDD6DB9BA8}">
      <text>
        <r>
          <rPr>
            <b/>
            <sz val="12"/>
            <color indexed="81"/>
            <rFont val="Tahoma"/>
            <family val="2"/>
          </rPr>
          <t>Have to put in 0.00001 if no sliding was done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1" authorId="0" shapeId="0" xr:uid="{8AD6AE7C-5F95-414C-9DEB-6AE803227CA6}">
      <text>
        <r>
          <rPr>
            <b/>
            <sz val="9"/>
            <color indexed="81"/>
            <rFont val="Tahoma"/>
            <family val="2"/>
          </rPr>
          <t>Gravity threshold: 3° or 5° only.
Inc &lt; threshold → Magnetic.
Inc ≥ threshold → Gravity.
Override from Toolface (U): trailing M = Magnetic; L/R or signed number = Gravity.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<sst xmlns="http://schemas.openxmlformats.org/spreadsheetml/2006/main" count="3549" uniqueCount="1854">
  <si>
    <t>Client</t>
  </si>
  <si>
    <t>Province</t>
  </si>
  <si>
    <t>VSD</t>
  </si>
  <si>
    <t>End Date</t>
  </si>
  <si>
    <t>Email</t>
  </si>
  <si>
    <t>RKB</t>
  </si>
  <si>
    <t>Date</t>
  </si>
  <si>
    <t>Daily Costs</t>
  </si>
  <si>
    <t>Total Costs</t>
  </si>
  <si>
    <t>Surface Batch Drilled?</t>
  </si>
  <si>
    <t>Surface Costs</t>
  </si>
  <si>
    <t>Day 1</t>
  </si>
  <si>
    <t>Day 2</t>
  </si>
  <si>
    <t xml:space="preserve">Day 3 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</si>
  <si>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</si>
  <si>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</si>
  <si>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</si>
  <si>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</si>
  <si>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</si>
  <si>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</si>
  <si>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</si>
  <si>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</si>
  <si>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</si>
  <si>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</si>
  <si>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</si>
  <si>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</si>
  <si>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</si>
  <si>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</si>
  <si>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</si>
  <si>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</si>
  <si>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</si>
  <si>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</si>
  <si>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</si>
  <si>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</si>
  <si>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</si>
  <si>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</si>
  <si>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</si>
  <si>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</si>
  <si>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</si>
  <si>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</si>
  <si>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</si>
  <si>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</si>
  <si>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</si>
  <si>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</si>
  <si>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</si>
  <si>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</si>
  <si>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</si>
  <si>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</si>
  <si>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</si>
  <si>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</si>
  <si>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</si>
  <si>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Day 41</t>
  </si>
  <si>
    <t>Day 42</t>
  </si>
  <si>
    <t>Day 43</t>
  </si>
  <si>
    <t>Day 44</t>
  </si>
  <si>
    <t>Day 45</t>
  </si>
  <si>
    <t>Day 46</t>
  </si>
  <si>
    <t>Day 47</t>
  </si>
  <si>
    <t>Day 48</t>
  </si>
  <si>
    <t>Day 49</t>
  </si>
  <si>
    <t>Day 50</t>
  </si>
  <si>
    <t>Day 51</t>
  </si>
  <si>
    <t>Day 52</t>
  </si>
  <si>
    <t>Day 53</t>
  </si>
  <si>
    <t>Day 54</t>
  </si>
  <si>
    <t>Day 55</t>
  </si>
  <si>
    <t>Day 56</t>
  </si>
  <si>
    <t>Day 57</t>
  </si>
  <si>
    <t>Day 58</t>
  </si>
  <si>
    <t>Day 59</t>
  </si>
  <si>
    <t>Day 60</t>
  </si>
  <si>
    <t>Day 61</t>
  </si>
  <si>
    <t>Day 62</t>
  </si>
  <si>
    <t>Day 63</t>
  </si>
  <si>
    <t>Day 64</t>
  </si>
  <si>
    <t>Day 65</t>
  </si>
  <si>
    <t>Day 66</t>
  </si>
  <si>
    <t>Day 67</t>
  </si>
  <si>
    <t>Day 68</t>
  </si>
  <si>
    <t>Day 69</t>
  </si>
  <si>
    <t>Day 70</t>
  </si>
  <si>
    <t>Total</t>
  </si>
  <si>
    <t>BHA#</t>
  </si>
  <si>
    <t>Meters Sliding</t>
  </si>
  <si>
    <t>Time Sliding</t>
  </si>
  <si>
    <t>Meters Rotated</t>
  </si>
  <si>
    <t>Bit Hours</t>
  </si>
  <si>
    <t>Circ Hours</t>
  </si>
  <si>
    <t>ROP Sliding</t>
  </si>
  <si>
    <t>ROP Rotating</t>
  </si>
  <si>
    <t>% Sliding</t>
  </si>
  <si>
    <t>% Rotating</t>
  </si>
  <si>
    <t>Start Depth</t>
  </si>
  <si>
    <t>End Depth</t>
  </si>
  <si>
    <t>Hours</t>
  </si>
  <si>
    <t>Minutes</t>
  </si>
  <si>
    <t>CURRENT PLAN:</t>
  </si>
  <si>
    <t>Costs</t>
  </si>
  <si>
    <t>CURRENT BHA:</t>
  </si>
  <si>
    <t>Daily Costs:</t>
  </si>
  <si>
    <t>00:00 Depth:</t>
  </si>
  <si>
    <t>Total Costs:</t>
  </si>
  <si>
    <t>Meters Drilled:</t>
  </si>
  <si>
    <t>Last Survey</t>
  </si>
  <si>
    <t>Meters Slid:</t>
  </si>
  <si>
    <t>Depth:</t>
  </si>
  <si>
    <t>Meters Rotated:</t>
  </si>
  <si>
    <t>INC:</t>
  </si>
  <si>
    <t>Sliding Values:</t>
  </si>
  <si>
    <t>AZM:</t>
  </si>
  <si>
    <t>Rotating Values:</t>
  </si>
  <si>
    <t>TVD:</t>
  </si>
  <si>
    <t xml:space="preserve"> Daily Bit Hours / Circ Hours</t>
  </si>
  <si>
    <t>DLS:</t>
  </si>
  <si>
    <t>Totals for BHA</t>
  </si>
  <si>
    <t>Position of Wellbore (as of last survey)</t>
  </si>
  <si>
    <t>Distance from Current Geo Target</t>
  </si>
  <si>
    <t>Time Sliding:</t>
  </si>
  <si>
    <t>Time Rotating:</t>
  </si>
  <si>
    <t>Motor Information</t>
  </si>
  <si>
    <t>Total ROP Average:</t>
  </si>
  <si>
    <t>Motor Performance</t>
  </si>
  <si>
    <t>Total Bit Hours:</t>
  </si>
  <si>
    <t>Average Motor Output:</t>
  </si>
  <si>
    <t>Total Circ Hours:</t>
  </si>
  <si>
    <t>Dogleg Needed:</t>
  </si>
  <si>
    <t>BHA TOTALS</t>
  </si>
  <si>
    <t>Down Hole Temp</t>
  </si>
  <si>
    <t>Motor S/N:</t>
  </si>
  <si>
    <t>Enter any 3rd Party Toosl/hours below</t>
  </si>
  <si>
    <t>Config:</t>
  </si>
  <si>
    <t>3rd Party Tools</t>
  </si>
  <si>
    <t>Start Hours</t>
  </si>
  <si>
    <t>Total Hours</t>
  </si>
  <si>
    <t>Rev/L:</t>
  </si>
  <si>
    <t>Pump Rate:</t>
  </si>
  <si>
    <t>Motor Revs:</t>
  </si>
  <si>
    <t>Rotary</t>
  </si>
  <si>
    <t>Total RPM</t>
  </si>
  <si>
    <t>Today Bit Hours:</t>
  </si>
  <si>
    <t>Activated Agitator Hours</t>
  </si>
  <si>
    <t>Today Circ Hours:</t>
  </si>
  <si>
    <t>Previous Motor Hours:</t>
  </si>
  <si>
    <t>Total Motor Hours:</t>
  </si>
  <si>
    <t>AC Info &amp; Concerns</t>
  </si>
  <si>
    <t>Offset Well - Wellbore - Design - Reference Depth</t>
  </si>
  <si>
    <t>Separation Factor</t>
  </si>
  <si>
    <t>C2C (m)</t>
  </si>
  <si>
    <t>Closest C2C</t>
  </si>
  <si>
    <t>Enter Motors &amp; hours below</t>
  </si>
  <si>
    <t>Serial Number</t>
  </si>
  <si>
    <t>Motors On Location</t>
  </si>
  <si>
    <t>Serial #</t>
  </si>
  <si>
    <t>Configuration</t>
  </si>
  <si>
    <t>Bend</t>
  </si>
  <si>
    <t>Rev/L</t>
  </si>
  <si>
    <t>Name</t>
  </si>
  <si>
    <t>Enter Motor details below for drop down lists above</t>
  </si>
  <si>
    <t>7/8 5.7</t>
  </si>
  <si>
    <t>7/8 7.0</t>
  </si>
  <si>
    <t>5/6 6.7</t>
  </si>
  <si>
    <t>6/7 11.7</t>
  </si>
  <si>
    <t>6/7 8.8</t>
  </si>
  <si>
    <t>5/6 8.3</t>
  </si>
  <si>
    <t>6/7 6.4</t>
  </si>
  <si>
    <t>6/7 8.0</t>
  </si>
  <si>
    <t>7/8 3.7</t>
  </si>
  <si>
    <t>7/8 3.8</t>
  </si>
  <si>
    <t>7/8 5.0</t>
  </si>
  <si>
    <t>Well Name:</t>
  </si>
  <si>
    <t>Operator:</t>
  </si>
  <si>
    <t>JOB#</t>
  </si>
  <si>
    <t>Section:</t>
  </si>
  <si>
    <t>Rig Name:</t>
  </si>
  <si>
    <t>RKB:</t>
  </si>
  <si>
    <t>Survey Offset</t>
  </si>
  <si>
    <t>C.L</t>
  </si>
  <si>
    <t>Bit Depth</t>
  </si>
  <si>
    <t>Survey Depth</t>
  </si>
  <si>
    <t>Inc</t>
  </si>
  <si>
    <t>Azm</t>
  </si>
  <si>
    <t>TVD</t>
  </si>
  <si>
    <t>S.S</t>
  </si>
  <si>
    <t>DLS</t>
  </si>
  <si>
    <t>Build</t>
  </si>
  <si>
    <t>Turn</t>
  </si>
  <si>
    <t>Meters Seen</t>
  </si>
  <si>
    <t>Calculated Toolface</t>
  </si>
  <si>
    <t>R.O.B/m</t>
  </si>
  <si>
    <t>Motor Output</t>
  </si>
  <si>
    <t>Slide From</t>
  </si>
  <si>
    <t>Slide To</t>
  </si>
  <si>
    <t># of Meters</t>
  </si>
  <si>
    <t>Toolface</t>
  </si>
  <si>
    <t>Comments</t>
  </si>
  <si>
    <t>INC</t>
  </si>
  <si>
    <t>AZM</t>
  </si>
  <si>
    <t>MD</t>
  </si>
  <si>
    <t>Start</t>
  </si>
  <si>
    <t>OFF LEG #</t>
  </si>
  <si>
    <t>Proposed STP</t>
  </si>
  <si>
    <t>Actual STP</t>
  </si>
  <si>
    <t>Slide</t>
  </si>
  <si>
    <t>SD</t>
  </si>
  <si>
    <t>Speed</t>
  </si>
  <si>
    <t>DP in BHA</t>
  </si>
  <si>
    <t>Original Survey</t>
  </si>
  <si>
    <t>Sidetrack Point</t>
  </si>
  <si>
    <t>HWDP in BHA</t>
  </si>
  <si>
    <t>Confirm Survey</t>
  </si>
  <si>
    <t>Start Time</t>
  </si>
  <si>
    <t>&lt;-------------</t>
  </si>
  <si>
    <t>Delete time here to blank out other times</t>
  </si>
  <si>
    <t>Reset Diff/WOB</t>
  </si>
  <si>
    <t>HWDP IN</t>
  </si>
  <si>
    <t>Pipe#</t>
  </si>
  <si>
    <t>DP IN - TROUGH WITH</t>
  </si>
  <si>
    <t>m/hr</t>
  </si>
  <si>
    <t>Meters</t>
  </si>
  <si>
    <t>Hrs</t>
  </si>
  <si>
    <t>TF</t>
  </si>
  <si>
    <t>WOB</t>
  </si>
  <si>
    <t>DIFF</t>
  </si>
  <si>
    <t>End</t>
  </si>
  <si>
    <t>Time From</t>
  </si>
  <si>
    <t>Time to</t>
  </si>
  <si>
    <t>Memos</t>
  </si>
  <si>
    <t>Sidetrack Pt</t>
  </si>
  <si>
    <t>DP on Racks/Derrick</t>
  </si>
  <si>
    <t>PROPOSED</t>
  </si>
  <si>
    <t>4m Trough</t>
  </si>
  <si>
    <t>110L</t>
  </si>
  <si>
    <t>-</t>
  </si>
  <si>
    <t>Pump</t>
  </si>
  <si>
    <t>HWDP on Racks/Derrick</t>
  </si>
  <si>
    <t>Handle Pull</t>
  </si>
  <si>
    <t>100L</t>
  </si>
  <si>
    <t>Handle Sensitivity</t>
  </si>
  <si>
    <t xml:space="preserve"> </t>
  </si>
  <si>
    <t>90L</t>
  </si>
  <si>
    <t>Motor Speed</t>
  </si>
  <si>
    <t>80L</t>
  </si>
  <si>
    <t>Pump rate for sidetrack @ 0.9m3/m</t>
  </si>
  <si>
    <t>CONTROL DRILLING 1000 kPa Diff</t>
  </si>
  <si>
    <t>If it hangs up in the last 4 meters, bring pump up to 1.1m3/m</t>
  </si>
  <si>
    <t>Total Time</t>
  </si>
  <si>
    <t>Rotating after sidetrack @ 3500 Diff until tools burried or WSS says otherwise</t>
  </si>
  <si>
    <t>*For Last 2 Meters, Chase 500 Diff over Diff Achieved Through Drilling @ 4m/hr</t>
  </si>
  <si>
    <t>Then Slide 4-5m @ 90 with 1000 Diff / Rotate @ 20 RPM / 3500 Diff for rest of single</t>
  </si>
  <si>
    <t>ACTUAL</t>
  </si>
  <si>
    <t>Before Sidetrack</t>
  </si>
  <si>
    <t>After Sidetrack</t>
  </si>
  <si>
    <t>TD Calculator</t>
  </si>
  <si>
    <t>NS</t>
  </si>
  <si>
    <t>EW</t>
  </si>
  <si>
    <t>Actual</t>
  </si>
  <si>
    <t>Planned TD</t>
  </si>
  <si>
    <t>Actual TD</t>
  </si>
  <si>
    <t>7/8 7.6</t>
  </si>
  <si>
    <t>6/7 10.5</t>
  </si>
  <si>
    <t>200M</t>
  </si>
  <si>
    <t>210M</t>
  </si>
  <si>
    <t>15</t>
  </si>
  <si>
    <t>n/a</t>
  </si>
  <si>
    <t>10</t>
  </si>
  <si>
    <t>C:\Users\Phoenix\Desktop\Tourmaline Sundown\34784 I Well\Reports\34784 AC REPORT.xlsx</t>
  </si>
  <si>
    <t>C:\Users\Phoenix\Desktop\Tourmaline Sundown\34784 I Well\Reports\Well Seeker Survey Report 34784.xlsx</t>
  </si>
  <si>
    <t>6</t>
  </si>
  <si>
    <t>Job ID</t>
  </si>
  <si>
    <t>Job Name</t>
  </si>
  <si>
    <t>Job Code</t>
  </si>
  <si>
    <t>Job Type</t>
  </si>
  <si>
    <t>Ops Status</t>
  </si>
  <si>
    <t>AFE (core)</t>
  </si>
  <si>
    <t>Well (core)</t>
  </si>
  <si>
    <t>Description</t>
  </si>
  <si>
    <t>PO</t>
  </si>
  <si>
    <t>Work Order</t>
  </si>
  <si>
    <t>Cost Center</t>
  </si>
  <si>
    <t>County</t>
  </si>
  <si>
    <t>City</t>
  </si>
  <si>
    <t>Start Date</t>
  </si>
  <si>
    <t>Planned Start Date</t>
  </si>
  <si>
    <t>Planned End Date</t>
  </si>
  <si>
    <t>AFE</t>
  </si>
  <si>
    <t>Camp</t>
  </si>
  <si>
    <t>CCEmail</t>
  </si>
  <si>
    <t>ChangeToLicensedBH</t>
  </si>
  <si>
    <t>ClientEmail</t>
  </si>
  <si>
    <t>CompanyMan</t>
  </si>
  <si>
    <t>CompanyManEmail</t>
  </si>
  <si>
    <t>CompanyManPhone</t>
  </si>
  <si>
    <t>Convergence</t>
  </si>
  <si>
    <t>countryValue</t>
  </si>
  <si>
    <t>DDCoordinator</t>
  </si>
  <si>
    <t>DDCoordinatorEmail</t>
  </si>
  <si>
    <t>DDCoordinatorUserId</t>
  </si>
  <si>
    <t>DIP</t>
  </si>
  <si>
    <t>Directions</t>
  </si>
  <si>
    <t>DrillMeasuredFrom</t>
  </si>
  <si>
    <t>Gamma</t>
  </si>
  <si>
    <t>GroundMSL</t>
  </si>
  <si>
    <t>IronRghNeck</t>
  </si>
  <si>
    <t>Latitude</t>
  </si>
  <si>
    <t>LatitudeDMS</t>
  </si>
  <si>
    <t>Loader</t>
  </si>
  <si>
    <t>Longitude</t>
  </si>
  <si>
    <t>LongitudeDMS</t>
  </si>
  <si>
    <t>MagneticDeclination</t>
  </si>
  <si>
    <t>MagneticReferenceDate</t>
  </si>
  <si>
    <t>MagneticReferenceModel</t>
  </si>
  <si>
    <t>MaintRepairPercent</t>
  </si>
  <si>
    <t>ManualSurvey</t>
  </si>
  <si>
    <t>MapSystem</t>
  </si>
  <si>
    <t>MWDCoordinator</t>
  </si>
  <si>
    <t>MWDCoordinatorEmail</t>
  </si>
  <si>
    <t>MWDCoordinatorUserId</t>
  </si>
  <si>
    <t>MWDGuidanceType</t>
  </si>
  <si>
    <t>NorthReference</t>
  </si>
  <si>
    <t>opsStatus</t>
  </si>
  <si>
    <t>OtherPersonnel</t>
  </si>
  <si>
    <t>PermanentDatum</t>
  </si>
  <si>
    <t>PipeArm</t>
  </si>
  <si>
    <t>Radio</t>
  </si>
  <si>
    <t>RemoteServices</t>
  </si>
  <si>
    <t>RigType</t>
  </si>
  <si>
    <t>SalesRep</t>
  </si>
  <si>
    <t>SalesRepEmail</t>
  </si>
  <si>
    <t>SalesRepId</t>
  </si>
  <si>
    <t>SecondCompanyMan</t>
  </si>
  <si>
    <t>Section</t>
  </si>
  <si>
    <t>SpudDate</t>
  </si>
  <si>
    <t>SurfaceCoordinates</t>
  </si>
  <si>
    <t>SurveyCorrection</t>
  </si>
  <si>
    <t>TGF</t>
  </si>
  <si>
    <t>TMF</t>
  </si>
  <si>
    <t>ToleranceDIP</t>
  </si>
  <si>
    <t>ToleranceTGF</t>
  </si>
  <si>
    <t>ToleranceTMF</t>
  </si>
  <si>
    <t>TopDrive</t>
  </si>
  <si>
    <t>TotalCorrection</t>
  </si>
  <si>
    <t>TotalKB</t>
  </si>
  <si>
    <t>UWI</t>
  </si>
  <si>
    <t>WellLicenceNumber</t>
  </si>
  <si>
    <t>WellProfile</t>
  </si>
  <si>
    <t>Hz</t>
  </si>
  <si>
    <t>N</t>
  </si>
  <si>
    <t>CA</t>
  </si>
  <si>
    <t>Kelly Bushing</t>
  </si>
  <si>
    <t>Y</t>
  </si>
  <si>
    <t>Velocity UTX</t>
  </si>
  <si>
    <t>Ground Level</t>
  </si>
  <si>
    <t>Triple</t>
  </si>
  <si>
    <t>Horizontal</t>
  </si>
  <si>
    <t>Employee Code</t>
  </si>
  <si>
    <t>Phone</t>
  </si>
  <si>
    <t>Role</t>
  </si>
  <si>
    <t>Work Type</t>
  </si>
  <si>
    <t>Line Number</t>
  </si>
  <si>
    <t>BHA #</t>
  </si>
  <si>
    <t>Status</t>
  </si>
  <si>
    <t>Motor</t>
  </si>
  <si>
    <t>Guidance</t>
  </si>
  <si>
    <t>Metres Drilled</t>
  </si>
  <si>
    <t>BHA Total Hrs</t>
  </si>
  <si>
    <t>BHA Hrs Slid</t>
  </si>
  <si>
    <t>BHA Hrs Rot</t>
  </si>
  <si>
    <t>BHA Hrs Circ</t>
  </si>
  <si>
    <t>BHA Below Rot</t>
  </si>
  <si>
    <t>Activated On</t>
  </si>
  <si>
    <t>Completed On</t>
  </si>
  <si>
    <t>Item Code</t>
  </si>
  <si>
    <t>Sub Description</t>
  </si>
  <si>
    <t>Length</t>
  </si>
  <si>
    <t>Accum Length</t>
  </si>
  <si>
    <t>Top</t>
  </si>
  <si>
    <t>Bottom</t>
  </si>
  <si>
    <t>Max OD</t>
  </si>
  <si>
    <t>Min ID</t>
  </si>
  <si>
    <t>Job Hours</t>
  </si>
  <si>
    <t>HSLS</t>
  </si>
  <si>
    <t>Strapped</t>
  </si>
  <si>
    <t>Shipping Status</t>
  </si>
  <si>
    <t>Dispatched On</t>
  </si>
  <si>
    <t>Returned On</t>
  </si>
  <si>
    <t>Turn Key Pulser Bottom End Assembly Velocity</t>
  </si>
  <si>
    <t>Battery Barrel Assembly Velocity</t>
  </si>
  <si>
    <t>475 Centralizer Collar Assembly Velocity</t>
  </si>
  <si>
    <t>VX475217</t>
  </si>
  <si>
    <t>Crossover Sub 3 1-2 IF Pin x DS38 Pin Velocity</t>
  </si>
  <si>
    <t>475 Gap Sub Assembly (Peek Ring) PHX Velocity</t>
  </si>
  <si>
    <t>Mud Motor 525 ML PHX</t>
  </si>
  <si>
    <t>475 Grounding Sub Assy - Morse Taper</t>
  </si>
  <si>
    <t>Rental Crossover 475 - 525</t>
  </si>
  <si>
    <t>ELP Barrel Assembly Velocity (Dispatch)</t>
  </si>
  <si>
    <t>800 Centralizer Collar Assembly Velocity</t>
  </si>
  <si>
    <t>800 Grounding Sub Assy - Morse Taper</t>
  </si>
  <si>
    <t>800 Gap Sub Assembly Peek Ring PHX Velocity</t>
  </si>
  <si>
    <t>Slick Collar Non-Mag - 8In. 6 5/8 Reg. Pin x Box 3.25In. ID</t>
  </si>
  <si>
    <t>#</t>
  </si>
  <si>
    <t>SERIAL #</t>
  </si>
  <si>
    <t>ITEM CODE</t>
  </si>
  <si>
    <t>DESCRIPTION</t>
  </si>
  <si>
    <t>TOTAL HRS</t>
  </si>
  <si>
    <t>METRES</t>
  </si>
  <si>
    <t>HRS ROT</t>
  </si>
  <si>
    <t>1</t>
  </si>
  <si>
    <t>2</t>
  </si>
  <si>
    <t>105935</t>
  </si>
  <si>
    <t>3</t>
  </si>
  <si>
    <t>105519</t>
  </si>
  <si>
    <t>4</t>
  </si>
  <si>
    <t>5</t>
  </si>
  <si>
    <t>7</t>
  </si>
  <si>
    <t>8</t>
  </si>
  <si>
    <t>9</t>
  </si>
  <si>
    <t>11</t>
  </si>
  <si>
    <t>12</t>
  </si>
  <si>
    <t>13</t>
  </si>
  <si>
    <t>14</t>
  </si>
  <si>
    <t>16</t>
  </si>
  <si>
    <t>17</t>
  </si>
  <si>
    <t>18</t>
  </si>
  <si>
    <t>19</t>
  </si>
  <si>
    <t>108623</t>
  </si>
  <si>
    <t>BHAs</t>
  </si>
  <si>
    <t>No components over 300h.</t>
  </si>
  <si>
    <t>BHA</t>
  </si>
  <si>
    <t>Hrs Slid</t>
  </si>
  <si>
    <t>Hrs Rot</t>
  </si>
  <si>
    <t>Hrs Circ</t>
  </si>
  <si>
    <t>Total Hrs</t>
  </si>
  <si>
    <t>Below Rot</t>
  </si>
  <si>
    <t>20</t>
  </si>
  <si>
    <t>21</t>
  </si>
  <si>
    <t>22</t>
  </si>
  <si>
    <t>Intermediate</t>
  </si>
  <si>
    <t>FIELDCAP DD TOOLS</t>
  </si>
  <si>
    <t>SELECTED BHA</t>
  </si>
  <si>
    <t>SLIDE</t>
  </si>
  <si>
    <t>ROTATE</t>
  </si>
  <si>
    <t>CIRC</t>
  </si>
  <si>
    <t>Metres</t>
  </si>
  <si>
    <t>SLD %</t>
  </si>
  <si>
    <t>CREW</t>
  </si>
  <si>
    <t>HRS SLD</t>
  </si>
  <si>
    <t>CUMULATIVE SERIAL HOURS (All BHAs)</t>
  </si>
  <si>
    <t>110763</t>
  </si>
  <si>
    <t>108513</t>
  </si>
  <si>
    <t>103586</t>
  </si>
  <si>
    <t>OVER-LIMIT (&gt;300h Serial Hrs)</t>
  </si>
  <si>
    <t>RAW BHA SUMMARY</t>
  </si>
  <si>
    <t>Mtrs Sld</t>
  </si>
  <si>
    <t>Mtrs Rot</t>
  </si>
  <si>
    <t>Hrs Sld</t>
  </si>
  <si>
    <t>Hrs Crc</t>
  </si>
  <si>
    <t>BHA Mtrs Slid</t>
  </si>
  <si>
    <t>BHA Mtrs Rot</t>
  </si>
  <si>
    <t>;</t>
  </si>
  <si>
    <t>AB</t>
  </si>
  <si>
    <t>8/9 4.0</t>
  </si>
  <si>
    <t>No</t>
  </si>
  <si>
    <t>320M</t>
  </si>
  <si>
    <t>340M</t>
  </si>
  <si>
    <t>190M</t>
  </si>
  <si>
    <t>180M</t>
  </si>
  <si>
    <t>PHX-725006-PTS</t>
  </si>
  <si>
    <t>PHX-725076-PTS</t>
  </si>
  <si>
    <t>PHX-725141-PTS</t>
  </si>
  <si>
    <t>PHX-725211-PTS</t>
  </si>
  <si>
    <t>7/8 7.5</t>
  </si>
  <si>
    <t>120M</t>
  </si>
  <si>
    <t>300M</t>
  </si>
  <si>
    <t>30M</t>
  </si>
  <si>
    <t>160M</t>
  </si>
  <si>
    <t>Previous hours</t>
  </si>
  <si>
    <t>PDM Conf</t>
  </si>
  <si>
    <t xml:space="preserve">  OPENCAP  |  WELL DATABASE &amp; SETUP</t>
  </si>
  <si>
    <t xml:space="preserve">  JOB IDENTITY</t>
  </si>
  <si>
    <t>JOB ID</t>
  </si>
  <si>
    <t/>
  </si>
  <si>
    <t>OPS STATUS</t>
  </si>
  <si>
    <t>JOB NAME</t>
  </si>
  <si>
    <t>PROFILE</t>
  </si>
  <si>
    <t>CLIENT</t>
  </si>
  <si>
    <t>WELL / UWI</t>
  </si>
  <si>
    <t>WELL LICENCE</t>
  </si>
  <si>
    <t>SURFACE COORDS</t>
  </si>
  <si>
    <t>PROVINCE</t>
  </si>
  <si>
    <t>SPUD DATE</t>
  </si>
  <si>
    <t>START DATE</t>
  </si>
  <si>
    <t>MAP SYSTEM</t>
  </si>
  <si>
    <t>NORTH REF</t>
  </si>
  <si>
    <t xml:space="preserve">  WELL GEOMETRY</t>
  </si>
  <si>
    <t>GROUND MSL</t>
  </si>
  <si>
    <t>RKB HEIGHT</t>
  </si>
  <si>
    <t>TOTAL KB</t>
  </si>
  <si>
    <t>LATITUDE</t>
  </si>
  <si>
    <t>LONGITUDE</t>
  </si>
  <si>
    <t>WELL TYPE</t>
  </si>
  <si>
    <t xml:space="preserve">  DIRECTIONAL PARAMETERS</t>
  </si>
  <si>
    <t>MAG DECL</t>
  </si>
  <si>
    <t>REF MODEL</t>
  </si>
  <si>
    <t>REF DATE</t>
  </si>
  <si>
    <t>CONVERGENCE</t>
  </si>
  <si>
    <t>TOL DIP</t>
  </si>
  <si>
    <t>SURVEY CORR.</t>
  </si>
  <si>
    <t>DRILL MEAS.</t>
  </si>
  <si>
    <t xml:space="preserve">  EQUIPMENT &amp; RIG</t>
  </si>
  <si>
    <t>RIG TYPE</t>
  </si>
  <si>
    <t>TOP DRIVE</t>
  </si>
  <si>
    <t>DATA RECORDER</t>
  </si>
  <si>
    <t>GAMMA</t>
  </si>
  <si>
    <t>MWD GUIDANCE</t>
  </si>
  <si>
    <t>PIPE ARM</t>
  </si>
  <si>
    <t>RIG NAME</t>
  </si>
  <si>
    <t>LOADER</t>
  </si>
  <si>
    <t xml:space="preserve">  CONTACTS</t>
  </si>
  <si>
    <t>COMPANY MAN</t>
  </si>
  <si>
    <t>CM PHONE</t>
  </si>
  <si>
    <t>2ND COMP. MAN</t>
  </si>
  <si>
    <t>2ND CM PHONE</t>
  </si>
  <si>
    <t>GEOLOGIST</t>
  </si>
  <si>
    <t>GEOL. PHONE</t>
  </si>
  <si>
    <t>DD COORDINATOR</t>
  </si>
  <si>
    <t>DD COORD EMAIL</t>
  </si>
  <si>
    <t>MWD COORDINATOR</t>
  </si>
  <si>
    <t>MWD EMAIL</t>
  </si>
  <si>
    <t>SALES REP</t>
  </si>
  <si>
    <t>SALES EMAIL</t>
  </si>
  <si>
    <t>ROLE</t>
  </si>
  <si>
    <t>NAME</t>
  </si>
  <si>
    <t>EMAIL</t>
  </si>
  <si>
    <t>PHONE</t>
  </si>
  <si>
    <t xml:space="preserve">  OPENCAP EXPORT FILES</t>
  </si>
  <si>
    <t>STATUS</t>
  </si>
  <si>
    <t>FILE TYPE</t>
  </si>
  <si>
    <t>FILENAME</t>
  </si>
  <si>
    <t>ROWS</t>
  </si>
  <si>
    <t>PATH</t>
  </si>
  <si>
    <t>Job Details</t>
  </si>
  <si>
    <t>Crew / Personnel</t>
  </si>
  <si>
    <t>BHA Equipment</t>
  </si>
  <si>
    <t>Slide / Rotate by Day</t>
  </si>
  <si>
    <t>Equipment Inventory</t>
  </si>
  <si>
    <t xml:space="preserve">  IMPORT FILES</t>
  </si>
  <si>
    <t>FILE</t>
  </si>
  <si>
    <t>SELECTED PATH</t>
  </si>
  <si>
    <t xml:space="preserve">  EOW / JOB NOTES</t>
  </si>
  <si>
    <t>Ref MD (m)</t>
  </si>
  <si>
    <t>Between Centres (m)</t>
  </si>
  <si>
    <t>Risk</t>
  </si>
  <si>
    <t>Rig Name</t>
  </si>
  <si>
    <t>MotorRss</t>
  </si>
  <si>
    <t>PreferredTrucking</t>
  </si>
  <si>
    <t>PrimaryZone</t>
  </si>
  <si>
    <t>Timezone</t>
  </si>
  <si>
    <t>TimezoneOffset</t>
  </si>
  <si>
    <t>WellPlanner</t>
  </si>
  <si>
    <t>WellPlannerEmail</t>
  </si>
  <si>
    <t>WellPlannerId</t>
  </si>
  <si>
    <t>WellType</t>
  </si>
  <si>
    <t>MVHD</t>
  </si>
  <si>
    <t>NAD27</t>
  </si>
  <si>
    <t>Field Active</t>
  </si>
  <si>
    <t>[{"String1":"Rongsheng","String2":"F-1600","String3":"305","String4":"Triplex","String5":"152","String6":"98"}]</t>
  </si>
  <si>
    <t>[{"String1":"Surface","String2":"244.50","String3":"311","String4":"53.57","String5":"610","GridChanges":[false,false,false,false,false,false,false],"GridRowId":"917b5bdd-00a7-4340-9f88-4e78694c7922","GridRowNumber":1},{"String1":"Intermediate","String2":"177.80","String3":"222","String4":"38.69","String5":"2921"}]</t>
  </si>
  <si>
    <t>Mountain Time (-7:00)</t>
  </si>
  <si>
    <t>Gas</t>
  </si>
  <si>
    <t>VC650750</t>
  </si>
  <si>
    <t>650 Centralizer Collar Assembly Velocity</t>
  </si>
  <si>
    <t>BAPP479</t>
  </si>
  <si>
    <t>FL165126</t>
  </si>
  <si>
    <t>Flex Collar Non-Mag - 6 1/2In. 4 1/2 XH Pin x Box</t>
  </si>
  <si>
    <t>DR30715</t>
  </si>
  <si>
    <t>Rental Slick Pony Collar 650-675</t>
  </si>
  <si>
    <t>EB0455</t>
  </si>
  <si>
    <t>FL165358</t>
  </si>
  <si>
    <t>VG650515PTS</t>
  </si>
  <si>
    <t>650 Gap Sub Assembly (Peek Ring) PHX Velocity</t>
  </si>
  <si>
    <t>ELP0235</t>
  </si>
  <si>
    <t>DR56584</t>
  </si>
  <si>
    <t>Rental Crossover 650-750</t>
  </si>
  <si>
    <t>VX650763</t>
  </si>
  <si>
    <t>Crossover - 6 1/2in. NC46 Pin x NC46 Pin</t>
  </si>
  <si>
    <t>Mud Motor 725 ML PHX</t>
  </si>
  <si>
    <t>VL650323</t>
  </si>
  <si>
    <t>650 Landing Sub Assembly Velocity</t>
  </si>
  <si>
    <t>Velocity EM Only</t>
  </si>
  <si>
    <t>VL800140</t>
  </si>
  <si>
    <t>P203005</t>
  </si>
  <si>
    <t>Pony Slick Collar Non-Mag - 8In. 6 5/8 Reg Pin x Box</t>
  </si>
  <si>
    <t>DR60192</t>
  </si>
  <si>
    <t>SL203024</t>
  </si>
  <si>
    <t>SL203016</t>
  </si>
  <si>
    <t>X800026</t>
  </si>
  <si>
    <t>Crossover Sub - 8In. 6.625 Reg. Pin 4.5 IF Box PHX</t>
  </si>
  <si>
    <t>VC800023</t>
  </si>
  <si>
    <t>VX800222</t>
  </si>
  <si>
    <t>Crossover Sub - 8In. 6 5/8 Reg Pin 6 5/8 Reg Pin</t>
  </si>
  <si>
    <t>VG800273PTS</t>
  </si>
  <si>
    <t>PHX-900059-PTS</t>
  </si>
  <si>
    <t>Mud Motor 900 ML PHX</t>
  </si>
  <si>
    <t>Slide Metres</t>
  </si>
  <si>
    <t>Rotate Metres</t>
  </si>
  <si>
    <t>Survey Course Sum</t>
  </si>
  <si>
    <t>ItemCode</t>
  </si>
  <si>
    <t>ItemName</t>
  </si>
  <si>
    <t>SerialNumber</t>
  </si>
  <si>
    <t>MnfNumber</t>
  </si>
  <si>
    <t>Category</t>
  </si>
  <si>
    <t>SubCategory</t>
  </si>
  <si>
    <t>ShippingStatus</t>
  </si>
  <si>
    <t>TransferInDate</t>
  </si>
  <si>
    <t>TransferOutDate</t>
  </si>
  <si>
    <t>PlannedOutDate</t>
  </si>
  <si>
    <t>HrsSinceService</t>
  </si>
  <si>
    <t>SinceService_H1</t>
  </si>
  <si>
    <t>SinceService_H2</t>
  </si>
  <si>
    <t>SinceService_H3</t>
  </si>
  <si>
    <t>SinceService_H4</t>
  </si>
  <si>
    <t>SinceService_H5</t>
  </si>
  <si>
    <t>SinceService_H6</t>
  </si>
  <si>
    <t>Lifetime_H1</t>
  </si>
  <si>
    <t>Lifetime_H2</t>
  </si>
  <si>
    <t>Lifetime_H3</t>
  </si>
  <si>
    <t>Lifetime_H4</t>
  </si>
  <si>
    <t>IsActive</t>
  </si>
  <si>
    <t>VC475158</t>
  </si>
  <si>
    <t>DD</t>
  </si>
  <si>
    <t>Shipped</t>
  </si>
  <si>
    <t>Planned</t>
  </si>
  <si>
    <t>VG475273PTS</t>
  </si>
  <si>
    <t>PW3985</t>
  </si>
  <si>
    <t>475 Landing Sub Assembly (Long) Velocity</t>
  </si>
  <si>
    <t>VL475224</t>
  </si>
  <si>
    <t>513 Centralizer Collar Assembly 4.300 Thread</t>
  </si>
  <si>
    <t>PW3983</t>
  </si>
  <si>
    <t>PW4647</t>
  </si>
  <si>
    <t>650 Grounding Sub Assy - Morse Taper</t>
  </si>
  <si>
    <t>C800-005</t>
  </si>
  <si>
    <t>PW3984</t>
  </si>
  <si>
    <t>PW4642</t>
  </si>
  <si>
    <t>MWD</t>
  </si>
  <si>
    <t>BAPP006</t>
  </si>
  <si>
    <t>X800-0023</t>
  </si>
  <si>
    <t>EB0450</t>
  </si>
  <si>
    <t>FL165196</t>
  </si>
  <si>
    <t>Flex Collar Non-Mag 500 PHXDS38 Pin x Box</t>
  </si>
  <si>
    <t>Laptop (Dispatch)</t>
  </si>
  <si>
    <t>EWM7WD71KCZC</t>
  </si>
  <si>
    <t>CL652</t>
  </si>
  <si>
    <t>6JSE6SMRDSW1</t>
  </si>
  <si>
    <t>CL29</t>
  </si>
  <si>
    <t>CL23</t>
  </si>
  <si>
    <t>Lift Sub - 4 3/4In. 4In. Elevator Recess NC38 Pin</t>
  </si>
  <si>
    <t>PSER475078</t>
  </si>
  <si>
    <t>PSER475063</t>
  </si>
  <si>
    <t>Lift Sub - 6 1/2In. NC46 Pin</t>
  </si>
  <si>
    <t>PS165172</t>
  </si>
  <si>
    <t>L165092N</t>
  </si>
  <si>
    <t>Lift Sub - 8In. 6 5/8 Reg. Pin</t>
  </si>
  <si>
    <t>L800018</t>
  </si>
  <si>
    <t>pser800003</t>
  </si>
  <si>
    <t>L203002N</t>
  </si>
  <si>
    <t>PHX-525010-PTS</t>
  </si>
  <si>
    <t>PW1136</t>
  </si>
  <si>
    <t>motor</t>
  </si>
  <si>
    <t>PHX-525200-PTS</t>
  </si>
  <si>
    <t>PW3521</t>
  </si>
  <si>
    <t>PW2949</t>
  </si>
  <si>
    <t>PHX-900052-PTS</t>
  </si>
  <si>
    <t>PW1054</t>
  </si>
  <si>
    <t>PW1090</t>
  </si>
  <si>
    <t>MWD Kit Velocity</t>
  </si>
  <si>
    <t>Pony Slick Collar Non-Mag - 6 1/2In. 4 1/2 XH Pin x Box</t>
  </si>
  <si>
    <t>P800016</t>
  </si>
  <si>
    <t>Pony Slick Collar Non-Mag 5 1/4In. DS38 Pin x Box</t>
  </si>
  <si>
    <t>Pony Slick Collar Non-Mag 5 1/8In. DS38 Pin x Box Velocity</t>
  </si>
  <si>
    <t>P513001</t>
  </si>
  <si>
    <t>P513029</t>
  </si>
  <si>
    <t>DR33846</t>
  </si>
  <si>
    <t>DR32578</t>
  </si>
  <si>
    <t>Surface Receiver Assembly Velocity</t>
  </si>
  <si>
    <t>RCVR0666</t>
  </si>
  <si>
    <t>PW3351</t>
  </si>
  <si>
    <t>RCVR0660</t>
  </si>
  <si>
    <t>ELPP379</t>
  </si>
  <si>
    <t>PW2185</t>
  </si>
  <si>
    <t>Wifi Box</t>
  </si>
  <si>
    <t>BPHX151</t>
  </si>
  <si>
    <t>2026-07-22</t>
  </si>
  <si>
    <t>767.11 m</t>
  </si>
  <si>
    <t>0 m</t>
  </si>
  <si>
    <t>5.14 m</t>
  </si>
  <si>
    <t>772.25 m</t>
  </si>
  <si>
    <t>2.5</t>
  </si>
  <si>
    <t>16.05°</t>
  </si>
  <si>
    <t>74.75°</t>
  </si>
  <si>
    <t>1.00155</t>
  </si>
  <si>
    <t>0°</t>
  </si>
  <si>
    <t>Way Points</t>
  </si>
  <si>
    <t>Inc to next</t>
  </si>
  <si>
    <t>Last H/L →</t>
  </si>
  <si>
    <t>SAIL CALC</t>
  </si>
  <si>
    <t>Job 20803  |  FIELD ACTIVE523149  |  Morse, Adam  |  amorse@phxtech.com  |  305  |  Horizontal  |  Gas  |</t>
  </si>
  <si>
    <t>105579</t>
  </si>
  <si>
    <t>103552</t>
  </si>
  <si>
    <t>114720</t>
  </si>
  <si>
    <t>108636</t>
  </si>
  <si>
    <t>104705</t>
  </si>
  <si>
    <t>106587</t>
  </si>
  <si>
    <t>108599</t>
  </si>
  <si>
    <t>105750</t>
  </si>
  <si>
    <t>105050</t>
  </si>
  <si>
    <t>103619</t>
  </si>
  <si>
    <t>106214</t>
  </si>
  <si>
    <t>107030</t>
  </si>
  <si>
    <t>110251</t>
  </si>
  <si>
    <t xml:space="preserve"> Date</t>
  </si>
  <si>
    <t>MAZZC648</t>
  </si>
  <si>
    <t>MAZZC404</t>
  </si>
  <si>
    <t>Rental Flex Collar 475-525</t>
  </si>
  <si>
    <t>MAZZFLC500061B</t>
  </si>
  <si>
    <t>MAZZFLC500065B</t>
  </si>
  <si>
    <t>MAZZFLC475029</t>
  </si>
  <si>
    <t>Daily Cost</t>
  </si>
  <si>
    <t>Ticket Count</t>
  </si>
  <si>
    <t>Ticket Costs by Day</t>
  </si>
  <si>
    <t>Slick Collar Non-Mag - 500 PHXDS38 Pin x Box</t>
  </si>
  <si>
    <t>Current Hours</t>
  </si>
  <si>
    <t>130M</t>
  </si>
  <si>
    <t>KOP</t>
  </si>
  <si>
    <t>240M</t>
  </si>
  <si>
    <t>40M</t>
  </si>
  <si>
    <t>TAR1</t>
  </si>
  <si>
    <t>TAR2</t>
  </si>
  <si>
    <t>TAR3</t>
  </si>
  <si>
    <t>TAR4</t>
  </si>
  <si>
    <t>TANGENT</t>
  </si>
  <si>
    <t>HEEL</t>
  </si>
  <si>
    <t>INC @ BIT</t>
  </si>
  <si>
    <t>TVD @ BIT</t>
  </si>
  <si>
    <t>MtrBelow</t>
  </si>
  <si>
    <t>TF_deg</t>
  </si>
  <si>
    <t>CumN</t>
  </si>
  <si>
    <t>CumE</t>
  </si>
  <si>
    <t>BitAZM</t>
  </si>
  <si>
    <t>ActTgtMD</t>
  </si>
  <si>
    <t>0</t>
  </si>
  <si>
    <t>TF° thr</t>
  </si>
  <si>
    <t>BitN</t>
  </si>
  <si>
    <t>BitE</t>
  </si>
  <si>
    <t>BURR</t>
  </si>
  <si>
    <t>-20</t>
  </si>
  <si>
    <t>-10</t>
  </si>
  <si>
    <t>✓</t>
  </si>
  <si>
    <t>MtrToSlide</t>
  </si>
  <si>
    <t>ReqTF</t>
  </si>
  <si>
    <t>525-51-028</t>
  </si>
  <si>
    <t>525-51-691</t>
  </si>
  <si>
    <t>AZM @ BIT</t>
  </si>
  <si>
    <t>-30</t>
  </si>
  <si>
    <t>-15</t>
  </si>
  <si>
    <t>-60</t>
  </si>
  <si>
    <t>-50</t>
  </si>
  <si>
    <t>-45</t>
  </si>
  <si>
    <t>-120</t>
  </si>
  <si>
    <t>-110</t>
  </si>
  <si>
    <t>Offset Well - Wellbore - Design</t>
  </si>
  <si>
    <t>180</t>
  </si>
  <si>
    <t>AZI</t>
  </si>
  <si>
    <t>Sub-Sea</t>
  </si>
  <si>
    <t>VS</t>
  </si>
  <si>
    <t>UTM(N)</t>
  </si>
  <si>
    <t>UTM(E)</t>
  </si>
  <si>
    <t>Comment</t>
  </si>
  <si>
    <t>Colorado</t>
  </si>
  <si>
    <t>Cardium SS</t>
  </si>
  <si>
    <t>SWS</t>
  </si>
  <si>
    <t>BFS</t>
  </si>
  <si>
    <t>Nordegg</t>
  </si>
  <si>
    <t>-140</t>
  </si>
  <si>
    <t>-170</t>
  </si>
  <si>
    <t>45</t>
  </si>
  <si>
    <t>20R</t>
  </si>
  <si>
    <t>160</t>
  </si>
  <si>
    <t>Split Stand Slide twice</t>
  </si>
  <si>
    <t>MWD+HDGM+MS Rev 5 (1)</t>
  </si>
  <si>
    <t>P2</t>
  </si>
  <si>
    <t>Pipe Tally Calculator</t>
  </si>
  <si>
    <t>Pipe</t>
  </si>
  <si>
    <t>Total Depth</t>
  </si>
  <si>
    <t>Double Stands</t>
  </si>
  <si>
    <t>Triple 1/2 Stands</t>
  </si>
  <si>
    <t>Input</t>
  </si>
  <si>
    <t>Variable Lengths</t>
  </si>
  <si>
    <t>Output Lengths</t>
  </si>
  <si>
    <t>Output Depths</t>
  </si>
  <si>
    <t>Pipe 
Tally</t>
  </si>
  <si>
    <t>Sum</t>
  </si>
  <si>
    <t>Tally Bit Depths 
(For verification)</t>
  </si>
  <si>
    <t>Stand Lengths 
(Double)</t>
  </si>
  <si>
    <t>18m Tally 
Depths</t>
  </si>
  <si>
    <t>1/2 Stand Lengths</t>
  </si>
  <si>
    <t>13m Tally
Depths</t>
  </si>
  <si>
    <t>MUST BE ON
 A STAND DOWN</t>
  </si>
  <si>
    <t>STANDS</t>
  </si>
  <si>
    <t>SPILT</t>
  </si>
  <si>
    <t>VG650522PTS</t>
  </si>
  <si>
    <t>VC650673</t>
  </si>
  <si>
    <t>VX6500100</t>
  </si>
  <si>
    <t>VL650604</t>
  </si>
  <si>
    <t>GEO Window</t>
  </si>
  <si>
    <t>Up/down</t>
  </si>
  <si>
    <t>Geologist</t>
  </si>
  <si>
    <t>GeologistEmail</t>
  </si>
  <si>
    <t>Completed</t>
  </si>
  <si>
    <t>VG475256PTS</t>
  </si>
  <si>
    <t>PW2192</t>
  </si>
  <si>
    <t>VL475320</t>
  </si>
  <si>
    <t>PW2967</t>
  </si>
  <si>
    <t>VC475257</t>
  </si>
  <si>
    <t>PW3987</t>
  </si>
  <si>
    <t>PW2193</t>
  </si>
  <si>
    <t>PW4648</t>
  </si>
  <si>
    <t>PW2971</t>
  </si>
  <si>
    <t>BAPP478</t>
  </si>
  <si>
    <t>VX475252</t>
  </si>
  <si>
    <t>EB0456</t>
  </si>
  <si>
    <t>PHX-725229-PTS</t>
  </si>
  <si>
    <t>PW4304</t>
  </si>
  <si>
    <t>ELP0351</t>
  </si>
  <si>
    <t>ELPP372</t>
  </si>
  <si>
    <t>Activated</t>
  </si>
  <si>
    <t>Slide %</t>
  </si>
  <si>
    <t>111244</t>
  </si>
  <si>
    <t>114706</t>
  </si>
  <si>
    <t>108809</t>
  </si>
  <si>
    <t>109375</t>
  </si>
  <si>
    <t>108526</t>
  </si>
  <si>
    <t>105619</t>
  </si>
  <si>
    <t>104499</t>
  </si>
  <si>
    <t>105738</t>
  </si>
  <si>
    <t>110762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</si>
  <si>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</si>
  <si>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</si>
  <si>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</si>
  <si>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</si>
  <si>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</si>
  <si>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</si>
  <si>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</si>
  <si>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</si>
  <si>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</si>
  <si>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</si>
  <si>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</si>
  <si>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</si>
  <si>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</si>
  <si>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</si>
  <si>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</si>
  <si>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</si>
  <si>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</si>
  <si>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</si>
  <si>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Above</t>
  </si>
  <si>
    <t>140</t>
  </si>
  <si>
    <t>100/01-10-071-12W6/00 - 100/01-10 Surveys</t>
  </si>
  <si>
    <t>6/7 11.6</t>
  </si>
  <si>
    <t>70</t>
  </si>
  <si>
    <t>Left/Right</t>
  </si>
  <si>
    <t>BHA 6</t>
  </si>
  <si>
    <t>110760</t>
  </si>
  <si>
    <t>110200</t>
  </si>
  <si>
    <t>41</t>
  </si>
  <si>
    <t>42</t>
  </si>
  <si>
    <t>43</t>
  </si>
  <si>
    <t>44</t>
  </si>
  <si>
    <t>46</t>
  </si>
  <si>
    <t>47</t>
  </si>
  <si>
    <t>48</t>
  </si>
  <si>
    <t>C:\Users\Phoenix\Desktop\34801\Well Plans\[34801 P1] Field Pack\34801 P1\PARA HZ ELMWORTH 13-14-71-12 P1 AC.pdf</t>
  </si>
  <si>
    <t xml:space="preserve">	
DTI-DNR-1064</t>
  </si>
  <si>
    <t>100/04-22-068-08W5/00 - Demo Offset Surveys</t>
  </si>
  <si>
    <t>DataRecorder</t>
  </si>
  <si>
    <t>Pason</t>
  </si>
  <si>
    <t>PHX-525074-PTS</t>
  </si>
  <si>
    <t>PW2063</t>
  </si>
  <si>
    <t>1,234.4 m</t>
  </si>
  <si>
    <t>52.66 h</t>
  </si>
  <si>
    <t>11.58 h</t>
  </si>
  <si>
    <t>28.33 h</t>
  </si>
  <si>
    <t>12.75 h</t>
  </si>
  <si>
    <t>Midnight</t>
  </si>
  <si>
    <t>Below</t>
  </si>
  <si>
    <t>0.87m</t>
  </si>
  <si>
    <t>-115.500000</t>
  </si>
  <si>
    <t>Demo Zone</t>
  </si>
  <si>
    <t>sam.rivera@demo-dd.example</t>
  </si>
  <si>
    <t>403-555-0142</t>
  </si>
  <si>
    <t>Avery Brooks</t>
  </si>
  <si>
    <t>taylor.brooks@demo-sales.example</t>
  </si>
  <si>
    <t>Prairie Haul Ltd.</t>
  </si>
  <si>
    <t>avery.brooks@demo-geo.example</t>
  </si>
  <si>
    <t>04-22-068-08 W5</t>
  </si>
  <si>
    <t>Alex Morgan</t>
  </si>
  <si>
    <t>Taylor Brooks</t>
  </si>
  <si>
    <t>115 30 00.000 W</t>
  </si>
  <si>
    <t>Riley Chen</t>
  </si>
  <si>
    <t>54.208333</t>
  </si>
  <si>
    <t>DEMO-AFE-01</t>
  </si>
  <si>
    <t>NWE HZ WILLOWBEND 04-22-68-08 - demo-rig -</t>
  </si>
  <si>
    <t>99001</t>
  </si>
  <si>
    <t>Jordan Hale</t>
  </si>
  <si>
    <t>Northwind Energy Ltd.</t>
  </si>
  <si>
    <t>[{"String1":"Morgan Lee, Casey Quinn","String3":"","String4":"Second Company Man"},{"String1":"Avery Brooks","String3":"avery.brooks@demo-geo.example","String4":"Geologist"}]</t>
  </si>
  <si>
    <t>100/04-22-068-08W5/00</t>
  </si>
  <si>
    <t>jordan.hale@northwind.example</t>
  </si>
  <si>
    <t>Morgan Lee, Casey Quinn</t>
  </si>
  <si>
    <t>field@northwind.example</t>
  </si>
  <si>
    <t>54 12 30.000 N</t>
  </si>
  <si>
    <t>From Demo City, take Hwy 1 west 40 km to Twp Rd 680. South 8 km to RR 85. West 2 km to lease road; follow signs to location.</t>
  </si>
  <si>
    <t>ops@demo-dd.example;updates@demo-dd.example</t>
  </si>
  <si>
    <t>990001</t>
  </si>
  <si>
    <t>riley.chen@demo-mwd.example</t>
  </si>
  <si>
    <t>alex.morgan@demo-plan.example</t>
  </si>
  <si>
    <t>Sam Rivera</t>
  </si>
  <si>
    <t>Demo well package for repository review (fictional).</t>
  </si>
  <si>
    <t>Apex-214</t>
  </si>
  <si>
    <t>Alex Rivera</t>
  </si>
  <si>
    <t>alex.rivera@demo-crew.example</t>
  </si>
  <si>
    <t>780-555-0101</t>
  </si>
  <si>
    <t>Jamie Cole</t>
  </si>
  <si>
    <t>jamie.cole@demo-crew.example</t>
  </si>
  <si>
    <t>403-555-0102</t>
  </si>
  <si>
    <t>Morgan Blake</t>
  </si>
  <si>
    <t>morgan.blake@demo-crew.example</t>
  </si>
  <si>
    <t>780-555-0103</t>
  </si>
  <si>
    <t>fieldcap-job-20803-job-details.csv</t>
  </si>
  <si>
    <t>z:\PHX_FieldCap\OpenCap\fieldcap-job-20803-job-details.csv</t>
  </si>
  <si>
    <t>fieldcap-job-20803-crew.csv</t>
  </si>
  <si>
    <t>z:\PHX_FieldCap\OpenCap\fieldcap-job-20803-crew.csv</t>
  </si>
  <si>
    <t>fieldcap-job-20803-bha-equipment.csv</t>
  </si>
  <si>
    <t>z:\PHX_FieldCap\OpenCap\fieldcap-job-20803-bha-equipment.csv</t>
  </si>
  <si>
    <t>fieldcap-job-20803-slide-rotate-metres-by-day.csv</t>
  </si>
  <si>
    <t>z:\PHX_FieldCap\OpenCap\fieldcap-job-20803-slide-rotate-metres-by-day.csv</t>
  </si>
  <si>
    <t>fieldcap-job-20803-inventory.csv</t>
  </si>
  <si>
    <t>z:\PHX_FieldCap\OpenCap\fieldcap-job-20803-inventory.csv</t>
  </si>
  <si>
    <t>fieldcap-job-20803-ticket-costs-by-day.csv</t>
  </si>
  <si>
    <t>z:\PHX_FieldCap\OpenCap\fieldcap-job-20803-ticket-costs-by-day.csv</t>
  </si>
  <si>
    <t>GET DATA</t>
  </si>
  <si>
    <t>Chrome Web Store</t>
  </si>
  <si>
    <t>GitHub</t>
  </si>
  <si>
    <t xml:space="preserve">  CREW MANIFEST   3</t>
  </si>
  <si>
    <t>CAUTION</t>
  </si>
  <si>
    <t>D:\TEL HZ CARROT\TEL HZ CARROT 6-28-52-11 (35780)\Well Plans\[35780 P2] Field Pack\35780 P2\TEL HZ CARROT 6-28-52-11 P2.pdf</t>
  </si>
  <si>
    <t>BUILD</t>
  </si>
  <si>
    <t>TURN</t>
  </si>
  <si>
    <t>ANNOT</t>
  </si>
  <si>
    <t>AUTONAME</t>
  </si>
  <si>
    <t>USERNAME</t>
  </si>
  <si>
    <t>Nudge 1.5Â°/30m = 650.00m</t>
  </si>
  <si>
    <t>Hold = 750.00m</t>
  </si>
  <si>
    <t>Back to Vert.= 900.00m</t>
  </si>
  <si>
    <t>KOP 4Â°/30m = 1600.00m</t>
  </si>
  <si>
    <t>Hold = 1807.13m</t>
  </si>
  <si>
    <t>B &amp; T 4.5Â°/30m = 2435.25m</t>
  </si>
  <si>
    <t>SOT</t>
  </si>
  <si>
    <t>Hold = 2821.17m</t>
  </si>
  <si>
    <t>EOT</t>
  </si>
  <si>
    <t>ICP (Ireton+15m = 2836.17m</t>
  </si>
  <si>
    <t>Build 4.5Â°/30m = 2866.17m</t>
  </si>
  <si>
    <t>Heel = 3217.37m</t>
  </si>
  <si>
    <t>TD = 6704.23m</t>
  </si>
  <si>
    <t>TD</t>
  </si>
  <si>
    <t>5933670.630N</t>
  </si>
  <si>
    <t>592731.120E</t>
  </si>
  <si>
    <t>53° 32' 37.457 N</t>
  </si>
  <si>
    <t>115° 36' 1.961 W</t>
  </si>
  <si>
    <t>Nudge</t>
  </si>
  <si>
    <t>5933670.673N</t>
  </si>
  <si>
    <t>592731.127E</t>
  </si>
  <si>
    <t>53° 32' 37.458 N</t>
  </si>
  <si>
    <t>115° 36' 1.960 W</t>
  </si>
  <si>
    <t>5933671.320N</t>
  </si>
  <si>
    <t>592731.228E</t>
  </si>
  <si>
    <t>53° 32' 37.479 N</t>
  </si>
  <si>
    <t>115° 36' 1.954 W</t>
  </si>
  <si>
    <t>5933672.742N</t>
  </si>
  <si>
    <t>592731.450E</t>
  </si>
  <si>
    <t>53° 32' 37.525 N</t>
  </si>
  <si>
    <t>115° 36' 1.940 W</t>
  </si>
  <si>
    <t>5933674.938N</t>
  </si>
  <si>
    <t>592731.793E</t>
  </si>
  <si>
    <t>53° 32' 37.596 N</t>
  </si>
  <si>
    <t>115° 36' 1.919 W</t>
  </si>
  <si>
    <t>5933677.522N</t>
  </si>
  <si>
    <t>592732.196E</t>
  </si>
  <si>
    <t>53° 32' 37.679 N</t>
  </si>
  <si>
    <t>115° 36' 1.895 W</t>
  </si>
  <si>
    <t>5933680.062N</t>
  </si>
  <si>
    <t>592732.593E</t>
  </si>
  <si>
    <t>53° 32' 37.761 N</t>
  </si>
  <si>
    <t>115° 36' 1.871 W</t>
  </si>
  <si>
    <t>5933682.001N</t>
  </si>
  <si>
    <t>592732.895E</t>
  </si>
  <si>
    <t>53° 32' 37.824 N</t>
  </si>
  <si>
    <t>115° 36' 1.852 W</t>
  </si>
  <si>
    <t>5933683.164N</t>
  </si>
  <si>
    <t>592733.077E</t>
  </si>
  <si>
    <t>53° 32' 37.861 N</t>
  </si>
  <si>
    <t>115° 36' 1.841 W</t>
  </si>
  <si>
    <t>5933683.552N</t>
  </si>
  <si>
    <t>592733.138E</t>
  </si>
  <si>
    <t>53° 32' 37.874 N</t>
  </si>
  <si>
    <t>115° 36' 1.837 W</t>
  </si>
  <si>
    <t>Back to Vert. = 900.00m</t>
  </si>
  <si>
    <t>Belly River</t>
  </si>
  <si>
    <t>Lea Park</t>
  </si>
  <si>
    <t>Cardium fm</t>
  </si>
  <si>
    <t>5933683.659N</t>
  </si>
  <si>
    <t>592733.174E</t>
  </si>
  <si>
    <t>53° 32' 37.877 N</t>
  </si>
  <si>
    <t>115° 36' 1.835 W</t>
  </si>
  <si>
    <t>5933683.992N</t>
  </si>
  <si>
    <t>592733.290E</t>
  </si>
  <si>
    <t>53° 32' 37.888 N</t>
  </si>
  <si>
    <t>115° 36' 1.829 W</t>
  </si>
  <si>
    <t>5933686.299N</t>
  </si>
  <si>
    <t>592734.086E</t>
  </si>
  <si>
    <t>53° 32' 37.962 N</t>
  </si>
  <si>
    <t>115° 36' 1.783 W</t>
  </si>
  <si>
    <t>5933690.571N</t>
  </si>
  <si>
    <t>592735.562E</t>
  </si>
  <si>
    <t>53° 32' 38.099 N</t>
  </si>
  <si>
    <t>115° 36' 1.698 W</t>
  </si>
  <si>
    <t>5933696.787N</t>
  </si>
  <si>
    <t>592737.709E</t>
  </si>
  <si>
    <t>53° 32' 38.299 N</t>
  </si>
  <si>
    <t>115° 36' 1.575 W</t>
  </si>
  <si>
    <t>5933704.918N</t>
  </si>
  <si>
    <t>592740.517E</t>
  </si>
  <si>
    <t>53° 32' 38.560 N</t>
  </si>
  <si>
    <t>115° 36' 1.414 W</t>
  </si>
  <si>
    <t>5933714.924N</t>
  </si>
  <si>
    <t>592743.973E</t>
  </si>
  <si>
    <t>53° 32' 38.882 N</t>
  </si>
  <si>
    <t>115° 36' 1.215 W</t>
  </si>
  <si>
    <t>5933719.116N</t>
  </si>
  <si>
    <t>592745.421E</t>
  </si>
  <si>
    <t>53° 32' 39.017 N</t>
  </si>
  <si>
    <t>115° 36' 1.132 W</t>
  </si>
  <si>
    <t>5933726.756N</t>
  </si>
  <si>
    <t>592748.059E</t>
  </si>
  <si>
    <t>53° 32' 39.262 N</t>
  </si>
  <si>
    <t>115° 36' 0.981 W</t>
  </si>
  <si>
    <t>5933729.830N</t>
  </si>
  <si>
    <t>592749.121E</t>
  </si>
  <si>
    <t>53° 32' 39.361 N</t>
  </si>
  <si>
    <t>115° 36' 0.920 W</t>
  </si>
  <si>
    <t>5933734.599N</t>
  </si>
  <si>
    <t>592750.768E</t>
  </si>
  <si>
    <t>53° 32' 39.514 N</t>
  </si>
  <si>
    <t>115° 36' 0.825 W</t>
  </si>
  <si>
    <t>Viking SS</t>
  </si>
  <si>
    <t>5933739.851N</t>
  </si>
  <si>
    <t>592752.582E</t>
  </si>
  <si>
    <t>53° 32' 39.683 N</t>
  </si>
  <si>
    <t>115° 36' 0.721 W</t>
  </si>
  <si>
    <t>5933747.950N</t>
  </si>
  <si>
    <t>592755.380E</t>
  </si>
  <si>
    <t>53° 32' 39.943 N</t>
  </si>
  <si>
    <t>115° 36' 0.560 W</t>
  </si>
  <si>
    <t>Joli Fou</t>
  </si>
  <si>
    <t>5933752.996N</t>
  </si>
  <si>
    <t>592757.122E</t>
  </si>
  <si>
    <t>53° 32' 40.105 N</t>
  </si>
  <si>
    <t>115° 36' 0.460 W</t>
  </si>
  <si>
    <t>5933758.830N</t>
  </si>
  <si>
    <t>592759.137E</t>
  </si>
  <si>
    <t>53° 32' 40.292 N</t>
  </si>
  <si>
    <t>115° 36' 0.345 W</t>
  </si>
  <si>
    <t>Upper Mannville</t>
  </si>
  <si>
    <t>5933766.142N</t>
  </si>
  <si>
    <t>592761.663E</t>
  </si>
  <si>
    <t>53° 32' 40.527 N</t>
  </si>
  <si>
    <t>115° 36' 0.200 W</t>
  </si>
  <si>
    <t>5933779.287N</t>
  </si>
  <si>
    <t>592766.203E</t>
  </si>
  <si>
    <t>53° 32' 40.950 N</t>
  </si>
  <si>
    <t>115° 35' 59.939 W</t>
  </si>
  <si>
    <t>5933792.432N</t>
  </si>
  <si>
    <t>592770.743E</t>
  </si>
  <si>
    <t>53° 32' 41.372 N</t>
  </si>
  <si>
    <t>115° 35' 59.679 W</t>
  </si>
  <si>
    <t>5933805.577N</t>
  </si>
  <si>
    <t>592775.283E</t>
  </si>
  <si>
    <t>53° 32' 41.794 N</t>
  </si>
  <si>
    <t>115° 35' 59.418 W</t>
  </si>
  <si>
    <t>5933818.722N</t>
  </si>
  <si>
    <t>592779.823E</t>
  </si>
  <si>
    <t>53° 32' 42.217 N</t>
  </si>
  <si>
    <t>115° 35' 59.157 W</t>
  </si>
  <si>
    <t>5933831.867N</t>
  </si>
  <si>
    <t>592784.363E</t>
  </si>
  <si>
    <t>53° 32' 42.639 N</t>
  </si>
  <si>
    <t>115° 35' 58.897 W</t>
  </si>
  <si>
    <t>5933836.963N</t>
  </si>
  <si>
    <t>592786.123E</t>
  </si>
  <si>
    <t>53° 32' 42.803 N</t>
  </si>
  <si>
    <t>115° 35' 58.796 W</t>
  </si>
  <si>
    <t>Ellerslie</t>
  </si>
  <si>
    <t>5933845.012N</t>
  </si>
  <si>
    <t>592788.903E</t>
  </si>
  <si>
    <t>53° 32' 43.062 N</t>
  </si>
  <si>
    <t>115° 35' 58.636 W</t>
  </si>
  <si>
    <t>5933847.842N</t>
  </si>
  <si>
    <t>592789.880E</t>
  </si>
  <si>
    <t>53° 32' 43.152 N</t>
  </si>
  <si>
    <t>115° 35' 58.580 W</t>
  </si>
  <si>
    <t>Rock Creek</t>
  </si>
  <si>
    <t>5933858.157N</t>
  </si>
  <si>
    <t>592793.443E</t>
  </si>
  <si>
    <t>53° 32' 43.484 N</t>
  </si>
  <si>
    <t>115° 35' 58.375 W</t>
  </si>
  <si>
    <t>5933858.227N</t>
  </si>
  <si>
    <t>592793.467E</t>
  </si>
  <si>
    <t>53° 32' 43.486 N</t>
  </si>
  <si>
    <t>115° 35' 58.374 W</t>
  </si>
  <si>
    <t>Poker Chip</t>
  </si>
  <si>
    <t>5933867.623N</t>
  </si>
  <si>
    <t>592796.712E</t>
  </si>
  <si>
    <t>53° 32' 43.788 N</t>
  </si>
  <si>
    <t>115° 35' 58.188 W</t>
  </si>
  <si>
    <t>5933871.302N</t>
  </si>
  <si>
    <t>592797.983E</t>
  </si>
  <si>
    <t>53° 32' 43.906 N</t>
  </si>
  <si>
    <t>115° 35' 58.115 W</t>
  </si>
  <si>
    <t>5933884.447N</t>
  </si>
  <si>
    <t>592802.523E</t>
  </si>
  <si>
    <t>53° 32' 44.329 N</t>
  </si>
  <si>
    <t>115° 35' 57.854 W</t>
  </si>
  <si>
    <t>5933889.381N</t>
  </si>
  <si>
    <t>592804.227E</t>
  </si>
  <si>
    <t>53° 32' 44.487 N</t>
  </si>
  <si>
    <t>115° 35' 57.756 W</t>
  </si>
  <si>
    <t>Shunda</t>
  </si>
  <si>
    <t>5933891.854N</t>
  </si>
  <si>
    <t>592805.081E</t>
  </si>
  <si>
    <t>53° 32' 44.567 N</t>
  </si>
  <si>
    <t>115° 35' 57.707 W</t>
  </si>
  <si>
    <t>Pekisko</t>
  </si>
  <si>
    <t>5933897.592N</t>
  </si>
  <si>
    <t>592807.063E</t>
  </si>
  <si>
    <t>53° 32' 44.751 N</t>
  </si>
  <si>
    <t>115° 35' 57.594 W</t>
  </si>
  <si>
    <t>5933907.184N</t>
  </si>
  <si>
    <t>592810.376E</t>
  </si>
  <si>
    <t>53° 32' 45.059 N</t>
  </si>
  <si>
    <t>115° 35' 57.403 W</t>
  </si>
  <si>
    <t>Banff</t>
  </si>
  <si>
    <t>5933910.737N</t>
  </si>
  <si>
    <t>592811.603E</t>
  </si>
  <si>
    <t>53° 32' 45.173 N</t>
  </si>
  <si>
    <t>115° 35' 57.333 W</t>
  </si>
  <si>
    <t>5933923.882N</t>
  </si>
  <si>
    <t>592816.143E</t>
  </si>
  <si>
    <t>53° 32' 45.596 N</t>
  </si>
  <si>
    <t>115° 35' 57.072 W</t>
  </si>
  <si>
    <t>5933937.027N</t>
  </si>
  <si>
    <t>592820.684E</t>
  </si>
  <si>
    <t>53° 32' 46.018 N</t>
  </si>
  <si>
    <t>115° 35' 56.812 W</t>
  </si>
  <si>
    <t>5933950.173N</t>
  </si>
  <si>
    <t>592825.224E</t>
  </si>
  <si>
    <t>53° 32' 46.440 N</t>
  </si>
  <si>
    <t>115° 35' 56.551 W</t>
  </si>
  <si>
    <t>5933963.318N</t>
  </si>
  <si>
    <t>592829.764E</t>
  </si>
  <si>
    <t>53° 32' 46.863 N</t>
  </si>
  <si>
    <t>115° 35' 56.290 W</t>
  </si>
  <si>
    <t>5933976.463N</t>
  </si>
  <si>
    <t>592834.304E</t>
  </si>
  <si>
    <t>53° 32' 47.285 N</t>
  </si>
  <si>
    <t>115° 35' 56.030 W</t>
  </si>
  <si>
    <t>5933989.608N</t>
  </si>
  <si>
    <t>592838.844E</t>
  </si>
  <si>
    <t>53° 32' 47.707 N</t>
  </si>
  <si>
    <t>115° 35' 55.769 W</t>
  </si>
  <si>
    <t>5933989.767N</t>
  </si>
  <si>
    <t>592838.899E</t>
  </si>
  <si>
    <t>53° 32' 47.712 N</t>
  </si>
  <si>
    <t>115° 35' 55.766 W</t>
  </si>
  <si>
    <t>Exshaw</t>
  </si>
  <si>
    <t>5933990.756N</t>
  </si>
  <si>
    <t>592839.241E</t>
  </si>
  <si>
    <t>53° 32' 47.744 N</t>
  </si>
  <si>
    <t>115° 35' 55.746 W</t>
  </si>
  <si>
    <t>Wabamun</t>
  </si>
  <si>
    <t>5934002.753N</t>
  </si>
  <si>
    <t>592843.384E</t>
  </si>
  <si>
    <t>53° 32' 48.130 N</t>
  </si>
  <si>
    <t>115° 35' 55.508 W</t>
  </si>
  <si>
    <t>5934005.053N</t>
  </si>
  <si>
    <t>592844.178E</t>
  </si>
  <si>
    <t>53° 32' 48.204 N</t>
  </si>
  <si>
    <t>115° 35' 55.463 W</t>
  </si>
  <si>
    <t>B &amp; T</t>
  </si>
  <si>
    <t>5934015.189N</t>
  </si>
  <si>
    <t>592848.158E</t>
  </si>
  <si>
    <t>53° 32' 48.529 N</t>
  </si>
  <si>
    <t>115° 35' 55.236 W</t>
  </si>
  <si>
    <t>5934025.532N</t>
  </si>
  <si>
    <t>592853.594E</t>
  </si>
  <si>
    <t>53° 32' 48.860 N</t>
  </si>
  <si>
    <t>115° 35' 54.930 W</t>
  </si>
  <si>
    <t>5934033.687N</t>
  </si>
  <si>
    <t>592859.667E</t>
  </si>
  <si>
    <t>53° 32' 49.120 N</t>
  </si>
  <si>
    <t>115° 35' 54.591 W</t>
  </si>
  <si>
    <t>5934039.604N</t>
  </si>
  <si>
    <t>592866.342E</t>
  </si>
  <si>
    <t>53° 32' 49.307 N</t>
  </si>
  <si>
    <t>115° 35' 54.222 W</t>
  </si>
  <si>
    <t>5934043.246N</t>
  </si>
  <si>
    <t>592873.575E</t>
  </si>
  <si>
    <t>53° 32' 49.420 N</t>
  </si>
  <si>
    <t>115° 35' 53.825 W</t>
  </si>
  <si>
    <t>5934044.592N</t>
  </si>
  <si>
    <t>592881.324E</t>
  </si>
  <si>
    <t>53° 32' 49.459 N</t>
  </si>
  <si>
    <t>115° 35' 53.403 W</t>
  </si>
  <si>
    <t>5934044.282N</t>
  </si>
  <si>
    <t>592886.273E</t>
  </si>
  <si>
    <t>53° 32' 49.446 N</t>
  </si>
  <si>
    <t>115° 35' 53.135 W</t>
  </si>
  <si>
    <t>Garminia</t>
  </si>
  <si>
    <t>5934043.791N</t>
  </si>
  <si>
    <t>592888.879E</t>
  </si>
  <si>
    <t>53° 32' 49.428 N</t>
  </si>
  <si>
    <t>115° 35' 52.994 W</t>
  </si>
  <si>
    <t>Blueridge</t>
  </si>
  <si>
    <t>5934043.632N</t>
  </si>
  <si>
    <t>592889.540E</t>
  </si>
  <si>
    <t>53° 32' 49.423 N</t>
  </si>
  <si>
    <t>115° 35' 52.958 W</t>
  </si>
  <si>
    <t>5934040.372N</t>
  </si>
  <si>
    <t>592898.172E</t>
  </si>
  <si>
    <t>53° 32' 49.312 N</t>
  </si>
  <si>
    <t>115° 35' 52.492 W</t>
  </si>
  <si>
    <t>5934034.834N</t>
  </si>
  <si>
    <t>592907.168E</t>
  </si>
  <si>
    <t>53° 32' 49.127 N</t>
  </si>
  <si>
    <t>115° 35' 52.010 W</t>
  </si>
  <si>
    <t>5934033.041N</t>
  </si>
  <si>
    <t>592909.538E</t>
  </si>
  <si>
    <t>53° 32' 49.067 N</t>
  </si>
  <si>
    <t>115° 35' 51.883 W</t>
  </si>
  <si>
    <t>Nisku</t>
  </si>
  <si>
    <t>5934027.050N</t>
  </si>
  <si>
    <t>592916.472E</t>
  </si>
  <si>
    <t>53° 32' 48.869 N</t>
  </si>
  <si>
    <t>115° 35' 51.513 W</t>
  </si>
  <si>
    <t>5934017.068N</t>
  </si>
  <si>
    <t>592926.026E</t>
  </si>
  <si>
    <t>53° 32' 48.540 N</t>
  </si>
  <si>
    <t>115° 35' 51.004 W</t>
  </si>
  <si>
    <t>5934004.951N</t>
  </si>
  <si>
    <t>592935.771E</t>
  </si>
  <si>
    <t>53° 32' 48.142 N</t>
  </si>
  <si>
    <t>115° 35' 50.488 W</t>
  </si>
  <si>
    <t>5933990.774N</t>
  </si>
  <si>
    <t>592945.649E</t>
  </si>
  <si>
    <t>53° 32' 47.677 N</t>
  </si>
  <si>
    <t>115° 35' 49.967 W</t>
  </si>
  <si>
    <t>5933990.184N</t>
  </si>
  <si>
    <t>592946.033E</t>
  </si>
  <si>
    <t>53° 32' 47.658 N</t>
  </si>
  <si>
    <t>115° 35' 49.946 W</t>
  </si>
  <si>
    <t>Ireton</t>
  </si>
  <si>
    <t>5933990.180N</t>
  </si>
  <si>
    <t>592946.036E</t>
  </si>
  <si>
    <t>5933982.551N</t>
  </si>
  <si>
    <t>592950.998E</t>
  </si>
  <si>
    <t>53° 32' 47.408 N</t>
  </si>
  <si>
    <t>115° 35' 49.685 W</t>
  </si>
  <si>
    <t>ICP (Ireton+15m) = 2836.17m</t>
  </si>
  <si>
    <t>5933975.518N</t>
  </si>
  <si>
    <t>592955.574E</t>
  </si>
  <si>
    <t>53° 32' 47.177 N</t>
  </si>
  <si>
    <t>115° 35' 49.444 W</t>
  </si>
  <si>
    <t>5933967.295N</t>
  </si>
  <si>
    <t>592960.924E</t>
  </si>
  <si>
    <t>53° 32' 46.908 N</t>
  </si>
  <si>
    <t>115° 35' 49.162 W</t>
  </si>
  <si>
    <t>5933960.096N</t>
  </si>
  <si>
    <t>592965.607E</t>
  </si>
  <si>
    <t>53° 32' 46.672 N</t>
  </si>
  <si>
    <t>115° 35' 48.916 W</t>
  </si>
  <si>
    <t>5933943.379N</t>
  </si>
  <si>
    <t>592976.482E</t>
  </si>
  <si>
    <t>53° 32' 46.124 N</t>
  </si>
  <si>
    <t>115° 35' 48.343 W</t>
  </si>
  <si>
    <t>5933925.241N</t>
  </si>
  <si>
    <t>592988.282E</t>
  </si>
  <si>
    <t>53° 32' 45.530 N</t>
  </si>
  <si>
    <t>115° 35' 47.721 W</t>
  </si>
  <si>
    <t>5933905.793N</t>
  </si>
  <si>
    <t>593000.935E</t>
  </si>
  <si>
    <t>53° 32' 44.893 N</t>
  </si>
  <si>
    <t>115° 35' 47.055 W</t>
  </si>
  <si>
    <t>5933885.155N</t>
  </si>
  <si>
    <t>593014.362E</t>
  </si>
  <si>
    <t>53° 32' 44.217 N</t>
  </si>
  <si>
    <t>115° 35' 46.348 W</t>
  </si>
  <si>
    <t>5933863.454N</t>
  </si>
  <si>
    <t>593028.480E</t>
  </si>
  <si>
    <t>53° 32' 43.506 N</t>
  </si>
  <si>
    <t>115° 35' 45.604 W</t>
  </si>
  <si>
    <t>5933840.825N</t>
  </si>
  <si>
    <t>593043.203E</t>
  </si>
  <si>
    <t>53° 32' 42.764 N</t>
  </si>
  <si>
    <t>115° 35' 44.829 W</t>
  </si>
  <si>
    <t>5933817.406N</t>
  </si>
  <si>
    <t>593058.440E</t>
  </si>
  <si>
    <t>53° 32' 41.997 N</t>
  </si>
  <si>
    <t>115° 35' 44.026 W</t>
  </si>
  <si>
    <t>5933793.342N</t>
  </si>
  <si>
    <t>593074.096E</t>
  </si>
  <si>
    <t>53° 32' 41.208 N</t>
  </si>
  <si>
    <t>115° 35' 43.202 W</t>
  </si>
  <si>
    <t>5933768.782N</t>
  </si>
  <si>
    <t>593090.076E</t>
  </si>
  <si>
    <t>53° 32' 40.404 N</t>
  </si>
  <si>
    <t>115° 35' 42.360 W</t>
  </si>
  <si>
    <t>5933764.418N</t>
  </si>
  <si>
    <t>593092.915E</t>
  </si>
  <si>
    <t>53° 32' 40.261 N</t>
  </si>
  <si>
    <t>115° 35' 42.210 W</t>
  </si>
  <si>
    <t>Duvernay</t>
  </si>
  <si>
    <t>5933743.876N</t>
  </si>
  <si>
    <t>593106.280E</t>
  </si>
  <si>
    <t>53° 32' 39.588 N</t>
  </si>
  <si>
    <t>115° 35' 41.507 W</t>
  </si>
  <si>
    <t>5933718.779N</t>
  </si>
  <si>
    <t>593122.610E</t>
  </si>
  <si>
    <t>53° 32' 38.765 N</t>
  </si>
  <si>
    <t>115° 35' 40.647 W</t>
  </si>
  <si>
    <t>5933712.602N</t>
  </si>
  <si>
    <t>593126.629E</t>
  </si>
  <si>
    <t>53° 32' 38.563 N</t>
  </si>
  <si>
    <t>115° 35' 40.435 W</t>
  </si>
  <si>
    <t>5933693.633N</t>
  </si>
  <si>
    <t>593138.971E</t>
  </si>
  <si>
    <t>53° 32' 37.941 N</t>
  </si>
  <si>
    <t>115° 35' 39.785 W</t>
  </si>
  <si>
    <t>5933668.487N</t>
  </si>
  <si>
    <t>593155.332E</t>
  </si>
  <si>
    <t>53° 32' 37.118 N</t>
  </si>
  <si>
    <t>115° 35' 38.923 W</t>
  </si>
  <si>
    <t>5933643.342N</t>
  </si>
  <si>
    <t>593171.693E</t>
  </si>
  <si>
    <t>53° 32' 36.294 N</t>
  </si>
  <si>
    <t>115° 35' 38.062 W</t>
  </si>
  <si>
    <t>5933618.196N</t>
  </si>
  <si>
    <t>593188.054E</t>
  </si>
  <si>
    <t>53° 32' 35.470 N</t>
  </si>
  <si>
    <t>115° 35' 37.200 W</t>
  </si>
  <si>
    <t>5933593.050N</t>
  </si>
  <si>
    <t>593204.415E</t>
  </si>
  <si>
    <t>53° 32' 34.646 N</t>
  </si>
  <si>
    <t>115° 35' 36.338 W</t>
  </si>
  <si>
    <t>5933567.904N</t>
  </si>
  <si>
    <t>593220.776E</t>
  </si>
  <si>
    <t>53° 32' 33.822 N</t>
  </si>
  <si>
    <t>115° 35' 35.477 W</t>
  </si>
  <si>
    <t>5933542.758N</t>
  </si>
  <si>
    <t>593237.137E</t>
  </si>
  <si>
    <t>53° 32' 32.998 N</t>
  </si>
  <si>
    <t>115° 35' 34.615 W</t>
  </si>
  <si>
    <t>5933517.612N</t>
  </si>
  <si>
    <t>593253.498E</t>
  </si>
  <si>
    <t>53° 32' 32.174 N</t>
  </si>
  <si>
    <t>115° 35' 33.754 W</t>
  </si>
  <si>
    <t>5933492.466N</t>
  </si>
  <si>
    <t>593269.860E</t>
  </si>
  <si>
    <t>53° 32' 31.350 N</t>
  </si>
  <si>
    <t>115° 35' 32.892 W</t>
  </si>
  <si>
    <t>5933467.321N</t>
  </si>
  <si>
    <t>593286.221E</t>
  </si>
  <si>
    <t>53° 32' 30.526 N</t>
  </si>
  <si>
    <t>115° 35' 32.030 W</t>
  </si>
  <si>
    <t>5933442.175N</t>
  </si>
  <si>
    <t>593302.582E</t>
  </si>
  <si>
    <t>53° 32' 29.702 N</t>
  </si>
  <si>
    <t>115° 35' 31.169 W</t>
  </si>
  <si>
    <t>5933417.029N</t>
  </si>
  <si>
    <t>593318.943E</t>
  </si>
  <si>
    <t>53° 32' 28.878 N</t>
  </si>
  <si>
    <t>115° 35' 30.307 W</t>
  </si>
  <si>
    <t>5933391.883N</t>
  </si>
  <si>
    <t>593335.304E</t>
  </si>
  <si>
    <t>53° 32' 28.055 N</t>
  </si>
  <si>
    <t>115° 35' 29.446 W</t>
  </si>
  <si>
    <t>5933366.737N</t>
  </si>
  <si>
    <t>593351.665E</t>
  </si>
  <si>
    <t>53° 32' 27.231 N</t>
  </si>
  <si>
    <t>115° 35' 28.584 W</t>
  </si>
  <si>
    <t>5933341.591N</t>
  </si>
  <si>
    <t>593368.026E</t>
  </si>
  <si>
    <t>53° 32' 26.407 N</t>
  </si>
  <si>
    <t>115° 35' 27.723 W</t>
  </si>
  <si>
    <t>5933316.445N</t>
  </si>
  <si>
    <t>593384.387E</t>
  </si>
  <si>
    <t>53° 32' 25.583 N</t>
  </si>
  <si>
    <t>115° 35' 26.861 W</t>
  </si>
  <si>
    <t>5933291.300N</t>
  </si>
  <si>
    <t>593400.748E</t>
  </si>
  <si>
    <t>53° 32' 24.759 N</t>
  </si>
  <si>
    <t>115° 35' 26.000 W</t>
  </si>
  <si>
    <t>5933266.154N</t>
  </si>
  <si>
    <t>593417.109E</t>
  </si>
  <si>
    <t>53° 32' 23.935 N</t>
  </si>
  <si>
    <t>115° 35' 25.138 W</t>
  </si>
  <si>
    <t>5933241.008N</t>
  </si>
  <si>
    <t>593433.471E</t>
  </si>
  <si>
    <t>53° 32' 23.111 N</t>
  </si>
  <si>
    <t>115° 35' 24.277 W</t>
  </si>
  <si>
    <t>5933215.862N</t>
  </si>
  <si>
    <t>593449.832E</t>
  </si>
  <si>
    <t>53° 32' 22.287 N</t>
  </si>
  <si>
    <t>115° 35' 23.415 W</t>
  </si>
  <si>
    <t>5933190.716N</t>
  </si>
  <si>
    <t>593466.193E</t>
  </si>
  <si>
    <t>53° 32' 21.463 N</t>
  </si>
  <si>
    <t>115° 35' 22.554 W</t>
  </si>
  <si>
    <t>5933165.570N</t>
  </si>
  <si>
    <t>593482.554E</t>
  </si>
  <si>
    <t>53° 32' 20.639 N</t>
  </si>
  <si>
    <t>115° 35' 21.692 W</t>
  </si>
  <si>
    <t>5933140.424N</t>
  </si>
  <si>
    <t>593498.915E</t>
  </si>
  <si>
    <t>53° 32' 19.815 N</t>
  </si>
  <si>
    <t>115° 35' 20.831 W</t>
  </si>
  <si>
    <t>5933115.279N</t>
  </si>
  <si>
    <t>593515.276E</t>
  </si>
  <si>
    <t>53° 32' 18.991 N</t>
  </si>
  <si>
    <t>115° 35' 19.969 W</t>
  </si>
  <si>
    <t>5933090.133N</t>
  </si>
  <si>
    <t>593531.637E</t>
  </si>
  <si>
    <t>53° 32' 18.167 N</t>
  </si>
  <si>
    <t>115° 35' 19.108 W</t>
  </si>
  <si>
    <t>5933064.987N</t>
  </si>
  <si>
    <t>593547.998E</t>
  </si>
  <si>
    <t>53° 32' 17.344 N</t>
  </si>
  <si>
    <t>115° 35' 18.247 W</t>
  </si>
  <si>
    <t>5933039.841N</t>
  </si>
  <si>
    <t>593564.359E</t>
  </si>
  <si>
    <t>53° 32' 16.520 N</t>
  </si>
  <si>
    <t>115° 35' 17.385 W</t>
  </si>
  <si>
    <t>5933014.695N</t>
  </si>
  <si>
    <t>593580.721E</t>
  </si>
  <si>
    <t>53° 32' 15.696 N</t>
  </si>
  <si>
    <t>115° 35' 16.524 W</t>
  </si>
  <si>
    <t>5932989.549N</t>
  </si>
  <si>
    <t>593597.082E</t>
  </si>
  <si>
    <t>53° 32' 14.872 N</t>
  </si>
  <si>
    <t>115° 35' 15.662 W</t>
  </si>
  <si>
    <t>5932964.403N</t>
  </si>
  <si>
    <t>593613.443E</t>
  </si>
  <si>
    <t>53° 32' 14.048 N</t>
  </si>
  <si>
    <t>115° 35' 14.801 W</t>
  </si>
  <si>
    <t>5932939.258N</t>
  </si>
  <si>
    <t>593629.804E</t>
  </si>
  <si>
    <t>53° 32' 13.224 N</t>
  </si>
  <si>
    <t>115° 35' 13.940 W</t>
  </si>
  <si>
    <t>5932914.112N</t>
  </si>
  <si>
    <t>593646.165E</t>
  </si>
  <si>
    <t>53° 32' 12.400 N</t>
  </si>
  <si>
    <t>115° 35' 13.078 W</t>
  </si>
  <si>
    <t>5932888.966N</t>
  </si>
  <si>
    <t>593662.526E</t>
  </si>
  <si>
    <t>53° 32' 11.576 N</t>
  </si>
  <si>
    <t>115° 35' 12.217 W</t>
  </si>
  <si>
    <t>5932863.820N</t>
  </si>
  <si>
    <t>593678.887E</t>
  </si>
  <si>
    <t>53° 32' 10.752 N</t>
  </si>
  <si>
    <t>115° 35' 11.356 W</t>
  </si>
  <si>
    <t>5932838.674N</t>
  </si>
  <si>
    <t>593695.248E</t>
  </si>
  <si>
    <t>53° 32' 9.928 N</t>
  </si>
  <si>
    <t>115° 35' 10.494 W</t>
  </si>
  <si>
    <t>5932813.528N</t>
  </si>
  <si>
    <t>593711.609E</t>
  </si>
  <si>
    <t>53° 32' 9.104 N</t>
  </si>
  <si>
    <t>115° 35' 9.633 W</t>
  </si>
  <si>
    <t>5932788.383N</t>
  </si>
  <si>
    <t>593727.970E</t>
  </si>
  <si>
    <t>53° 32' 8.280 N</t>
  </si>
  <si>
    <t>115° 35' 8.772 W</t>
  </si>
  <si>
    <t>5932763.237N</t>
  </si>
  <si>
    <t>593744.332E</t>
  </si>
  <si>
    <t>53° 32' 7.456 N</t>
  </si>
  <si>
    <t>115° 35' 7.910 W</t>
  </si>
  <si>
    <t>5932738.091N</t>
  </si>
  <si>
    <t>593760.693E</t>
  </si>
  <si>
    <t>53° 32' 6.632 N</t>
  </si>
  <si>
    <t>115° 35' 7.049 W</t>
  </si>
  <si>
    <t>5932712.945N</t>
  </si>
  <si>
    <t>593777.054E</t>
  </si>
  <si>
    <t>53° 32' 5.808 N</t>
  </si>
  <si>
    <t>115° 35' 6.188 W</t>
  </si>
  <si>
    <t>5932687.799N</t>
  </si>
  <si>
    <t>593793.415E</t>
  </si>
  <si>
    <t>53° 32' 4.984 N</t>
  </si>
  <si>
    <t>115° 35' 5.326 W</t>
  </si>
  <si>
    <t>5932662.653N</t>
  </si>
  <si>
    <t>593809.776E</t>
  </si>
  <si>
    <t>53° 32' 4.160 N</t>
  </si>
  <si>
    <t>115° 35' 4.465 W</t>
  </si>
  <si>
    <t>5932637.507N</t>
  </si>
  <si>
    <t>593826.137E</t>
  </si>
  <si>
    <t>53° 32' 3.336 N</t>
  </si>
  <si>
    <t>115° 35' 3.604 W</t>
  </si>
  <si>
    <t>5932612.362N</t>
  </si>
  <si>
    <t>593842.498E</t>
  </si>
  <si>
    <t>53° 32' 2.512 N</t>
  </si>
  <si>
    <t>115° 35' 2.743 W</t>
  </si>
  <si>
    <t>5932587.216N</t>
  </si>
  <si>
    <t>593858.859E</t>
  </si>
  <si>
    <t>53° 32' 1.688 N</t>
  </si>
  <si>
    <t>115° 35' 1.881 W</t>
  </si>
  <si>
    <t>5932562.070N</t>
  </si>
  <si>
    <t>593875.220E</t>
  </si>
  <si>
    <t>53° 32' 0.864 N</t>
  </si>
  <si>
    <t>115° 35' 1.020 W</t>
  </si>
  <si>
    <t>5932536.924N</t>
  </si>
  <si>
    <t>593891.581E</t>
  </si>
  <si>
    <t>53° 32' 0.040 N</t>
  </si>
  <si>
    <t>115° 35' 0.159 W</t>
  </si>
  <si>
    <t>5932511.778N</t>
  </si>
  <si>
    <t>593907.943E</t>
  </si>
  <si>
    <t>53° 31' 59.217 N</t>
  </si>
  <si>
    <t>115° 34' 59.298 W</t>
  </si>
  <si>
    <t>5932486.632N</t>
  </si>
  <si>
    <t>593924.304E</t>
  </si>
  <si>
    <t>53° 31' 58.393 N</t>
  </si>
  <si>
    <t>115° 34' 58.437 W</t>
  </si>
  <si>
    <t>5932461.486N</t>
  </si>
  <si>
    <t>593940.665E</t>
  </si>
  <si>
    <t>53° 31' 57.569 N</t>
  </si>
  <si>
    <t>115° 34' 57.575 W</t>
  </si>
  <si>
    <t>5932436.341N</t>
  </si>
  <si>
    <t>593957.026E</t>
  </si>
  <si>
    <t>53° 31' 56.745 N</t>
  </si>
  <si>
    <t>115° 34' 56.714 W</t>
  </si>
  <si>
    <t>5932411.195N</t>
  </si>
  <si>
    <t>593973.387E</t>
  </si>
  <si>
    <t>53° 31' 55.921 N</t>
  </si>
  <si>
    <t>115° 34' 55.853 W</t>
  </si>
  <si>
    <t>5932386.049N</t>
  </si>
  <si>
    <t>593989.748E</t>
  </si>
  <si>
    <t>53° 31' 55.097 N</t>
  </si>
  <si>
    <t>115° 34' 54.992 W</t>
  </si>
  <si>
    <t>5932360.903N</t>
  </si>
  <si>
    <t>594006.109E</t>
  </si>
  <si>
    <t>53° 31' 54.273 N</t>
  </si>
  <si>
    <t>115° 34' 54.131 W</t>
  </si>
  <si>
    <t>5932335.757N</t>
  </si>
  <si>
    <t>594022.470E</t>
  </si>
  <si>
    <t>53° 31' 53.449 N</t>
  </si>
  <si>
    <t>115° 34' 53.269 W</t>
  </si>
  <si>
    <t>5932310.611N</t>
  </si>
  <si>
    <t>594038.831E</t>
  </si>
  <si>
    <t>53° 31' 52.625 N</t>
  </si>
  <si>
    <t>115° 34' 52.408 W</t>
  </si>
  <si>
    <t>5932285.465N</t>
  </si>
  <si>
    <t>594055.193E</t>
  </si>
  <si>
    <t>53° 31' 51.801 N</t>
  </si>
  <si>
    <t>115° 34' 51.547 W</t>
  </si>
  <si>
    <t>5932260.320N</t>
  </si>
  <si>
    <t>594071.554E</t>
  </si>
  <si>
    <t>53° 31' 50.977 N</t>
  </si>
  <si>
    <t>115° 34' 50.686 W</t>
  </si>
  <si>
    <t>5932235.174N</t>
  </si>
  <si>
    <t>594087.915E</t>
  </si>
  <si>
    <t>53° 31' 50.153 N</t>
  </si>
  <si>
    <t>115° 34' 49.825 W</t>
  </si>
  <si>
    <t>5932210.028N</t>
  </si>
  <si>
    <t>594104.276E</t>
  </si>
  <si>
    <t>53° 31' 49.329 N</t>
  </si>
  <si>
    <t>115° 34' 48.964 W</t>
  </si>
  <si>
    <t>5932184.882N</t>
  </si>
  <si>
    <t>594120.637E</t>
  </si>
  <si>
    <t>53° 31' 48.505 N</t>
  </si>
  <si>
    <t>115° 34' 48.103 W</t>
  </si>
  <si>
    <t>5932159.736N</t>
  </si>
  <si>
    <t>594136.998E</t>
  </si>
  <si>
    <t>53° 31' 47.681 N</t>
  </si>
  <si>
    <t>115° 34' 47.242 W</t>
  </si>
  <si>
    <t>5932134.590N</t>
  </si>
  <si>
    <t>594153.359E</t>
  </si>
  <si>
    <t>53° 31' 46.857 N</t>
  </si>
  <si>
    <t>115° 34' 46.381 W</t>
  </si>
  <si>
    <t>5932109.444N</t>
  </si>
  <si>
    <t>594169.720E</t>
  </si>
  <si>
    <t>53° 31' 46.033 N</t>
  </si>
  <si>
    <t>115° 34' 45.520 W</t>
  </si>
  <si>
    <t>5932084.299N</t>
  </si>
  <si>
    <t>594186.081E</t>
  </si>
  <si>
    <t>53° 31' 45.209 N</t>
  </si>
  <si>
    <t>115° 34' 44.658 W</t>
  </si>
  <si>
    <t>5932059.153N</t>
  </si>
  <si>
    <t>594202.442E</t>
  </si>
  <si>
    <t>53° 31' 44.385 N</t>
  </si>
  <si>
    <t>115° 34' 43.797 W</t>
  </si>
  <si>
    <t>5932034.007N</t>
  </si>
  <si>
    <t>594218.804E</t>
  </si>
  <si>
    <t>53° 31' 43.561 N</t>
  </si>
  <si>
    <t>115° 34' 42.936 W</t>
  </si>
  <si>
    <t>5932008.861N</t>
  </si>
  <si>
    <t>594235.165E</t>
  </si>
  <si>
    <t>53° 31' 42.737 N</t>
  </si>
  <si>
    <t>115° 34' 42.075 W</t>
  </si>
  <si>
    <t>5931983.715N</t>
  </si>
  <si>
    <t>594251.526E</t>
  </si>
  <si>
    <t>53° 31' 41.913 N</t>
  </si>
  <si>
    <t>115° 34' 41.214 W</t>
  </si>
  <si>
    <t>5931958.569N</t>
  </si>
  <si>
    <t>594267.887E</t>
  </si>
  <si>
    <t>53° 31' 41.089 N</t>
  </si>
  <si>
    <t>115° 34' 40.353 W</t>
  </si>
  <si>
    <t>5931933.423N</t>
  </si>
  <si>
    <t>594284.248E</t>
  </si>
  <si>
    <t>53° 31' 40.265 N</t>
  </si>
  <si>
    <t>115° 34' 39.492 W</t>
  </si>
  <si>
    <t>5931908.278N</t>
  </si>
  <si>
    <t>594300.609E</t>
  </si>
  <si>
    <t>53° 31' 39.441 N</t>
  </si>
  <si>
    <t>115° 34' 38.631 W</t>
  </si>
  <si>
    <t>5931883.132N</t>
  </si>
  <si>
    <t>594316.970E</t>
  </si>
  <si>
    <t>53° 31' 38.617 N</t>
  </si>
  <si>
    <t>115° 34' 37.770 W</t>
  </si>
  <si>
    <t>5931857.986N</t>
  </si>
  <si>
    <t>594333.331E</t>
  </si>
  <si>
    <t>53° 31' 37.793 N</t>
  </si>
  <si>
    <t>115° 34' 36.909 W</t>
  </si>
  <si>
    <t>5931832.840N</t>
  </si>
  <si>
    <t>594349.692E</t>
  </si>
  <si>
    <t>53° 31' 36.969 N</t>
  </si>
  <si>
    <t>115° 34' 36.048 W</t>
  </si>
  <si>
    <t>5931807.694N</t>
  </si>
  <si>
    <t>594366.054E</t>
  </si>
  <si>
    <t>53° 31' 36.145 N</t>
  </si>
  <si>
    <t>115° 34' 35.187 W</t>
  </si>
  <si>
    <t>5931782.548N</t>
  </si>
  <si>
    <t>594382.415E</t>
  </si>
  <si>
    <t>53° 31' 35.321 N</t>
  </si>
  <si>
    <t>115° 34' 34.326 W</t>
  </si>
  <si>
    <t>5931757.403N</t>
  </si>
  <si>
    <t>594398.776E</t>
  </si>
  <si>
    <t>53° 31' 34.497 N</t>
  </si>
  <si>
    <t>115° 34' 33.466 W</t>
  </si>
  <si>
    <t>5931732.257N</t>
  </si>
  <si>
    <t>594415.137E</t>
  </si>
  <si>
    <t>53° 31' 33.672 N</t>
  </si>
  <si>
    <t>115° 34' 32.605 W</t>
  </si>
  <si>
    <t>5931707.111N</t>
  </si>
  <si>
    <t>594431.498E</t>
  </si>
  <si>
    <t>53° 31' 32.848 N</t>
  </si>
  <si>
    <t>115° 34' 31.744 W</t>
  </si>
  <si>
    <t>5931681.965N</t>
  </si>
  <si>
    <t>594447.859E</t>
  </si>
  <si>
    <t>53° 31' 32.024 N</t>
  </si>
  <si>
    <t>115° 34' 30.883 W</t>
  </si>
  <si>
    <t>5931656.819N</t>
  </si>
  <si>
    <t>594464.220E</t>
  </si>
  <si>
    <t>53° 31' 31.200 N</t>
  </si>
  <si>
    <t>115° 34' 30.022 W</t>
  </si>
  <si>
    <t>5931631.673N</t>
  </si>
  <si>
    <t>594480.581E</t>
  </si>
  <si>
    <t>53° 31' 30.376 N</t>
  </si>
  <si>
    <t>115° 34' 29.161 W</t>
  </si>
  <si>
    <t>5931606.527N</t>
  </si>
  <si>
    <t>594496.942E</t>
  </si>
  <si>
    <t>53° 31' 29.552 N</t>
  </si>
  <si>
    <t>115° 34' 28.300 W</t>
  </si>
  <si>
    <t>5931581.382N</t>
  </si>
  <si>
    <t>594513.303E</t>
  </si>
  <si>
    <t>53° 31' 28.728 N</t>
  </si>
  <si>
    <t>115° 34' 27.439 W</t>
  </si>
  <si>
    <t>5931556.236N</t>
  </si>
  <si>
    <t>594529.665E</t>
  </si>
  <si>
    <t>53° 31' 27.904 N</t>
  </si>
  <si>
    <t>115° 34' 26.578 W</t>
  </si>
  <si>
    <t>5931531.090N</t>
  </si>
  <si>
    <t>594546.026E</t>
  </si>
  <si>
    <t>53° 31' 27.080 N</t>
  </si>
  <si>
    <t>115° 34' 25.717 W</t>
  </si>
  <si>
    <t>5931505.944N</t>
  </si>
  <si>
    <t>594562.387E</t>
  </si>
  <si>
    <t>53° 31' 26.256 N</t>
  </si>
  <si>
    <t>115° 34' 24.857 W</t>
  </si>
  <si>
    <t>5931480.798N</t>
  </si>
  <si>
    <t>594578.748E</t>
  </si>
  <si>
    <t>53° 31' 25.432 N</t>
  </si>
  <si>
    <t>115° 34' 23.996 W</t>
  </si>
  <si>
    <t>5931455.652N</t>
  </si>
  <si>
    <t>594595.109E</t>
  </si>
  <si>
    <t>53° 31' 24.608 N</t>
  </si>
  <si>
    <t>115° 34' 23.135 W</t>
  </si>
  <si>
    <t>5931430.506N</t>
  </si>
  <si>
    <t>594611.470E</t>
  </si>
  <si>
    <t>53° 31' 23.784 N</t>
  </si>
  <si>
    <t>115° 34' 22.274 W</t>
  </si>
  <si>
    <t>5931405.361N</t>
  </si>
  <si>
    <t>594627.831E</t>
  </si>
  <si>
    <t>53° 31' 22.960 N</t>
  </si>
  <si>
    <t>115° 34' 21.413 W</t>
  </si>
  <si>
    <t>5931380.215N</t>
  </si>
  <si>
    <t>594644.192E</t>
  </si>
  <si>
    <t>53° 31' 22.136 N</t>
  </si>
  <si>
    <t>115° 34' 20.553 W</t>
  </si>
  <si>
    <t>5931355.069N</t>
  </si>
  <si>
    <t>594660.553E</t>
  </si>
  <si>
    <t>53° 31' 21.312 N</t>
  </si>
  <si>
    <t>115° 34' 19.692 W</t>
  </si>
  <si>
    <t>5931329.923N</t>
  </si>
  <si>
    <t>594676.915E</t>
  </si>
  <si>
    <t>53° 31' 20.488 N</t>
  </si>
  <si>
    <t>115° 34' 18.831 W</t>
  </si>
  <si>
    <t>5931304.777N</t>
  </si>
  <si>
    <t>594693.276E</t>
  </si>
  <si>
    <t>53° 31' 19.664 N</t>
  </si>
  <si>
    <t>115° 34' 17.970 W</t>
  </si>
  <si>
    <t>5931279.631N</t>
  </si>
  <si>
    <t>594709.637E</t>
  </si>
  <si>
    <t>53° 31' 18.840 N</t>
  </si>
  <si>
    <t>115° 34' 17.109 W</t>
  </si>
  <si>
    <t>5931254.485N</t>
  </si>
  <si>
    <t>594725.998E</t>
  </si>
  <si>
    <t>53° 31' 18.016 N</t>
  </si>
  <si>
    <t>115° 34' 16.249 W</t>
  </si>
  <si>
    <t>5931229.340N</t>
  </si>
  <si>
    <t>594742.359E</t>
  </si>
  <si>
    <t>53° 31' 17.192 N</t>
  </si>
  <si>
    <t>115° 34' 15.388 W</t>
  </si>
  <si>
    <t>5931204.194N</t>
  </si>
  <si>
    <t>594758.720E</t>
  </si>
  <si>
    <t>53° 31' 16.368 N</t>
  </si>
  <si>
    <t>115° 34' 14.527 W</t>
  </si>
  <si>
    <t>5931179.048N</t>
  </si>
  <si>
    <t>594775.081E</t>
  </si>
  <si>
    <t>53° 31' 15.543 N</t>
  </si>
  <si>
    <t>115° 34' 13.666 W</t>
  </si>
  <si>
    <t>5931153.902N</t>
  </si>
  <si>
    <t>594791.442E</t>
  </si>
  <si>
    <t>53° 31' 14.719 N</t>
  </si>
  <si>
    <t>115° 34' 12.806 W</t>
  </si>
  <si>
    <t>5931128.756N</t>
  </si>
  <si>
    <t>594807.803E</t>
  </si>
  <si>
    <t>53° 31' 13.895 N</t>
  </si>
  <si>
    <t>115° 34' 11.945 W</t>
  </si>
  <si>
    <t>5931103.610N</t>
  </si>
  <si>
    <t>594824.164E</t>
  </si>
  <si>
    <t>53° 31' 13.071 N</t>
  </si>
  <si>
    <t>115° 34' 11.084 W</t>
  </si>
  <si>
    <t>5931078.464N</t>
  </si>
  <si>
    <t>594840.526E</t>
  </si>
  <si>
    <t>53° 31' 12.247 N</t>
  </si>
  <si>
    <t>115° 34' 10.224 W</t>
  </si>
  <si>
    <t>5931053.319N</t>
  </si>
  <si>
    <t>594856.887E</t>
  </si>
  <si>
    <t>53° 31' 11.423 N</t>
  </si>
  <si>
    <t>115° 34' 9.363 W</t>
  </si>
  <si>
    <t>5931028.173N</t>
  </si>
  <si>
    <t>594873.248E</t>
  </si>
  <si>
    <t>53° 31' 10.599 N</t>
  </si>
  <si>
    <t>115° 34' 8.502 W</t>
  </si>
  <si>
    <t>5931003.027N</t>
  </si>
  <si>
    <t>594889.609E</t>
  </si>
  <si>
    <t>53° 31' 9.775 N</t>
  </si>
  <si>
    <t>115° 34' 7.642 W</t>
  </si>
  <si>
    <t>5930977.881N</t>
  </si>
  <si>
    <t>594905.970E</t>
  </si>
  <si>
    <t>53° 31' 8.951 N</t>
  </si>
  <si>
    <t>115° 34' 6.781 W</t>
  </si>
  <si>
    <t>5930952.735N</t>
  </si>
  <si>
    <t>594922.331E</t>
  </si>
  <si>
    <t>53° 31' 8.127 N</t>
  </si>
  <si>
    <t>115° 34' 5.920 W</t>
  </si>
  <si>
    <t>5930927.589N</t>
  </si>
  <si>
    <t>594938.692E</t>
  </si>
  <si>
    <t>53° 31' 7.303 N</t>
  </si>
  <si>
    <t>115° 34' 5.060 W</t>
  </si>
  <si>
    <t>5930902.443N</t>
  </si>
  <si>
    <t>594955.053E</t>
  </si>
  <si>
    <t>53° 31' 6.479 N</t>
  </si>
  <si>
    <t>115° 34' 4.199 W</t>
  </si>
  <si>
    <t>5930877.298N</t>
  </si>
  <si>
    <t>594971.414E</t>
  </si>
  <si>
    <t>53° 31' 5.655 N</t>
  </si>
  <si>
    <t>115° 34' 3.338 W</t>
  </si>
  <si>
    <t>5930852.152N</t>
  </si>
  <si>
    <t>594987.776E</t>
  </si>
  <si>
    <t>53° 31' 4.831 N</t>
  </si>
  <si>
    <t>115° 34' 2.478 W</t>
  </si>
  <si>
    <t>5930827.006N</t>
  </si>
  <si>
    <t>595004.137E</t>
  </si>
  <si>
    <t>53° 31' 4.006 N</t>
  </si>
  <si>
    <t>115° 34' 1.617 W</t>
  </si>
  <si>
    <t>5930801.860N</t>
  </si>
  <si>
    <t>595020.498E</t>
  </si>
  <si>
    <t>53° 31' 3.182 N</t>
  </si>
  <si>
    <t>115° 34' 0.757 W</t>
  </si>
  <si>
    <t>5930789.933N</t>
  </si>
  <si>
    <t>595028.258E</t>
  </si>
  <si>
    <t>53° 31' 2.791 N</t>
  </si>
  <si>
    <t>115° 34' 0.348 W</t>
  </si>
  <si>
    <t>1373.52m</t>
  </si>
  <si>
    <t>Left</t>
  </si>
  <si>
    <t>175.84m</t>
  </si>
  <si>
    <t>Sliding 23.00m @ 56M                BURR 4.14</t>
  </si>
  <si>
    <t>Sliding 0.00m @ 60M                  BURR 4.69</t>
  </si>
  <si>
    <t>Sliding 0.00m @ 60M                  BURR 5.44</t>
  </si>
  <si>
    <t>Sliding 0.00m @ 61M                  BURR 6.51</t>
  </si>
  <si>
    <t>Sliding 0.00m @ 63M                  BURR 7.97</t>
  </si>
  <si>
    <t>Sliding 0.00m @ 65M                BURR 10.27</t>
  </si>
  <si>
    <t>Sliding 0.00m @ 68M                BURR 14.50</t>
  </si>
  <si>
    <t>Sliding 0.00m @ 67M                BURR 25.34</t>
  </si>
  <si>
    <t>Sliding 790.50m @ 61M            BURR 95.58</t>
  </si>
  <si>
    <t>Sliding 0.00m @ 64M                BURR 11.98</t>
  </si>
  <si>
    <t>Sliding 0.00m @ 67M                BURR 15.07</t>
  </si>
  <si>
    <t>Sliding 0.00m @ 67M                BURR 17.28</t>
  </si>
  <si>
    <t>Sliding 93.25m @ R75               BURR 18.00</t>
  </si>
  <si>
    <t>Sliding 177.50m @ R76             BURR 23.25</t>
  </si>
  <si>
    <t>Sliding 265.25m @ R76             BURR 36.31</t>
  </si>
  <si>
    <t>Sliding 35.00m @ R55               BURR 14.55</t>
  </si>
  <si>
    <t>Sliding 47.75m @ R56               BURR 16.88</t>
  </si>
  <si>
    <t>Sliding 91.50m @ R55               BURR 20.99</t>
  </si>
  <si>
    <t>Sliding 62.50m @ R57               BURR 23.98</t>
  </si>
  <si>
    <t>Sliding 145.50m @ R57             BURR 34.96</t>
  </si>
  <si>
    <t>Sliding 204.75m @ R59             BURR 56.04</t>
  </si>
  <si>
    <t>Sliding 2.75m @ R60                    BURR 0.49</t>
  </si>
  <si>
    <t>Sliding 40.75m @ R61                  BURR 5.94</t>
  </si>
  <si>
    <t>File</t>
  </si>
  <si>
    <t>Attachment</t>
  </si>
  <si>
    <t>Send</t>
  </si>
  <si>
    <t>Attach 1</t>
  </si>
  <si>
    <t>To</t>
  </si>
  <si>
    <t>Attach 2</t>
  </si>
  <si>
    <t>CC</t>
  </si>
  <si>
    <t>Attach 3</t>
  </si>
  <si>
    <t>Attach 4</t>
  </si>
  <si>
    <t>Attach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</si>
</sst>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-&quot;$&quot;* #,##0.00_-;\-&quot;$&quot;* #,##0.00_-;_-&quot;$&quot;* &quot;-&quot;??_-;_-@_-"/>
    <numFmt numFmtId="164" formatCode="[$-F800]dddd\,\ mmmm\ dd\,\ yyyy"/>
    <numFmt numFmtId="165" formatCode="&quot;$&quot;#,##0.00"/>
    <numFmt numFmtId="166" formatCode="######.00&quot;m&quot;"/>
    <numFmt numFmtId="167" formatCode="#####.00&quot;m&quot;"/>
    <numFmt numFmtId="168" formatCode="####.00\°"/>
    <numFmt numFmtId="169" formatCode="#&quot;Hrs&quot;"/>
    <numFmt numFmtId="170" formatCode="#####.00&quot;Hrs&quot;"/>
    <numFmt numFmtId="171" formatCode="####.00&quot;°/30m&quot;"/>
    <numFmt numFmtId="172" formatCode="####.0&quot;°/30m&quot;"/>
    <numFmt numFmtId="173" formatCode="###.##&quot; Hrs&quot;"/>
    <numFmt numFmtId="174" formatCode="###.00&quot;m³/min&quot;"/>
    <numFmt numFmtId="175" formatCode="####.0&quot;rpm&quot;"/>
    <numFmt numFmtId="176" formatCode="&quot;#&quot;##"/>
    <numFmt numFmtId="177" formatCode="[$-F400]h:mm:ss\ AM/PM"/>
    <numFmt numFmtId="178" formatCode="0.00_ ;[Red]\-0.00\ "/>
    <numFmt numFmtId="179" formatCode="##.####&quot;°C&quot;"/>
    <numFmt numFmtId="180" formatCode="h:mm;@"/>
    <numFmt numFmtId="181" formatCode="0.000"/>
  </numFmts>
  <fonts count="10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2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b/>
      <sz val="12"/>
      <color theme="1"/>
      <name val="Arial"/>
      <family val="2"/>
    </font>
    <font>
      <b/>
      <u/>
      <sz val="14"/>
      <color rgb="FF323130"/>
      <name val="Arial"/>
      <family val="2"/>
    </font>
    <font>
      <b/>
      <sz val="12"/>
      <color rgb="FF323130"/>
      <name val="Arial"/>
      <family val="2"/>
    </font>
    <font>
      <b/>
      <sz val="12"/>
      <name val="Arial"/>
      <family val="2"/>
    </font>
    <font>
      <sz val="16"/>
      <color rgb="FFFF0000"/>
      <name val="Calibri"/>
      <family val="2"/>
      <scheme val="minor"/>
    </font>
    <font>
      <b/>
      <sz val="12"/>
      <color indexed="81"/>
      <name val="Tahoma"/>
      <family val="2"/>
    </font>
    <font>
      <sz val="11"/>
      <name val="Arial Black"/>
      <family val="2"/>
    </font>
    <font>
      <b/>
      <sz val="11"/>
      <name val="Arial Black"/>
      <family val="2"/>
    </font>
    <font>
      <sz val="12"/>
      <color theme="1"/>
      <name val="Arial Black"/>
      <family val="2"/>
    </font>
    <font>
      <sz val="11"/>
      <color theme="1"/>
      <name val="Arial Black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 Black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</font>
    <font>
      <b/>
      <sz val="11"/>
      <color theme="1"/>
      <name val="Arial"/>
      <family val="2"/>
    </font>
    <font>
      <sz val="10"/>
      <name val="MS Sans Serif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12"/>
      <name val="Arial"/>
      <family val="2"/>
    </font>
    <font>
      <sz val="10"/>
      <color rgb="FF000000"/>
      <name val="Times New Roman"/>
      <family val="1"/>
    </font>
    <font>
      <b/>
      <sz val="11"/>
      <name val="Arial"/>
      <family val="2"/>
    </font>
    <font>
      <sz val="2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name val="Arial"/>
      <family val="2"/>
    </font>
    <font>
      <sz val="11"/>
      <name val="Arial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9"/>
      <color rgb="FF1E1E1E"/>
      <name val="Consolas"/>
      <family val="3"/>
    </font>
    <font>
      <b/>
      <sz val="13"/>
      <color rgb="FF1E1E1E"/>
      <name val="Consolas"/>
      <family val="3"/>
    </font>
    <font>
      <sz val="8"/>
      <color rgb="FF787878"/>
      <name val="Consolas"/>
      <family val="3"/>
    </font>
    <font>
      <b/>
      <sz val="8"/>
      <color rgb="FF787878"/>
      <name val="Calibri"/>
      <family val="2"/>
      <scheme val="minor"/>
    </font>
    <font>
      <sz val="9"/>
      <color rgb="FF1E1E1E"/>
      <name val="Calibri"/>
      <family val="2"/>
      <scheme val="minor"/>
    </font>
    <font>
      <sz val="9"/>
      <color rgb="FF787878"/>
      <name val="Consolas"/>
      <family val="3"/>
    </font>
    <font>
      <b/>
      <sz val="9"/>
      <color rgb="FF787878"/>
      <name val="Consolas"/>
      <family val="3"/>
    </font>
    <font>
      <b/>
      <sz val="8"/>
      <color rgb="FF787878"/>
      <name val="Consolas"/>
      <family val="3"/>
    </font>
    <font>
      <b/>
      <sz val="9"/>
      <color rgb="FF1E1E1E"/>
      <name val="Consolas"/>
      <family val="3"/>
    </font>
    <font>
      <b/>
      <sz val="10"/>
      <color rgb="FF1E1E1E"/>
      <name val="Consolas"/>
      <family val="3"/>
    </font>
    <font>
      <b/>
      <sz val="10"/>
      <color rgb="FFB42828"/>
      <name val="Consolas"/>
      <family val="3"/>
    </font>
    <font>
      <b/>
      <sz val="11"/>
      <color rgb="FF000000"/>
      <name val="Calibri"/>
      <family val="2"/>
    </font>
    <font>
      <b/>
      <sz val="8"/>
      <color rgb="FFFFFFFF"/>
      <name val="Consolas"/>
      <family val="3"/>
    </font>
    <font>
      <b/>
      <i/>
      <sz val="8"/>
      <color theme="1"/>
      <name val="Calibri"/>
      <family val="2"/>
      <scheme val="minor"/>
    </font>
    <font>
      <b/>
      <sz val="7"/>
      <color rgb="FF006E3C"/>
      <name val="Consolas"/>
      <family val="3"/>
    </font>
    <font>
      <sz val="7"/>
      <color rgb="FF006E3C"/>
      <name val="Consolas"/>
      <family val="3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3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0000"/>
      <name val="Consolas"/>
      <family val="3"/>
    </font>
    <font>
      <sz val="9"/>
      <color rgb="FF595959"/>
      <name val="Consolas"/>
      <family val="3"/>
    </font>
    <font>
      <b/>
      <sz val="7"/>
      <color rgb="FF595959"/>
      <name val="Consolas"/>
      <family val="3"/>
    </font>
    <font>
      <b/>
      <sz val="9"/>
      <color rgb="FF000000"/>
      <name val="Consolas"/>
      <family val="3"/>
    </font>
    <font>
      <b/>
      <sz val="8"/>
      <color rgb="FF000000"/>
      <name val="Consolas"/>
      <family val="3"/>
    </font>
    <font>
      <sz val="8"/>
      <color rgb="FF000000"/>
      <name val="Consolas"/>
      <family val="3"/>
    </font>
    <font>
      <sz val="7"/>
      <color rgb="FF595959"/>
      <name val="Consolas"/>
      <family val="3"/>
    </font>
    <font>
      <sz val="6"/>
      <color rgb="FF595959"/>
      <name val="Consolas"/>
      <family val="3"/>
    </font>
    <font>
      <b/>
      <sz val="14"/>
      <color rgb="FF000000"/>
      <name val="Consolas"/>
      <family val="3"/>
    </font>
    <font>
      <b/>
      <sz val="11"/>
      <color rgb="FF333333"/>
      <name val="Calibri"/>
      <family val="2"/>
    </font>
    <font>
      <b/>
      <sz val="11"/>
      <color indexed="8"/>
      <name val="Calibri"/>
      <family val="2"/>
      <scheme val="minor"/>
    </font>
    <font>
      <sz val="9"/>
      <color rgb="FF333333"/>
      <name val="Consolas"/>
      <family val="3"/>
    </font>
    <font>
      <b/>
      <sz val="9"/>
      <color rgb="FF333333"/>
      <name val="Consolas"/>
      <family val="3"/>
    </font>
    <font>
      <b/>
      <sz val="10"/>
      <color rgb="FF000000"/>
      <name val="Calibri"/>
      <family val="2"/>
    </font>
    <font>
      <sz val="7"/>
      <color rgb="FF0066CC"/>
      <name val="Consolas"/>
      <family val="3"/>
    </font>
    <font>
      <u/>
      <sz val="7"/>
      <color rgb="FF0066CC"/>
      <name val="Consolas"/>
      <family val="3"/>
    </font>
    <font>
      <u/>
      <sz val="8"/>
      <color rgb="FF0066CC"/>
      <name val="Consolas"/>
      <family val="3"/>
    </font>
    <font>
      <sz val="8"/>
      <color rgb="FF8C5A00"/>
      <name val="Consolas"/>
      <family val="3"/>
    </font>
    <font>
      <b/>
      <sz val="8"/>
      <color rgb="FF8C5A00"/>
      <name val="Consolas"/>
      <family val="3"/>
    </font>
    <font>
      <b/>
      <sz val="8"/>
      <color rgb="FF000000"/>
      <name val="Arial"/>
      <family val="2"/>
    </font>
    <font>
      <b/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0000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auto="1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26"/>
      </patternFill>
    </fill>
    <fill>
      <patternFill patternType="solid">
        <fgColor rgb="FFFFFFCC"/>
        <bgColor indexed="26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E8F4F8"/>
        <bgColor indexed="64"/>
      </patternFill>
    </fill>
    <fill>
      <patternFill patternType="solid">
        <fgColor rgb="FFFFF2CC"/>
        <bgColor indexed="64"/>
      </patternFill>
    </fill>
  </fills>
  <borders count="1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hair">
        <color rgb="FFC8C8C8"/>
      </bottom>
      <diagonal/>
    </border>
    <border>
      <left/>
      <right/>
      <top style="thin">
        <color rgb="FFC8C8C8"/>
      </top>
      <bottom/>
      <diagonal/>
    </border>
    <border>
      <left/>
      <right/>
      <top style="hair">
        <color rgb="FFC8C8C8"/>
      </top>
      <bottom/>
      <diagonal/>
    </border>
    <border>
      <left/>
      <right/>
      <top style="thin">
        <color rgb="FF004F4F"/>
      </top>
      <bottom style="hair">
        <color rgb="FFC8C8C8"/>
      </bottom>
      <diagonal/>
    </border>
    <border>
      <left/>
      <right/>
      <top/>
      <bottom style="thin">
        <color rgb="FFB42828"/>
      </bottom>
      <diagonal/>
    </border>
    <border>
      <left style="hair">
        <color rgb="FFC8C8C8"/>
      </left>
      <right style="hair">
        <color rgb="FFC8C8C8"/>
      </right>
      <top style="hair">
        <color rgb="FFC8C8C8"/>
      </top>
      <bottom style="hair">
        <color rgb="FFC8C8C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thin">
        <color rgb="FFC8C8C8"/>
      </bottom>
      <diagonal/>
    </border>
    <border>
      <left style="thin">
        <color rgb="FFD9D9D9"/>
      </left>
      <right/>
      <top style="hair">
        <color rgb="FFEBEBEB"/>
      </top>
      <bottom style="hair">
        <color rgb="FFD9D9D9"/>
      </bottom>
      <diagonal/>
    </border>
    <border>
      <left/>
      <right/>
      <top style="hair">
        <color rgb="FFEBEBEB"/>
      </top>
      <bottom style="hair">
        <color rgb="FFD9D9D9"/>
      </bottom>
      <diagonal/>
    </border>
    <border>
      <left/>
      <right style="thin">
        <color rgb="FFD9D9D9"/>
      </right>
      <top style="hair">
        <color rgb="FFEBEBEB"/>
      </top>
      <bottom style="hair">
        <color rgb="FFD9D9D9"/>
      </bottom>
      <diagonal/>
    </border>
    <border>
      <left/>
      <right/>
      <top style="hair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/>
      <top style="hair">
        <color rgb="FFE8E8E8"/>
      </top>
      <bottom/>
      <diagonal/>
    </border>
    <border>
      <left/>
      <right/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/>
      <diagonal/>
    </border>
    <border>
      <left style="thin">
        <color rgb="FFD9D9D9"/>
      </left>
      <right/>
      <top style="hair">
        <color rgb="FFE8E8E8"/>
      </top>
      <bottom style="hair">
        <color rgb="FFE8E8E8"/>
      </bottom>
      <diagonal/>
    </border>
    <border>
      <left/>
      <right style="thin">
        <color rgb="FFD9D9D9"/>
      </right>
      <top style="hair">
        <color rgb="FFE8E8E8"/>
      </top>
      <bottom/>
      <diagonal/>
    </border>
    <border>
      <left/>
      <right style="thin">
        <color rgb="FFD9D9D9"/>
      </right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BEBEB"/>
      </top>
      <bottom/>
      <diagonal/>
    </border>
    <border>
      <left style="thin">
        <color rgb="FFD9D9D9"/>
      </left>
      <right/>
      <top style="hair">
        <color rgb="FFEBEBEB"/>
      </top>
      <bottom/>
      <diagonal/>
    </border>
    <border>
      <left/>
      <right style="thin">
        <color rgb="FFD9D9D9"/>
      </right>
      <top style="hair">
        <color rgb="FFEBEBEB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hair">
        <color rgb="FFD2D2D2"/>
      </top>
      <bottom/>
      <diagonal/>
    </border>
    <border>
      <left style="thin">
        <color rgb="FFD9D9D9"/>
      </left>
      <right/>
      <top style="hair">
        <color rgb="FFD9D9D9"/>
      </top>
      <bottom/>
      <diagonal/>
    </border>
    <border>
      <left style="thin">
        <color rgb="FFD9D9D9"/>
      </left>
      <right/>
      <top style="hair">
        <color rgb="FFD2D2D2"/>
      </top>
      <bottom/>
      <diagonal/>
    </border>
    <border>
      <left/>
      <right style="thin">
        <color rgb="FFD9D9D9"/>
      </right>
      <top style="hair">
        <color rgb="FFD9D9D9"/>
      </top>
      <bottom/>
      <diagonal/>
    </border>
    <border>
      <left/>
      <right style="thin">
        <color rgb="FFD9D9D9"/>
      </right>
      <top style="hair">
        <color rgb="FFD2D2D2"/>
      </top>
      <bottom/>
      <diagonal/>
    </border>
    <border>
      <left/>
      <right/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D9D9D9"/>
      </top>
      <bottom style="hair">
        <color rgb="FFE6E6E6"/>
      </bottom>
      <diagonal/>
    </border>
    <border>
      <left/>
      <right style="thin">
        <color rgb="FFD9D9D9"/>
      </right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E6E6E6"/>
      </top>
      <bottom style="thin">
        <color rgb="FFD9D9D9"/>
      </bottom>
      <diagonal/>
    </border>
    <border>
      <left/>
      <right/>
      <top style="hair">
        <color rgb="FFE6E6E6"/>
      </top>
      <bottom style="thin">
        <color rgb="FFD9D9D9"/>
      </bottom>
      <diagonal/>
    </border>
    <border>
      <left/>
      <right style="thin">
        <color rgb="FFD9D9D9"/>
      </right>
      <top style="hair">
        <color rgb="FFE6E6E6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hair">
        <color rgb="FFE8E8E8"/>
      </top>
      <bottom style="hair">
        <color rgb="FFD9D9D9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ck">
        <color rgb="FF000000"/>
      </top>
      <bottom style="medium">
        <color indexed="64"/>
      </bottom>
      <diagonal/>
    </border>
    <border>
      <left style="thin">
        <color auto="1"/>
      </left>
      <right/>
      <top style="thick">
        <color rgb="FF000000"/>
      </top>
      <bottom style="medium">
        <color indexed="64"/>
      </bottom>
      <diagonal/>
    </border>
    <border>
      <left/>
      <right style="thin">
        <color auto="1"/>
      </right>
      <top style="thick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rgb="FF000000"/>
      </top>
      <bottom style="medium">
        <color auto="1"/>
      </bottom>
      <diagonal/>
    </border>
    <border>
      <left/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ck">
        <color rgb="FF000000"/>
      </right>
      <top style="medium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000000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/>
      <top style="thin">
        <color indexed="64"/>
      </top>
      <bottom style="thick">
        <color rgb="FF000000"/>
      </bottom>
      <diagonal/>
    </border>
    <border>
      <left/>
      <right style="thin">
        <color auto="1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/>
      <right style="thick">
        <color rgb="FF000000"/>
      </right>
      <top style="thin">
        <color indexed="64"/>
      </top>
      <bottom style="thick">
        <color rgb="FF000000"/>
      </bottom>
      <diagonal/>
    </border>
  </borders>
  <cellStyleXfs count="23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>
      <alignment vertical="top"/>
      <protection locked="0"/>
    </xf>
    <xf numFmtId="177" fontId="4" fillId="0" borderId="0"/>
    <xf numFmtId="0" fontId="32" fillId="0" borderId="0"/>
    <xf numFmtId="0" fontId="34" fillId="0" borderId="0"/>
    <xf numFmtId="0" fontId="34" fillId="0" borderId="0"/>
    <xf numFmtId="0" fontId="42" fillId="0" borderId="0"/>
    <xf numFmtId="0" fontId="41" fillId="0" borderId="0" applyFill="0" applyBorder="0" applyAlignment="0" applyProtection="0"/>
    <xf numFmtId="2" fontId="41" fillId="0" borderId="0" applyFill="0" applyBorder="0" applyAlignment="0" applyProtection="0"/>
    <xf numFmtId="0" fontId="4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</cellStyleXfs>
  <cellXfs count="1005">
    <xf numFmtId="0" fontId="0" fillId="0" borderId="0" xfId="0"/>
    <xf numFmtId="0" fontId="23" fillId="8" borderId="28" xfId="0" applyFont="1" applyFill="1" applyBorder="1" applyAlignment="1" applyProtection="1">
      <alignment horizontal="left" vertical="top"/>
      <protection hidden="1"/>
    </xf>
    <xf numFmtId="0" fontId="23" fillId="8" borderId="28" xfId="0" applyFont="1" applyFill="1" applyBorder="1" applyAlignment="1" applyProtection="1">
      <alignment vertical="center"/>
      <protection hidden="1"/>
    </xf>
    <xf numFmtId="0" fontId="20" fillId="9" borderId="1" xfId="0" applyFont="1" applyFill="1" applyBorder="1" applyAlignment="1" applyProtection="1">
      <alignment horizontal="center" vertical="center"/>
      <protection hidden="1"/>
    </xf>
    <xf numFmtId="0" fontId="22" fillId="8" borderId="28" xfId="0" applyFont="1" applyFill="1" applyBorder="1" applyAlignment="1" applyProtection="1">
      <alignment horizontal="center" vertical="center"/>
      <protection hidden="1"/>
    </xf>
    <xf numFmtId="0" fontId="22" fillId="9" borderId="28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78" fontId="35" fillId="11" borderId="9" xfId="9" applyNumberFormat="1" applyFont="1" applyFill="1" applyBorder="1" applyAlignment="1" applyProtection="1">
      <alignment horizontal="center" vertical="center"/>
      <protection locked="0"/>
    </xf>
    <xf numFmtId="49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2" borderId="9" xfId="9" applyNumberFormat="1" applyFont="1" applyFill="1" applyBorder="1" applyAlignment="1" applyProtection="1">
      <alignment horizontal="center" vertical="center"/>
      <protection locked="0"/>
    </xf>
    <xf numFmtId="2" fontId="35" fillId="13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8" xfId="9" applyNumberFormat="1" applyFont="1" applyFill="1" applyBorder="1" applyAlignment="1" applyProtection="1">
      <alignment horizontal="center" vertical="center"/>
      <protection locked="0"/>
    </xf>
    <xf numFmtId="178" fontId="35" fillId="11" borderId="12" xfId="9" applyNumberFormat="1" applyFont="1" applyFill="1" applyBorder="1" applyAlignment="1" applyProtection="1">
      <alignment horizontal="center" vertical="center"/>
      <protection locked="0"/>
    </xf>
    <xf numFmtId="2" fontId="35" fillId="6" borderId="8" xfId="9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Alignment="1">
      <alignment horizontal="center"/>
    </xf>
    <xf numFmtId="0" fontId="0" fillId="0" borderId="0" xfId="0" applyProtection="1">
      <protection hidden="1"/>
    </xf>
    <xf numFmtId="165" fontId="23" fillId="3" borderId="24" xfId="0" applyNumberFormat="1" applyFont="1" applyFill="1" applyBorder="1" applyAlignment="1" applyProtection="1">
      <alignment horizontal="center" vertical="center" shrinkToFit="1"/>
      <protection hidden="1"/>
    </xf>
    <xf numFmtId="165" fontId="27" fillId="0" borderId="28" xfId="0" applyNumberFormat="1" applyFont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/>
      <protection hidden="1"/>
    </xf>
    <xf numFmtId="165" fontId="39" fillId="0" borderId="0" xfId="0" applyNumberFormat="1" applyFont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165" fontId="23" fillId="3" borderId="25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2" fontId="1" fillId="11" borderId="9" xfId="1" applyNumberFormat="1" applyFill="1" applyBorder="1" applyAlignment="1" applyProtection="1">
      <alignment horizontal="center"/>
      <protection locked="0"/>
    </xf>
    <xf numFmtId="0" fontId="49" fillId="0" borderId="9" xfId="0" applyFont="1" applyBorder="1"/>
    <xf numFmtId="0" fontId="49" fillId="0" borderId="0" xfId="0" applyFont="1"/>
    <xf numFmtId="0" fontId="49" fillId="0" borderId="9" xfId="0" applyFont="1" applyBorder="1" applyAlignment="1">
      <alignment horizontal="center"/>
    </xf>
    <xf numFmtId="0" fontId="49" fillId="16" borderId="9" xfId="0" applyFont="1" applyFill="1" applyBorder="1"/>
    <xf numFmtId="0" fontId="49" fillId="16" borderId="9" xfId="0" applyFont="1" applyFill="1" applyBorder="1" applyAlignment="1">
      <alignment horizontal="center"/>
    </xf>
    <xf numFmtId="2" fontId="2" fillId="11" borderId="8" xfId="1" applyNumberFormat="1" applyFont="1" applyFill="1" applyBorder="1" applyAlignment="1" applyProtection="1">
      <alignment horizont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/>
      <protection locked="0"/>
    </xf>
    <xf numFmtId="2" fontId="36" fillId="11" borderId="9" xfId="10" applyNumberFormat="1" applyFont="1" applyFill="1" applyBorder="1" applyAlignment="1" applyProtection="1">
      <alignment horizontal="center" vertic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 shrinkToFit="1"/>
      <protection locked="0"/>
    </xf>
    <xf numFmtId="177" fontId="4" fillId="0" borderId="0" xfId="7" applyProtection="1">
      <protection locked="0"/>
    </xf>
    <xf numFmtId="177" fontId="4" fillId="0" borderId="0" xfId="7" applyAlignment="1" applyProtection="1">
      <alignment horizontal="center"/>
      <protection locked="0"/>
    </xf>
    <xf numFmtId="177" fontId="4" fillId="0" borderId="4" xfId="7" applyBorder="1" applyProtection="1">
      <protection locked="0"/>
    </xf>
    <xf numFmtId="177" fontId="4" fillId="0" borderId="2" xfId="7" applyBorder="1" applyAlignment="1" applyProtection="1">
      <alignment horizontal="center"/>
      <protection locked="0"/>
    </xf>
    <xf numFmtId="177" fontId="4" fillId="0" borderId="2" xfId="7" applyBorder="1" applyProtection="1">
      <protection locked="0"/>
    </xf>
    <xf numFmtId="177" fontId="4" fillId="0" borderId="5" xfId="7" applyBorder="1" applyProtection="1">
      <protection locked="0"/>
    </xf>
    <xf numFmtId="177" fontId="48" fillId="0" borderId="6" xfId="7" applyFont="1" applyBorder="1" applyProtection="1">
      <protection locked="0"/>
    </xf>
    <xf numFmtId="177" fontId="48" fillId="0" borderId="0" xfId="7" applyFont="1" applyAlignment="1" applyProtection="1">
      <alignment horizontal="center"/>
      <protection locked="0"/>
    </xf>
    <xf numFmtId="177" fontId="48" fillId="0" borderId="0" xfId="7" applyFont="1" applyProtection="1">
      <protection locked="0"/>
    </xf>
    <xf numFmtId="177" fontId="43" fillId="2" borderId="28" xfId="7" applyFont="1" applyFill="1" applyBorder="1" applyAlignment="1" applyProtection="1">
      <alignment horizontal="center"/>
      <protection locked="0"/>
    </xf>
    <xf numFmtId="177" fontId="48" fillId="0" borderId="17" xfId="7" applyFont="1" applyBorder="1" applyProtection="1">
      <protection locked="0"/>
    </xf>
    <xf numFmtId="177" fontId="48" fillId="0" borderId="40" xfId="7" applyFont="1" applyBorder="1" applyProtection="1">
      <protection locked="0"/>
    </xf>
    <xf numFmtId="177" fontId="48" fillId="0" borderId="34" xfId="7" applyFont="1" applyBorder="1" applyAlignment="1" applyProtection="1">
      <alignment vertical="center"/>
      <protection locked="0"/>
    </xf>
    <xf numFmtId="0" fontId="48" fillId="0" borderId="7" xfId="7" applyNumberFormat="1" applyFont="1" applyBorder="1" applyAlignment="1" applyProtection="1">
      <alignment horizontal="center"/>
      <protection locked="0"/>
    </xf>
    <xf numFmtId="2" fontId="48" fillId="0" borderId="28" xfId="7" applyNumberFormat="1" applyFont="1" applyBorder="1" applyAlignment="1" applyProtection="1">
      <alignment horizontal="center"/>
      <protection locked="0"/>
    </xf>
    <xf numFmtId="0" fontId="48" fillId="0" borderId="28" xfId="7" applyNumberFormat="1" applyFont="1" applyBorder="1" applyAlignment="1" applyProtection="1">
      <alignment horizontal="center"/>
      <protection locked="0"/>
    </xf>
    <xf numFmtId="177" fontId="48" fillId="2" borderId="10" xfId="7" applyFont="1" applyFill="1" applyBorder="1" applyAlignment="1" applyProtection="1">
      <alignment vertical="center"/>
      <protection locked="0"/>
    </xf>
    <xf numFmtId="0" fontId="48" fillId="0" borderId="41" xfId="7" applyNumberFormat="1" applyFont="1" applyBorder="1" applyAlignment="1" applyProtection="1">
      <alignment horizontal="center"/>
      <protection locked="0"/>
    </xf>
    <xf numFmtId="177" fontId="48" fillId="5" borderId="0" xfId="7" applyFont="1" applyFill="1" applyProtection="1">
      <protection locked="0"/>
    </xf>
    <xf numFmtId="177" fontId="48" fillId="3" borderId="2" xfId="7" applyFont="1" applyFill="1" applyBorder="1" applyAlignment="1" applyProtection="1">
      <alignment horizontal="center"/>
      <protection locked="0"/>
    </xf>
    <xf numFmtId="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2" xfId="7" applyFont="1" applyFill="1" applyBorder="1" applyProtection="1">
      <protection locked="0"/>
    </xf>
    <xf numFmtId="2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Alignment="1" applyProtection="1">
      <alignment horizontal="center"/>
      <protection locked="0"/>
    </xf>
    <xf numFmtId="0" fontId="48" fillId="3" borderId="17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Protection="1">
      <protection locked="0"/>
    </xf>
    <xf numFmtId="20" fontId="48" fillId="3" borderId="17" xfId="7" applyNumberFormat="1" applyFont="1" applyFill="1" applyBorder="1" applyAlignment="1" applyProtection="1">
      <alignment horizontal="center"/>
      <protection locked="0"/>
    </xf>
    <xf numFmtId="0" fontId="43" fillId="0" borderId="7" xfId="7" applyNumberFormat="1" applyFont="1" applyBorder="1" applyAlignment="1" applyProtection="1">
      <alignment horizontal="center"/>
      <protection locked="0"/>
    </xf>
    <xf numFmtId="177" fontId="43" fillId="3" borderId="0" xfId="7" applyFont="1" applyFill="1" applyAlignment="1" applyProtection="1">
      <alignment horizontal="center"/>
      <protection locked="0"/>
    </xf>
    <xf numFmtId="177" fontId="25" fillId="0" borderId="56" xfId="7" applyFont="1" applyBorder="1" applyAlignment="1" applyProtection="1">
      <alignment horizontal="center"/>
      <protection locked="0"/>
    </xf>
    <xf numFmtId="177" fontId="25" fillId="0" borderId="55" xfId="7" applyFont="1" applyBorder="1" applyAlignment="1" applyProtection="1">
      <alignment horizontal="center"/>
      <protection locked="0"/>
    </xf>
    <xf numFmtId="177" fontId="25" fillId="0" borderId="30" xfId="7" applyFont="1" applyBorder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vertical="center"/>
      <protection locked="0"/>
    </xf>
    <xf numFmtId="177" fontId="48" fillId="0" borderId="59" xfId="7" applyFont="1" applyBorder="1" applyAlignment="1" applyProtection="1">
      <alignment horizontal="left"/>
      <protection locked="0"/>
    </xf>
    <xf numFmtId="177" fontId="48" fillId="0" borderId="29" xfId="7" applyFont="1" applyBorder="1" applyAlignment="1" applyProtection="1">
      <alignment horizontal="left"/>
      <protection locked="0"/>
    </xf>
    <xf numFmtId="0" fontId="48" fillId="2" borderId="7" xfId="7" applyNumberFormat="1" applyFont="1" applyFill="1" applyBorder="1" applyProtection="1">
      <protection locked="0"/>
    </xf>
    <xf numFmtId="0" fontId="48" fillId="2" borderId="48" xfId="7" applyNumberFormat="1" applyFont="1" applyFill="1" applyBorder="1" applyAlignment="1" applyProtection="1">
      <alignment horizontal="center"/>
      <protection locked="0"/>
    </xf>
    <xf numFmtId="2" fontId="48" fillId="2" borderId="48" xfId="7" applyNumberFormat="1" applyFont="1" applyFill="1" applyBorder="1" applyAlignment="1" applyProtection="1">
      <alignment horizontal="center"/>
      <protection locked="0"/>
    </xf>
    <xf numFmtId="177" fontId="48" fillId="2" borderId="48" xfId="7" applyFont="1" applyFill="1" applyBorder="1" applyAlignment="1" applyProtection="1">
      <alignment horizontal="center"/>
      <protection locked="0"/>
    </xf>
    <xf numFmtId="180" fontId="48" fillId="2" borderId="48" xfId="7" applyNumberFormat="1" applyFont="1" applyFill="1" applyBorder="1" applyAlignment="1" applyProtection="1">
      <alignment horizontal="center"/>
      <protection locked="0"/>
    </xf>
    <xf numFmtId="180" fontId="48" fillId="2" borderId="34" xfId="7" applyNumberFormat="1" applyFont="1" applyFill="1" applyBorder="1" applyAlignment="1" applyProtection="1">
      <alignment horizontal="center"/>
      <protection locked="0"/>
    </xf>
    <xf numFmtId="0" fontId="48" fillId="0" borderId="0" xfId="7" applyNumberFormat="1" applyFont="1" applyProtection="1">
      <protection locked="0"/>
    </xf>
    <xf numFmtId="0" fontId="48" fillId="0" borderId="3" xfId="7" applyNumberFormat="1" applyFont="1" applyBorder="1" applyAlignment="1" applyProtection="1">
      <alignment horizontal="center"/>
      <protection locked="0"/>
    </xf>
    <xf numFmtId="0" fontId="48" fillId="0" borderId="9" xfId="7" applyNumberFormat="1" applyFont="1" applyBorder="1" applyAlignment="1" applyProtection="1">
      <alignment horizontal="center"/>
      <protection locked="0"/>
    </xf>
    <xf numFmtId="2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9" xfId="7" applyFont="1" applyBorder="1" applyAlignment="1" applyProtection="1">
      <alignment horizontal="center"/>
      <protection locked="0"/>
    </xf>
    <xf numFmtId="180" fontId="48" fillId="0" borderId="9" xfId="7" applyNumberFormat="1" applyFont="1" applyBorder="1" applyAlignment="1" applyProtection="1">
      <alignment horizontal="center"/>
      <protection locked="0"/>
    </xf>
    <xf numFmtId="180" fontId="48" fillId="3" borderId="10" xfId="7" applyNumberFormat="1" applyFont="1" applyFill="1" applyBorder="1" applyAlignment="1" applyProtection="1">
      <alignment horizontal="center"/>
      <protection locked="0"/>
    </xf>
    <xf numFmtId="9" fontId="48" fillId="0" borderId="10" xfId="7" applyNumberFormat="1" applyFont="1" applyBorder="1" applyAlignment="1" applyProtection="1">
      <alignment horizontal="center"/>
      <protection locked="0"/>
    </xf>
    <xf numFmtId="0" fontId="43" fillId="0" borderId="2" xfId="7" applyNumberFormat="1" applyFont="1" applyBorder="1" applyAlignment="1" applyProtection="1">
      <alignment horizontal="center"/>
      <protection locked="0"/>
    </xf>
    <xf numFmtId="177" fontId="48" fillId="0" borderId="2" xfId="7" applyFont="1" applyBorder="1" applyAlignment="1" applyProtection="1">
      <alignment horizontal="left"/>
      <protection locked="0"/>
    </xf>
    <xf numFmtId="0" fontId="48" fillId="2" borderId="3" xfId="7" applyNumberFormat="1" applyFont="1" applyFill="1" applyBorder="1" applyAlignment="1" applyProtection="1">
      <alignment horizontal="center"/>
      <protection locked="0"/>
    </xf>
    <xf numFmtId="0" fontId="48" fillId="2" borderId="9" xfId="7" applyNumberFormat="1" applyFont="1" applyFill="1" applyBorder="1" applyAlignment="1" applyProtection="1">
      <alignment horizontal="center"/>
      <protection locked="0"/>
    </xf>
    <xf numFmtId="2" fontId="48" fillId="2" borderId="9" xfId="7" applyNumberFormat="1" applyFont="1" applyFill="1" applyBorder="1" applyAlignment="1" applyProtection="1">
      <alignment horizontal="center"/>
      <protection locked="0"/>
    </xf>
    <xf numFmtId="177" fontId="48" fillId="2" borderId="9" xfId="7" applyFont="1" applyFill="1" applyBorder="1" applyAlignment="1" applyProtection="1">
      <alignment horizontal="center"/>
      <protection locked="0"/>
    </xf>
    <xf numFmtId="180" fontId="48" fillId="2" borderId="9" xfId="7" applyNumberFormat="1" applyFont="1" applyFill="1" applyBorder="1" applyAlignment="1" applyProtection="1">
      <alignment horizontal="center"/>
      <protection locked="0"/>
    </xf>
    <xf numFmtId="180" fontId="48" fillId="2" borderId="10" xfId="7" applyNumberFormat="1" applyFont="1" applyFill="1" applyBorder="1" applyAlignment="1" applyProtection="1">
      <alignment horizontal="center"/>
      <protection locked="0"/>
    </xf>
    <xf numFmtId="9" fontId="48" fillId="2" borderId="10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left"/>
      <protection locked="0"/>
    </xf>
    <xf numFmtId="9" fontId="48" fillId="0" borderId="42" xfId="7" applyNumberFormat="1" applyFont="1" applyBorder="1" applyAlignment="1" applyProtection="1">
      <alignment horizontal="center"/>
      <protection locked="0"/>
    </xf>
    <xf numFmtId="180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center" vertical="center" wrapText="1"/>
      <protection locked="0"/>
    </xf>
    <xf numFmtId="0" fontId="48" fillId="2" borderId="41" xfId="7" applyNumberFormat="1" applyFont="1" applyFill="1" applyBorder="1" applyAlignment="1" applyProtection="1">
      <alignment horizontal="center"/>
      <protection locked="0"/>
    </xf>
    <xf numFmtId="0" fontId="48" fillId="2" borderId="22" xfId="7" applyNumberFormat="1" applyFont="1" applyFill="1" applyBorder="1" applyAlignment="1" applyProtection="1">
      <alignment horizontal="center"/>
      <protection locked="0"/>
    </xf>
    <xf numFmtId="2" fontId="48" fillId="2" borderId="22" xfId="7" applyNumberFormat="1" applyFont="1" applyFill="1" applyBorder="1" applyAlignment="1" applyProtection="1">
      <alignment horizontal="center"/>
      <protection locked="0"/>
    </xf>
    <xf numFmtId="177" fontId="48" fillId="2" borderId="22" xfId="7" applyFont="1" applyFill="1" applyBorder="1" applyAlignment="1" applyProtection="1">
      <alignment horizontal="center"/>
      <protection locked="0"/>
    </xf>
    <xf numFmtId="180" fontId="48" fillId="2" borderId="22" xfId="7" applyNumberFormat="1" applyFont="1" applyFill="1" applyBorder="1" applyAlignment="1" applyProtection="1">
      <alignment horizontal="center"/>
      <protection locked="0"/>
    </xf>
    <xf numFmtId="180" fontId="48" fillId="2" borderId="42" xfId="7" applyNumberFormat="1" applyFont="1" applyFill="1" applyBorder="1" applyAlignment="1" applyProtection="1">
      <alignment horizontal="center"/>
      <protection locked="0"/>
    </xf>
    <xf numFmtId="9" fontId="48" fillId="0" borderId="0" xfId="7" applyNumberFormat="1" applyFont="1" applyProtection="1">
      <protection locked="0"/>
    </xf>
    <xf numFmtId="177" fontId="48" fillId="0" borderId="2" xfId="7" applyFont="1" applyBorder="1" applyProtection="1">
      <protection locked="0"/>
    </xf>
    <xf numFmtId="177" fontId="43" fillId="0" borderId="36" xfId="7" applyFont="1" applyBorder="1" applyAlignment="1" applyProtection="1">
      <alignment horizontal="center" vertical="center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0" xfId="7" applyFont="1" applyAlignment="1" applyProtection="1">
      <alignment horizontal="center" vertical="center"/>
      <protection locked="0"/>
    </xf>
    <xf numFmtId="0" fontId="48" fillId="0" borderId="56" xfId="7" applyNumberFormat="1" applyFont="1" applyBorder="1" applyAlignment="1" applyProtection="1">
      <alignment horizontal="center" vertical="center"/>
      <protection locked="0"/>
    </xf>
    <xf numFmtId="0" fontId="48" fillId="0" borderId="55" xfId="7" applyNumberFormat="1" applyFont="1" applyBorder="1" applyAlignment="1" applyProtection="1">
      <alignment horizontal="center" vertical="center"/>
      <protection locked="0"/>
    </xf>
    <xf numFmtId="0" fontId="48" fillId="0" borderId="63" xfId="7" applyNumberFormat="1" applyFont="1" applyBorder="1" applyAlignment="1" applyProtection="1">
      <alignment horizontal="center" vertical="center"/>
      <protection locked="0"/>
    </xf>
    <xf numFmtId="2" fontId="48" fillId="0" borderId="56" xfId="7" applyNumberFormat="1" applyFont="1" applyBorder="1" applyAlignment="1" applyProtection="1">
      <alignment horizontal="center"/>
      <protection locked="0"/>
    </xf>
    <xf numFmtId="2" fontId="48" fillId="0" borderId="30" xfId="7" applyNumberFormat="1" applyFont="1" applyBorder="1" applyAlignment="1" applyProtection="1">
      <alignment horizontal="center"/>
      <protection locked="0"/>
    </xf>
    <xf numFmtId="2" fontId="48" fillId="0" borderId="0" xfId="7" applyNumberFormat="1" applyFont="1" applyAlignment="1" applyProtection="1">
      <alignment horizontal="center"/>
      <protection locked="0"/>
    </xf>
    <xf numFmtId="0" fontId="43" fillId="2" borderId="36" xfId="7" applyNumberFormat="1" applyFont="1" applyFill="1" applyBorder="1" applyAlignment="1" applyProtection="1">
      <alignment horizontal="center" vertical="center"/>
      <protection locked="0"/>
    </xf>
    <xf numFmtId="0" fontId="43" fillId="2" borderId="68" xfId="7" applyNumberFormat="1" applyFont="1" applyFill="1" applyBorder="1" applyAlignment="1" applyProtection="1">
      <alignment horizontal="center" vertical="center"/>
      <protection locked="0"/>
    </xf>
    <xf numFmtId="0" fontId="43" fillId="2" borderId="59" xfId="7" applyNumberFormat="1" applyFont="1" applyFill="1" applyBorder="1" applyAlignment="1" applyProtection="1">
      <alignment horizontal="center" vertical="center"/>
      <protection locked="0"/>
    </xf>
    <xf numFmtId="2" fontId="43" fillId="2" borderId="36" xfId="7" applyNumberFormat="1" applyFont="1" applyFill="1" applyBorder="1" applyAlignment="1" applyProtection="1">
      <alignment horizontal="center"/>
      <protection locked="0"/>
    </xf>
    <xf numFmtId="2" fontId="43" fillId="2" borderId="37" xfId="7" applyNumberFormat="1" applyFont="1" applyFill="1" applyBorder="1" applyAlignment="1" applyProtection="1">
      <alignment horizontal="center"/>
      <protection locked="0"/>
    </xf>
    <xf numFmtId="0" fontId="48" fillId="0" borderId="51" xfId="7" applyNumberFormat="1" applyFont="1" applyBorder="1" applyAlignment="1" applyProtection="1">
      <alignment horizontal="center" vertical="center"/>
      <protection locked="0"/>
    </xf>
    <xf numFmtId="0" fontId="48" fillId="0" borderId="8" xfId="7" applyNumberFormat="1" applyFont="1" applyBorder="1" applyAlignment="1" applyProtection="1">
      <alignment horizontal="center" vertical="center"/>
      <protection locked="0"/>
    </xf>
    <xf numFmtId="0" fontId="48" fillId="0" borderId="52" xfId="7" applyNumberFormat="1" applyFont="1" applyBorder="1" applyAlignment="1" applyProtection="1">
      <alignment horizontal="center" vertical="center"/>
      <protection locked="0"/>
    </xf>
    <xf numFmtId="2" fontId="48" fillId="0" borderId="51" xfId="7" applyNumberFormat="1" applyFont="1" applyBorder="1" applyAlignment="1" applyProtection="1">
      <alignment horizontal="center"/>
      <protection locked="0"/>
    </xf>
    <xf numFmtId="2" fontId="48" fillId="0" borderId="50" xfId="7" applyNumberFormat="1" applyFont="1" applyBorder="1" applyAlignment="1" applyProtection="1">
      <alignment horizontal="center"/>
      <protection locked="0"/>
    </xf>
    <xf numFmtId="0" fontId="48" fillId="0" borderId="41" xfId="7" applyNumberFormat="1" applyFont="1" applyBorder="1" applyAlignment="1" applyProtection="1">
      <alignment horizontal="center" vertical="center"/>
      <protection locked="0"/>
    </xf>
    <xf numFmtId="0" fontId="48" fillId="0" borderId="22" xfId="7" applyNumberFormat="1" applyFont="1" applyBorder="1" applyAlignment="1" applyProtection="1">
      <alignment horizontal="center" vertical="center"/>
      <protection locked="0"/>
    </xf>
    <xf numFmtId="0" fontId="48" fillId="0" borderId="65" xfId="7" applyNumberFormat="1" applyFont="1" applyBorder="1" applyAlignment="1" applyProtection="1">
      <alignment horizontal="center" vertical="center"/>
      <protection locked="0"/>
    </xf>
    <xf numFmtId="2" fontId="48" fillId="0" borderId="41" xfId="7" applyNumberFormat="1" applyFont="1" applyBorder="1" applyAlignment="1" applyProtection="1">
      <alignment horizontal="center"/>
      <protection locked="0"/>
    </xf>
    <xf numFmtId="2" fontId="48" fillId="0" borderId="42" xfId="7" applyNumberFormat="1" applyFont="1" applyBorder="1" applyAlignment="1" applyProtection="1">
      <alignment horizontal="center"/>
      <protection locked="0"/>
    </xf>
    <xf numFmtId="177" fontId="48" fillId="0" borderId="16" xfId="7" applyFont="1" applyBorder="1" applyProtection="1">
      <protection locked="0"/>
    </xf>
    <xf numFmtId="177" fontId="48" fillId="0" borderId="17" xfId="7" applyFont="1" applyBorder="1" applyAlignment="1" applyProtection="1">
      <alignment horizontal="center"/>
      <protection locked="0"/>
    </xf>
    <xf numFmtId="177" fontId="48" fillId="0" borderId="18" xfId="7" applyFont="1" applyBorder="1" applyProtection="1">
      <protection locked="0"/>
    </xf>
    <xf numFmtId="0" fontId="48" fillId="2" borderId="48" xfId="7" applyNumberFormat="1" applyFont="1" applyFill="1" applyBorder="1" applyAlignment="1">
      <alignment horizontal="center"/>
    </xf>
    <xf numFmtId="0" fontId="48" fillId="0" borderId="9" xfId="7" applyNumberFormat="1" applyFont="1" applyBorder="1" applyAlignment="1">
      <alignment horizontal="center"/>
    </xf>
    <xf numFmtId="0" fontId="48" fillId="2" borderId="9" xfId="7" applyNumberFormat="1" applyFont="1" applyFill="1" applyBorder="1" applyAlignment="1">
      <alignment horizontal="center"/>
    </xf>
    <xf numFmtId="0" fontId="48" fillId="2" borderId="22" xfId="7" applyNumberFormat="1" applyFont="1" applyFill="1" applyBorder="1" applyAlignment="1">
      <alignment horizontal="center"/>
    </xf>
    <xf numFmtId="2" fontId="48" fillId="2" borderId="48" xfId="7" applyNumberFormat="1" applyFont="1" applyFill="1" applyBorder="1" applyAlignment="1">
      <alignment horizontal="center"/>
    </xf>
    <xf numFmtId="2" fontId="48" fillId="3" borderId="9" xfId="7" applyNumberFormat="1" applyFont="1" applyFill="1" applyBorder="1" applyAlignment="1">
      <alignment horizontal="center"/>
    </xf>
    <xf numFmtId="0" fontId="43" fillId="5" borderId="36" xfId="7" applyNumberFormat="1" applyFont="1" applyFill="1" applyBorder="1" applyAlignment="1">
      <alignment horizontal="center"/>
    </xf>
    <xf numFmtId="0" fontId="11" fillId="0" borderId="0" xfId="0" applyFont="1" applyProtection="1">
      <protection hidden="1"/>
    </xf>
    <xf numFmtId="164" fontId="14" fillId="0" borderId="0" xfId="0" applyNumberFormat="1" applyFont="1" applyAlignment="1" applyProtection="1">
      <alignment horizontal="center"/>
      <protection hidden="1"/>
    </xf>
    <xf numFmtId="0" fontId="2" fillId="0" borderId="12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left"/>
      <protection hidden="1"/>
    </xf>
    <xf numFmtId="0" fontId="14" fillId="2" borderId="4" xfId="0" applyFont="1" applyFill="1" applyBorder="1" applyAlignment="1" applyProtection="1">
      <alignment horizontal="right"/>
      <protection hidden="1"/>
    </xf>
    <xf numFmtId="0" fontId="14" fillId="0" borderId="6" xfId="0" applyFont="1" applyBorder="1" applyAlignment="1" applyProtection="1">
      <alignment horizontal="right"/>
      <protection hidden="1"/>
    </xf>
    <xf numFmtId="166" fontId="14" fillId="0" borderId="40" xfId="0" applyNumberFormat="1" applyFont="1" applyBorder="1" applyAlignment="1" applyProtection="1">
      <alignment horizontal="left" vertical="center"/>
      <protection hidden="1"/>
    </xf>
    <xf numFmtId="169" fontId="14" fillId="0" borderId="40" xfId="0" applyNumberFormat="1" applyFont="1" applyBorder="1" applyAlignment="1" applyProtection="1">
      <alignment horizontal="left" vertical="center"/>
      <protection hidden="1"/>
    </xf>
    <xf numFmtId="170" fontId="14" fillId="0" borderId="40" xfId="0" applyNumberFormat="1" applyFont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8" fillId="0" borderId="0" xfId="0" applyFont="1" applyAlignment="1" applyProtection="1">
      <alignment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33" fillId="0" borderId="40" xfId="0" applyFont="1" applyBorder="1" applyAlignment="1" applyProtection="1">
      <alignment horizontal="left" vertical="center"/>
      <protection hidden="1"/>
    </xf>
    <xf numFmtId="175" fontId="14" fillId="0" borderId="40" xfId="0" applyNumberFormat="1" applyFont="1" applyBorder="1" applyAlignment="1" applyProtection="1">
      <alignment horizontal="left" vertical="center"/>
      <protection hidden="1"/>
    </xf>
    <xf numFmtId="0" fontId="44" fillId="0" borderId="0" xfId="0" applyFont="1" applyAlignment="1" applyProtection="1">
      <alignment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6" fillId="3" borderId="0" xfId="0" applyFont="1" applyFill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3" fillId="0" borderId="0" xfId="2" applyProtection="1">
      <protection locked="0"/>
    </xf>
    <xf numFmtId="0" fontId="11" fillId="0" borderId="0" xfId="0" applyFont="1" applyAlignment="1" applyProtection="1">
      <alignment horizontal="left"/>
      <protection locked="0"/>
    </xf>
    <xf numFmtId="2" fontId="36" fillId="11" borderId="8" xfId="9" applyNumberFormat="1" applyFont="1" applyFill="1" applyBorder="1" applyAlignment="1" applyProtection="1">
      <alignment horizontal="center" vertical="center"/>
      <protection locked="0"/>
    </xf>
    <xf numFmtId="0" fontId="14" fillId="0" borderId="41" xfId="0" applyFont="1" applyBorder="1" applyAlignment="1" applyProtection="1">
      <alignment horizontal="center"/>
      <protection locked="0"/>
    </xf>
    <xf numFmtId="0" fontId="43" fillId="0" borderId="40" xfId="0" applyFont="1" applyBorder="1" applyAlignment="1" applyProtection="1">
      <alignment vertical="center"/>
      <protection locked="0"/>
    </xf>
    <xf numFmtId="0" fontId="14" fillId="2" borderId="5" xfId="0" applyFont="1" applyFill="1" applyBorder="1" applyAlignment="1" applyProtection="1">
      <alignment horizontal="left"/>
      <protection locked="0"/>
    </xf>
    <xf numFmtId="0" fontId="20" fillId="9" borderId="29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24" fillId="0" borderId="0" xfId="0" applyFont="1" applyAlignment="1" applyProtection="1">
      <alignment horizontal="left" wrapText="1"/>
      <protection hidden="1"/>
    </xf>
    <xf numFmtId="0" fontId="24" fillId="0" borderId="0" xfId="0" applyFont="1" applyAlignment="1" applyProtection="1">
      <alignment horizontal="left"/>
      <protection hidden="1"/>
    </xf>
    <xf numFmtId="165" fontId="23" fillId="11" borderId="28" xfId="0" applyNumberFormat="1" applyFont="1" applyFill="1" applyBorder="1" applyAlignment="1" applyProtection="1">
      <alignment horizontal="center" vertical="center" shrinkToFit="1"/>
      <protection locked="0"/>
    </xf>
    <xf numFmtId="0" fontId="0" fillId="11" borderId="28" xfId="0" applyFill="1" applyBorder="1" applyAlignment="1" applyProtection="1">
      <alignment horizontal="center"/>
      <protection locked="0"/>
    </xf>
    <xf numFmtId="165" fontId="7" fillId="11" borderId="28" xfId="0" applyNumberFormat="1" applyFont="1" applyFill="1" applyBorder="1" applyAlignment="1" applyProtection="1">
      <alignment horizontal="center"/>
      <protection locked="0"/>
    </xf>
    <xf numFmtId="2" fontId="35" fillId="15" borderId="27" xfId="9" applyNumberFormat="1" applyFont="1" applyFill="1" applyBorder="1" applyAlignment="1" applyProtection="1">
      <alignment horizontal="center" vertical="center"/>
      <protection locked="0"/>
    </xf>
    <xf numFmtId="2" fontId="35" fillId="13" borderId="8" xfId="9" applyNumberFormat="1" applyFont="1" applyFill="1" applyBorder="1" applyAlignment="1" applyProtection="1">
      <alignment horizontal="center" vertical="center"/>
      <protection locked="0"/>
    </xf>
    <xf numFmtId="2" fontId="35" fillId="12" borderId="8" xfId="9" applyNumberFormat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vertical="center"/>
      <protection locked="0"/>
    </xf>
    <xf numFmtId="0" fontId="5" fillId="3" borderId="0" xfId="1" applyFont="1" applyFill="1" applyAlignment="1" applyProtection="1">
      <alignment vertical="center"/>
      <protection locked="0"/>
    </xf>
    <xf numFmtId="0" fontId="37" fillId="3" borderId="24" xfId="1" applyFont="1" applyFill="1" applyBorder="1" applyAlignment="1" applyProtection="1">
      <alignment horizontal="center" vertical="center"/>
      <protection locked="0"/>
    </xf>
    <xf numFmtId="178" fontId="36" fillId="2" borderId="0" xfId="9" applyNumberFormat="1" applyFont="1" applyFill="1" applyAlignment="1" applyProtection="1">
      <alignment horizontal="center" vertical="center" shrinkToFit="1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2" fontId="38" fillId="4" borderId="0" xfId="9" applyNumberFormat="1" applyFont="1" applyFill="1" applyAlignment="1" applyProtection="1">
      <alignment horizontal="center" vertical="center" wrapText="1"/>
      <protection locked="0"/>
    </xf>
    <xf numFmtId="2" fontId="28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62" xfId="1" applyFont="1" applyFill="1" applyBorder="1" applyAlignment="1" applyProtection="1">
      <alignment horizontal="center" vertical="center" wrapText="1"/>
      <protection locked="0"/>
    </xf>
    <xf numFmtId="0" fontId="2" fillId="4" borderId="21" xfId="1" applyFont="1" applyFill="1" applyBorder="1" applyAlignment="1" applyProtection="1">
      <alignment horizontal="center" vertical="center"/>
      <protection locked="0"/>
    </xf>
    <xf numFmtId="14" fontId="36" fillId="4" borderId="21" xfId="3" applyNumberFormat="1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 wrapText="1"/>
      <protection locked="0"/>
    </xf>
    <xf numFmtId="0" fontId="37" fillId="2" borderId="0" xfId="1" applyFont="1" applyFill="1" applyAlignment="1" applyProtection="1">
      <alignment horizontal="center" vertical="center" wrapText="1"/>
      <protection locked="0"/>
    </xf>
    <xf numFmtId="0" fontId="38" fillId="4" borderId="62" xfId="9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40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0" xfId="9" applyFont="1" applyFill="1" applyAlignment="1" applyProtection="1">
      <alignment horizontal="center" vertical="center" wrapText="1"/>
      <protection locked="0"/>
    </xf>
    <xf numFmtId="0" fontId="7" fillId="2" borderId="0" xfId="1" applyFont="1" applyFill="1" applyAlignment="1" applyProtection="1">
      <alignment horizontal="center" vertical="center"/>
      <protection locked="0"/>
    </xf>
    <xf numFmtId="178" fontId="38" fillId="4" borderId="62" xfId="9" applyNumberFormat="1" applyFont="1" applyFill="1" applyBorder="1" applyAlignment="1" applyProtection="1">
      <alignment horizontal="center" vertical="center" wrapText="1"/>
      <protection locked="0"/>
    </xf>
    <xf numFmtId="0" fontId="7" fillId="2" borderId="20" xfId="1" applyFont="1" applyFill="1" applyBorder="1" applyAlignment="1" applyProtection="1">
      <alignment horizontal="center" vertical="center"/>
      <protection locked="0"/>
    </xf>
    <xf numFmtId="2" fontId="35" fillId="6" borderId="9" xfId="9" applyNumberFormat="1" applyFont="1" applyFill="1" applyBorder="1" applyAlignment="1" applyProtection="1">
      <alignment horizontal="center" vertical="center" shrinkToFit="1"/>
      <protection locked="0"/>
    </xf>
    <xf numFmtId="2" fontId="35" fillId="6" borderId="9" xfId="9" applyNumberFormat="1" applyFont="1" applyFill="1" applyBorder="1" applyAlignment="1" applyProtection="1">
      <alignment horizontal="center" vertical="center"/>
      <protection locked="0"/>
    </xf>
    <xf numFmtId="1" fontId="35" fillId="6" borderId="8" xfId="9" applyNumberFormat="1" applyFont="1" applyFill="1" applyBorder="1" applyAlignment="1" applyProtection="1">
      <alignment horizontal="right" vertical="center" shrinkToFit="1"/>
      <protection locked="0"/>
    </xf>
    <xf numFmtId="2" fontId="35" fillId="6" borderId="8" xfId="9" applyNumberFormat="1" applyFont="1" applyFill="1" applyBorder="1" applyAlignment="1" applyProtection="1">
      <alignment horizontal="left" vertical="center" shrinkToFit="1"/>
      <protection locked="0"/>
    </xf>
    <xf numFmtId="2" fontId="35" fillId="12" borderId="8" xfId="9" applyNumberFormat="1" applyFont="1" applyFill="1" applyBorder="1" applyAlignment="1" applyProtection="1">
      <alignment horizontal="center" vertical="center" shrinkToFit="1"/>
      <protection locked="0"/>
    </xf>
    <xf numFmtId="2" fontId="35" fillId="3" borderId="24" xfId="9" applyNumberFormat="1" applyFont="1" applyFill="1" applyBorder="1" applyAlignment="1" applyProtection="1">
      <alignment horizontal="center" vertical="center"/>
      <protection locked="0"/>
    </xf>
    <xf numFmtId="0" fontId="37" fillId="3" borderId="0" xfId="1" applyFont="1" applyFill="1" applyProtection="1">
      <protection locked="0"/>
    </xf>
    <xf numFmtId="0" fontId="46" fillId="11" borderId="33" xfId="1" applyFont="1" applyFill="1" applyBorder="1" applyAlignment="1" applyProtection="1">
      <alignment horizontal="center"/>
      <protection locked="0"/>
    </xf>
    <xf numFmtId="0" fontId="1" fillId="3" borderId="0" xfId="1" applyFill="1" applyProtection="1">
      <protection locked="0"/>
    </xf>
    <xf numFmtId="0" fontId="2" fillId="3" borderId="0" xfId="1" applyFont="1" applyFill="1" applyProtection="1">
      <protection locked="0"/>
    </xf>
    <xf numFmtId="0" fontId="2" fillId="3" borderId="0" xfId="1" applyFont="1" applyFill="1" applyAlignment="1" applyProtection="1">
      <alignment horizontal="center"/>
      <protection locked="0"/>
    </xf>
    <xf numFmtId="2" fontId="2" fillId="3" borderId="0" xfId="1" applyNumberFormat="1" applyFont="1" applyFill="1" applyProtection="1">
      <protection locked="0"/>
    </xf>
    <xf numFmtId="1" fontId="2" fillId="3" borderId="0" xfId="1" applyNumberFormat="1" applyFont="1" applyFill="1" applyAlignment="1" applyProtection="1">
      <alignment horizontal="right"/>
      <protection locked="0"/>
    </xf>
    <xf numFmtId="0" fontId="2" fillId="3" borderId="0" xfId="1" applyFont="1" applyFill="1" applyAlignment="1" applyProtection="1">
      <alignment horizontal="left"/>
      <protection locked="0"/>
    </xf>
    <xf numFmtId="2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16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Protection="1">
      <protection locked="0"/>
    </xf>
    <xf numFmtId="2" fontId="1" fillId="3" borderId="0" xfId="1" applyNumberFormat="1" applyFill="1" applyProtection="1">
      <protection locked="0"/>
    </xf>
    <xf numFmtId="0" fontId="24" fillId="3" borderId="0" xfId="1" applyFont="1" applyFill="1" applyAlignment="1" applyProtection="1">
      <alignment horizontal="center" vertical="center" wrapText="1"/>
      <protection locked="0"/>
    </xf>
    <xf numFmtId="0" fontId="6" fillId="3" borderId="0" xfId="3" applyFont="1" applyFill="1" applyAlignment="1" applyProtection="1">
      <alignment horizontal="center" vertical="center" wrapText="1"/>
      <protection locked="0"/>
    </xf>
    <xf numFmtId="0" fontId="37" fillId="5" borderId="61" xfId="1" applyFont="1" applyFill="1" applyBorder="1" applyAlignment="1" applyProtection="1">
      <alignment horizontal="center"/>
      <protection locked="0"/>
    </xf>
    <xf numFmtId="2" fontId="35" fillId="5" borderId="13" xfId="9" applyNumberFormat="1" applyFont="1" applyFill="1" applyBorder="1" applyAlignment="1" applyProtection="1">
      <alignment horizontal="center" vertical="center" shrinkToFit="1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2" fillId="3" borderId="0" xfId="1" applyFont="1" applyFill="1" applyAlignment="1">
      <alignment horizontal="center"/>
    </xf>
    <xf numFmtId="2" fontId="2" fillId="3" borderId="0" xfId="1" applyNumberFormat="1" applyFont="1" applyFill="1"/>
    <xf numFmtId="0" fontId="2" fillId="3" borderId="0" xfId="1" applyFont="1" applyFill="1"/>
    <xf numFmtId="1" fontId="2" fillId="3" borderId="0" xfId="1" applyNumberFormat="1" applyFont="1" applyFill="1" applyAlignment="1">
      <alignment horizontal="right"/>
    </xf>
    <xf numFmtId="0" fontId="2" fillId="3" borderId="0" xfId="1" applyFont="1" applyFill="1" applyAlignment="1">
      <alignment horizontal="left"/>
    </xf>
    <xf numFmtId="2" fontId="2" fillId="3" borderId="0" xfId="1" applyNumberFormat="1" applyFont="1" applyFill="1" applyAlignment="1">
      <alignment horizontal="center"/>
    </xf>
    <xf numFmtId="2" fontId="1" fillId="3" borderId="0" xfId="1" applyNumberFormat="1" applyFill="1"/>
    <xf numFmtId="16" fontId="2" fillId="3" borderId="0" xfId="1" applyNumberFormat="1" applyFont="1" applyFill="1" applyAlignment="1">
      <alignment horizontal="center"/>
    </xf>
    <xf numFmtId="0" fontId="16" fillId="3" borderId="63" xfId="0" applyFont="1" applyFill="1" applyBorder="1" applyProtection="1">
      <protection hidden="1"/>
    </xf>
    <xf numFmtId="0" fontId="16" fillId="3" borderId="66" xfId="0" applyFont="1" applyFill="1" applyBorder="1" applyProtection="1">
      <protection hidden="1"/>
    </xf>
    <xf numFmtId="0" fontId="16" fillId="3" borderId="13" xfId="0" applyFont="1" applyFill="1" applyBorder="1" applyProtection="1">
      <protection hidden="1"/>
    </xf>
    <xf numFmtId="0" fontId="14" fillId="3" borderId="13" xfId="0" applyFont="1" applyFill="1" applyBorder="1" applyAlignment="1" applyProtection="1">
      <alignment horizontal="left" vertical="center"/>
      <protection hidden="1"/>
    </xf>
    <xf numFmtId="0" fontId="14" fillId="3" borderId="65" xfId="0" applyFont="1" applyFill="1" applyBorder="1" applyAlignment="1" applyProtection="1">
      <alignment horizontal="left" vertical="center"/>
      <protection hidden="1"/>
    </xf>
    <xf numFmtId="0" fontId="51" fillId="0" borderId="2" xfId="0" applyFont="1" applyBorder="1" applyAlignment="1" applyProtection="1">
      <alignment horizontal="center" vertical="center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56" fillId="18" borderId="0" xfId="0" applyFont="1" applyFill="1"/>
    <xf numFmtId="0" fontId="58" fillId="18" borderId="0" xfId="0" applyFont="1" applyFill="1"/>
    <xf numFmtId="0" fontId="59" fillId="18" borderId="74" xfId="0" applyFont="1" applyFill="1" applyBorder="1" applyAlignment="1">
      <alignment horizontal="right"/>
    </xf>
    <xf numFmtId="0" fontId="60" fillId="18" borderId="74" xfId="0" applyFont="1" applyFill="1" applyBorder="1" applyAlignment="1">
      <alignment horizontal="left"/>
    </xf>
    <xf numFmtId="0" fontId="59" fillId="19" borderId="74" xfId="0" applyFont="1" applyFill="1" applyBorder="1" applyAlignment="1">
      <alignment horizontal="right"/>
    </xf>
    <xf numFmtId="0" fontId="60" fillId="19" borderId="74" xfId="0" applyFont="1" applyFill="1" applyBorder="1" applyAlignment="1">
      <alignment horizontal="left"/>
    </xf>
    <xf numFmtId="0" fontId="0" fillId="19" borderId="74" xfId="0" applyFill="1" applyBorder="1"/>
    <xf numFmtId="0" fontId="0" fillId="18" borderId="74" xfId="0" applyFill="1" applyBorder="1"/>
    <xf numFmtId="0" fontId="63" fillId="19" borderId="72" xfId="0" applyFont="1" applyFill="1" applyBorder="1" applyAlignment="1">
      <alignment horizontal="center"/>
    </xf>
    <xf numFmtId="0" fontId="63" fillId="19" borderId="72" xfId="0" applyFont="1" applyFill="1" applyBorder="1"/>
    <xf numFmtId="0" fontId="63" fillId="19" borderId="72" xfId="0" applyFont="1" applyFill="1" applyBorder="1" applyAlignment="1">
      <alignment horizontal="right"/>
    </xf>
    <xf numFmtId="0" fontId="56" fillId="18" borderId="75" xfId="0" applyFont="1" applyFill="1" applyBorder="1"/>
    <xf numFmtId="0" fontId="56" fillId="18" borderId="76" xfId="0" applyFont="1" applyFill="1" applyBorder="1"/>
    <xf numFmtId="0" fontId="63" fillId="19" borderId="77" xfId="0" applyFont="1" applyFill="1" applyBorder="1" applyAlignment="1">
      <alignment horizontal="center"/>
    </xf>
    <xf numFmtId="0" fontId="63" fillId="19" borderId="77" xfId="0" applyFont="1" applyFill="1" applyBorder="1"/>
    <xf numFmtId="0" fontId="63" fillId="19" borderId="77" xfId="0" applyFont="1" applyFill="1" applyBorder="1" applyAlignment="1">
      <alignment horizontal="right"/>
    </xf>
    <xf numFmtId="0" fontId="66" fillId="18" borderId="78" xfId="0" applyFont="1" applyFill="1" applyBorder="1"/>
    <xf numFmtId="0" fontId="63" fillId="19" borderId="79" xfId="0" applyFont="1" applyFill="1" applyBorder="1" applyAlignment="1">
      <alignment horizontal="center"/>
    </xf>
    <xf numFmtId="0" fontId="61" fillId="18" borderId="79" xfId="0" applyFont="1" applyFill="1" applyBorder="1" applyAlignment="1">
      <alignment horizontal="center"/>
    </xf>
    <xf numFmtId="0" fontId="56" fillId="18" borderId="79" xfId="0" applyFont="1" applyFill="1" applyBorder="1" applyAlignment="1">
      <alignment horizontal="right"/>
    </xf>
    <xf numFmtId="0" fontId="61" fillId="19" borderId="79" xfId="0" applyFont="1" applyFill="1" applyBorder="1" applyAlignment="1">
      <alignment horizontal="center"/>
    </xf>
    <xf numFmtId="0" fontId="56" fillId="19" borderId="79" xfId="0" applyFont="1" applyFill="1" applyBorder="1" applyAlignment="1">
      <alignment horizontal="right"/>
    </xf>
    <xf numFmtId="0" fontId="12" fillId="0" borderId="0" xfId="0" applyFont="1" applyAlignment="1" applyProtection="1">
      <alignment horizontal="left" vertical="center"/>
      <protection hidden="1"/>
    </xf>
    <xf numFmtId="0" fontId="45" fillId="0" borderId="0" xfId="0" applyFont="1" applyAlignment="1" applyProtection="1">
      <alignment horizontal="center" vertical="center"/>
      <protection hidden="1"/>
    </xf>
    <xf numFmtId="0" fontId="15" fillId="0" borderId="0" xfId="0" applyFont="1" applyProtection="1">
      <protection hidden="1"/>
    </xf>
    <xf numFmtId="165" fontId="14" fillId="0" borderId="0" xfId="0" applyNumberFormat="1" applyFont="1" applyAlignment="1" applyProtection="1">
      <alignment horizontal="left"/>
      <protection hidden="1"/>
    </xf>
    <xf numFmtId="168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right"/>
      <protection locked="0"/>
    </xf>
    <xf numFmtId="167" fontId="14" fillId="0" borderId="0" xfId="0" applyNumberFormat="1" applyFont="1" applyAlignment="1" applyProtection="1">
      <alignment horizontal="right"/>
      <protection hidden="1"/>
    </xf>
    <xf numFmtId="0" fontId="14" fillId="0" borderId="0" xfId="0" applyFont="1" applyAlignment="1" applyProtection="1">
      <alignment horizontal="left"/>
      <protection hidden="1"/>
    </xf>
    <xf numFmtId="172" fontId="14" fillId="0" borderId="0" xfId="0" applyNumberFormat="1" applyFont="1" applyAlignment="1" applyProtection="1">
      <alignment horizontal="center" vertical="center" shrinkToFit="1"/>
      <protection hidden="1"/>
    </xf>
    <xf numFmtId="171" fontId="14" fillId="0" borderId="0" xfId="0" applyNumberFormat="1" applyFont="1" applyAlignment="1" applyProtection="1">
      <alignment horizontal="center" vertical="center"/>
      <protection locked="0"/>
    </xf>
    <xf numFmtId="179" fontId="14" fillId="0" borderId="0" xfId="0" applyNumberFormat="1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16" fillId="0" borderId="0" xfId="0" applyFont="1" applyAlignment="1" applyProtection="1">
      <alignment horizontal="left"/>
      <protection hidden="1"/>
    </xf>
    <xf numFmtId="0" fontId="11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/>
      <protection locked="0" hidden="1"/>
    </xf>
    <xf numFmtId="0" fontId="16" fillId="0" borderId="0" xfId="0" applyFont="1" applyAlignment="1" applyProtection="1">
      <alignment horizontal="left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  <protection locked="0" hidden="1"/>
    </xf>
    <xf numFmtId="0" fontId="16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4" fillId="3" borderId="0" xfId="0" applyFont="1" applyFill="1" applyProtection="1">
      <protection hidden="1"/>
    </xf>
    <xf numFmtId="0" fontId="30" fillId="0" borderId="0" xfId="0" applyFont="1" applyAlignment="1" applyProtection="1">
      <alignment horizontal="center"/>
      <protection hidden="1"/>
    </xf>
    <xf numFmtId="16" fontId="11" fillId="0" borderId="0" xfId="0" applyNumberFormat="1" applyFont="1" applyAlignment="1" applyProtection="1">
      <alignment horizontal="center"/>
      <protection locked="0"/>
    </xf>
    <xf numFmtId="49" fontId="35" fillId="0" borderId="0" xfId="2" applyNumberFormat="1" applyFont="1" applyFill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0" fontId="0" fillId="2" borderId="2" xfId="0" applyFill="1" applyBorder="1" applyProtection="1">
      <protection hidden="1"/>
    </xf>
    <xf numFmtId="0" fontId="0" fillId="2" borderId="30" xfId="0" applyFill="1" applyBorder="1" applyProtection="1">
      <protection hidden="1"/>
    </xf>
    <xf numFmtId="0" fontId="14" fillId="0" borderId="40" xfId="0" applyFont="1" applyBorder="1" applyAlignment="1" applyProtection="1">
      <alignment horizontal="left"/>
      <protection locked="0" hidden="1"/>
    </xf>
    <xf numFmtId="2" fontId="14" fillId="0" borderId="40" xfId="0" applyNumberFormat="1" applyFont="1" applyBorder="1" applyAlignment="1" applyProtection="1">
      <alignment horizontal="left"/>
      <protection locked="0"/>
    </xf>
    <xf numFmtId="0" fontId="14" fillId="0" borderId="9" xfId="0" applyFont="1" applyBorder="1" applyAlignment="1">
      <alignment horizontal="center"/>
    </xf>
    <xf numFmtId="0" fontId="14" fillId="0" borderId="19" xfId="0" applyFont="1" applyBorder="1" applyAlignment="1" applyProtection="1">
      <alignment horizontal="center"/>
      <protection locked="0"/>
    </xf>
    <xf numFmtId="0" fontId="14" fillId="0" borderId="22" xfId="0" applyFont="1" applyBorder="1" applyAlignment="1" applyProtection="1">
      <alignment horizontal="center"/>
      <protection locked="0"/>
    </xf>
    <xf numFmtId="0" fontId="14" fillId="0" borderId="22" xfId="0" applyFont="1" applyBorder="1" applyAlignment="1">
      <alignment horizontal="center"/>
    </xf>
    <xf numFmtId="0" fontId="14" fillId="0" borderId="3" xfId="0" applyFont="1" applyBorder="1" applyProtection="1">
      <protection locked="0"/>
    </xf>
    <xf numFmtId="0" fontId="7" fillId="0" borderId="6" xfId="0" applyFont="1" applyBorder="1" applyProtection="1">
      <protection locked="0"/>
    </xf>
    <xf numFmtId="0" fontId="14" fillId="0" borderId="40" xfId="0" applyFont="1" applyBorder="1" applyProtection="1">
      <protection hidden="1"/>
    </xf>
    <xf numFmtId="0" fontId="14" fillId="0" borderId="17" xfId="0" applyFont="1" applyBorder="1" applyProtection="1">
      <protection hidden="1"/>
    </xf>
    <xf numFmtId="0" fontId="14" fillId="0" borderId="18" xfId="0" applyFont="1" applyBorder="1" applyProtection="1">
      <protection hidden="1"/>
    </xf>
    <xf numFmtId="0" fontId="2" fillId="0" borderId="9" xfId="0" applyFont="1" applyBorder="1" applyAlignment="1" applyProtection="1">
      <alignment horizontal="center" vertical="center"/>
      <protection locked="0"/>
    </xf>
    <xf numFmtId="2" fontId="2" fillId="0" borderId="3" xfId="0" applyNumberFormat="1" applyFont="1" applyBorder="1" applyAlignment="1" applyProtection="1">
      <alignment horizontal="center"/>
      <protection hidden="1"/>
    </xf>
    <xf numFmtId="2" fontId="2" fillId="0" borderId="9" xfId="0" applyNumberFormat="1" applyFont="1" applyBorder="1" applyAlignment="1" applyProtection="1">
      <alignment horizontal="center"/>
      <protection hidden="1"/>
    </xf>
    <xf numFmtId="10" fontId="2" fillId="0" borderId="9" xfId="0" applyNumberFormat="1" applyFont="1" applyBorder="1" applyAlignment="1" applyProtection="1">
      <alignment horizontal="center"/>
      <protection hidden="1"/>
    </xf>
    <xf numFmtId="10" fontId="2" fillId="0" borderId="13" xfId="0" applyNumberFormat="1" applyFont="1" applyBorder="1" applyAlignment="1" applyProtection="1">
      <alignment horizontal="center"/>
      <protection hidden="1"/>
    </xf>
    <xf numFmtId="2" fontId="2" fillId="0" borderId="33" xfId="0" applyNumberFormat="1" applyFont="1" applyBorder="1" applyAlignment="1" applyProtection="1">
      <alignment horizontal="center"/>
      <protection hidden="1"/>
    </xf>
    <xf numFmtId="0" fontId="14" fillId="0" borderId="6" xfId="0" applyFont="1" applyBorder="1" applyAlignment="1" applyProtection="1">
      <alignment horizontal="right" vertical="center"/>
      <protection hidden="1"/>
    </xf>
    <xf numFmtId="0" fontId="14" fillId="0" borderId="16" xfId="0" applyFont="1" applyBorder="1" applyProtection="1">
      <protection hidden="1"/>
    </xf>
    <xf numFmtId="0" fontId="2" fillId="0" borderId="3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9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hidden="1"/>
    </xf>
    <xf numFmtId="0" fontId="14" fillId="0" borderId="3" xfId="0" applyFont="1" applyBorder="1" applyAlignment="1" applyProtection="1">
      <alignment horizontal="center" vertical="center"/>
      <protection locked="0"/>
    </xf>
    <xf numFmtId="181" fontId="14" fillId="0" borderId="10" xfId="0" applyNumberFormat="1" applyFont="1" applyBorder="1" applyAlignment="1" applyProtection="1">
      <alignment horizontal="center" vertical="center"/>
      <protection locked="0"/>
    </xf>
    <xf numFmtId="0" fontId="14" fillId="0" borderId="10" xfId="0" applyFont="1" applyBorder="1" applyAlignment="1" applyProtection="1">
      <alignment horizontal="center" vertical="center"/>
      <protection locked="0" hidden="1"/>
    </xf>
    <xf numFmtId="0" fontId="14" fillId="0" borderId="41" xfId="0" applyFont="1" applyBorder="1" applyAlignment="1" applyProtection="1">
      <alignment horizontal="center" vertical="center"/>
      <protection locked="0"/>
    </xf>
    <xf numFmtId="181" fontId="14" fillId="0" borderId="42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/>
    <xf numFmtId="0" fontId="39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2" fontId="5" fillId="0" borderId="0" xfId="1" applyNumberFormat="1" applyFont="1" applyAlignment="1" applyProtection="1">
      <alignment vertical="center"/>
      <protection locked="0"/>
    </xf>
    <xf numFmtId="0" fontId="37" fillId="0" borderId="0" xfId="1" applyFont="1" applyProtection="1">
      <protection locked="0"/>
    </xf>
    <xf numFmtId="2" fontId="37" fillId="0" borderId="0" xfId="1" applyNumberFormat="1" applyFont="1" applyProtection="1">
      <protection locked="0"/>
    </xf>
    <xf numFmtId="2" fontId="1" fillId="0" borderId="0" xfId="1" applyNumberFormat="1" applyProtection="1">
      <protection locked="0"/>
    </xf>
    <xf numFmtId="2" fontId="2" fillId="3" borderId="6" xfId="1" applyNumberFormat="1" applyFont="1" applyFill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24" fillId="0" borderId="0" xfId="1" applyFont="1" applyAlignment="1" applyProtection="1">
      <alignment horizontal="center" vertical="center"/>
      <protection locked="0"/>
    </xf>
    <xf numFmtId="2" fontId="35" fillId="15" borderId="14" xfId="9" applyNumberFormat="1" applyFont="1" applyFill="1" applyBorder="1" applyAlignment="1">
      <alignment horizontal="center" vertical="center"/>
    </xf>
    <xf numFmtId="2" fontId="36" fillId="14" borderId="12" xfId="9" applyNumberFormat="1" applyFont="1" applyFill="1" applyBorder="1" applyAlignment="1">
      <alignment horizontal="center" vertical="center"/>
    </xf>
    <xf numFmtId="2" fontId="35" fillId="12" borderId="9" xfId="9" applyNumberFormat="1" applyFont="1" applyFill="1" applyBorder="1" applyAlignment="1">
      <alignment horizontal="center" vertical="center"/>
    </xf>
    <xf numFmtId="2" fontId="35" fillId="14" borderId="9" xfId="10" applyNumberFormat="1" applyFont="1" applyFill="1" applyBorder="1" applyAlignment="1">
      <alignment horizontal="center" vertical="center"/>
    </xf>
    <xf numFmtId="2" fontId="35" fillId="14" borderId="9" xfId="9" applyNumberFormat="1" applyFont="1" applyFill="1" applyBorder="1" applyAlignment="1">
      <alignment horizontal="center" vertical="center" shrinkToFit="1"/>
    </xf>
    <xf numFmtId="1" fontId="35" fillId="6" borderId="9" xfId="9" applyNumberFormat="1" applyFont="1" applyFill="1" applyBorder="1" applyAlignment="1">
      <alignment horizontal="right" vertical="center" shrinkToFit="1"/>
    </xf>
    <xf numFmtId="2" fontId="35" fillId="6" borderId="9" xfId="9" applyNumberFormat="1" applyFont="1" applyFill="1" applyBorder="1" applyAlignment="1">
      <alignment horizontal="left" vertical="center" shrinkToFit="1"/>
    </xf>
    <xf numFmtId="2" fontId="35" fillId="12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/>
    </xf>
    <xf numFmtId="174" fontId="33" fillId="0" borderId="40" xfId="0" applyNumberFormat="1" applyFont="1" applyBorder="1" applyAlignment="1">
      <alignment horizontal="left" vertical="center"/>
    </xf>
    <xf numFmtId="175" fontId="14" fillId="0" borderId="40" xfId="0" applyNumberFormat="1" applyFont="1" applyBorder="1" applyAlignment="1">
      <alignment horizontal="left" vertical="center"/>
    </xf>
    <xf numFmtId="2" fontId="14" fillId="0" borderId="40" xfId="0" applyNumberFormat="1" applyFont="1" applyBorder="1" applyAlignment="1">
      <alignment horizontal="left"/>
    </xf>
    <xf numFmtId="2" fontId="14" fillId="0" borderId="40" xfId="0" applyNumberFormat="1" applyFont="1" applyBorder="1" applyAlignment="1" applyProtection="1">
      <alignment horizontal="left"/>
      <protection hidden="1"/>
    </xf>
    <xf numFmtId="170" fontId="14" fillId="0" borderId="9" xfId="0" applyNumberFormat="1" applyFont="1" applyBorder="1" applyAlignment="1">
      <alignment horizontal="center" vertical="center"/>
    </xf>
    <xf numFmtId="0" fontId="2" fillId="0" borderId="50" xfId="0" applyFont="1" applyBorder="1" applyAlignment="1">
      <alignment horizontal="center"/>
    </xf>
    <xf numFmtId="0" fontId="2" fillId="21" borderId="31" xfId="0" applyFont="1" applyFill="1" applyBorder="1" applyProtection="1">
      <protection locked="0"/>
    </xf>
    <xf numFmtId="0" fontId="2" fillId="21" borderId="13" xfId="0" applyFont="1" applyFill="1" applyBorder="1" applyAlignment="1" applyProtection="1">
      <alignment horizontal="center"/>
      <protection locked="0"/>
    </xf>
    <xf numFmtId="0" fontId="2" fillId="21" borderId="12" xfId="0" applyFont="1" applyFill="1" applyBorder="1" applyAlignment="1" applyProtection="1">
      <alignment horizontal="center"/>
      <protection locked="0"/>
    </xf>
    <xf numFmtId="0" fontId="2" fillId="21" borderId="15" xfId="0" applyFont="1" applyFill="1" applyBorder="1" applyAlignment="1" applyProtection="1">
      <alignment horizontal="center"/>
      <protection locked="0"/>
    </xf>
    <xf numFmtId="0" fontId="2" fillId="21" borderId="3" xfId="0" applyFont="1" applyFill="1" applyBorder="1" applyAlignment="1" applyProtection="1">
      <alignment horizontal="right"/>
      <protection locked="0"/>
    </xf>
    <xf numFmtId="49" fontId="2" fillId="21" borderId="10" xfId="0" applyNumberFormat="1" applyFont="1" applyFill="1" applyBorder="1" applyAlignment="1" applyProtection="1">
      <alignment horizontal="left"/>
      <protection locked="0"/>
    </xf>
    <xf numFmtId="0" fontId="2" fillId="21" borderId="10" xfId="0" applyFont="1" applyFill="1" applyBorder="1" applyAlignment="1" applyProtection="1">
      <alignment horizontal="left"/>
      <protection locked="0"/>
    </xf>
    <xf numFmtId="0" fontId="2" fillId="21" borderId="3" xfId="0" applyFont="1" applyFill="1" applyBorder="1" applyAlignment="1" applyProtection="1">
      <alignment horizontal="center"/>
      <protection locked="0"/>
    </xf>
    <xf numFmtId="0" fontId="2" fillId="21" borderId="10" xfId="0" applyFont="1" applyFill="1" applyBorder="1" applyAlignment="1" applyProtection="1">
      <alignment horizontal="center"/>
      <protection locked="0"/>
    </xf>
    <xf numFmtId="0" fontId="14" fillId="0" borderId="3" xfId="0" applyFont="1" applyBorder="1" applyAlignment="1" applyProtection="1">
      <alignment horizontal="left"/>
      <protection locked="0"/>
    </xf>
    <xf numFmtId="0" fontId="14" fillId="12" borderId="3" xfId="0" applyFont="1" applyFill="1" applyBorder="1" applyProtection="1">
      <protection locked="0"/>
    </xf>
    <xf numFmtId="170" fontId="14" fillId="12" borderId="3" xfId="0" applyNumberFormat="1" applyFont="1" applyFill="1" applyBorder="1" applyProtection="1">
      <protection locked="0"/>
    </xf>
    <xf numFmtId="0" fontId="14" fillId="12" borderId="9" xfId="0" applyFont="1" applyFill="1" applyBorder="1" applyAlignment="1" applyProtection="1">
      <alignment horizontal="center"/>
      <protection locked="0"/>
    </xf>
    <xf numFmtId="0" fontId="14" fillId="12" borderId="9" xfId="0" applyFont="1" applyFill="1" applyBorder="1" applyAlignment="1">
      <alignment horizontal="center"/>
    </xf>
    <xf numFmtId="0" fontId="14" fillId="12" borderId="19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>
      <alignment horizontal="center"/>
    </xf>
    <xf numFmtId="0" fontId="2" fillId="12" borderId="9" xfId="0" applyFont="1" applyFill="1" applyBorder="1" applyAlignment="1" applyProtection="1">
      <alignment horizontal="center"/>
      <protection locked="0"/>
    </xf>
    <xf numFmtId="0" fontId="2" fillId="12" borderId="50" xfId="0" applyFont="1" applyFill="1" applyBorder="1" applyAlignment="1">
      <alignment horizontal="center"/>
    </xf>
    <xf numFmtId="166" fontId="14" fillId="0" borderId="0" xfId="0" applyNumberFormat="1" applyFont="1" applyAlignment="1" applyProtection="1">
      <alignment horizontal="left" vertical="center"/>
      <protection hidden="1"/>
    </xf>
    <xf numFmtId="16" fontId="33" fillId="0" borderId="0" xfId="0" applyNumberFormat="1" applyFont="1" applyAlignment="1" applyProtection="1">
      <alignment horizontal="left" vertical="center"/>
      <protection hidden="1"/>
    </xf>
    <xf numFmtId="170" fontId="14" fillId="0" borderId="0" xfId="0" applyNumberFormat="1" applyFont="1" applyAlignment="1" applyProtection="1">
      <alignment horizontal="left" vertical="center"/>
      <protection hidden="1"/>
    </xf>
    <xf numFmtId="0" fontId="11" fillId="0" borderId="6" xfId="0" applyFont="1" applyBorder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10" fontId="14" fillId="0" borderId="40" xfId="0" applyNumberFormat="1" applyFont="1" applyBorder="1" applyAlignment="1" applyProtection="1">
      <alignment horizontal="left" vertical="center"/>
      <protection hidden="1"/>
    </xf>
    <xf numFmtId="0" fontId="14" fillId="0" borderId="6" xfId="0" applyFont="1" applyBorder="1" applyProtection="1">
      <protection hidden="1"/>
    </xf>
    <xf numFmtId="0" fontId="14" fillId="0" borderId="40" xfId="0" applyFont="1" applyBorder="1" applyAlignment="1" applyProtection="1">
      <alignment horizontal="left"/>
      <protection hidden="1"/>
    </xf>
    <xf numFmtId="0" fontId="14" fillId="12" borderId="80" xfId="0" applyFont="1" applyFill="1" applyBorder="1" applyAlignment="1" applyProtection="1">
      <alignment horizontal="center"/>
      <protection locked="0"/>
    </xf>
    <xf numFmtId="170" fontId="14" fillId="12" borderId="19" xfId="0" applyNumberFormat="1" applyFont="1" applyFill="1" applyBorder="1" applyAlignment="1">
      <alignment horizontal="center" vertical="center"/>
    </xf>
    <xf numFmtId="170" fontId="14" fillId="12" borderId="35" xfId="0" applyNumberFormat="1" applyFont="1" applyFill="1" applyBorder="1" applyAlignment="1">
      <alignment horizontal="center"/>
    </xf>
    <xf numFmtId="0" fontId="2" fillId="12" borderId="19" xfId="0" applyFont="1" applyFill="1" applyBorder="1" applyAlignment="1">
      <alignment horizontal="center"/>
    </xf>
    <xf numFmtId="0" fontId="2" fillId="12" borderId="19" xfId="0" applyFont="1" applyFill="1" applyBorder="1" applyAlignment="1" applyProtection="1">
      <alignment horizontal="center"/>
      <protection locked="0"/>
    </xf>
    <xf numFmtId="0" fontId="2" fillId="12" borderId="39" xfId="0" applyFont="1" applyFill="1" applyBorder="1" applyAlignment="1">
      <alignment horizontal="center"/>
    </xf>
    <xf numFmtId="0" fontId="14" fillId="0" borderId="51" xfId="0" applyFont="1" applyBorder="1" applyProtection="1">
      <protection locked="0"/>
    </xf>
    <xf numFmtId="170" fontId="14" fillId="0" borderId="8" xfId="0" applyNumberFormat="1" applyFont="1" applyBorder="1" applyAlignment="1">
      <alignment horizontal="center" vertical="center"/>
    </xf>
    <xf numFmtId="170" fontId="14" fillId="0" borderId="50" xfId="0" applyNumberFormat="1" applyFont="1" applyBorder="1" applyAlignment="1">
      <alignment horizontal="center"/>
    </xf>
    <xf numFmtId="0" fontId="14" fillId="12" borderId="51" xfId="0" applyFont="1" applyFill="1" applyBorder="1" applyAlignment="1" applyProtection="1">
      <alignment horizontal="left"/>
      <protection locked="0"/>
    </xf>
    <xf numFmtId="170" fontId="14" fillId="12" borderId="8" xfId="0" applyNumberFormat="1" applyFont="1" applyFill="1" applyBorder="1" applyAlignment="1">
      <alignment horizontal="center" vertical="center"/>
    </xf>
    <xf numFmtId="170" fontId="14" fillId="12" borderId="50" xfId="0" applyNumberFormat="1" applyFont="1" applyFill="1" applyBorder="1" applyAlignment="1">
      <alignment horizontal="center"/>
    </xf>
    <xf numFmtId="0" fontId="14" fillId="0" borderId="51" xfId="0" applyFont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8" xfId="0" applyFont="1" applyBorder="1" applyAlignment="1">
      <alignment horizontal="center"/>
    </xf>
    <xf numFmtId="0" fontId="2" fillId="0" borderId="5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14" fillId="0" borderId="51" xfId="0" applyFont="1" applyBorder="1" applyAlignment="1" applyProtection="1">
      <alignment horizontal="center" vertical="center"/>
      <protection hidden="1"/>
    </xf>
    <xf numFmtId="0" fontId="14" fillId="0" borderId="50" xfId="0" applyFont="1" applyBorder="1" applyAlignment="1" applyProtection="1">
      <alignment horizontal="center" vertical="center"/>
      <protection hidden="1"/>
    </xf>
    <xf numFmtId="0" fontId="14" fillId="2" borderId="16" xfId="0" applyFont="1" applyFill="1" applyBorder="1" applyAlignment="1" applyProtection="1">
      <alignment horizontal="right"/>
      <protection hidden="1"/>
    </xf>
    <xf numFmtId="176" fontId="14" fillId="2" borderId="18" xfId="0" applyNumberFormat="1" applyFont="1" applyFill="1" applyBorder="1" applyAlignment="1" applyProtection="1">
      <alignment horizontal="left"/>
      <protection locked="0"/>
    </xf>
    <xf numFmtId="0" fontId="14" fillId="2" borderId="1" xfId="0" applyFont="1" applyFill="1" applyBorder="1" applyAlignment="1" applyProtection="1">
      <alignment horizontal="right" vertical="center"/>
      <protection hidden="1"/>
    </xf>
    <xf numFmtId="176" fontId="14" fillId="2" borderId="29" xfId="0" applyNumberFormat="1" applyFont="1" applyFill="1" applyBorder="1" applyAlignment="1" applyProtection="1">
      <alignment horizontal="left" vertical="center"/>
      <protection hidden="1"/>
    </xf>
    <xf numFmtId="0" fontId="14" fillId="2" borderId="29" xfId="0" applyFont="1" applyFill="1" applyBorder="1" applyAlignment="1" applyProtection="1">
      <alignment vertical="center"/>
      <protection hidden="1"/>
    </xf>
    <xf numFmtId="0" fontId="14" fillId="2" borderId="36" xfId="0" applyFont="1" applyFill="1" applyBorder="1" applyAlignment="1" applyProtection="1">
      <alignment horizontal="center" vertical="center"/>
      <protection hidden="1"/>
    </xf>
    <xf numFmtId="173" fontId="14" fillId="2" borderId="68" xfId="0" applyNumberFormat="1" applyFont="1" applyFill="1" applyBorder="1" applyAlignment="1" applyProtection="1">
      <alignment horizontal="center" vertical="center"/>
      <protection hidden="1"/>
    </xf>
    <xf numFmtId="0" fontId="14" fillId="2" borderId="37" xfId="0" applyFont="1" applyFill="1" applyBorder="1" applyAlignment="1" applyProtection="1">
      <alignment horizontal="center"/>
      <protection hidden="1"/>
    </xf>
    <xf numFmtId="170" fontId="14" fillId="2" borderId="1" xfId="0" applyNumberFormat="1" applyFont="1" applyFill="1" applyBorder="1" applyAlignment="1" applyProtection="1">
      <alignment horizontal="center" vertical="center"/>
      <protection hidden="1"/>
    </xf>
    <xf numFmtId="0" fontId="14" fillId="2" borderId="22" xfId="0" applyFont="1" applyFill="1" applyBorder="1" applyAlignment="1" applyProtection="1">
      <alignment horizontal="center"/>
      <protection hidden="1"/>
    </xf>
    <xf numFmtId="0" fontId="14" fillId="2" borderId="42" xfId="0" applyFont="1" applyFill="1" applyBorder="1" applyAlignment="1" applyProtection="1">
      <alignment horizontal="center"/>
      <protection hidden="1"/>
    </xf>
    <xf numFmtId="0" fontId="14" fillId="2" borderId="36" xfId="0" applyFont="1" applyFill="1" applyBorder="1" applyAlignment="1" applyProtection="1">
      <alignment horizontal="center"/>
      <protection hidden="1"/>
    </xf>
    <xf numFmtId="0" fontId="14" fillId="2" borderId="68" xfId="0" applyFont="1" applyFill="1" applyBorder="1" applyAlignment="1" applyProtection="1">
      <alignment horizontal="center"/>
      <protection hidden="1"/>
    </xf>
    <xf numFmtId="0" fontId="2" fillId="21" borderId="52" xfId="0" applyFont="1" applyFill="1" applyBorder="1" applyAlignment="1" applyProtection="1">
      <alignment horizontal="center"/>
      <protection locked="0"/>
    </xf>
    <xf numFmtId="0" fontId="2" fillId="0" borderId="50" xfId="0" applyFont="1" applyBorder="1" applyAlignment="1" applyProtection="1">
      <alignment horizontal="center"/>
      <protection hidden="1"/>
    </xf>
    <xf numFmtId="0" fontId="2" fillId="21" borderId="32" xfId="0" applyFont="1" applyFill="1" applyBorder="1" applyAlignment="1" applyProtection="1">
      <alignment horizontal="center"/>
      <protection locked="0"/>
    </xf>
    <xf numFmtId="0" fontId="2" fillId="21" borderId="51" xfId="0" applyFont="1" applyFill="1" applyBorder="1" applyAlignment="1" applyProtection="1">
      <alignment horizontal="right"/>
      <protection locked="0"/>
    </xf>
    <xf numFmtId="49" fontId="2" fillId="21" borderId="50" xfId="0" applyNumberFormat="1" applyFont="1" applyFill="1" applyBorder="1" applyAlignment="1" applyProtection="1">
      <alignment horizontal="left"/>
      <protection locked="0"/>
    </xf>
    <xf numFmtId="2" fontId="2" fillId="0" borderId="49" xfId="0" applyNumberFormat="1" applyFont="1" applyBorder="1" applyAlignment="1" applyProtection="1">
      <alignment horizontal="center"/>
      <protection hidden="1"/>
    </xf>
    <xf numFmtId="0" fontId="2" fillId="21" borderId="51" xfId="0" applyFont="1" applyFill="1" applyBorder="1" applyAlignment="1" applyProtection="1">
      <alignment horizontal="center"/>
      <protection locked="0"/>
    </xf>
    <xf numFmtId="0" fontId="2" fillId="21" borderId="50" xfId="0" applyFont="1" applyFill="1" applyBorder="1" applyAlignment="1" applyProtection="1">
      <alignment horizontal="center"/>
      <protection locked="0"/>
    </xf>
    <xf numFmtId="2" fontId="2" fillId="0" borderId="51" xfId="0" applyNumberFormat="1" applyFont="1" applyBorder="1" applyAlignment="1" applyProtection="1">
      <alignment horizontal="center"/>
      <protection hidden="1"/>
    </xf>
    <xf numFmtId="2" fontId="2" fillId="0" borderId="8" xfId="0" applyNumberFormat="1" applyFont="1" applyBorder="1" applyAlignment="1" applyProtection="1">
      <alignment horizontal="center"/>
      <protection hidden="1"/>
    </xf>
    <xf numFmtId="10" fontId="2" fillId="0" borderId="8" xfId="0" applyNumberFormat="1" applyFont="1" applyBorder="1" applyAlignment="1" applyProtection="1">
      <alignment horizontal="center"/>
      <protection hidden="1"/>
    </xf>
    <xf numFmtId="10" fontId="2" fillId="0" borderId="52" xfId="0" applyNumberFormat="1" applyFont="1" applyBorder="1" applyAlignment="1" applyProtection="1">
      <alignment horizontal="center"/>
      <protection hidden="1"/>
    </xf>
    <xf numFmtId="2" fontId="2" fillId="0" borderId="31" xfId="0" applyNumberFormat="1" applyFont="1" applyBorder="1" applyAlignment="1" applyProtection="1">
      <alignment horizontal="center"/>
      <protection hidden="1"/>
    </xf>
    <xf numFmtId="0" fontId="8" fillId="2" borderId="7" xfId="0" applyFont="1" applyFill="1" applyBorder="1" applyAlignment="1" applyProtection="1">
      <alignment horizontal="center" vertical="center"/>
      <protection hidden="1"/>
    </xf>
    <xf numFmtId="49" fontId="39" fillId="2" borderId="41" xfId="0" applyNumberFormat="1" applyFont="1" applyFill="1" applyBorder="1" applyAlignment="1" applyProtection="1">
      <alignment horizontal="center" vertical="center"/>
      <protection locked="0"/>
    </xf>
    <xf numFmtId="0" fontId="2" fillId="2" borderId="47" xfId="0" applyFont="1" applyFill="1" applyBorder="1" applyAlignment="1" applyProtection="1">
      <alignment horizontal="center"/>
      <protection hidden="1"/>
    </xf>
    <xf numFmtId="0" fontId="2" fillId="2" borderId="65" xfId="0" applyFont="1" applyFill="1" applyBorder="1" applyAlignment="1" applyProtection="1">
      <alignment horizontal="center"/>
      <protection hidden="1"/>
    </xf>
    <xf numFmtId="0" fontId="2" fillId="2" borderId="42" xfId="0" applyFont="1" applyFill="1" applyBorder="1" applyAlignment="1" applyProtection="1">
      <alignment horizontal="center"/>
      <protection hidden="1"/>
    </xf>
    <xf numFmtId="0" fontId="2" fillId="2" borderId="41" xfId="0" applyFont="1" applyFill="1" applyBorder="1" applyAlignment="1" applyProtection="1">
      <alignment horizontal="center"/>
      <protection hidden="1"/>
    </xf>
    <xf numFmtId="0" fontId="2" fillId="0" borderId="81" xfId="0" applyFont="1" applyBorder="1" applyAlignment="1" applyProtection="1">
      <alignment horizontal="center" vertical="center"/>
      <protection hidden="1"/>
    </xf>
    <xf numFmtId="0" fontId="2" fillId="0" borderId="69" xfId="0" applyFont="1" applyBorder="1" applyAlignment="1" applyProtection="1">
      <alignment horizontal="center" vertical="center"/>
      <protection hidden="1"/>
    </xf>
    <xf numFmtId="0" fontId="2" fillId="0" borderId="80" xfId="0" applyFont="1" applyBorder="1" applyAlignment="1" applyProtection="1">
      <alignment horizontal="center" vertical="center"/>
      <protection hidden="1"/>
    </xf>
    <xf numFmtId="10" fontId="2" fillId="0" borderId="80" xfId="0" applyNumberFormat="1" applyFont="1" applyBorder="1" applyAlignment="1" applyProtection="1">
      <alignment horizontal="center" vertical="center"/>
      <protection hidden="1"/>
    </xf>
    <xf numFmtId="10" fontId="2" fillId="0" borderId="71" xfId="0" applyNumberFormat="1" applyFont="1" applyBorder="1" applyAlignment="1" applyProtection="1">
      <alignment horizontal="center" vertical="center"/>
      <protection hidden="1"/>
    </xf>
    <xf numFmtId="2" fontId="2" fillId="0" borderId="81" xfId="0" applyNumberFormat="1" applyFont="1" applyBorder="1" applyAlignment="1" applyProtection="1">
      <alignment horizontal="center" vertical="center"/>
      <protection hidden="1"/>
    </xf>
    <xf numFmtId="0" fontId="2" fillId="2" borderId="5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10" fontId="2" fillId="2" borderId="58" xfId="0" applyNumberFormat="1" applyFont="1" applyFill="1" applyBorder="1" applyAlignment="1" applyProtection="1">
      <alignment horizontal="center" vertical="center"/>
      <protection hidden="1"/>
    </xf>
    <xf numFmtId="2" fontId="2" fillId="2" borderId="28" xfId="0" applyNumberFormat="1" applyFont="1" applyFill="1" applyBorder="1" applyAlignment="1" applyProtection="1">
      <alignment horizontal="center" vertical="center"/>
      <protection hidden="1"/>
    </xf>
    <xf numFmtId="170" fontId="17" fillId="0" borderId="50" xfId="0" applyNumberFormat="1" applyFont="1" applyBorder="1" applyAlignment="1">
      <alignment horizontal="center"/>
    </xf>
    <xf numFmtId="170" fontId="17" fillId="0" borderId="60" xfId="0" applyNumberFormat="1" applyFont="1" applyBorder="1" applyAlignment="1">
      <alignment horizontal="center"/>
    </xf>
    <xf numFmtId="0" fontId="20" fillId="7" borderId="1" xfId="0" applyFont="1" applyFill="1" applyBorder="1" applyAlignment="1" applyProtection="1">
      <alignment horizontal="center" vertical="center"/>
      <protection hidden="1"/>
    </xf>
    <xf numFmtId="0" fontId="20" fillId="4" borderId="16" xfId="0" applyFont="1" applyFill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/>
      <protection hidden="1"/>
    </xf>
    <xf numFmtId="0" fontId="23" fillId="8" borderId="29" xfId="0" applyFont="1" applyFill="1" applyBorder="1" applyAlignment="1" applyProtection="1">
      <alignment vertical="center"/>
      <protection hidden="1"/>
    </xf>
    <xf numFmtId="0" fontId="20" fillId="9" borderId="16" xfId="0" applyFont="1" applyFill="1" applyBorder="1" applyAlignment="1" applyProtection="1">
      <alignment horizontal="center" vertical="center"/>
      <protection hidden="1"/>
    </xf>
    <xf numFmtId="0" fontId="22" fillId="3" borderId="24" xfId="0" applyFont="1" applyFill="1" applyBorder="1" applyAlignment="1" applyProtection="1">
      <alignment horizontal="center" vertical="center"/>
      <protection hidden="1"/>
    </xf>
    <xf numFmtId="0" fontId="20" fillId="10" borderId="25" xfId="0" applyFont="1" applyFill="1" applyBorder="1" applyAlignment="1" applyProtection="1">
      <alignment horizontal="center" vertical="center"/>
      <protection hidden="1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3" borderId="48" xfId="1" applyFont="1" applyFill="1" applyBorder="1" applyAlignment="1" applyProtection="1">
      <alignment horizontal="center" vertical="center"/>
      <protection locked="0"/>
    </xf>
    <xf numFmtId="2" fontId="2" fillId="3" borderId="48" xfId="1" applyNumberFormat="1" applyFont="1" applyFill="1" applyBorder="1" applyAlignment="1" applyProtection="1">
      <alignment horizontal="center" vertical="center"/>
      <protection locked="0"/>
    </xf>
    <xf numFmtId="2" fontId="2" fillId="3" borderId="34" xfId="1" applyNumberFormat="1" applyFont="1" applyFill="1" applyBorder="1" applyAlignment="1" applyProtection="1">
      <alignment horizontal="center" vertical="center"/>
      <protection locked="0"/>
    </xf>
    <xf numFmtId="2" fontId="37" fillId="3" borderId="0" xfId="1" applyNumberFormat="1" applyFont="1" applyFill="1" applyProtection="1">
      <protection locked="0"/>
    </xf>
    <xf numFmtId="0" fontId="35" fillId="6" borderId="9" xfId="9" applyFont="1" applyFill="1" applyBorder="1" applyAlignment="1" applyProtection="1">
      <alignment horizontal="center" vertical="center"/>
      <protection locked="0"/>
    </xf>
    <xf numFmtId="0" fontId="35" fillId="6" borderId="12" xfId="9" applyFont="1" applyFill="1" applyBorder="1" applyAlignment="1" applyProtection="1">
      <alignment horizontal="center" vertical="center"/>
      <protection locked="0"/>
    </xf>
    <xf numFmtId="2" fontId="35" fillId="6" borderId="12" xfId="9" applyNumberFormat="1" applyFont="1" applyFill="1" applyBorder="1" applyAlignment="1" applyProtection="1">
      <alignment horizontal="center" vertical="center"/>
      <protection locked="0"/>
    </xf>
    <xf numFmtId="1" fontId="2" fillId="22" borderId="7" xfId="1" applyNumberFormat="1" applyFont="1" applyFill="1" applyBorder="1" applyAlignment="1" applyProtection="1">
      <alignment horizontal="center" vertical="center"/>
      <protection locked="0"/>
    </xf>
    <xf numFmtId="0" fontId="69" fillId="3" borderId="0" xfId="1" applyFont="1" applyFill="1" applyProtection="1">
      <protection locked="0"/>
    </xf>
    <xf numFmtId="0" fontId="37" fillId="3" borderId="6" xfId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horizontal="center" vertical="center"/>
      <protection locked="0"/>
    </xf>
    <xf numFmtId="2" fontId="7" fillId="3" borderId="0" xfId="1" applyNumberFormat="1" applyFont="1" applyFill="1" applyAlignment="1" applyProtection="1">
      <alignment horizontal="center" vertical="center"/>
      <protection locked="0"/>
    </xf>
    <xf numFmtId="2" fontId="35" fillId="5" borderId="13" xfId="9" applyNumberFormat="1" applyFont="1" applyFill="1" applyBorder="1" applyAlignment="1" applyProtection="1">
      <alignment horizontal="left" vertical="center" shrinkToFit="1"/>
      <protection locked="0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81" fontId="0" fillId="0" borderId="0" xfId="0" applyNumberFormat="1"/>
    <xf numFmtId="0" fontId="5" fillId="0" borderId="40" xfId="0" applyFont="1" applyBorder="1"/>
    <xf numFmtId="0" fontId="26" fillId="0" borderId="24" xfId="0" applyFont="1" applyBorder="1"/>
    <xf numFmtId="0" fontId="0" fillId="0" borderId="6" xfId="0" applyBorder="1"/>
    <xf numFmtId="0" fontId="5" fillId="0" borderId="0" xfId="0" applyFont="1"/>
    <xf numFmtId="0" fontId="26" fillId="0" borderId="0" xfId="0" applyFont="1"/>
    <xf numFmtId="0" fontId="5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/>
    </xf>
    <xf numFmtId="2" fontId="5" fillId="0" borderId="24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6" fillId="0" borderId="24" xfId="0" applyFont="1" applyBorder="1" applyAlignment="1">
      <alignment horizontal="center" vertical="center" shrinkToFit="1"/>
    </xf>
    <xf numFmtId="2" fontId="2" fillId="17" borderId="31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4" borderId="61" xfId="0" applyNumberFormat="1" applyFont="1" applyFill="1" applyBorder="1" applyAlignment="1">
      <alignment horizontal="center" vertical="center"/>
    </xf>
    <xf numFmtId="2" fontId="2" fillId="23" borderId="61" xfId="0" applyNumberFormat="1" applyFon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2" fontId="0" fillId="4" borderId="31" xfId="0" applyNumberFormat="1" applyFill="1" applyBorder="1" applyAlignment="1">
      <alignment horizontal="center" vertical="center"/>
    </xf>
    <xf numFmtId="2" fontId="0" fillId="23" borderId="31" xfId="0" applyNumberFormat="1" applyFill="1" applyBorder="1" applyAlignment="1">
      <alignment horizontal="center" vertical="center"/>
    </xf>
    <xf numFmtId="0" fontId="26" fillId="0" borderId="40" xfId="0" applyFont="1" applyBorder="1" applyAlignment="1">
      <alignment horizontal="center" vertical="center" shrinkToFit="1"/>
    </xf>
    <xf numFmtId="2" fontId="2" fillId="17" borderId="33" xfId="0" applyNumberFormat="1" applyFont="1" applyFill="1" applyBorder="1" applyAlignment="1" applyProtection="1">
      <alignment horizontal="center" vertical="center"/>
      <protection locked="0"/>
    </xf>
    <xf numFmtId="2" fontId="2" fillId="4" borderId="33" xfId="0" applyNumberFormat="1" applyFont="1" applyFill="1" applyBorder="1" applyAlignment="1">
      <alignment horizontal="center" vertical="center"/>
    </xf>
    <xf numFmtId="2" fontId="2" fillId="23" borderId="33" xfId="0" applyNumberFormat="1" applyFont="1" applyFill="1" applyBorder="1" applyAlignment="1">
      <alignment horizontal="center" vertical="center"/>
    </xf>
    <xf numFmtId="2" fontId="0" fillId="4" borderId="33" xfId="0" applyNumberFormat="1" applyFill="1" applyBorder="1" applyAlignment="1">
      <alignment horizontal="center" vertical="center"/>
    </xf>
    <xf numFmtId="2" fontId="0" fillId="23" borderId="33" xfId="0" applyNumberFormat="1" applyFill="1" applyBorder="1" applyAlignment="1">
      <alignment horizontal="center" vertical="center"/>
    </xf>
    <xf numFmtId="0" fontId="0" fillId="0" borderId="28" xfId="0" applyBorder="1"/>
    <xf numFmtId="0" fontId="0" fillId="0" borderId="28" xfId="0" applyBorder="1" applyAlignment="1">
      <alignment horizontal="center" vertical="center"/>
    </xf>
    <xf numFmtId="2" fontId="2" fillId="4" borderId="82" xfId="0" applyNumberFormat="1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2" fontId="2" fillId="17" borderId="82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81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10" xfId="0" applyNumberFormat="1" applyFont="1" applyFill="1" applyBorder="1" applyAlignment="1" applyProtection="1">
      <alignment horizontal="center"/>
      <protection locked="0"/>
    </xf>
    <xf numFmtId="181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35" xfId="0" applyNumberFormat="1" applyFont="1" applyFill="1" applyBorder="1" applyAlignment="1" applyProtection="1">
      <alignment horizontal="center"/>
      <protection locked="0"/>
    </xf>
    <xf numFmtId="0" fontId="35" fillId="0" borderId="0" xfId="0" applyFont="1"/>
    <xf numFmtId="2" fontId="35" fillId="6" borderId="19" xfId="9" applyNumberFormat="1" applyFont="1" applyFill="1" applyBorder="1" applyAlignment="1" applyProtection="1">
      <alignment horizontal="center" vertical="center"/>
      <protection locked="0"/>
    </xf>
    <xf numFmtId="2" fontId="28" fillId="6" borderId="3" xfId="9" applyNumberFormat="1" applyFont="1" applyFill="1" applyBorder="1" applyAlignment="1">
      <alignment horizontal="center" vertical="center"/>
    </xf>
    <xf numFmtId="2" fontId="38" fillId="6" borderId="85" xfId="1" applyNumberFormat="1" applyFont="1" applyFill="1" applyBorder="1" applyAlignment="1" applyProtection="1">
      <alignment horizontal="center" vertical="center"/>
      <protection locked="0"/>
    </xf>
    <xf numFmtId="2" fontId="38" fillId="6" borderId="84" xfId="1" applyNumberFormat="1" applyFont="1" applyFill="1" applyBorder="1" applyAlignment="1" applyProtection="1">
      <alignment horizontal="center" vertical="center"/>
      <protection locked="0"/>
    </xf>
    <xf numFmtId="178" fontId="35" fillId="0" borderId="0" xfId="9" applyNumberFormat="1" applyFont="1" applyAlignment="1" applyProtection="1">
      <alignment horizontal="center" vertical="center"/>
      <protection locked="0"/>
    </xf>
    <xf numFmtId="0" fontId="1" fillId="0" borderId="0" xfId="1" applyProtection="1">
      <protection locked="0"/>
    </xf>
    <xf numFmtId="0" fontId="2" fillId="0" borderId="0" xfId="1" applyFont="1" applyProtection="1">
      <protection locked="0"/>
    </xf>
    <xf numFmtId="2" fontId="35" fillId="6" borderId="0" xfId="9" applyNumberFormat="1" applyFont="1" applyFill="1" applyAlignment="1" applyProtection="1">
      <alignment horizontal="center" vertical="center"/>
      <protection hidden="1"/>
    </xf>
    <xf numFmtId="2" fontId="35" fillId="6" borderId="52" xfId="9" applyNumberFormat="1" applyFont="1" applyFill="1" applyBorder="1" applyAlignment="1" applyProtection="1">
      <alignment horizontal="center" vertical="center"/>
      <protection hidden="1"/>
    </xf>
    <xf numFmtId="2" fontId="28" fillId="6" borderId="10" xfId="9" applyNumberFormat="1" applyFont="1" applyFill="1" applyBorder="1" applyAlignment="1" applyProtection="1">
      <alignment horizontal="center" vertical="center"/>
      <protection hidden="1"/>
    </xf>
    <xf numFmtId="2" fontId="75" fillId="6" borderId="6" xfId="1" applyNumberFormat="1" applyFont="1" applyFill="1" applyBorder="1" applyAlignment="1" applyProtection="1">
      <alignment horizontal="center"/>
      <protection locked="0"/>
    </xf>
    <xf numFmtId="2" fontId="28" fillId="6" borderId="41" xfId="9" applyNumberFormat="1" applyFont="1" applyFill="1" applyBorder="1" applyAlignment="1">
      <alignment horizontal="center" vertical="center"/>
    </xf>
    <xf numFmtId="2" fontId="28" fillId="6" borderId="42" xfId="9" applyNumberFormat="1" applyFont="1" applyFill="1" applyBorder="1" applyAlignment="1" applyProtection="1">
      <alignment horizontal="center" vertical="center"/>
      <protection hidden="1"/>
    </xf>
    <xf numFmtId="2" fontId="38" fillId="6" borderId="88" xfId="1" applyNumberFormat="1" applyFont="1" applyFill="1" applyBorder="1" applyAlignment="1" applyProtection="1">
      <alignment horizontal="center" vertical="center"/>
      <protection locked="0"/>
    </xf>
    <xf numFmtId="2" fontId="38" fillId="6" borderId="90" xfId="1" applyNumberFormat="1" applyFont="1" applyFill="1" applyBorder="1" applyAlignment="1" applyProtection="1">
      <alignment horizontal="center" vertical="center"/>
      <protection locked="0"/>
    </xf>
    <xf numFmtId="2" fontId="38" fillId="6" borderId="91" xfId="1" applyNumberFormat="1" applyFont="1" applyFill="1" applyBorder="1" applyAlignment="1" applyProtection="1">
      <alignment horizontal="center" vertical="center"/>
      <protection locked="0"/>
    </xf>
    <xf numFmtId="2" fontId="35" fillId="3" borderId="6" xfId="9" applyNumberFormat="1" applyFont="1" applyFill="1" applyBorder="1" applyAlignment="1" applyProtection="1">
      <alignment horizontal="center" vertical="center"/>
      <protection locked="0"/>
    </xf>
    <xf numFmtId="0" fontId="38" fillId="2" borderId="7" xfId="1" applyFont="1" applyFill="1" applyBorder="1" applyAlignment="1" applyProtection="1">
      <alignment horizontal="center" vertical="center" wrapText="1"/>
      <protection locked="0"/>
    </xf>
    <xf numFmtId="0" fontId="38" fillId="2" borderId="48" xfId="1" applyFont="1" applyFill="1" applyBorder="1" applyAlignment="1" applyProtection="1">
      <alignment horizontal="center" vertical="center" wrapText="1"/>
      <protection locked="0"/>
    </xf>
    <xf numFmtId="0" fontId="76" fillId="2" borderId="95" xfId="1" applyFont="1" applyFill="1" applyBorder="1" applyAlignment="1" applyProtection="1">
      <alignment horizontal="center" vertical="center" wrapText="1"/>
      <protection locked="0"/>
    </xf>
    <xf numFmtId="0" fontId="76" fillId="2" borderId="91" xfId="1" applyFont="1" applyFill="1" applyBorder="1" applyAlignment="1" applyProtection="1">
      <alignment horizontal="center" vertical="center" wrapText="1"/>
      <protection locked="0"/>
    </xf>
    <xf numFmtId="0" fontId="76" fillId="2" borderId="92" xfId="0" applyFont="1" applyFill="1" applyBorder="1" applyAlignment="1">
      <alignment horizontal="center" wrapText="1"/>
    </xf>
    <xf numFmtId="2" fontId="38" fillId="6" borderId="83" xfId="1" applyNumberFormat="1" applyFont="1" applyFill="1" applyBorder="1" applyAlignment="1" applyProtection="1">
      <alignment horizontal="center" vertical="center"/>
      <protection locked="0"/>
    </xf>
    <xf numFmtId="0" fontId="38" fillId="2" borderId="80" xfId="1" applyFont="1" applyFill="1" applyBorder="1" applyAlignment="1" applyProtection="1">
      <alignment horizontal="center" vertical="center" wrapText="1"/>
      <protection locked="0"/>
    </xf>
    <xf numFmtId="0" fontId="38" fillId="2" borderId="19" xfId="1" applyFont="1" applyFill="1" applyBorder="1" applyAlignment="1" applyProtection="1">
      <alignment horizontal="center" vertical="center" wrapText="1"/>
      <protection locked="0"/>
    </xf>
    <xf numFmtId="2" fontId="38" fillId="6" borderId="94" xfId="0" applyNumberFormat="1" applyFont="1" applyFill="1" applyBorder="1" applyAlignment="1">
      <alignment horizontal="center"/>
    </xf>
    <xf numFmtId="2" fontId="38" fillId="6" borderId="89" xfId="0" applyNumberFormat="1" applyFont="1" applyFill="1" applyBorder="1" applyAlignment="1">
      <alignment horizontal="center"/>
    </xf>
    <xf numFmtId="2" fontId="38" fillId="6" borderId="92" xfId="0" applyNumberFormat="1" applyFont="1" applyFill="1" applyBorder="1" applyAlignment="1">
      <alignment horizontal="center"/>
    </xf>
    <xf numFmtId="0" fontId="77" fillId="18" borderId="0" xfId="0" applyFont="1" applyFill="1"/>
    <xf numFmtId="0" fontId="77" fillId="18" borderId="96" xfId="0" applyFont="1" applyFill="1" applyBorder="1"/>
    <xf numFmtId="0" fontId="77" fillId="18" borderId="97" xfId="0" applyFont="1" applyFill="1" applyBorder="1"/>
    <xf numFmtId="0" fontId="77" fillId="26" borderId="0" xfId="0" applyFont="1" applyFill="1"/>
    <xf numFmtId="0" fontId="0" fillId="18" borderId="98" xfId="0" applyFill="1" applyBorder="1"/>
    <xf numFmtId="0" fontId="59" fillId="18" borderId="98" xfId="0" applyFont="1" applyFill="1" applyBorder="1" applyAlignment="1">
      <alignment horizontal="right"/>
    </xf>
    <xf numFmtId="0" fontId="60" fillId="18" borderId="98" xfId="0" applyFont="1" applyFill="1" applyBorder="1" applyAlignment="1">
      <alignment horizontal="left"/>
    </xf>
    <xf numFmtId="181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50" xfId="0" applyNumberFormat="1" applyFont="1" applyFill="1" applyBorder="1" applyAlignment="1" applyProtection="1">
      <alignment horizontal="center"/>
      <protection locked="0"/>
    </xf>
    <xf numFmtId="181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10" xfId="0" applyNumberFormat="1" applyFont="1" applyFill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 vertical="center"/>
      <protection locked="0"/>
    </xf>
    <xf numFmtId="2" fontId="2" fillId="0" borderId="10" xfId="0" applyNumberFormat="1" applyFont="1" applyBorder="1" applyAlignment="1" applyProtection="1">
      <alignment horizontal="center" vertical="center"/>
      <protection locked="0"/>
    </xf>
    <xf numFmtId="178" fontId="38" fillId="6" borderId="38" xfId="9" applyNumberFormat="1" applyFont="1" applyFill="1" applyBorder="1" applyAlignment="1" applyProtection="1">
      <alignment horizontal="center" vertical="center" wrapText="1"/>
      <protection locked="0"/>
    </xf>
    <xf numFmtId="0" fontId="7" fillId="6" borderId="39" xfId="1" applyFont="1" applyFill="1" applyBorder="1" applyAlignment="1" applyProtection="1">
      <alignment horizontal="center" vertical="center"/>
      <protection locked="0"/>
    </xf>
    <xf numFmtId="2" fontId="2" fillId="2" borderId="3" xfId="1" applyNumberFormat="1" applyFont="1" applyFill="1" applyBorder="1" applyAlignment="1" applyProtection="1">
      <alignment horizontal="center" vertical="center" wrapText="1"/>
      <protection locked="0"/>
    </xf>
    <xf numFmtId="2" fontId="87" fillId="2" borderId="9" xfId="1" applyNumberFormat="1" applyFont="1" applyFill="1" applyBorder="1" applyAlignment="1" applyProtection="1">
      <alignment horizontal="center" vertical="center" wrapText="1"/>
      <protection locked="0"/>
    </xf>
    <xf numFmtId="181" fontId="30" fillId="0" borderId="9" xfId="0" applyNumberFormat="1" applyFont="1" applyBorder="1" applyAlignment="1" applyProtection="1">
      <alignment horizontal="center"/>
      <protection locked="0"/>
    </xf>
    <xf numFmtId="2" fontId="30" fillId="0" borderId="9" xfId="0" applyNumberFormat="1" applyFont="1" applyBorder="1" applyAlignment="1" applyProtection="1">
      <alignment horizontal="center"/>
      <protection locked="0"/>
    </xf>
    <xf numFmtId="2" fontId="30" fillId="0" borderId="10" xfId="0" applyNumberFormat="1" applyFont="1" applyBorder="1" applyAlignment="1" applyProtection="1">
      <alignment horizontal="center"/>
      <protection locked="0"/>
    </xf>
    <xf numFmtId="0" fontId="2" fillId="0" borderId="52" xfId="0" applyFont="1" applyBorder="1" applyAlignment="1" applyProtection="1">
      <alignment horizontal="center"/>
      <protection locked="0"/>
    </xf>
    <xf numFmtId="0" fontId="2" fillId="0" borderId="8" xfId="0" applyFont="1" applyBorder="1" applyAlignment="1" applyProtection="1">
      <alignment horizontal="center"/>
      <protection locked="0" hidden="1"/>
    </xf>
    <xf numFmtId="0" fontId="2" fillId="12" borderId="13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 applyProtection="1">
      <alignment horizontal="center"/>
      <protection locked="0" hidden="1"/>
    </xf>
    <xf numFmtId="0" fontId="2" fillId="12" borderId="10" xfId="0" applyFont="1" applyFill="1" applyBorder="1" applyAlignment="1" applyProtection="1">
      <alignment horizontal="center"/>
      <protection hidden="1"/>
    </xf>
    <xf numFmtId="0" fontId="2" fillId="0" borderId="13" xfId="0" applyFont="1" applyBorder="1" applyAlignment="1" applyProtection="1">
      <alignment horizontal="center"/>
      <protection locked="0"/>
    </xf>
    <xf numFmtId="0" fontId="2" fillId="0" borderId="9" xfId="0" applyFont="1" applyBorder="1" applyAlignment="1" applyProtection="1">
      <alignment horizontal="center"/>
      <protection locked="0" hidden="1"/>
    </xf>
    <xf numFmtId="0" fontId="2" fillId="12" borderId="65" xfId="0" applyFont="1" applyFill="1" applyBorder="1" applyAlignment="1" applyProtection="1">
      <alignment horizontal="center"/>
      <protection locked="0"/>
    </xf>
    <xf numFmtId="0" fontId="2" fillId="12" borderId="22" xfId="0" applyFont="1" applyFill="1" applyBorder="1" applyAlignment="1" applyProtection="1">
      <alignment horizontal="center"/>
      <protection locked="0" hidden="1"/>
    </xf>
    <xf numFmtId="0" fontId="2" fillId="12" borderId="42" xfId="0" applyFont="1" applyFill="1" applyBorder="1" applyAlignment="1" applyProtection="1">
      <alignment horizontal="center"/>
      <protection hidden="1"/>
    </xf>
    <xf numFmtId="0" fontId="79" fillId="24" borderId="106" xfId="0" applyFont="1" applyFill="1" applyBorder="1" applyAlignment="1">
      <alignment horizontal="right" vertical="center"/>
    </xf>
    <xf numFmtId="0" fontId="79" fillId="24" borderId="107" xfId="0" applyFont="1" applyFill="1" applyBorder="1" applyAlignment="1">
      <alignment horizontal="right" vertical="center"/>
    </xf>
    <xf numFmtId="0" fontId="77" fillId="20" borderId="96" xfId="0" applyFont="1" applyFill="1" applyBorder="1"/>
    <xf numFmtId="0" fontId="77" fillId="20" borderId="108" xfId="0" applyFont="1" applyFill="1" applyBorder="1"/>
    <xf numFmtId="0" fontId="77" fillId="20" borderId="109" xfId="0" applyFont="1" applyFill="1" applyBorder="1"/>
    <xf numFmtId="0" fontId="77" fillId="20" borderId="112" xfId="0" applyFont="1" applyFill="1" applyBorder="1"/>
    <xf numFmtId="0" fontId="79" fillId="24" borderId="113" xfId="0" applyFont="1" applyFill="1" applyBorder="1" applyAlignment="1">
      <alignment horizontal="right" vertical="center"/>
    </xf>
    <xf numFmtId="0" fontId="79" fillId="24" borderId="96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right" vertical="center"/>
    </xf>
    <xf numFmtId="0" fontId="71" fillId="22" borderId="118" xfId="0" applyFont="1" applyFill="1" applyBorder="1" applyAlignment="1">
      <alignment horizontal="right" vertical="center"/>
    </xf>
    <xf numFmtId="0" fontId="68" fillId="25" borderId="119" xfId="0" applyFont="1" applyFill="1" applyBorder="1" applyAlignment="1">
      <alignment horizontal="center" vertical="center"/>
    </xf>
    <xf numFmtId="0" fontId="68" fillId="25" borderId="120" xfId="0" applyFont="1" applyFill="1" applyBorder="1" applyAlignment="1">
      <alignment horizontal="center" vertical="center"/>
    </xf>
    <xf numFmtId="0" fontId="0" fillId="18" borderId="0" xfId="0" applyFill="1"/>
    <xf numFmtId="4" fontId="60" fillId="18" borderId="74" xfId="0" applyNumberFormat="1" applyFont="1" applyFill="1" applyBorder="1" applyAlignment="1">
      <alignment horizontal="left"/>
    </xf>
    <xf numFmtId="49" fontId="61" fillId="18" borderId="0" xfId="0" applyNumberFormat="1" applyFont="1" applyFill="1" applyAlignment="1">
      <alignment horizontal="center" vertical="center"/>
    </xf>
    <xf numFmtId="49" fontId="56" fillId="18" borderId="0" xfId="0" applyNumberFormat="1" applyFont="1" applyFill="1" applyAlignment="1">
      <alignment horizontal="left" vertical="center"/>
    </xf>
    <xf numFmtId="49" fontId="61" fillId="18" borderId="0" xfId="0" applyNumberFormat="1" applyFont="1" applyFill="1" applyAlignment="1">
      <alignment horizontal="left" vertical="center"/>
    </xf>
    <xf numFmtId="0" fontId="56" fillId="18" borderId="0" xfId="0" applyFont="1" applyFill="1" applyAlignment="1">
      <alignment horizontal="right"/>
    </xf>
    <xf numFmtId="0" fontId="64" fillId="18" borderId="0" xfId="0" applyFont="1" applyFill="1" applyAlignment="1">
      <alignment horizontal="right"/>
    </xf>
    <xf numFmtId="0" fontId="61" fillId="18" borderId="0" xfId="0" applyFont="1" applyFill="1"/>
    <xf numFmtId="0" fontId="61" fillId="18" borderId="0" xfId="0" applyFont="1" applyFill="1" applyAlignment="1">
      <alignment horizontal="right"/>
    </xf>
    <xf numFmtId="49" fontId="61" fillId="19" borderId="0" xfId="0" applyNumberFormat="1" applyFont="1" applyFill="1" applyAlignment="1">
      <alignment horizontal="center" vertical="center"/>
    </xf>
    <xf numFmtId="49" fontId="56" fillId="19" borderId="0" xfId="0" applyNumberFormat="1" applyFont="1" applyFill="1" applyAlignment="1">
      <alignment horizontal="left" vertical="center"/>
    </xf>
    <xf numFmtId="49" fontId="61" fillId="19" borderId="0" xfId="0" applyNumberFormat="1" applyFont="1" applyFill="1" applyAlignment="1">
      <alignment horizontal="left" vertical="center"/>
    </xf>
    <xf numFmtId="0" fontId="56" fillId="19" borderId="0" xfId="0" applyFont="1" applyFill="1" applyAlignment="1">
      <alignment horizontal="right"/>
    </xf>
    <xf numFmtId="0" fontId="64" fillId="19" borderId="0" xfId="0" applyFont="1" applyFill="1" applyAlignment="1">
      <alignment horizontal="right"/>
    </xf>
    <xf numFmtId="0" fontId="61" fillId="19" borderId="0" xfId="0" applyFont="1" applyFill="1" applyAlignment="1">
      <alignment horizontal="right"/>
    </xf>
    <xf numFmtId="0" fontId="65" fillId="19" borderId="0" xfId="0" applyFont="1" applyFill="1"/>
    <xf numFmtId="2" fontId="56" fillId="18" borderId="0" xfId="0" applyNumberFormat="1" applyFont="1" applyFill="1" applyAlignment="1">
      <alignment horizontal="right" vertical="center"/>
    </xf>
    <xf numFmtId="2" fontId="56" fillId="19" borderId="0" xfId="0" applyNumberFormat="1" applyFont="1" applyFill="1" applyAlignment="1">
      <alignment horizontal="right" vertical="center"/>
    </xf>
    <xf numFmtId="49" fontId="0" fillId="0" borderId="0" xfId="0" applyNumberFormat="1"/>
    <xf numFmtId="0" fontId="79" fillId="24" borderId="0" xfId="0" applyFont="1" applyFill="1" applyAlignment="1">
      <alignment horizontal="right" vertical="center"/>
    </xf>
    <xf numFmtId="0" fontId="79" fillId="24" borderId="0" xfId="0" applyFont="1" applyFill="1" applyAlignment="1">
      <alignment horizontal="left" vertical="center"/>
    </xf>
    <xf numFmtId="0" fontId="79" fillId="18" borderId="115" xfId="0" applyFont="1" applyFill="1" applyBorder="1" applyAlignment="1" applyProtection="1">
      <alignment horizontal="left" vertical="center"/>
      <protection locked="0"/>
    </xf>
    <xf numFmtId="0" fontId="79" fillId="24" borderId="115" xfId="0" applyFont="1" applyFill="1" applyBorder="1" applyAlignment="1" applyProtection="1">
      <alignment horizontal="left" vertical="center"/>
      <protection locked="0"/>
    </xf>
    <xf numFmtId="0" fontId="81" fillId="20" borderId="119" xfId="0" applyFont="1" applyFill="1" applyBorder="1" applyAlignment="1">
      <alignment horizontal="center" vertical="center"/>
    </xf>
    <xf numFmtId="0" fontId="82" fillId="18" borderId="103" xfId="0" applyFont="1" applyFill="1" applyBorder="1" applyAlignment="1">
      <alignment horizontal="center" vertical="center"/>
    </xf>
    <xf numFmtId="0" fontId="82" fillId="24" borderId="99" xfId="0" applyFont="1" applyFill="1" applyBorder="1" applyAlignment="1">
      <alignment horizontal="center" vertical="center"/>
    </xf>
    <xf numFmtId="0" fontId="2" fillId="0" borderId="51" xfId="1" applyFont="1" applyBorder="1" applyAlignment="1" applyProtection="1">
      <alignment horizontal="center" vertical="center"/>
      <protection locked="0"/>
    </xf>
    <xf numFmtId="2" fontId="1" fillId="0" borderId="8" xfId="1" applyNumberFormat="1" applyBorder="1" applyAlignment="1" applyProtection="1">
      <alignment horizontal="center" vertical="center"/>
      <protection locked="0"/>
    </xf>
    <xf numFmtId="0" fontId="2" fillId="0" borderId="50" xfId="1" applyFont="1" applyBorder="1" applyAlignment="1" applyProtection="1">
      <alignment horizontal="center" vertical="center"/>
      <protection locked="0"/>
    </xf>
    <xf numFmtId="0" fontId="2" fillId="0" borderId="3" xfId="1" applyFont="1" applyBorder="1" applyAlignment="1" applyProtection="1">
      <alignment horizontal="center" vertical="center"/>
      <protection locked="0"/>
    </xf>
    <xf numFmtId="2" fontId="1" fillId="0" borderId="9" xfId="1" applyNumberForma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horizontal="center" vertical="center"/>
      <protection locked="0"/>
    </xf>
    <xf numFmtId="0" fontId="36" fillId="0" borderId="3" xfId="3" applyFont="1" applyBorder="1" applyAlignment="1" applyProtection="1">
      <alignment horizontal="center" vertical="center"/>
      <protection locked="0"/>
    </xf>
    <xf numFmtId="2" fontId="35" fillId="0" borderId="9" xfId="3" applyNumberFormat="1" applyFont="1" applyBorder="1" applyAlignment="1" applyProtection="1">
      <alignment horizontal="center" vertical="center"/>
      <protection locked="0"/>
    </xf>
    <xf numFmtId="2" fontId="35" fillId="0" borderId="9" xfId="1" applyNumberFormat="1" applyFont="1" applyBorder="1" applyAlignment="1" applyProtection="1">
      <alignment horizontal="center" vertical="center"/>
      <protection locked="0"/>
    </xf>
    <xf numFmtId="0" fontId="36" fillId="27" borderId="41" xfId="3" applyFont="1" applyFill="1" applyBorder="1" applyAlignment="1" applyProtection="1">
      <alignment horizontal="center" vertical="center"/>
      <protection locked="0"/>
    </xf>
    <xf numFmtId="2" fontId="35" fillId="27" borderId="22" xfId="3" applyNumberFormat="1" applyFont="1" applyFill="1" applyBorder="1" applyAlignment="1" applyProtection="1">
      <alignment horizontal="center" vertical="center"/>
      <protection locked="0"/>
    </xf>
    <xf numFmtId="2" fontId="35" fillId="27" borderId="22" xfId="1" applyNumberFormat="1" applyFont="1" applyFill="1" applyBorder="1" applyAlignment="1" applyProtection="1">
      <alignment horizontal="center" vertical="center"/>
      <protection locked="0"/>
    </xf>
    <xf numFmtId="0" fontId="2" fillId="27" borderId="42" xfId="1" applyFont="1" applyFill="1" applyBorder="1" applyAlignment="1" applyProtection="1">
      <alignment horizontal="center" vertical="center"/>
      <protection locked="0"/>
    </xf>
    <xf numFmtId="0" fontId="46" fillId="28" borderId="8" xfId="0" applyFont="1" applyFill="1" applyBorder="1" applyAlignment="1" applyProtection="1">
      <alignment horizontal="center" shrinkToFit="1"/>
      <protection locked="0"/>
    </xf>
    <xf numFmtId="0" fontId="46" fillId="18" borderId="9" xfId="0" applyFont="1" applyFill="1" applyBorder="1" applyAlignment="1" applyProtection="1">
      <alignment horizontal="center" shrinkToFit="1"/>
      <protection locked="0"/>
    </xf>
    <xf numFmtId="2" fontId="2" fillId="0" borderId="22" xfId="0" applyNumberFormat="1" applyFont="1" applyBorder="1" applyAlignment="1">
      <alignment horizontal="center" vertical="center"/>
    </xf>
    <xf numFmtId="2" fontId="2" fillId="0" borderId="42" xfId="0" applyNumberFormat="1" applyFont="1" applyBorder="1" applyAlignment="1">
      <alignment horizontal="center" vertical="center"/>
    </xf>
    <xf numFmtId="0" fontId="96" fillId="24" borderId="133" xfId="0" applyFont="1" applyFill="1" applyBorder="1" applyAlignment="1" applyProtection="1">
      <alignment horizontal="center"/>
      <protection hidden="1"/>
    </xf>
    <xf numFmtId="0" fontId="97" fillId="24" borderId="136" xfId="0" applyFont="1" applyFill="1" applyBorder="1" applyAlignment="1">
      <alignment horizontal="center" shrinkToFit="1"/>
    </xf>
    <xf numFmtId="0" fontId="96" fillId="24" borderId="138" xfId="0" applyFont="1" applyFill="1" applyBorder="1" applyProtection="1">
      <protection hidden="1"/>
    </xf>
    <xf numFmtId="0" fontId="96" fillId="24" borderId="140" xfId="0" applyFont="1" applyFill="1" applyBorder="1" applyProtection="1">
      <protection hidden="1"/>
    </xf>
    <xf numFmtId="0" fontId="96" fillId="24" borderId="142" xfId="0" applyFont="1" applyFill="1" applyBorder="1" applyProtection="1">
      <protection hidden="1"/>
    </xf>
    <xf numFmtId="0" fontId="46" fillId="18" borderId="145" xfId="0" applyFont="1" applyFill="1" applyBorder="1" applyAlignment="1" applyProtection="1">
      <alignment horizontal="center" shrinkToFit="1"/>
      <protection locked="0"/>
    </xf>
    <xf numFmtId="0" fontId="38" fillId="2" borderId="93" xfId="1" applyFont="1" applyFill="1" applyBorder="1" applyAlignment="1" applyProtection="1">
      <alignment horizontal="center" vertical="center"/>
      <protection locked="0"/>
    </xf>
    <xf numFmtId="0" fontId="38" fillId="2" borderId="86" xfId="1" applyFont="1" applyFill="1" applyBorder="1" applyAlignment="1" applyProtection="1">
      <alignment horizontal="center" vertical="center"/>
      <protection locked="0"/>
    </xf>
    <xf numFmtId="0" fontId="38" fillId="2" borderId="87" xfId="1" applyFont="1" applyFill="1" applyBorder="1" applyAlignment="1" applyProtection="1">
      <alignment horizontal="center" vertic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0" fontId="0" fillId="0" borderId="0" xfId="0"/>
    <xf numFmtId="0" fontId="37" fillId="2" borderId="55" xfId="1" applyFont="1" applyFill="1" applyBorder="1" applyAlignment="1" applyProtection="1">
      <alignment horizontal="center" vertical="center" wrapText="1"/>
      <protection locked="0"/>
    </xf>
    <xf numFmtId="0" fontId="37" fillId="2" borderId="53" xfId="1" applyFont="1" applyFill="1" applyBorder="1" applyAlignment="1" applyProtection="1">
      <alignment horizontal="center" vertical="center" wrapText="1"/>
      <protection locked="0"/>
    </xf>
    <xf numFmtId="0" fontId="38" fillId="4" borderId="55" xfId="9" applyFont="1" applyFill="1" applyBorder="1" applyAlignment="1" applyProtection="1">
      <alignment horizontal="center" vertical="center" wrapText="1"/>
      <protection locked="0"/>
    </xf>
    <xf numFmtId="0" fontId="38" fillId="4" borderId="53" xfId="9" applyFont="1" applyFill="1" applyBorder="1" applyAlignment="1" applyProtection="1">
      <alignment horizontal="center" vertical="center" wrapText="1"/>
      <protection locked="0"/>
    </xf>
    <xf numFmtId="2" fontId="3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3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2" fillId="3" borderId="6" xfId="1" applyNumberFormat="1" applyFont="1" applyFill="1" applyBorder="1" applyAlignment="1" applyProtection="1">
      <alignment horizontal="center"/>
      <protection locked="0"/>
    </xf>
    <xf numFmtId="1" fontId="40" fillId="3" borderId="6" xfId="3" applyNumberFormat="1" applyFont="1" applyFill="1" applyBorder="1" applyAlignment="1" applyProtection="1">
      <alignment horizontal="center" vertical="center" textRotation="255"/>
      <protection locked="0"/>
    </xf>
    <xf numFmtId="0" fontId="53" fillId="0" borderId="28" xfId="3" applyFont="1" applyBorder="1" applyAlignment="1" applyProtection="1">
      <alignment horizontal="center" vertical="center" wrapText="1"/>
      <protection locked="0"/>
    </xf>
    <xf numFmtId="0" fontId="36" fillId="2" borderId="28" xfId="3" applyFont="1" applyFill="1" applyBorder="1" applyAlignment="1" applyProtection="1">
      <alignment horizontal="center" vertical="center" shrinkToFit="1"/>
      <protection locked="0"/>
    </xf>
    <xf numFmtId="0" fontId="36" fillId="2" borderId="1" xfId="3" applyFont="1" applyFill="1" applyBorder="1" applyAlignment="1" applyProtection="1">
      <alignment horizontal="center" vertical="center" shrinkToFit="1"/>
      <protection locked="0"/>
    </xf>
    <xf numFmtId="0" fontId="2" fillId="3" borderId="17" xfId="1" applyFont="1" applyFill="1" applyBorder="1" applyAlignment="1" applyProtection="1">
      <alignment horizontal="center"/>
      <protection locked="0"/>
    </xf>
    <xf numFmtId="0" fontId="0" fillId="0" borderId="17" xfId="0" applyBorder="1"/>
    <xf numFmtId="2" fontId="2" fillId="3" borderId="17" xfId="1" applyNumberFormat="1" applyFont="1" applyFill="1" applyBorder="1" applyProtection="1">
      <protection locked="0"/>
    </xf>
    <xf numFmtId="0" fontId="7" fillId="2" borderId="40" xfId="1" applyFont="1" applyFill="1" applyBorder="1" applyAlignment="1" applyProtection="1">
      <alignment horizontal="center" vertical="center"/>
      <protection locked="0"/>
    </xf>
    <xf numFmtId="0" fontId="7" fillId="2" borderId="18" xfId="1" applyFont="1" applyFill="1" applyBorder="1" applyAlignment="1" applyProtection="1">
      <alignment horizontal="center" vertical="center"/>
      <protection locked="0"/>
    </xf>
    <xf numFmtId="2" fontId="38" fillId="4" borderId="56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4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 wrapText="1"/>
      <protection locked="0"/>
    </xf>
    <xf numFmtId="0" fontId="2" fillId="4" borderId="53" xfId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/>
      <protection locked="0"/>
    </xf>
    <xf numFmtId="0" fontId="2" fillId="4" borderId="53" xfId="1" applyFont="1" applyFill="1" applyBorder="1" applyAlignment="1" applyProtection="1">
      <alignment horizontal="center" vertical="center"/>
      <protection locked="0"/>
    </xf>
    <xf numFmtId="0" fontId="38" fillId="4" borderId="30" xfId="9" applyFont="1" applyFill="1" applyBorder="1" applyAlignment="1" applyProtection="1">
      <alignment horizontal="center" vertical="center" wrapText="1"/>
      <protection locked="0"/>
    </xf>
    <xf numFmtId="0" fontId="38" fillId="4" borderId="60" xfId="9" applyFont="1" applyFill="1" applyBorder="1" applyAlignment="1" applyProtection="1">
      <alignment horizontal="center" vertical="center" wrapText="1"/>
      <protection locked="0"/>
    </xf>
    <xf numFmtId="49" fontId="5" fillId="0" borderId="26" xfId="1" applyNumberFormat="1" applyFont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2" fontId="36" fillId="4" borderId="55" xfId="2" applyNumberFormat="1" applyFont="1" applyFill="1" applyBorder="1" applyAlignment="1" applyProtection="1">
      <alignment horizontal="center" vertical="center" wrapText="1"/>
      <protection locked="0"/>
    </xf>
    <xf numFmtId="2" fontId="36" fillId="4" borderId="53" xfId="2" applyNumberFormat="1" applyFont="1" applyFill="1" applyBorder="1" applyAlignment="1" applyProtection="1">
      <alignment horizontal="center" vertical="center" wrapText="1"/>
      <protection locked="0"/>
    </xf>
    <xf numFmtId="0" fontId="37" fillId="2" borderId="26" xfId="1" applyFont="1" applyFill="1" applyBorder="1" applyAlignment="1" applyProtection="1">
      <alignment horizontal="center" vertical="center" wrapText="1"/>
      <protection locked="0"/>
    </xf>
    <xf numFmtId="0" fontId="37" fillId="2" borderId="25" xfId="1" applyFont="1" applyFill="1" applyBorder="1" applyAlignment="1" applyProtection="1">
      <alignment horizontal="center" vertical="center" wrapText="1"/>
      <protection locked="0"/>
    </xf>
    <xf numFmtId="0" fontId="53" fillId="0" borderId="4" xfId="1" applyFont="1" applyBorder="1" applyAlignment="1" applyProtection="1">
      <alignment horizontal="center" vertical="center"/>
      <protection locked="0"/>
    </xf>
    <xf numFmtId="0" fontId="53" fillId="0" borderId="2" xfId="1" applyFont="1" applyBorder="1" applyAlignment="1" applyProtection="1">
      <alignment horizontal="center" vertical="center"/>
      <protection locked="0"/>
    </xf>
    <xf numFmtId="0" fontId="53" fillId="0" borderId="16" xfId="1" applyFont="1" applyBorder="1" applyAlignment="1" applyProtection="1">
      <alignment horizontal="center" vertical="center"/>
      <protection locked="0"/>
    </xf>
    <xf numFmtId="0" fontId="53" fillId="0" borderId="17" xfId="1" applyFont="1" applyBorder="1" applyAlignment="1" applyProtection="1">
      <alignment horizontal="center" vertical="center"/>
      <protection locked="0"/>
    </xf>
    <xf numFmtId="49" fontId="52" fillId="0" borderId="28" xfId="3" applyNumberFormat="1" applyFont="1" applyBorder="1" applyAlignment="1" applyProtection="1">
      <alignment horizontal="center" vertical="center" shrinkToFit="1"/>
      <protection locked="0"/>
    </xf>
    <xf numFmtId="0" fontId="52" fillId="0" borderId="28" xfId="3" applyFont="1" applyBorder="1" applyAlignment="1" applyProtection="1">
      <alignment horizontal="center" vertical="center" shrinkToFit="1"/>
      <protection locked="0"/>
    </xf>
    <xf numFmtId="0" fontId="6" fillId="4" borderId="28" xfId="3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8" fillId="2" borderId="16" xfId="1" applyFont="1" applyFill="1" applyBorder="1" applyAlignment="1" applyProtection="1">
      <alignment horizontal="center" vertical="center"/>
      <protection locked="0"/>
    </xf>
    <xf numFmtId="0" fontId="8" fillId="2" borderId="18" xfId="1" applyFont="1" applyFill="1" applyBorder="1" applyAlignment="1" applyProtection="1">
      <alignment horizontal="center" vertical="center"/>
      <protection locked="0"/>
    </xf>
    <xf numFmtId="0" fontId="6" fillId="4" borderId="28" xfId="3" applyFont="1" applyFill="1" applyBorder="1" applyAlignment="1" applyProtection="1">
      <alignment horizontal="center" vertical="center"/>
      <protection locked="0"/>
    </xf>
    <xf numFmtId="14" fontId="52" fillId="0" borderId="28" xfId="3" applyNumberFormat="1" applyFont="1" applyBorder="1" applyAlignment="1" applyProtection="1">
      <alignment horizontal="center" vertical="center" wrapText="1"/>
      <protection locked="0"/>
    </xf>
    <xf numFmtId="0" fontId="6" fillId="2" borderId="28" xfId="3" applyFont="1" applyFill="1" applyBorder="1" applyAlignment="1" applyProtection="1">
      <alignment horizontal="center" vertical="center" wrapText="1"/>
      <protection locked="0"/>
    </xf>
    <xf numFmtId="0" fontId="7" fillId="4" borderId="28" xfId="1" applyFont="1" applyFill="1" applyBorder="1" applyAlignment="1" applyProtection="1">
      <alignment horizontal="center" vertical="center" wrapText="1"/>
      <protection locked="0"/>
    </xf>
    <xf numFmtId="49" fontId="26" fillId="0" borderId="28" xfId="1" applyNumberFormat="1" applyFont="1" applyBorder="1" applyAlignment="1" applyProtection="1">
      <alignment horizontal="center" vertical="center" wrapText="1"/>
      <protection locked="0"/>
    </xf>
    <xf numFmtId="0" fontId="26" fillId="0" borderId="28" xfId="1" applyFont="1" applyBorder="1" applyAlignment="1" applyProtection="1">
      <alignment horizontal="center" vertical="center" wrapText="1"/>
      <protection locked="0"/>
    </xf>
    <xf numFmtId="14" fontId="36" fillId="4" borderId="55" xfId="3" applyNumberFormat="1" applyFont="1" applyFill="1" applyBorder="1" applyAlignment="1" applyProtection="1">
      <alignment horizontal="center" vertical="center"/>
      <protection locked="0"/>
    </xf>
    <xf numFmtId="14" fontId="36" fillId="4" borderId="53" xfId="3" applyNumberFormat="1" applyFont="1" applyFill="1" applyBorder="1" applyAlignment="1" applyProtection="1">
      <alignment horizontal="center" vertical="center"/>
      <protection locked="0"/>
    </xf>
    <xf numFmtId="0" fontId="7" fillId="4" borderId="4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16" xfId="1" applyFont="1" applyFill="1" applyBorder="1" applyAlignment="1" applyProtection="1">
      <alignment horizontal="center" vertical="center" wrapText="1"/>
      <protection locked="0"/>
    </xf>
    <xf numFmtId="0" fontId="7" fillId="4" borderId="18" xfId="1" applyFont="1" applyFill="1" applyBorder="1" applyAlignment="1" applyProtection="1">
      <alignment horizontal="center" vertical="center" wrapText="1"/>
      <protection locked="0"/>
    </xf>
    <xf numFmtId="2" fontId="54" fillId="0" borderId="4" xfId="1" applyNumberFormat="1" applyFont="1" applyBorder="1" applyAlignment="1" applyProtection="1">
      <alignment horizontal="center" vertical="center"/>
      <protection locked="0"/>
    </xf>
    <xf numFmtId="2" fontId="54" fillId="0" borderId="2" xfId="1" applyNumberFormat="1" applyFont="1" applyBorder="1" applyAlignment="1" applyProtection="1">
      <alignment horizontal="center" vertical="center"/>
      <protection locked="0"/>
    </xf>
    <xf numFmtId="2" fontId="54" fillId="0" borderId="5" xfId="1" applyNumberFormat="1" applyFont="1" applyBorder="1" applyAlignment="1" applyProtection="1">
      <alignment horizontal="center" vertical="center"/>
      <protection locked="0"/>
    </xf>
    <xf numFmtId="2" fontId="54" fillId="0" borderId="16" xfId="1" applyNumberFormat="1" applyFont="1" applyBorder="1" applyAlignment="1" applyProtection="1">
      <alignment horizontal="center" vertical="center"/>
      <protection locked="0"/>
    </xf>
    <xf numFmtId="2" fontId="54" fillId="0" borderId="17" xfId="1" applyNumberFormat="1" applyFont="1" applyBorder="1" applyAlignment="1" applyProtection="1">
      <alignment horizontal="center" vertical="center"/>
      <protection locked="0"/>
    </xf>
    <xf numFmtId="2" fontId="54" fillId="0" borderId="18" xfId="1" applyNumberFormat="1" applyFont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/>
      <protection locked="0"/>
    </xf>
    <xf numFmtId="0" fontId="38" fillId="4" borderId="53" xfId="9" applyFont="1" applyFill="1" applyBorder="1" applyAlignment="1" applyProtection="1">
      <alignment horizontal="center" vertical="center"/>
      <protection locked="0"/>
    </xf>
    <xf numFmtId="0" fontId="85" fillId="20" borderId="0" xfId="0" applyFont="1" applyFill="1" applyAlignment="1">
      <alignment horizontal="left" vertical="center"/>
    </xf>
    <xf numFmtId="0" fontId="79" fillId="24" borderId="106" xfId="0" applyFont="1" applyFill="1" applyBorder="1" applyAlignment="1">
      <alignment horizontal="right" vertical="center"/>
    </xf>
    <xf numFmtId="49" fontId="80" fillId="18" borderId="106" xfId="0" applyNumberFormat="1" applyFont="1" applyFill="1" applyBorder="1" applyAlignment="1">
      <alignment horizontal="left" vertical="center" indent="1"/>
    </xf>
    <xf numFmtId="0" fontId="80" fillId="18" borderId="106" xfId="0" applyFont="1" applyFill="1" applyBorder="1" applyAlignment="1">
      <alignment horizontal="left" vertical="center"/>
    </xf>
    <xf numFmtId="0" fontId="80" fillId="18" borderId="110" xfId="0" applyFont="1" applyFill="1" applyBorder="1" applyAlignment="1">
      <alignment horizontal="left" vertical="center"/>
    </xf>
    <xf numFmtId="0" fontId="81" fillId="20" borderId="96" xfId="0" applyFont="1" applyFill="1" applyBorder="1" applyAlignment="1">
      <alignment horizontal="left" vertical="center"/>
    </xf>
    <xf numFmtId="0" fontId="81" fillId="20" borderId="0" xfId="0" applyFont="1" applyFill="1" applyAlignment="1">
      <alignment horizontal="left" vertical="center"/>
    </xf>
    <xf numFmtId="0" fontId="81" fillId="20" borderId="97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right" vertical="center"/>
    </xf>
    <xf numFmtId="49" fontId="80" fillId="18" borderId="0" xfId="0" applyNumberFormat="1" applyFont="1" applyFill="1" applyAlignment="1">
      <alignment horizontal="left" vertical="center" indent="1"/>
    </xf>
    <xf numFmtId="0" fontId="80" fillId="18" borderId="0" xfId="0" applyFont="1" applyFill="1" applyAlignment="1">
      <alignment horizontal="left" vertical="center"/>
    </xf>
    <xf numFmtId="0" fontId="80" fillId="18" borderId="97" xfId="0" applyFont="1" applyFill="1" applyBorder="1" applyAlignment="1">
      <alignment horizontal="left" vertical="center"/>
    </xf>
    <xf numFmtId="0" fontId="81" fillId="24" borderId="114" xfId="0" applyFont="1" applyFill="1" applyBorder="1" applyAlignment="1">
      <alignment horizontal="left" vertical="center"/>
    </xf>
    <xf numFmtId="0" fontId="83" fillId="24" borderId="114" xfId="0" applyFont="1" applyFill="1" applyBorder="1" applyAlignment="1">
      <alignment horizontal="left" vertical="center"/>
    </xf>
    <xf numFmtId="0" fontId="83" fillId="24" borderId="116" xfId="0" applyFont="1" applyFill="1" applyBorder="1" applyAlignment="1">
      <alignment horizontal="left" vertical="center"/>
    </xf>
    <xf numFmtId="0" fontId="82" fillId="24" borderId="114" xfId="0" applyFont="1" applyFill="1" applyBorder="1" applyAlignment="1">
      <alignment horizontal="left" vertical="center"/>
    </xf>
    <xf numFmtId="0" fontId="77" fillId="18" borderId="106" xfId="0" applyFont="1" applyFill="1" applyBorder="1" applyAlignment="1">
      <alignment horizontal="left" vertical="center"/>
    </xf>
    <xf numFmtId="0" fontId="77" fillId="18" borderId="110" xfId="0" applyFont="1" applyFill="1" applyBorder="1" applyAlignment="1">
      <alignment horizontal="left" vertical="center"/>
    </xf>
    <xf numFmtId="0" fontId="79" fillId="24" borderId="107" xfId="0" applyFont="1" applyFill="1" applyBorder="1" applyAlignment="1">
      <alignment horizontal="right" vertical="center"/>
    </xf>
    <xf numFmtId="49" fontId="80" fillId="18" borderId="107" xfId="0" applyNumberFormat="1" applyFont="1" applyFill="1" applyBorder="1" applyAlignment="1">
      <alignment horizontal="left" vertical="center" indent="1"/>
    </xf>
    <xf numFmtId="0" fontId="80" fillId="18" borderId="107" xfId="0" applyFont="1" applyFill="1" applyBorder="1" applyAlignment="1">
      <alignment horizontal="left" vertical="center"/>
    </xf>
    <xf numFmtId="0" fontId="80" fillId="18" borderId="111" xfId="0" applyFont="1" applyFill="1" applyBorder="1" applyAlignment="1">
      <alignment horizontal="left" vertical="center"/>
    </xf>
    <xf numFmtId="0" fontId="78" fillId="24" borderId="103" xfId="0" applyFont="1" applyFill="1" applyBorder="1" applyAlignment="1">
      <alignment horizontal="left" vertical="top" wrapText="1"/>
    </xf>
    <xf numFmtId="0" fontId="78" fillId="24" borderId="104" xfId="0" applyFont="1" applyFill="1" applyBorder="1" applyAlignment="1">
      <alignment horizontal="left" vertical="top" wrapText="1"/>
    </xf>
    <xf numFmtId="0" fontId="78" fillId="24" borderId="105" xfId="0" applyFont="1" applyFill="1" applyBorder="1" applyAlignment="1">
      <alignment horizontal="left" vertical="top" wrapText="1"/>
    </xf>
    <xf numFmtId="0" fontId="78" fillId="24" borderId="96" xfId="0" applyFont="1" applyFill="1" applyBorder="1" applyAlignment="1">
      <alignment horizontal="left" vertical="top" wrapText="1"/>
    </xf>
    <xf numFmtId="0" fontId="78" fillId="24" borderId="0" xfId="0" applyFont="1" applyFill="1" applyAlignment="1">
      <alignment horizontal="left" vertical="top" wrapText="1"/>
    </xf>
    <xf numFmtId="0" fontId="78" fillId="24" borderId="97" xfId="0" applyFont="1" applyFill="1" applyBorder="1" applyAlignment="1">
      <alignment horizontal="left" vertical="top" wrapText="1"/>
    </xf>
    <xf numFmtId="0" fontId="78" fillId="24" borderId="129" xfId="0" applyFont="1" applyFill="1" applyBorder="1" applyAlignment="1">
      <alignment horizontal="left" vertical="top" wrapText="1"/>
    </xf>
    <xf numFmtId="0" fontId="78" fillId="24" borderId="117" xfId="0" applyFont="1" applyFill="1" applyBorder="1" applyAlignment="1">
      <alignment horizontal="left" vertical="top" wrapText="1"/>
    </xf>
    <xf numFmtId="0" fontId="78" fillId="24" borderId="130" xfId="0" applyFont="1" applyFill="1" applyBorder="1" applyAlignment="1">
      <alignment horizontal="left" vertical="top" wrapText="1"/>
    </xf>
    <xf numFmtId="0" fontId="81" fillId="18" borderId="114" xfId="0" applyFont="1" applyFill="1" applyBorder="1" applyAlignment="1">
      <alignment horizontal="left" vertical="center"/>
    </xf>
    <xf numFmtId="0" fontId="83" fillId="18" borderId="114" xfId="0" applyFont="1" applyFill="1" applyBorder="1" applyAlignment="1">
      <alignment horizontal="left" vertical="center"/>
    </xf>
    <xf numFmtId="0" fontId="83" fillId="18" borderId="116" xfId="0" applyFont="1" applyFill="1" applyBorder="1" applyAlignment="1">
      <alignment horizontal="left" vertical="center"/>
    </xf>
    <xf numFmtId="0" fontId="81" fillId="24" borderId="96" xfId="0" applyFont="1" applyFill="1" applyBorder="1" applyAlignment="1">
      <alignment horizontal="left" vertical="center"/>
    </xf>
    <xf numFmtId="0" fontId="81" fillId="24" borderId="0" xfId="0" applyFont="1" applyFill="1" applyAlignment="1">
      <alignment horizontal="left" vertical="center"/>
    </xf>
    <xf numFmtId="0" fontId="81" fillId="24" borderId="97" xfId="0" applyFont="1" applyFill="1" applyBorder="1" applyAlignment="1">
      <alignment horizontal="left" vertical="center"/>
    </xf>
    <xf numFmtId="14" fontId="80" fillId="18" borderId="106" xfId="0" applyNumberFormat="1" applyFont="1" applyFill="1" applyBorder="1" applyAlignment="1">
      <alignment horizontal="left" vertical="center"/>
    </xf>
    <xf numFmtId="0" fontId="70" fillId="22" borderId="118" xfId="0" applyFont="1" applyFill="1" applyBorder="1" applyAlignment="1">
      <alignment horizontal="left" vertical="center"/>
    </xf>
    <xf numFmtId="0" fontId="79" fillId="24" borderId="119" xfId="0" applyFont="1" applyFill="1" applyBorder="1" applyAlignment="1">
      <alignment horizontal="left" vertical="center"/>
    </xf>
    <xf numFmtId="0" fontId="79" fillId="24" borderId="102" xfId="0" applyFont="1" applyFill="1" applyBorder="1" applyAlignment="1">
      <alignment horizontal="left" vertical="center"/>
    </xf>
    <xf numFmtId="0" fontId="92" fillId="24" borderId="102" xfId="2" applyFont="1" applyFill="1" applyBorder="1" applyAlignment="1">
      <alignment horizontal="left" vertical="center"/>
    </xf>
    <xf numFmtId="0" fontId="91" fillId="24" borderId="102" xfId="0" applyFont="1" applyFill="1" applyBorder="1" applyAlignment="1">
      <alignment horizontal="left" vertical="center"/>
    </xf>
    <xf numFmtId="0" fontId="71" fillId="22" borderId="118" xfId="0" applyFont="1" applyFill="1" applyBorder="1" applyAlignment="1">
      <alignment horizontal="left" vertical="center"/>
    </xf>
    <xf numFmtId="0" fontId="79" fillId="24" borderId="113" xfId="0" applyFont="1" applyFill="1" applyBorder="1" applyAlignment="1">
      <alignment horizontal="right" vertical="center"/>
    </xf>
    <xf numFmtId="49" fontId="80" fillId="18" borderId="113" xfId="0" applyNumberFormat="1" applyFont="1" applyFill="1" applyBorder="1" applyAlignment="1">
      <alignment horizontal="left" vertical="center" indent="1"/>
    </xf>
    <xf numFmtId="0" fontId="93" fillId="18" borderId="113" xfId="2" applyFont="1" applyFill="1" applyBorder="1" applyAlignment="1">
      <alignment horizontal="left" vertical="center"/>
    </xf>
    <xf numFmtId="0" fontId="82" fillId="18" borderId="131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left" vertical="center"/>
    </xf>
    <xf numFmtId="0" fontId="79" fillId="24" borderId="97" xfId="0" applyFont="1" applyFill="1" applyBorder="1" applyAlignment="1">
      <alignment horizontal="left" vertical="center"/>
    </xf>
    <xf numFmtId="0" fontId="93" fillId="18" borderId="106" xfId="2" applyFont="1" applyFill="1" applyBorder="1" applyAlignment="1">
      <alignment horizontal="left" vertical="center"/>
    </xf>
    <xf numFmtId="0" fontId="82" fillId="18" borderId="110" xfId="0" applyFont="1" applyFill="1" applyBorder="1" applyAlignment="1">
      <alignment horizontal="left" vertical="center"/>
    </xf>
    <xf numFmtId="0" fontId="84" fillId="22" borderId="118" xfId="0" applyFont="1" applyFill="1" applyBorder="1" applyAlignment="1">
      <alignment horizontal="left" vertical="center"/>
    </xf>
    <xf numFmtId="0" fontId="84" fillId="22" borderId="122" xfId="0" applyFont="1" applyFill="1" applyBorder="1" applyAlignment="1">
      <alignment horizontal="left" vertical="center"/>
    </xf>
    <xf numFmtId="2" fontId="82" fillId="18" borderId="104" xfId="0" applyNumberFormat="1" applyFont="1" applyFill="1" applyBorder="1" applyAlignment="1">
      <alignment horizontal="right" vertical="center"/>
    </xf>
    <xf numFmtId="181" fontId="94" fillId="18" borderId="104" xfId="0" applyNumberFormat="1" applyFont="1" applyFill="1" applyBorder="1" applyAlignment="1">
      <alignment horizontal="right" vertical="center"/>
    </xf>
    <xf numFmtId="0" fontId="95" fillId="18" borderId="104" xfId="0" applyFont="1" applyFill="1" applyBorder="1" applyAlignment="1">
      <alignment horizontal="center" vertical="center"/>
    </xf>
    <xf numFmtId="0" fontId="95" fillId="18" borderId="105" xfId="0" applyFont="1" applyFill="1" applyBorder="1" applyAlignment="1">
      <alignment horizontal="center" vertical="center"/>
    </xf>
    <xf numFmtId="2" fontId="82" fillId="24" borderId="100" xfId="0" applyNumberFormat="1" applyFont="1" applyFill="1" applyBorder="1" applyAlignment="1">
      <alignment horizontal="right" vertical="center"/>
    </xf>
    <xf numFmtId="181" fontId="94" fillId="24" borderId="100" xfId="0" applyNumberFormat="1" applyFont="1" applyFill="1" applyBorder="1" applyAlignment="1">
      <alignment horizontal="right" vertical="center"/>
    </xf>
    <xf numFmtId="0" fontId="95" fillId="24" borderId="100" xfId="0" applyFont="1" applyFill="1" applyBorder="1" applyAlignment="1">
      <alignment horizontal="center" vertical="center"/>
    </xf>
    <xf numFmtId="0" fontId="95" fillId="24" borderId="101" xfId="0" applyFont="1" applyFill="1" applyBorder="1" applyAlignment="1">
      <alignment horizontal="center" vertical="center"/>
    </xf>
    <xf numFmtId="0" fontId="70" fillId="22" borderId="102" xfId="0" applyFont="1" applyFill="1" applyBorder="1" applyAlignment="1">
      <alignment horizontal="left" vertical="center"/>
    </xf>
    <xf numFmtId="0" fontId="84" fillId="22" borderId="102" xfId="0" applyFont="1" applyFill="1" applyBorder="1" applyAlignment="1">
      <alignment horizontal="left" vertical="center"/>
    </xf>
    <xf numFmtId="0" fontId="84" fillId="22" borderId="121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left" vertical="center"/>
    </xf>
    <xf numFmtId="0" fontId="81" fillId="24" borderId="103" xfId="0" applyFont="1" applyFill="1" applyBorder="1" applyAlignment="1">
      <alignment horizontal="left" vertical="center"/>
    </xf>
    <xf numFmtId="0" fontId="81" fillId="24" borderId="104" xfId="0" applyFont="1" applyFill="1" applyBorder="1" applyAlignment="1">
      <alignment horizontal="left" vertical="center"/>
    </xf>
    <xf numFmtId="0" fontId="81" fillId="24" borderId="105" xfId="0" applyFont="1" applyFill="1" applyBorder="1" applyAlignment="1">
      <alignment horizontal="left" vertical="center"/>
    </xf>
    <xf numFmtId="0" fontId="79" fillId="24" borderId="96" xfId="0" applyFont="1" applyFill="1" applyBorder="1" applyAlignment="1">
      <alignment horizontal="left" vertical="center"/>
    </xf>
    <xf numFmtId="0" fontId="82" fillId="18" borderId="124" xfId="0" applyFont="1" applyFill="1" applyBorder="1" applyAlignment="1">
      <alignment horizontal="center" vertical="center"/>
    </xf>
    <xf numFmtId="0" fontId="82" fillId="18" borderId="123" xfId="0" applyFont="1" applyFill="1" applyBorder="1" applyAlignment="1">
      <alignment horizontal="center" vertical="center"/>
    </xf>
    <xf numFmtId="0" fontId="83" fillId="18" borderId="123" xfId="0" applyFont="1" applyFill="1" applyBorder="1" applyAlignment="1">
      <alignment horizontal="left" vertical="center"/>
    </xf>
    <xf numFmtId="0" fontId="83" fillId="18" borderId="125" xfId="0" applyFont="1" applyFill="1" applyBorder="1" applyAlignment="1">
      <alignment horizontal="left" vertical="center"/>
    </xf>
    <xf numFmtId="0" fontId="82" fillId="24" borderId="126" xfId="0" applyFont="1" applyFill="1" applyBorder="1" applyAlignment="1">
      <alignment horizontal="center" vertical="center"/>
    </xf>
    <xf numFmtId="0" fontId="82" fillId="24" borderId="127" xfId="0" applyFont="1" applyFill="1" applyBorder="1" applyAlignment="1">
      <alignment horizontal="center" vertical="center"/>
    </xf>
    <xf numFmtId="0" fontId="83" fillId="24" borderId="127" xfId="0" applyFont="1" applyFill="1" applyBorder="1" applyAlignment="1">
      <alignment horizontal="left" vertical="center"/>
    </xf>
    <xf numFmtId="0" fontId="83" fillId="24" borderId="128" xfId="0" applyFont="1" applyFill="1" applyBorder="1" applyAlignment="1">
      <alignment horizontal="left" vertical="center"/>
    </xf>
    <xf numFmtId="0" fontId="91" fillId="24" borderId="121" xfId="0" applyFont="1" applyFill="1" applyBorder="1" applyAlignment="1">
      <alignment horizontal="left" vertical="center"/>
    </xf>
    <xf numFmtId="0" fontId="81" fillId="20" borderId="102" xfId="0" applyFont="1" applyFill="1" applyBorder="1" applyAlignment="1">
      <alignment horizontal="right" vertical="center"/>
    </xf>
    <xf numFmtId="0" fontId="81" fillId="20" borderId="102" xfId="0" applyFont="1" applyFill="1" applyBorder="1" applyAlignment="1">
      <alignment horizontal="center" vertical="center"/>
    </xf>
    <xf numFmtId="0" fontId="81" fillId="20" borderId="121" xfId="0" applyFont="1" applyFill="1" applyBorder="1" applyAlignment="1">
      <alignment horizontal="center" vertical="center"/>
    </xf>
    <xf numFmtId="0" fontId="82" fillId="18" borderId="114" xfId="0" applyFont="1" applyFill="1" applyBorder="1" applyAlignment="1">
      <alignment horizontal="left" vertical="center"/>
    </xf>
    <xf numFmtId="164" fontId="20" fillId="0" borderId="1" xfId="0" applyNumberFormat="1" applyFont="1" applyBorder="1" applyAlignment="1" applyProtection="1">
      <alignment horizontal="center" vertical="center" shrinkToFit="1"/>
      <protection hidden="1"/>
    </xf>
    <xf numFmtId="164" fontId="20" fillId="0" borderId="29" xfId="0" applyNumberFormat="1" applyFont="1" applyBorder="1" applyAlignment="1" applyProtection="1">
      <alignment horizontal="center" vertical="center" shrinkToFit="1"/>
      <protection hidden="1"/>
    </xf>
    <xf numFmtId="0" fontId="24" fillId="0" borderId="0" xfId="0" applyFont="1" applyAlignment="1" applyProtection="1">
      <alignment horizontal="left"/>
      <protection hidden="1"/>
    </xf>
    <xf numFmtId="0" fontId="24" fillId="0" borderId="0" xfId="0" applyFont="1" applyAlignment="1" applyProtection="1">
      <alignment horizontal="center"/>
      <protection hidden="1"/>
    </xf>
    <xf numFmtId="164" fontId="21" fillId="2" borderId="1" xfId="0" applyNumberFormat="1" applyFont="1" applyFill="1" applyBorder="1" applyAlignment="1" applyProtection="1">
      <alignment horizontal="center" vertical="center"/>
      <protection hidden="1"/>
    </xf>
    <xf numFmtId="164" fontId="21" fillId="2" borderId="58" xfId="0" applyNumberFormat="1" applyFont="1" applyFill="1" applyBorder="1" applyAlignment="1" applyProtection="1">
      <alignment horizontal="center" vertical="center"/>
      <protection hidden="1"/>
    </xf>
    <xf numFmtId="0" fontId="35" fillId="2" borderId="58" xfId="0" applyFont="1" applyFill="1" applyBorder="1" applyAlignment="1">
      <alignment horizontal="center" vertical="center"/>
    </xf>
    <xf numFmtId="0" fontId="35" fillId="2" borderId="29" xfId="0" applyFont="1" applyFill="1" applyBorder="1" applyAlignment="1">
      <alignment horizontal="center" vertical="center"/>
    </xf>
    <xf numFmtId="0" fontId="2" fillId="12" borderId="11" xfId="0" applyFont="1" applyFill="1" applyBorder="1" applyAlignment="1" applyProtection="1">
      <alignment horizontal="center"/>
      <protection locked="0"/>
    </xf>
    <xf numFmtId="0" fontId="2" fillId="12" borderId="12" xfId="0" applyFont="1" applyFill="1" applyBorder="1" applyAlignment="1" applyProtection="1">
      <alignment horizontal="center"/>
      <protection locked="0"/>
    </xf>
    <xf numFmtId="0" fontId="55" fillId="2" borderId="4" xfId="0" applyFont="1" applyFill="1" applyBorder="1" applyAlignment="1" applyProtection="1">
      <alignment horizontal="center" vertical="center"/>
      <protection locked="0"/>
    </xf>
    <xf numFmtId="0" fontId="55" fillId="2" borderId="2" xfId="0" applyFont="1" applyFill="1" applyBorder="1" applyAlignment="1" applyProtection="1">
      <alignment horizontal="center" vertical="center"/>
      <protection locked="0"/>
    </xf>
    <xf numFmtId="0" fontId="55" fillId="2" borderId="5" xfId="0" applyFont="1" applyFill="1" applyBorder="1" applyAlignment="1" applyProtection="1">
      <alignment horizontal="center" vertical="center"/>
      <protection locked="0"/>
    </xf>
    <xf numFmtId="0" fontId="55" fillId="2" borderId="6" xfId="0" applyFont="1" applyFill="1" applyBorder="1" applyAlignment="1" applyProtection="1">
      <alignment horizontal="center" vertical="center"/>
      <protection locked="0"/>
    </xf>
    <xf numFmtId="0" fontId="55" fillId="2" borderId="0" xfId="0" applyFont="1" applyFill="1" applyAlignment="1" applyProtection="1">
      <alignment horizontal="center" vertical="center"/>
      <protection locked="0"/>
    </xf>
    <xf numFmtId="0" fontId="55" fillId="2" borderId="40" xfId="0" applyFont="1" applyFill="1" applyBorder="1" applyAlignment="1" applyProtection="1">
      <alignment horizontal="center" vertical="center"/>
      <protection locked="0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2" fillId="0" borderId="11" xfId="0" applyFont="1" applyBorder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wrapText="1"/>
      <protection hidden="1"/>
    </xf>
    <xf numFmtId="0" fontId="2" fillId="2" borderId="34" xfId="0" applyFont="1" applyFill="1" applyBorder="1" applyAlignment="1">
      <alignment wrapText="1"/>
    </xf>
    <xf numFmtId="0" fontId="2" fillId="2" borderId="3" xfId="0" applyFont="1" applyFill="1" applyBorder="1" applyAlignment="1">
      <alignment wrapText="1"/>
    </xf>
    <xf numFmtId="0" fontId="2" fillId="2" borderId="10" xfId="0" applyFont="1" applyFill="1" applyBorder="1" applyAlignment="1">
      <alignment wrapText="1"/>
    </xf>
    <xf numFmtId="0" fontId="2" fillId="2" borderId="41" xfId="0" applyFont="1" applyFill="1" applyBorder="1" applyAlignment="1">
      <alignment wrapText="1"/>
    </xf>
    <xf numFmtId="0" fontId="2" fillId="2" borderId="42" xfId="0" applyFont="1" applyFill="1" applyBorder="1" applyAlignment="1">
      <alignment wrapText="1"/>
    </xf>
    <xf numFmtId="0" fontId="53" fillId="2" borderId="4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0" fontId="30" fillId="0" borderId="51" xfId="0" applyFont="1" applyBorder="1" applyAlignment="1" applyProtection="1">
      <alignment horizontal="center" wrapText="1"/>
      <protection locked="0"/>
    </xf>
    <xf numFmtId="0" fontId="0" fillId="0" borderId="8" xfId="0" applyBorder="1" applyAlignment="1">
      <alignment horizontal="center"/>
    </xf>
    <xf numFmtId="0" fontId="30" fillId="12" borderId="3" xfId="0" applyFont="1" applyFill="1" applyBorder="1" applyAlignment="1" applyProtection="1">
      <alignment horizontal="center"/>
      <protection locked="0"/>
    </xf>
    <xf numFmtId="0" fontId="0" fillId="12" borderId="9" xfId="0" applyFill="1" applyBorder="1" applyAlignment="1">
      <alignment horizontal="center"/>
    </xf>
    <xf numFmtId="0" fontId="2" fillId="2" borderId="9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>
      <alignment horizontal="center" vertical="center" wrapText="1"/>
    </xf>
    <xf numFmtId="0" fontId="0" fillId="2" borderId="42" xfId="0" applyFill="1" applyBorder="1" applyAlignment="1">
      <alignment horizontal="center" vertical="center" wrapText="1"/>
    </xf>
    <xf numFmtId="0" fontId="30" fillId="2" borderId="3" xfId="0" applyFont="1" applyFill="1" applyBorder="1" applyAlignment="1" applyProtection="1">
      <alignment horizontal="center" vertical="center" wrapText="1"/>
      <protection locked="0"/>
    </xf>
    <xf numFmtId="0" fontId="0" fillId="2" borderId="9" xfId="0" applyFill="1" applyBorder="1" applyAlignment="1">
      <alignment horizontal="center" vertical="center" wrapText="1"/>
    </xf>
    <xf numFmtId="0" fontId="0" fillId="2" borderId="41" xfId="0" applyFill="1" applyBorder="1" applyAlignment="1">
      <alignment horizontal="center" vertical="center" wrapText="1"/>
    </xf>
    <xf numFmtId="0" fontId="53" fillId="2" borderId="2" xfId="0" applyFont="1" applyFill="1" applyBorder="1" applyAlignment="1" applyProtection="1">
      <alignment horizontal="center" vertical="center" wrapText="1"/>
      <protection hidden="1"/>
    </xf>
    <xf numFmtId="0" fontId="53" fillId="2" borderId="5" xfId="0" applyFont="1" applyFill="1" applyBorder="1" applyAlignment="1" applyProtection="1">
      <alignment horizontal="center" vertical="center" wrapText="1"/>
      <protection hidden="1"/>
    </xf>
    <xf numFmtId="0" fontId="53" fillId="2" borderId="6" xfId="0" applyFont="1" applyFill="1" applyBorder="1" applyAlignment="1" applyProtection="1">
      <alignment horizontal="center" vertical="center" wrapText="1"/>
      <protection hidden="1"/>
    </xf>
    <xf numFmtId="0" fontId="53" fillId="2" borderId="0" xfId="0" applyFont="1" applyFill="1" applyAlignment="1" applyProtection="1">
      <alignment horizontal="center" vertical="center" wrapText="1"/>
      <protection hidden="1"/>
    </xf>
    <xf numFmtId="0" fontId="53" fillId="2" borderId="40" xfId="0" applyFont="1" applyFill="1" applyBorder="1" applyAlignment="1" applyProtection="1">
      <alignment horizontal="center" vertical="center" wrapText="1"/>
      <protection hidden="1"/>
    </xf>
    <xf numFmtId="0" fontId="53" fillId="2" borderId="16" xfId="0" applyFont="1" applyFill="1" applyBorder="1" applyAlignment="1" applyProtection="1">
      <alignment horizontal="center" vertical="center" wrapText="1"/>
      <protection hidden="1"/>
    </xf>
    <xf numFmtId="0" fontId="53" fillId="2" borderId="17" xfId="0" applyFont="1" applyFill="1" applyBorder="1" applyAlignment="1" applyProtection="1">
      <alignment horizontal="center" vertical="center" wrapText="1"/>
      <protection hidden="1"/>
    </xf>
    <xf numFmtId="0" fontId="53" fillId="2" borderId="18" xfId="0" applyFont="1" applyFill="1" applyBorder="1" applyAlignment="1" applyProtection="1">
      <alignment horizontal="center" vertical="center" wrapText="1"/>
      <protection hidden="1"/>
    </xf>
    <xf numFmtId="0" fontId="30" fillId="0" borderId="3" xfId="0" applyFont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30" fillId="12" borderId="80" xfId="0" applyFont="1" applyFill="1" applyBorder="1" applyAlignment="1" applyProtection="1">
      <alignment horizontal="center"/>
      <protection locked="0"/>
    </xf>
    <xf numFmtId="0" fontId="0" fillId="12" borderId="19" xfId="0" applyFill="1" applyBorder="1" applyAlignment="1">
      <alignment horizontal="center"/>
    </xf>
    <xf numFmtId="0" fontId="2" fillId="0" borderId="23" xfId="0" applyFont="1" applyBorder="1" applyAlignment="1" applyProtection="1">
      <alignment horizontal="center"/>
      <protection locked="0"/>
    </xf>
    <xf numFmtId="0" fontId="2" fillId="0" borderId="49" xfId="0" applyFont="1" applyBorder="1" applyAlignment="1" applyProtection="1">
      <alignment horizontal="center"/>
      <protection locked="0"/>
    </xf>
    <xf numFmtId="0" fontId="10" fillId="2" borderId="26" xfId="0" applyFont="1" applyFill="1" applyBorder="1" applyAlignment="1" applyProtection="1">
      <alignment horizontal="center" wrapText="1"/>
      <protection hidden="1"/>
    </xf>
    <xf numFmtId="0" fontId="10" fillId="2" borderId="25" xfId="0" applyFont="1" applyFill="1" applyBorder="1" applyAlignment="1" applyProtection="1">
      <alignment horizontal="center" wrapText="1"/>
      <protection hidden="1"/>
    </xf>
    <xf numFmtId="0" fontId="2" fillId="2" borderId="2" xfId="0" applyFont="1" applyFill="1" applyBorder="1" applyAlignment="1" applyProtection="1">
      <alignment horizontal="center" wrapText="1"/>
      <protection hidden="1"/>
    </xf>
    <xf numFmtId="0" fontId="2" fillId="2" borderId="17" xfId="0" applyFont="1" applyFill="1" applyBorder="1" applyAlignment="1" applyProtection="1">
      <alignment horizontal="center" wrapText="1"/>
      <protection hidden="1"/>
    </xf>
    <xf numFmtId="0" fontId="2" fillId="2" borderId="26" xfId="0" applyFont="1" applyFill="1" applyBorder="1" applyAlignment="1" applyProtection="1">
      <alignment horizontal="center" wrapText="1"/>
      <protection hidden="1"/>
    </xf>
    <xf numFmtId="0" fontId="2" fillId="2" borderId="25" xfId="0" applyFont="1" applyFill="1" applyBorder="1" applyAlignment="1" applyProtection="1">
      <alignment horizontal="center" wrapText="1"/>
      <protection hidden="1"/>
    </xf>
    <xf numFmtId="0" fontId="2" fillId="2" borderId="4" xfId="0" applyFont="1" applyFill="1" applyBorder="1" applyAlignment="1" applyProtection="1">
      <alignment horizontal="center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2" fillId="2" borderId="4" xfId="0" applyFont="1" applyFill="1" applyBorder="1" applyAlignment="1" applyProtection="1">
      <alignment horizontal="center" wrapText="1"/>
      <protection hidden="1"/>
    </xf>
    <xf numFmtId="0" fontId="2" fillId="2" borderId="16" xfId="0" applyFont="1" applyFill="1" applyBorder="1" applyAlignment="1" applyProtection="1">
      <alignment horizontal="center" wrapText="1"/>
      <protection hidden="1"/>
    </xf>
    <xf numFmtId="0" fontId="2" fillId="2" borderId="5" xfId="0" applyFont="1" applyFill="1" applyBorder="1" applyAlignment="1" applyProtection="1">
      <alignment horizontal="center" wrapText="1"/>
      <protection hidden="1"/>
    </xf>
    <xf numFmtId="0" fontId="2" fillId="2" borderId="18" xfId="0" applyFont="1" applyFill="1" applyBorder="1" applyAlignment="1" applyProtection="1">
      <alignment horizontal="center" wrapText="1"/>
      <protection hidden="1"/>
    </xf>
    <xf numFmtId="0" fontId="30" fillId="2" borderId="1" xfId="0" applyFont="1" applyFill="1" applyBorder="1" applyAlignment="1" applyProtection="1">
      <alignment horizontal="center"/>
      <protection hidden="1"/>
    </xf>
    <xf numFmtId="0" fontId="30" fillId="2" borderId="58" xfId="0" applyFont="1" applyFill="1" applyBorder="1" applyAlignment="1" applyProtection="1">
      <alignment horizontal="center"/>
      <protection hidden="1"/>
    </xf>
    <xf numFmtId="0" fontId="30" fillId="2" borderId="29" xfId="0" applyFont="1" applyFill="1" applyBorder="1" applyAlignment="1" applyProtection="1">
      <alignment horizontal="center"/>
      <protection hidden="1"/>
    </xf>
    <xf numFmtId="0" fontId="30" fillId="24" borderId="71" xfId="0" applyFont="1" applyFill="1" applyBorder="1" applyAlignment="1" applyProtection="1">
      <alignment horizontal="left" shrinkToFit="1"/>
      <protection locked="0"/>
    </xf>
    <xf numFmtId="0" fontId="30" fillId="24" borderId="69" xfId="0" applyFont="1" applyFill="1" applyBorder="1" applyAlignment="1" applyProtection="1">
      <alignment horizontal="left" shrinkToFit="1"/>
      <protection locked="0"/>
    </xf>
    <xf numFmtId="0" fontId="30" fillId="0" borderId="11" xfId="0" applyFont="1" applyBorder="1" applyAlignment="1" applyProtection="1">
      <alignment horizontal="left" shrinkToFit="1"/>
      <protection locked="0"/>
    </xf>
    <xf numFmtId="0" fontId="30" fillId="0" borderId="12" xfId="0" applyFont="1" applyBorder="1" applyAlignment="1" applyProtection="1">
      <alignment horizontal="left" shrinkToFit="1"/>
      <protection locked="0"/>
    </xf>
    <xf numFmtId="0" fontId="30" fillId="24" borderId="11" xfId="0" applyFont="1" applyFill="1" applyBorder="1" applyAlignment="1" applyProtection="1">
      <alignment horizontal="left" shrinkToFit="1"/>
      <protection locked="0"/>
    </xf>
    <xf numFmtId="0" fontId="30" fillId="24" borderId="12" xfId="0" applyFont="1" applyFill="1" applyBorder="1" applyAlignment="1" applyProtection="1">
      <alignment horizontal="left" shrinkToFit="1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12" borderId="46" xfId="0" applyFont="1" applyFill="1" applyBorder="1" applyAlignment="1" applyProtection="1">
      <alignment horizontal="center"/>
      <protection locked="0"/>
    </xf>
    <xf numFmtId="0" fontId="2" fillId="12" borderId="47" xfId="0" applyFont="1" applyFill="1" applyBorder="1" applyAlignment="1" applyProtection="1">
      <alignment horizontal="center"/>
      <protection locked="0"/>
    </xf>
    <xf numFmtId="0" fontId="14" fillId="2" borderId="46" xfId="0" applyFont="1" applyFill="1" applyBorder="1" applyAlignment="1" applyProtection="1">
      <alignment horizontal="center"/>
      <protection hidden="1"/>
    </xf>
    <xf numFmtId="0" fontId="14" fillId="2" borderId="47" xfId="0" applyFont="1" applyFill="1" applyBorder="1" applyAlignment="1" applyProtection="1">
      <alignment horizontal="center"/>
      <protection hidden="1"/>
    </xf>
    <xf numFmtId="49" fontId="30" fillId="27" borderId="23" xfId="0" applyNumberFormat="1" applyFont="1" applyFill="1" applyBorder="1" applyAlignment="1" applyProtection="1">
      <alignment horizontal="left" shrinkToFit="1"/>
      <protection locked="0"/>
    </xf>
    <xf numFmtId="0" fontId="30" fillId="27" borderId="49" xfId="0" applyFont="1" applyFill="1" applyBorder="1" applyAlignment="1" applyProtection="1">
      <alignment horizontal="left" shrinkToFit="1"/>
      <protection locked="0"/>
    </xf>
    <xf numFmtId="49" fontId="30" fillId="27" borderId="11" xfId="0" applyNumberFormat="1" applyFont="1" applyFill="1" applyBorder="1" applyAlignment="1" applyProtection="1">
      <alignment horizontal="left" shrinkToFit="1"/>
      <protection locked="0"/>
    </xf>
    <xf numFmtId="0" fontId="30" fillId="27" borderId="12" xfId="0" applyFont="1" applyFill="1" applyBorder="1" applyAlignment="1" applyProtection="1">
      <alignment horizontal="left" shrinkToFit="1"/>
      <protection locked="0"/>
    </xf>
    <xf numFmtId="0" fontId="99" fillId="29" borderId="13" xfId="0" applyFont="1" applyFill="1" applyBorder="1" applyAlignment="1" applyProtection="1">
      <alignment horizontal="left" shrinkToFit="1"/>
      <protection locked="0" hidden="1"/>
    </xf>
    <xf numFmtId="0" fontId="99" fillId="29" borderId="12" xfId="0" applyFont="1" applyFill="1" applyBorder="1" applyAlignment="1" applyProtection="1">
      <alignment horizontal="left" shrinkToFit="1"/>
      <protection locked="0" hidden="1"/>
    </xf>
    <xf numFmtId="0" fontId="98" fillId="18" borderId="13" xfId="0" applyFont="1" applyFill="1" applyBorder="1" applyAlignment="1" applyProtection="1">
      <alignment horizontal="left" shrinkToFit="1"/>
      <protection locked="0"/>
    </xf>
    <xf numFmtId="0" fontId="98" fillId="18" borderId="141" xfId="0" applyFont="1" applyFill="1" applyBorder="1" applyAlignment="1" applyProtection="1">
      <alignment horizontal="left" shrinkToFit="1"/>
      <protection locked="0"/>
    </xf>
    <xf numFmtId="0" fontId="96" fillId="24" borderId="134" xfId="0" applyFont="1" applyFill="1" applyBorder="1" applyAlignment="1" applyProtection="1">
      <alignment horizontal="center" shrinkToFit="1"/>
      <protection hidden="1"/>
    </xf>
    <xf numFmtId="0" fontId="96" fillId="24" borderId="135" xfId="0" applyFont="1" applyFill="1" applyBorder="1" applyAlignment="1" applyProtection="1">
      <alignment horizontal="center" shrinkToFit="1"/>
      <protection hidden="1"/>
    </xf>
    <xf numFmtId="0" fontId="97" fillId="24" borderId="134" xfId="0" applyFont="1" applyFill="1" applyBorder="1" applyAlignment="1">
      <alignment horizontal="center" shrinkToFit="1"/>
    </xf>
    <xf numFmtId="0" fontId="97" fillId="24" borderId="137" xfId="0" applyFont="1" applyFill="1" applyBorder="1" applyAlignment="1">
      <alignment horizontal="center" shrinkToFit="1"/>
    </xf>
    <xf numFmtId="0" fontId="30" fillId="2" borderId="43" xfId="0" applyFont="1" applyFill="1" applyBorder="1" applyAlignment="1" applyProtection="1">
      <alignment horizontal="center"/>
      <protection hidden="1"/>
    </xf>
    <xf numFmtId="0" fontId="30" fillId="2" borderId="44" xfId="0" applyFont="1" applyFill="1" applyBorder="1" applyAlignment="1" applyProtection="1">
      <alignment horizontal="center"/>
      <protection hidden="1"/>
    </xf>
    <xf numFmtId="0" fontId="30" fillId="2" borderId="45" xfId="0" applyFont="1" applyFill="1" applyBorder="1" applyAlignment="1" applyProtection="1">
      <alignment horizontal="center"/>
      <protection hidden="1"/>
    </xf>
    <xf numFmtId="49" fontId="99" fillId="29" borderId="143" xfId="0" applyNumberFormat="1" applyFont="1" applyFill="1" applyBorder="1" applyAlignment="1" applyProtection="1">
      <alignment horizontal="left" shrinkToFit="1"/>
      <protection locked="0" hidden="1"/>
    </xf>
    <xf numFmtId="49" fontId="99" fillId="29" borderId="144" xfId="0" applyNumberFormat="1" applyFont="1" applyFill="1" applyBorder="1" applyAlignment="1" applyProtection="1">
      <alignment horizontal="left" shrinkToFit="1"/>
      <protection locked="0" hidden="1"/>
    </xf>
    <xf numFmtId="0" fontId="98" fillId="18" borderId="143" xfId="0" applyFont="1" applyFill="1" applyBorder="1" applyAlignment="1" applyProtection="1">
      <alignment horizontal="left" shrinkToFit="1"/>
      <protection locked="0"/>
    </xf>
    <xf numFmtId="0" fontId="98" fillId="18" borderId="146" xfId="0" applyFont="1" applyFill="1" applyBorder="1" applyAlignment="1" applyProtection="1">
      <alignment horizontal="left" shrinkToFit="1"/>
      <protection locked="0"/>
    </xf>
    <xf numFmtId="0" fontId="99" fillId="18" borderId="66" xfId="0" applyFont="1" applyFill="1" applyBorder="1" applyAlignment="1" applyProtection="1">
      <alignment horizontal="left" shrinkToFit="1"/>
      <protection locked="0" hidden="1"/>
    </xf>
    <xf numFmtId="0" fontId="99" fillId="18" borderId="132" xfId="0" applyFont="1" applyFill="1" applyBorder="1" applyAlignment="1" applyProtection="1">
      <alignment horizontal="left" shrinkToFit="1"/>
      <protection locked="0" hidden="1"/>
    </xf>
    <xf numFmtId="0" fontId="98" fillId="28" borderId="66" xfId="0" applyFont="1" applyFill="1" applyBorder="1" applyAlignment="1" applyProtection="1">
      <alignment horizontal="left" shrinkToFit="1"/>
      <protection locked="0"/>
    </xf>
    <xf numFmtId="0" fontId="98" fillId="28" borderId="139" xfId="0" applyFont="1" applyFill="1" applyBorder="1" applyAlignment="1" applyProtection="1">
      <alignment horizontal="left" shrinkToFit="1"/>
      <protection locked="0"/>
    </xf>
    <xf numFmtId="0" fontId="99" fillId="18" borderId="13" xfId="0" applyFont="1" applyFill="1" applyBorder="1" applyAlignment="1" applyProtection="1">
      <alignment horizontal="left" shrinkToFit="1"/>
      <protection locked="0" hidden="1"/>
    </xf>
    <xf numFmtId="0" fontId="99" fillId="18" borderId="12" xfId="0" applyFont="1" applyFill="1" applyBorder="1" applyAlignment="1" applyProtection="1">
      <alignment horizontal="left" shrinkToFit="1"/>
      <protection locked="0"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0" fillId="0" borderId="58" xfId="0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  <protection hidden="1"/>
    </xf>
    <xf numFmtId="0" fontId="0" fillId="0" borderId="29" xfId="0" applyBorder="1" applyAlignment="1">
      <alignment horizontal="center" vertical="center"/>
    </xf>
    <xf numFmtId="0" fontId="0" fillId="0" borderId="58" xfId="0" applyBorder="1" applyAlignment="1">
      <alignment horizontal="center"/>
    </xf>
    <xf numFmtId="0" fontId="0" fillId="0" borderId="29" xfId="0" applyBorder="1" applyAlignment="1">
      <alignment horizontal="center"/>
    </xf>
    <xf numFmtId="0" fontId="14" fillId="2" borderId="4" xfId="0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6" xfId="0" applyBorder="1"/>
    <xf numFmtId="0" fontId="0" fillId="0" borderId="16" xfId="0" applyBorder="1"/>
    <xf numFmtId="0" fontId="74" fillId="0" borderId="6" xfId="0" applyFont="1" applyBorder="1" applyAlignment="1" applyProtection="1">
      <alignment horizontal="center" vertical="center"/>
      <protection locked="0"/>
    </xf>
    <xf numFmtId="0" fontId="74" fillId="0" borderId="16" xfId="0" applyFont="1" applyBorder="1" applyAlignment="1" applyProtection="1">
      <alignment horizontal="center" vertical="center"/>
      <protection locked="0"/>
    </xf>
    <xf numFmtId="0" fontId="74" fillId="0" borderId="26" xfId="0" applyFont="1" applyBorder="1" applyAlignment="1" applyProtection="1">
      <alignment horizontal="center" vertical="center"/>
      <protection locked="0"/>
    </xf>
    <xf numFmtId="0" fontId="74" fillId="0" borderId="24" xfId="0" applyFont="1" applyBorder="1" applyAlignment="1" applyProtection="1">
      <alignment horizontal="center" vertical="center"/>
      <protection locked="0"/>
    </xf>
    <xf numFmtId="0" fontId="74" fillId="0" borderId="25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6" fillId="0" borderId="1" xfId="0" applyFont="1" applyBorder="1" applyAlignment="1">
      <alignment horizontal="center"/>
    </xf>
    <xf numFmtId="0" fontId="26" fillId="0" borderId="58" xfId="0" applyFont="1" applyBorder="1" applyAlignment="1">
      <alignment horizontal="center"/>
    </xf>
    <xf numFmtId="0" fontId="26" fillId="0" borderId="29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5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2" fontId="5" fillId="5" borderId="4" xfId="0" applyNumberFormat="1" applyFont="1" applyFill="1" applyBorder="1" applyAlignment="1" applyProtection="1">
      <alignment horizontal="center" vertical="center"/>
      <protection locked="0"/>
    </xf>
    <xf numFmtId="2" fontId="5" fillId="5" borderId="2" xfId="0" applyNumberFormat="1" applyFont="1" applyFill="1" applyBorder="1" applyAlignment="1" applyProtection="1">
      <alignment horizontal="center" vertical="center"/>
      <protection locked="0"/>
    </xf>
    <xf numFmtId="2" fontId="5" fillId="5" borderId="5" xfId="0" applyNumberFormat="1" applyFont="1" applyFill="1" applyBorder="1" applyAlignment="1" applyProtection="1">
      <alignment horizontal="center" vertical="center"/>
      <protection locked="0"/>
    </xf>
    <xf numFmtId="2" fontId="5" fillId="5" borderId="16" xfId="0" applyNumberFormat="1" applyFont="1" applyFill="1" applyBorder="1" applyAlignment="1" applyProtection="1">
      <alignment horizontal="center" vertical="center"/>
      <protection locked="0"/>
    </xf>
    <xf numFmtId="2" fontId="5" fillId="5" borderId="17" xfId="0" applyNumberFormat="1" applyFont="1" applyFill="1" applyBorder="1" applyAlignment="1" applyProtection="1">
      <alignment horizontal="center" vertical="center"/>
      <protection locked="0"/>
    </xf>
    <xf numFmtId="2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26" fillId="0" borderId="4" xfId="0" applyFont="1" applyBorder="1" applyAlignment="1">
      <alignment horizontal="center" vertical="center" wrapText="1" shrinkToFit="1"/>
    </xf>
    <xf numFmtId="0" fontId="26" fillId="0" borderId="2" xfId="0" applyFont="1" applyBorder="1" applyAlignment="1">
      <alignment horizontal="center" vertical="center" shrinkToFit="1"/>
    </xf>
    <xf numFmtId="0" fontId="26" fillId="0" borderId="5" xfId="0" applyFont="1" applyBorder="1" applyAlignment="1">
      <alignment horizontal="center" vertical="center" shrinkToFit="1"/>
    </xf>
    <xf numFmtId="0" fontId="26" fillId="0" borderId="6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 vertical="center" shrinkToFit="1"/>
    </xf>
    <xf numFmtId="0" fontId="26" fillId="0" borderId="40" xfId="0" applyFont="1" applyBorder="1" applyAlignment="1">
      <alignment horizontal="center" vertical="center" shrinkToFit="1"/>
    </xf>
    <xf numFmtId="0" fontId="26" fillId="0" borderId="16" xfId="0" applyFont="1" applyBorder="1" applyAlignment="1">
      <alignment horizontal="center" vertical="center" shrinkToFit="1"/>
    </xf>
    <xf numFmtId="0" fontId="26" fillId="0" borderId="17" xfId="0" applyFont="1" applyBorder="1" applyAlignment="1">
      <alignment horizontal="center" vertical="center" shrinkToFit="1"/>
    </xf>
    <xf numFmtId="0" fontId="26" fillId="0" borderId="18" xfId="0" applyFont="1" applyBorder="1" applyAlignment="1">
      <alignment horizontal="center" vertical="center" shrinkToFit="1"/>
    </xf>
    <xf numFmtId="0" fontId="57" fillId="18" borderId="0" xfId="0" applyFont="1" applyFill="1" applyAlignment="1">
      <alignment horizontal="left" vertical="center"/>
    </xf>
    <xf numFmtId="0" fontId="59" fillId="19" borderId="73" xfId="0" applyFont="1" applyFill="1" applyBorder="1" applyAlignment="1">
      <alignment horizontal="center" vertical="center"/>
    </xf>
    <xf numFmtId="0" fontId="62" fillId="18" borderId="0" xfId="0" applyFont="1" applyFill="1" applyAlignment="1">
      <alignment horizontal="left" vertical="center"/>
    </xf>
    <xf numFmtId="177" fontId="48" fillId="0" borderId="1" xfId="7" applyFont="1" applyBorder="1" applyAlignment="1" applyProtection="1">
      <alignment horizontal="center"/>
      <protection locked="0"/>
    </xf>
    <xf numFmtId="177" fontId="48" fillId="0" borderId="29" xfId="7" applyFont="1" applyBorder="1" applyAlignment="1" applyProtection="1">
      <alignment horizontal="center"/>
      <protection locked="0"/>
    </xf>
    <xf numFmtId="177" fontId="48" fillId="2" borderId="11" xfId="7" applyFont="1" applyFill="1" applyBorder="1" applyAlignment="1" applyProtection="1">
      <alignment horizontal="center" vertical="center" wrapText="1"/>
      <protection locked="0"/>
    </xf>
    <xf numFmtId="177" fontId="48" fillId="2" borderId="14" xfId="7" applyFont="1" applyFill="1" applyBorder="1" applyAlignment="1" applyProtection="1">
      <alignment horizontal="center" vertical="center" wrapText="1"/>
      <protection locked="0"/>
    </xf>
    <xf numFmtId="177" fontId="48" fillId="2" borderId="15" xfId="7" applyFont="1" applyFill="1" applyBorder="1" applyAlignment="1" applyProtection="1">
      <alignment horizontal="center" vertical="center" wrapText="1"/>
      <protection locked="0"/>
    </xf>
    <xf numFmtId="177" fontId="48" fillId="0" borderId="71" xfId="7" applyFont="1" applyBorder="1" applyAlignment="1" applyProtection="1">
      <alignment horizontal="center" vertical="center" wrapText="1"/>
      <protection locked="0"/>
    </xf>
    <xf numFmtId="177" fontId="48" fillId="0" borderId="67" xfId="7" applyFont="1" applyBorder="1" applyAlignment="1" applyProtection="1">
      <alignment horizontal="center" vertical="center" wrapText="1"/>
      <protection locked="0"/>
    </xf>
    <xf numFmtId="177" fontId="48" fillId="0" borderId="70" xfId="7" applyFont="1" applyBorder="1" applyAlignment="1" applyProtection="1">
      <alignment horizontal="center" vertical="center" wrapText="1"/>
      <protection locked="0"/>
    </xf>
    <xf numFmtId="177" fontId="48" fillId="0" borderId="23" xfId="7" applyFont="1" applyBorder="1" applyAlignment="1" applyProtection="1">
      <alignment horizontal="center" vertical="center" wrapText="1"/>
      <protection locked="0"/>
    </xf>
    <xf numFmtId="177" fontId="48" fillId="0" borderId="27" xfId="7" applyFont="1" applyBorder="1" applyAlignment="1" applyProtection="1">
      <alignment horizontal="center" vertical="center" wrapText="1"/>
      <protection locked="0"/>
    </xf>
    <xf numFmtId="177" fontId="48" fillId="0" borderId="32" xfId="7" applyFont="1" applyBorder="1" applyAlignment="1" applyProtection="1">
      <alignment horizontal="center" vertical="center" wrapText="1"/>
      <protection locked="0"/>
    </xf>
    <xf numFmtId="177" fontId="48" fillId="2" borderId="71" xfId="7" applyFont="1" applyFill="1" applyBorder="1" applyAlignment="1" applyProtection="1">
      <alignment horizontal="center" vertical="center" wrapText="1"/>
      <protection locked="0"/>
    </xf>
    <xf numFmtId="177" fontId="48" fillId="2" borderId="67" xfId="7" applyFont="1" applyFill="1" applyBorder="1" applyAlignment="1" applyProtection="1">
      <alignment horizontal="center" vertical="center" wrapText="1"/>
      <protection locked="0"/>
    </xf>
    <xf numFmtId="177" fontId="48" fillId="2" borderId="70" xfId="7" applyFont="1" applyFill="1" applyBorder="1" applyAlignment="1" applyProtection="1">
      <alignment horizontal="center" vertical="center" wrapText="1"/>
      <protection locked="0"/>
    </xf>
    <xf numFmtId="177" fontId="48" fillId="2" borderId="23" xfId="7" applyFont="1" applyFill="1" applyBorder="1" applyAlignment="1" applyProtection="1">
      <alignment horizontal="center" vertical="center" wrapText="1"/>
      <protection locked="0"/>
    </xf>
    <xf numFmtId="177" fontId="48" fillId="2" borderId="27" xfId="7" applyFont="1" applyFill="1" applyBorder="1" applyAlignment="1" applyProtection="1">
      <alignment horizontal="center" vertical="center" wrapText="1"/>
      <protection locked="0"/>
    </xf>
    <xf numFmtId="177" fontId="48" fillId="2" borderId="32" xfId="7" applyFont="1" applyFill="1" applyBorder="1" applyAlignment="1" applyProtection="1">
      <alignment horizontal="center" vertical="center" wrapText="1"/>
      <protection locked="0"/>
    </xf>
    <xf numFmtId="177" fontId="48" fillId="0" borderId="16" xfId="7" applyFont="1" applyBorder="1" applyAlignment="1" applyProtection="1">
      <alignment horizontal="center" vertical="center" wrapText="1"/>
      <protection locked="0"/>
    </xf>
    <xf numFmtId="177" fontId="48" fillId="0" borderId="17" xfId="7" applyFont="1" applyBorder="1" applyAlignment="1" applyProtection="1">
      <alignment horizontal="center" vertical="center" wrapText="1"/>
      <protection locked="0"/>
    </xf>
    <xf numFmtId="177" fontId="48" fillId="0" borderId="18" xfId="7" applyFont="1" applyBorder="1" applyAlignment="1" applyProtection="1">
      <alignment horizontal="center" vertical="center" wrapText="1"/>
      <protection locked="0"/>
    </xf>
    <xf numFmtId="177" fontId="43" fillId="0" borderId="26" xfId="7" applyFont="1" applyBorder="1" applyAlignment="1" applyProtection="1">
      <alignment horizontal="center" vertical="center" textRotation="90"/>
      <protection locked="0"/>
    </xf>
    <xf numFmtId="177" fontId="43" fillId="0" borderId="24" xfId="7" applyFont="1" applyBorder="1" applyAlignment="1" applyProtection="1">
      <alignment horizontal="center" vertical="center" textRotation="90"/>
      <protection locked="0"/>
    </xf>
    <xf numFmtId="177" fontId="43" fillId="0" borderId="25" xfId="7" applyFont="1" applyBorder="1" applyAlignment="1" applyProtection="1">
      <alignment horizontal="center" vertical="center" textRotation="90"/>
      <protection locked="0"/>
    </xf>
    <xf numFmtId="177" fontId="43" fillId="0" borderId="68" xfId="7" applyFont="1" applyBorder="1" applyAlignment="1" applyProtection="1">
      <alignment horizontal="center" vertical="center" wrapText="1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37" xfId="7" applyFont="1" applyBorder="1" applyAlignment="1" applyProtection="1">
      <alignment horizontal="center" vertical="center"/>
      <protection locked="0"/>
    </xf>
    <xf numFmtId="177" fontId="48" fillId="0" borderId="3" xfId="7" applyFont="1" applyBorder="1" applyAlignment="1" applyProtection="1">
      <alignment horizontal="right" vertical="center"/>
      <protection locked="0"/>
    </xf>
    <xf numFmtId="177" fontId="48" fillId="0" borderId="9" xfId="7" applyFont="1" applyBorder="1" applyAlignment="1" applyProtection="1">
      <alignment horizontal="right" vertical="center"/>
      <protection locked="0"/>
    </xf>
    <xf numFmtId="177" fontId="43" fillId="3" borderId="26" xfId="7" applyFont="1" applyFill="1" applyBorder="1" applyAlignment="1" applyProtection="1">
      <alignment horizontal="center" vertical="center" textRotation="90"/>
      <protection locked="0"/>
    </xf>
    <xf numFmtId="177" fontId="43" fillId="3" borderId="24" xfId="7" applyFont="1" applyFill="1" applyBorder="1" applyAlignment="1" applyProtection="1">
      <alignment horizontal="center" vertical="center" textRotation="90"/>
      <protection locked="0"/>
    </xf>
    <xf numFmtId="177" fontId="43" fillId="3" borderId="25" xfId="7" applyFont="1" applyFill="1" applyBorder="1" applyAlignment="1" applyProtection="1">
      <alignment horizontal="center" vertical="center" textRotation="90"/>
      <protection locked="0"/>
    </xf>
    <xf numFmtId="177" fontId="48" fillId="2" borderId="3" xfId="7" applyFont="1" applyFill="1" applyBorder="1" applyAlignment="1" applyProtection="1">
      <alignment horizontal="right" vertical="center"/>
      <protection locked="0"/>
    </xf>
    <xf numFmtId="177" fontId="48" fillId="2" borderId="9" xfId="7" applyFont="1" applyFill="1" applyBorder="1" applyAlignment="1" applyProtection="1">
      <alignment horizontal="right" vertical="center"/>
      <protection locked="0"/>
    </xf>
    <xf numFmtId="177" fontId="48" fillId="0" borderId="3" xfId="7" applyFont="1" applyBorder="1" applyAlignment="1" applyProtection="1">
      <alignment horizontal="right"/>
      <protection locked="0"/>
    </xf>
    <xf numFmtId="177" fontId="48" fillId="0" borderId="9" xfId="7" applyFont="1" applyBorder="1" applyAlignment="1" applyProtection="1">
      <alignment horizontal="right"/>
      <protection locked="0"/>
    </xf>
    <xf numFmtId="177" fontId="48" fillId="2" borderId="3" xfId="7" applyFont="1" applyFill="1" applyBorder="1" applyAlignment="1" applyProtection="1">
      <alignment horizontal="right"/>
      <protection locked="0"/>
    </xf>
    <xf numFmtId="177" fontId="48" fillId="2" borderId="9" xfId="7" applyFont="1" applyFill="1" applyBorder="1" applyAlignment="1" applyProtection="1">
      <alignment horizontal="right"/>
      <protection locked="0"/>
    </xf>
    <xf numFmtId="177" fontId="48" fillId="0" borderId="41" xfId="7" applyFont="1" applyBorder="1" applyAlignment="1" applyProtection="1">
      <alignment horizontal="right"/>
      <protection locked="0"/>
    </xf>
    <xf numFmtId="177" fontId="48" fillId="0" borderId="22" xfId="7" applyFont="1" applyBorder="1" applyAlignment="1" applyProtection="1">
      <alignment horizontal="right"/>
      <protection locked="0"/>
    </xf>
    <xf numFmtId="177" fontId="48" fillId="0" borderId="43" xfId="7" applyFont="1" applyBorder="1" applyAlignment="1" applyProtection="1">
      <alignment horizontal="center" vertical="center" wrapText="1"/>
      <protection locked="0"/>
    </xf>
    <xf numFmtId="177" fontId="48" fillId="0" borderId="44" xfId="7" applyFont="1" applyBorder="1" applyAlignment="1" applyProtection="1">
      <alignment horizontal="center" vertical="center" wrapText="1"/>
      <protection locked="0"/>
    </xf>
    <xf numFmtId="177" fontId="48" fillId="0" borderId="45" xfId="7" applyFont="1" applyBorder="1" applyAlignment="1" applyProtection="1">
      <alignment horizontal="center" vertical="center" wrapText="1"/>
      <protection locked="0"/>
    </xf>
    <xf numFmtId="177" fontId="48" fillId="0" borderId="48" xfId="7" applyFont="1" applyBorder="1" applyAlignment="1" applyProtection="1">
      <alignment horizontal="left"/>
      <protection locked="0"/>
    </xf>
    <xf numFmtId="177" fontId="48" fillId="0" borderId="34" xfId="7" applyFont="1" applyBorder="1" applyAlignment="1" applyProtection="1">
      <alignment horizontal="left"/>
      <protection locked="0"/>
    </xf>
    <xf numFmtId="177" fontId="48" fillId="5" borderId="0" xfId="7" applyFont="1" applyFill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horizontal="center" vertical="center"/>
      <protection locked="0"/>
    </xf>
    <xf numFmtId="0" fontId="43" fillId="0" borderId="38" xfId="7" applyNumberFormat="1" applyFont="1" applyBorder="1" applyAlignment="1" applyProtection="1">
      <alignment horizontal="center"/>
      <protection locked="0"/>
    </xf>
    <xf numFmtId="0" fontId="43" fillId="0" borderId="54" xfId="7" applyNumberFormat="1" applyFont="1" applyBorder="1" applyAlignment="1" applyProtection="1">
      <alignment horizontal="center"/>
      <protection locked="0"/>
    </xf>
    <xf numFmtId="177" fontId="48" fillId="0" borderId="20" xfId="7" applyFont="1" applyBorder="1" applyAlignment="1" applyProtection="1">
      <alignment horizontal="left"/>
      <protection locked="0"/>
    </xf>
    <xf numFmtId="177" fontId="48" fillId="0" borderId="40" xfId="7" applyFont="1" applyBorder="1" applyAlignment="1" applyProtection="1">
      <alignment horizontal="left"/>
      <protection locked="0"/>
    </xf>
    <xf numFmtId="177" fontId="48" fillId="0" borderId="64" xfId="7" applyFont="1" applyBorder="1" applyAlignment="1" applyProtection="1">
      <alignment horizontal="left"/>
      <protection locked="0"/>
    </xf>
    <xf numFmtId="177" fontId="48" fillId="0" borderId="18" xfId="7" applyFont="1" applyBorder="1" applyAlignment="1" applyProtection="1">
      <alignment horizontal="left"/>
      <protection locked="0"/>
    </xf>
    <xf numFmtId="177" fontId="48" fillId="0" borderId="65" xfId="7" applyFont="1" applyBorder="1" applyAlignment="1" applyProtection="1">
      <alignment horizontal="left"/>
      <protection locked="0"/>
    </xf>
    <xf numFmtId="177" fontId="48" fillId="0" borderId="57" xfId="7" applyFont="1" applyBorder="1" applyAlignment="1" applyProtection="1">
      <alignment horizontal="left"/>
      <protection locked="0"/>
    </xf>
    <xf numFmtId="177" fontId="48" fillId="0" borderId="58" xfId="7" applyFont="1" applyBorder="1" applyAlignment="1" applyProtection="1">
      <alignment horizontal="center"/>
      <protection locked="0"/>
    </xf>
    <xf numFmtId="20" fontId="48" fillId="5" borderId="1" xfId="7" applyNumberFormat="1" applyFont="1" applyFill="1" applyBorder="1" applyAlignment="1" applyProtection="1">
      <alignment horizontal="center"/>
      <protection locked="0"/>
    </xf>
    <xf numFmtId="177" fontId="48" fillId="5" borderId="29" xfId="7" applyFont="1" applyFill="1" applyBorder="1" applyAlignment="1" applyProtection="1">
      <alignment horizontal="center"/>
      <protection locked="0"/>
    </xf>
    <xf numFmtId="177" fontId="48" fillId="0" borderId="7" xfId="7" applyFont="1" applyBorder="1" applyAlignment="1" applyProtection="1">
      <alignment horizontal="right" vertical="center"/>
      <protection locked="0"/>
    </xf>
    <xf numFmtId="177" fontId="48" fillId="0" borderId="48" xfId="7" applyFont="1" applyBorder="1" applyAlignment="1" applyProtection="1">
      <alignment horizontal="right" vertical="center"/>
      <protection locked="0"/>
    </xf>
    <xf numFmtId="177" fontId="48" fillId="0" borderId="66" xfId="7" applyFont="1" applyBorder="1" applyAlignment="1" applyProtection="1">
      <alignment horizontal="left"/>
      <protection locked="0"/>
    </xf>
    <xf numFmtId="177" fontId="48" fillId="0" borderId="45" xfId="7" applyFont="1" applyBorder="1" applyAlignment="1" applyProtection="1">
      <alignment horizontal="left"/>
      <protection locked="0"/>
    </xf>
    <xf numFmtId="2" fontId="48" fillId="5" borderId="1" xfId="7" applyNumberFormat="1" applyFont="1" applyFill="1" applyBorder="1" applyAlignment="1" applyProtection="1">
      <alignment horizontal="center"/>
      <protection locked="0"/>
    </xf>
    <xf numFmtId="2" fontId="48" fillId="5" borderId="29" xfId="7" applyNumberFormat="1" applyFont="1" applyFill="1" applyBorder="1" applyAlignment="1" applyProtection="1">
      <alignment horizontal="center"/>
      <protection locked="0"/>
    </xf>
  </cellXfs>
  <cellStyles count="23">
    <cellStyle name="Currency 2" xfId="19" xr:uid="{03640A65-0B71-418D-9057-780543F6B2E7}"/>
    <cellStyle name="Date" xfId="12" xr:uid="{F6222C40-C932-4D68-B03A-3ED01047F419}"/>
    <cellStyle name="Fixed" xfId="13" xr:uid="{FDDC00B9-3801-47C5-AFC2-44A28075AECD}"/>
    <cellStyle name="HEADING1" xfId="14" xr:uid="{C3A58CE7-9143-4DC5-9384-5D4D24EAB851}"/>
    <cellStyle name="HEADING2" xfId="15" xr:uid="{2D2A9A73-9F8A-4A4F-B359-7F632B36A07B}"/>
    <cellStyle name="Hyperlink" xfId="2" builtinId="8"/>
    <cellStyle name="Hyperlink 2" xfId="6" xr:uid="{C82E2637-8895-4E05-81C7-D072119221F7}"/>
    <cellStyle name="Hyperlink 3" xfId="18" xr:uid="{DAE5A935-241C-42B7-AF3E-DC9D550589C8}"/>
    <cellStyle name="Normal" xfId="0" builtinId="0"/>
    <cellStyle name="Normal 2" xfId="5" xr:uid="{45E6C126-5778-4DCB-9927-0054434E7F5B}"/>
    <cellStyle name="Normal 3" xfId="8" xr:uid="{2F0B4B0F-EC36-4299-A4F8-DBD7ACFD2E83}"/>
    <cellStyle name="Normal 4" xfId="4" xr:uid="{F7717741-8FF5-41F0-9F58-0D444AF6ED06}"/>
    <cellStyle name="Normal 42" xfId="7" xr:uid="{E9325181-F270-4D22-BBF0-88F118D6A720}"/>
    <cellStyle name="Normal 5" xfId="11" xr:uid="{9D76816A-8995-4D5A-9951-9BC399343754}"/>
    <cellStyle name="Normal 6" xfId="1" xr:uid="{F0747DFB-A011-4C51-88A2-8FE28769E943}"/>
    <cellStyle name="Normal 6 2" xfId="17" xr:uid="{9FEA04A6-1CDF-4099-B554-C7CEA2E993C0}"/>
    <cellStyle name="Normal 62" xfId="20" xr:uid="{AA55677A-1D3F-4F0D-B26A-BA286C1AD2DE}"/>
    <cellStyle name="Normal 63" xfId="21" xr:uid="{5E53CFCA-3313-4A02-812A-0936807D05DB}"/>
    <cellStyle name="Normal 64" xfId="22" xr:uid="{06666018-C6DA-4E75-BB71-B1083C0599E9}"/>
    <cellStyle name="Normal 7" xfId="16" xr:uid="{CD356E36-AE68-49C7-A69E-6D98E9ED82F2}"/>
    <cellStyle name="Normal_1" xfId="10" xr:uid="{CE761DC7-D384-4C09-A776-2142BD02C472}"/>
    <cellStyle name="Normal_503" xfId="9" xr:uid="{DB5C3CAE-182E-47E0-9367-5DD344A254C9}"/>
    <cellStyle name="Normal_omarslide 2" xfId="3" xr:uid="{5F26D75E-26BE-4360-A985-00B73A6479FC}"/>
  </cellStyles>
  <dxfs count="32"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  <dxf>
      <font>
        <b/>
        <i val="0"/>
      </font>
      <fill>
        <patternFill>
          <bgColor rgb="FFFF0000"/>
        </patternFill>
      </fill>
    </dxf>
    <dxf>
      <font>
        <color rgb="FFFFFFCC"/>
      </font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FFFFCC"/>
      </font>
      <fill>
        <patternFill patternType="solid">
          <bgColor rgb="FFFFFFCC"/>
        </patternFill>
      </fill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CCFFCC"/>
      </font>
    </dxf>
    <dxf>
      <font>
        <color rgb="FFFFFFCC"/>
      </font>
    </dxf>
    <dxf>
      <font>
        <color theme="0" tint="-4.9989318521683403E-2"/>
      </font>
    </dxf>
    <dxf>
      <font>
        <color rgb="FFCCFFCC"/>
      </font>
    </dxf>
    <dxf>
      <font>
        <color rgb="FFFFFFCC"/>
      </font>
    </dxf>
    <dxf>
      <font>
        <color rgb="FFCCFFCC"/>
      </font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00B0F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CCFFCC"/>
      </font>
    </dxf>
    <dxf>
      <font>
        <color rgb="FFCCFFCC"/>
      </font>
    </dxf>
    <dxf>
      <font>
        <color theme="0" tint="-4.9989318521683403E-2"/>
      </font>
    </dxf>
  </dxfs>
  <tableStyles count="0" defaultTableStyle="TableStyleMedium2" defaultPivotStyle="PivotStyleLight16"/>
  <colors>
    <mruColors>
      <color rgb="FFFFFFCC"/>
      <color rgb="FFCCFFCC"/>
      <color rgb="FF006E6E"/>
      <color rgb="FFFF9999"/>
      <color rgb="FFFF7C80"/>
      <color rgb="FF66FF33"/>
      <color rgb="FFFF9900"/>
      <color rgb="FFFF0000"/>
      <color rgb="FFFFFF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pin" dx="22" fmlaLink="$C$11" max="3" min="1" page="10" val="3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45720</xdr:rowOff>
        </xdr:from>
        <xdr:to>
          <xdr:col>16</xdr:col>
          <xdr:colOff>914400</xdr:colOff>
          <xdr:row>0</xdr:row>
          <xdr:rowOff>327660</xdr:rowOff>
        </xdr:to>
        <xdr:sp macro="" textlink="">
          <xdr:nvSpPr>
            <xdr:cNvPr id="46470" name="BtnOCRefresh" hidden="1">
              <a:extLst>
                <a:ext uri="{63B3BB69-23CF-44E3-9099-C40C66FF867C}">
                  <a14:compatExt spid="_x0000_s46470"/>
                </a:ext>
                <a:ext uri="{FF2B5EF4-FFF2-40B4-BE49-F238E27FC236}">
                  <a16:creationId xmlns:a16="http://schemas.microsoft.com/office/drawing/2014/main" id="{00000000-0008-0000-0000-000086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REFRESH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45720</xdr:rowOff>
        </xdr:from>
        <xdr:to>
          <xdr:col>11</xdr:col>
          <xdr:colOff>655320</xdr:colOff>
          <xdr:row>0</xdr:row>
          <xdr:rowOff>327660</xdr:rowOff>
        </xdr:to>
        <xdr:sp macro="" textlink="">
          <xdr:nvSpPr>
            <xdr:cNvPr id="46471" name="BtnOCRebuild" hidden="1">
              <a:extLst>
                <a:ext uri="{63B3BB69-23CF-44E3-9099-C40C66FF867C}">
                  <a14:compatExt spid="_x0000_s46471"/>
                </a:ext>
                <a:ext uri="{FF2B5EF4-FFF2-40B4-BE49-F238E27FC236}">
                  <a16:creationId xmlns:a16="http://schemas.microsoft.com/office/drawing/2014/main" id="{00000000-0008-0000-0000-000087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46472" name="BtnImportPlan" hidden="1">
              <a:extLst>
                <a:ext uri="{63B3BB69-23CF-44E3-9099-C40C66FF867C}">
                  <a14:compatExt spid="_x0000_s46472"/>
                </a:ext>
                <a:ext uri="{FF2B5EF4-FFF2-40B4-BE49-F238E27FC236}">
                  <a16:creationId xmlns:a16="http://schemas.microsoft.com/office/drawing/2014/main" id="{00000000-0008-0000-0000-000088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46473" name="BtnImportAC" hidden="1">
              <a:extLst>
                <a:ext uri="{63B3BB69-23CF-44E3-9099-C40C66FF867C}">
                  <a14:compatExt spid="_x0000_s46473"/>
                </a:ext>
                <a:ext uri="{FF2B5EF4-FFF2-40B4-BE49-F238E27FC236}">
                  <a16:creationId xmlns:a16="http://schemas.microsoft.com/office/drawing/2014/main" id="{00000000-0008-0000-0000-000089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AC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213360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9277" name="Button 61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2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213360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9278" name="Button 62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2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213360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9279" name="Button 63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2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213360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9280" name="Button 64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2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9282" name="Button 66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2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24</xdr:row>
          <xdr:rowOff>205740</xdr:rowOff>
        </xdr:from>
        <xdr:to>
          <xdr:col>8</xdr:col>
          <xdr:colOff>38100</xdr:colOff>
          <xdr:row>26</xdr:row>
          <xdr:rowOff>0</xdr:rowOff>
        </xdr:to>
        <xdr:sp macro="" textlink="">
          <xdr:nvSpPr>
            <xdr:cNvPr id="9287" name="Button 71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2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24</xdr:row>
          <xdr:rowOff>205740</xdr:rowOff>
        </xdr:from>
        <xdr:to>
          <xdr:col>8</xdr:col>
          <xdr:colOff>967740</xdr:colOff>
          <xdr:row>26</xdr:row>
          <xdr:rowOff>0</xdr:rowOff>
        </xdr:to>
        <xdr:sp macro="" textlink="">
          <xdr:nvSpPr>
            <xdr:cNvPr id="9288" name="Button 72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2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Mini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975360</xdr:colOff>
          <xdr:row>24</xdr:row>
          <xdr:rowOff>213360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9289" name="Button 73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00000000-0008-0000-0200-00004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Full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701040</xdr:colOff>
          <xdr:row>25</xdr:row>
          <xdr:rowOff>0</xdr:rowOff>
        </xdr:from>
        <xdr:to>
          <xdr:col>11</xdr:col>
          <xdr:colOff>716280</xdr:colOff>
          <xdr:row>26</xdr:row>
          <xdr:rowOff>0</xdr:rowOff>
        </xdr:to>
        <xdr:sp macro="" textlink="">
          <xdr:nvSpPr>
            <xdr:cNvPr id="9292" name="BtnImport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00000000-0008-0000-02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9309" name="BtnImport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2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0</xdr:rowOff>
        </xdr:from>
        <xdr:to>
          <xdr:col>10</xdr:col>
          <xdr:colOff>693420</xdr:colOff>
          <xdr:row>26</xdr:row>
          <xdr:rowOff>0</xdr:rowOff>
        </xdr:to>
        <xdr:sp macro="" textlink="">
          <xdr:nvSpPr>
            <xdr:cNvPr id="9311" name="btnCostsForm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2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Costs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11290" name="btnClearSlidesheetRanges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3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26</xdr:col>
          <xdr:colOff>0</xdr:colOff>
          <xdr:row>6</xdr:row>
          <xdr:rowOff>0</xdr:rowOff>
        </xdr:to>
        <xdr:sp macro="" textlink="">
          <xdr:nvSpPr>
            <xdr:cNvPr id="11291" name="btnPipeTallyForm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3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Calculator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12700</xdr:colOff>
      <xdr:row>0</xdr:row>
      <xdr:rowOff>25400</xdr:rowOff>
    </xdr:from>
    <xdr:to>
      <xdr:col>27</xdr:col>
      <xdr:colOff>487680</xdr:colOff>
      <xdr:row>5</xdr:row>
      <xdr:rowOff>178690</xdr:rowOff>
    </xdr:to>
    <xdr:sp macro="" textlink="">
      <xdr:nvSpPr>
        <xdr:cNvPr id="2" name="OCG_OutU">
          <a:extLst>
            <a:ext uri="{FF2B5EF4-FFF2-40B4-BE49-F238E27FC236}">
              <a16:creationId xmlns:a16="http://schemas.microsoft.com/office/drawing/2014/main" id="{89D76225-6C08-EDC9-7D83-70F90F4B7E74}"/>
            </a:ext>
          </a:extLst>
        </xdr:cNvPr>
        <xdr:cNvSpPr/>
      </xdr:nvSpPr>
      <xdr:spPr>
        <a:xfrm>
          <a:off x="16395700" y="25400"/>
          <a:ext cx="1282700" cy="1105790"/>
        </a:xfrm>
        <a:prstGeom prst="rect">
          <a:avLst/>
        </a:prstGeom>
        <a:solidFill>
          <a:srgbClr val="FFD7D7">
            <a:alpha val="65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5</xdr:row>
      <xdr:rowOff>189324</xdr:rowOff>
    </xdr:from>
    <xdr:to>
      <xdr:col>27</xdr:col>
      <xdr:colOff>487680</xdr:colOff>
      <xdr:row>6</xdr:row>
      <xdr:rowOff>165100</xdr:rowOff>
    </xdr:to>
    <xdr:sp macro="" textlink="">
      <xdr:nvSpPr>
        <xdr:cNvPr id="3" name="OCG_OutD">
          <a:extLst>
            <a:ext uri="{FF2B5EF4-FFF2-40B4-BE49-F238E27FC236}">
              <a16:creationId xmlns:a16="http://schemas.microsoft.com/office/drawing/2014/main" id="{FE6E433A-F553-5CE9-B93D-5149AD7A85C9}"/>
            </a:ext>
          </a:extLst>
        </xdr:cNvPr>
        <xdr:cNvSpPr/>
      </xdr:nvSpPr>
      <xdr:spPr>
        <a:xfrm>
          <a:off x="16395700" y="1141824"/>
          <a:ext cx="1282700" cy="166276"/>
        </a:xfrm>
        <a:prstGeom prst="rect">
          <a:avLst/>
        </a:prstGeom>
        <a:solidFill>
          <a:srgbClr val="FFD7D7">
            <a:alpha val="65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5</xdr:row>
      <xdr:rowOff>178690</xdr:rowOff>
    </xdr:from>
    <xdr:to>
      <xdr:col>27</xdr:col>
      <xdr:colOff>487680</xdr:colOff>
      <xdr:row>5</xdr:row>
      <xdr:rowOff>178690</xdr:rowOff>
    </xdr:to>
    <xdr:cxnSp macro="">
      <xdr:nvCxnSpPr>
        <xdr:cNvPr id="4" name="OCG_BandTop">
          <a:extLst>
            <a:ext uri="{FF2B5EF4-FFF2-40B4-BE49-F238E27FC236}">
              <a16:creationId xmlns:a16="http://schemas.microsoft.com/office/drawing/2014/main" id="{C1037688-F5DB-2B92-B006-97C905D1F5D3}"/>
            </a:ext>
          </a:extLst>
        </xdr:cNvPr>
        <xdr:cNvCxnSpPr/>
      </xdr:nvCxnSpPr>
      <xdr:spPr>
        <a:xfrm>
          <a:off x="16395700" y="1131190"/>
          <a:ext cx="1282700" cy="0"/>
        </a:xfrm>
        <a:prstGeom prst="line">
          <a:avLst/>
        </a:prstGeom>
        <a:ln w="19050">
          <a:solidFill>
            <a:srgbClr val="23824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12700</xdr:colOff>
      <xdr:row>5</xdr:row>
      <xdr:rowOff>189324</xdr:rowOff>
    </xdr:from>
    <xdr:to>
      <xdr:col>27</xdr:col>
      <xdr:colOff>487680</xdr:colOff>
      <xdr:row>5</xdr:row>
      <xdr:rowOff>189324</xdr:rowOff>
    </xdr:to>
    <xdr:cxnSp macro="">
      <xdr:nvCxnSpPr>
        <xdr:cNvPr id="5" name="OCG_BandBot">
          <a:extLst>
            <a:ext uri="{FF2B5EF4-FFF2-40B4-BE49-F238E27FC236}">
              <a16:creationId xmlns:a16="http://schemas.microsoft.com/office/drawing/2014/main" id="{96A0F2A3-24DB-5971-B5C8-2119528C4E5E}"/>
            </a:ext>
          </a:extLst>
        </xdr:cNvPr>
        <xdr:cNvCxnSpPr/>
      </xdr:nvCxnSpPr>
      <xdr:spPr>
        <a:xfrm>
          <a:off x="16395700" y="1141824"/>
          <a:ext cx="1282700" cy="0"/>
        </a:xfrm>
        <a:prstGeom prst="line">
          <a:avLst/>
        </a:prstGeom>
        <a:ln w="19050">
          <a:solidFill>
            <a:srgbClr val="23824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12700</xdr:colOff>
      <xdr:row>0</xdr:row>
      <xdr:rowOff>25400</xdr:rowOff>
    </xdr:from>
    <xdr:to>
      <xdr:col>27</xdr:col>
      <xdr:colOff>487680</xdr:colOff>
      <xdr:row>6</xdr:row>
      <xdr:rowOff>165100</xdr:rowOff>
    </xdr:to>
    <xdr:sp macro="" textlink="">
      <xdr:nvSpPr>
        <xdr:cNvPr id="6" name="OCG_Circle">
          <a:extLst>
            <a:ext uri="{FF2B5EF4-FFF2-40B4-BE49-F238E27FC236}">
              <a16:creationId xmlns:a16="http://schemas.microsoft.com/office/drawing/2014/main" id="{8800D840-96F0-C9B5-841F-42E149FD2747}"/>
            </a:ext>
          </a:extLst>
        </xdr:cNvPr>
        <xdr:cNvSpPr/>
      </xdr:nvSpPr>
      <xdr:spPr>
        <a:xfrm>
          <a:off x="16395700" y="25400"/>
          <a:ext cx="1282700" cy="1282700"/>
        </a:xfrm>
        <a:prstGeom prst="ellipse">
          <a:avLst/>
        </a:prstGeom>
        <a:noFill/>
        <a:ln w="22225" cap="flat" cmpd="sng" algn="ctr">
          <a:solidFill>
            <a:srgbClr val="1E1E1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3</xdr:row>
      <xdr:rowOff>95250</xdr:rowOff>
    </xdr:from>
    <xdr:to>
      <xdr:col>27</xdr:col>
      <xdr:colOff>487680</xdr:colOff>
      <xdr:row>3</xdr:row>
      <xdr:rowOff>95250</xdr:rowOff>
    </xdr:to>
    <xdr:cxnSp macro="">
      <xdr:nvCxnSpPr>
        <xdr:cNvPr id="7" name="OCG_AxX">
          <a:extLst>
            <a:ext uri="{FF2B5EF4-FFF2-40B4-BE49-F238E27FC236}">
              <a16:creationId xmlns:a16="http://schemas.microsoft.com/office/drawing/2014/main" id="{1BA7FC9F-D8D9-B92D-C8B7-E8039D4683F2}"/>
            </a:ext>
          </a:extLst>
        </xdr:cNvPr>
        <xdr:cNvCxnSpPr/>
      </xdr:nvCxnSpPr>
      <xdr:spPr>
        <a:xfrm>
          <a:off x="16395700" y="666750"/>
          <a:ext cx="1282700" cy="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654050</xdr:colOff>
      <xdr:row>0</xdr:row>
      <xdr:rowOff>25400</xdr:rowOff>
    </xdr:from>
    <xdr:to>
      <xdr:col>26</xdr:col>
      <xdr:colOff>654050</xdr:colOff>
      <xdr:row>6</xdr:row>
      <xdr:rowOff>165100</xdr:rowOff>
    </xdr:to>
    <xdr:cxnSp macro="">
      <xdr:nvCxnSpPr>
        <xdr:cNvPr id="8" name="OCG_AxY">
          <a:extLst>
            <a:ext uri="{FF2B5EF4-FFF2-40B4-BE49-F238E27FC236}">
              <a16:creationId xmlns:a16="http://schemas.microsoft.com/office/drawing/2014/main" id="{FAD55917-46ED-11FE-BBEE-41800B2249BF}"/>
            </a:ext>
          </a:extLst>
        </xdr:cNvPr>
        <xdr:cNvCxnSpPr/>
      </xdr:nvCxnSpPr>
      <xdr:spPr>
        <a:xfrm>
          <a:off x="17037050" y="25400"/>
          <a:ext cx="0" cy="128270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565150</xdr:colOff>
      <xdr:row>0</xdr:row>
      <xdr:rowOff>12700</xdr:rowOff>
    </xdr:from>
    <xdr:to>
      <xdr:col>26</xdr:col>
      <xdr:colOff>742950</xdr:colOff>
      <xdr:row>1</xdr:row>
      <xdr:rowOff>0</xdr:rowOff>
    </xdr:to>
    <xdr:sp macro="" textlink="">
      <xdr:nvSpPr>
        <xdr:cNvPr id="9" name="OCG_LblU">
          <a:extLst>
            <a:ext uri="{FF2B5EF4-FFF2-40B4-BE49-F238E27FC236}">
              <a16:creationId xmlns:a16="http://schemas.microsoft.com/office/drawing/2014/main" id="{E2324FC2-BE5C-8655-DECC-6B658D279395}"/>
            </a:ext>
          </a:extLst>
        </xdr:cNvPr>
        <xdr:cNvSpPr txBox="1"/>
      </xdr:nvSpPr>
      <xdr:spPr>
        <a:xfrm>
          <a:off x="16948150" y="12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U</a:t>
          </a:r>
        </a:p>
      </xdr:txBody>
    </xdr:sp>
    <xdr:clientData/>
  </xdr:twoCellAnchor>
  <xdr:twoCellAnchor>
    <xdr:from>
      <xdr:col>26</xdr:col>
      <xdr:colOff>565150</xdr:colOff>
      <xdr:row>6</xdr:row>
      <xdr:rowOff>12700</xdr:rowOff>
    </xdr:from>
    <xdr:to>
      <xdr:col>26</xdr:col>
      <xdr:colOff>742950</xdr:colOff>
      <xdr:row>7</xdr:row>
      <xdr:rowOff>0</xdr:rowOff>
    </xdr:to>
    <xdr:sp macro="" textlink="">
      <xdr:nvSpPr>
        <xdr:cNvPr id="10" name="OCG_LblD">
          <a:extLst>
            <a:ext uri="{FF2B5EF4-FFF2-40B4-BE49-F238E27FC236}">
              <a16:creationId xmlns:a16="http://schemas.microsoft.com/office/drawing/2014/main" id="{9EEE035C-5EAD-0E6B-1D03-1AB7BE9A8296}"/>
            </a:ext>
          </a:extLst>
        </xdr:cNvPr>
        <xdr:cNvSpPr txBox="1"/>
      </xdr:nvSpPr>
      <xdr:spPr>
        <a:xfrm>
          <a:off x="16948150" y="1155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D</a:t>
          </a:r>
        </a:p>
      </xdr:txBody>
    </xdr:sp>
    <xdr:clientData/>
  </xdr:twoCellAnchor>
  <xdr:twoCellAnchor>
    <xdr:from>
      <xdr:col>26</xdr:col>
      <xdr:colOff>25400</xdr:colOff>
      <xdr:row>3</xdr:row>
      <xdr:rowOff>6350</xdr:rowOff>
    </xdr:from>
    <xdr:to>
      <xdr:col>26</xdr:col>
      <xdr:colOff>203200</xdr:colOff>
      <xdr:row>3</xdr:row>
      <xdr:rowOff>184150</xdr:rowOff>
    </xdr:to>
    <xdr:sp macro="" textlink="">
      <xdr:nvSpPr>
        <xdr:cNvPr id="11" name="OCG_LblL">
          <a:extLst>
            <a:ext uri="{FF2B5EF4-FFF2-40B4-BE49-F238E27FC236}">
              <a16:creationId xmlns:a16="http://schemas.microsoft.com/office/drawing/2014/main" id="{48368BBF-6F03-557E-CFB9-038ECE7FE577}"/>
            </a:ext>
          </a:extLst>
        </xdr:cNvPr>
        <xdr:cNvSpPr txBox="1"/>
      </xdr:nvSpPr>
      <xdr:spPr>
        <a:xfrm>
          <a:off x="164084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L</a:t>
          </a:r>
        </a:p>
      </xdr:txBody>
    </xdr:sp>
    <xdr:clientData/>
  </xdr:twoCellAnchor>
  <xdr:twoCellAnchor>
    <xdr:from>
      <xdr:col>27</xdr:col>
      <xdr:colOff>322580</xdr:colOff>
      <xdr:row>3</xdr:row>
      <xdr:rowOff>6350</xdr:rowOff>
    </xdr:from>
    <xdr:to>
      <xdr:col>27</xdr:col>
      <xdr:colOff>500380</xdr:colOff>
      <xdr:row>3</xdr:row>
      <xdr:rowOff>184150</xdr:rowOff>
    </xdr:to>
    <xdr:sp macro="" textlink="">
      <xdr:nvSpPr>
        <xdr:cNvPr id="12" name="OCG_LblR">
          <a:extLst>
            <a:ext uri="{FF2B5EF4-FFF2-40B4-BE49-F238E27FC236}">
              <a16:creationId xmlns:a16="http://schemas.microsoft.com/office/drawing/2014/main" id="{F16A64F4-7338-7844-9480-473D1EE0DF1F}"/>
            </a:ext>
          </a:extLst>
        </xdr:cNvPr>
        <xdr:cNvSpPr txBox="1"/>
      </xdr:nvSpPr>
      <xdr:spPr>
        <a:xfrm>
          <a:off x="175133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R</a:t>
          </a:r>
        </a:p>
      </xdr:txBody>
    </xdr:sp>
    <xdr:clientData/>
  </xdr:twoCellAnchor>
  <xdr:twoCellAnchor>
    <xdr:from>
      <xdr:col>26</xdr:col>
      <xdr:colOff>615950</xdr:colOff>
      <xdr:row>3</xdr:row>
      <xdr:rowOff>57150</xdr:rowOff>
    </xdr:from>
    <xdr:to>
      <xdr:col>26</xdr:col>
      <xdr:colOff>692150</xdr:colOff>
      <xdr:row>3</xdr:row>
      <xdr:rowOff>133350</xdr:rowOff>
    </xdr:to>
    <xdr:sp macro="" textlink="">
      <xdr:nvSpPr>
        <xdr:cNvPr id="13" name="OCG_Plan">
          <a:extLst>
            <a:ext uri="{FF2B5EF4-FFF2-40B4-BE49-F238E27FC236}">
              <a16:creationId xmlns:a16="http://schemas.microsoft.com/office/drawing/2014/main" id="{D2D1CB1E-4F52-B899-A6C8-B475500B006F}"/>
            </a:ext>
          </a:extLst>
        </xdr:cNvPr>
        <xdr:cNvSpPr/>
      </xdr:nvSpPr>
      <xdr:spPr>
        <a:xfrm>
          <a:off x="16998950" y="628650"/>
          <a:ext cx="76200" cy="76200"/>
        </a:xfrm>
        <a:prstGeom prst="ellipse">
          <a:avLst/>
        </a:prstGeom>
        <a:solidFill>
          <a:srgbClr val="005A5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88900</xdr:colOff>
      <xdr:row>3</xdr:row>
      <xdr:rowOff>95250</xdr:rowOff>
    </xdr:from>
    <xdr:to>
      <xdr:col>26</xdr:col>
      <xdr:colOff>654050</xdr:colOff>
      <xdr:row>5</xdr:row>
      <xdr:rowOff>181413</xdr:rowOff>
    </xdr:to>
    <xdr:cxnSp macro="">
      <xdr:nvCxnSpPr>
        <xdr:cNvPr id="14" name="OCG_VecB">
          <a:extLst>
            <a:ext uri="{FF2B5EF4-FFF2-40B4-BE49-F238E27FC236}">
              <a16:creationId xmlns:a16="http://schemas.microsoft.com/office/drawing/2014/main" id="{855BAB15-9C8B-B083-AAED-F6ABD0CF19A9}"/>
            </a:ext>
          </a:extLst>
        </xdr:cNvPr>
        <xdr:cNvCxnSpPr/>
      </xdr:nvCxnSpPr>
      <xdr:spPr>
        <a:xfrm flipH="1">
          <a:off x="16471900" y="666750"/>
          <a:ext cx="565150" cy="467163"/>
        </a:xfrm>
        <a:prstGeom prst="line">
          <a:avLst/>
        </a:prstGeom>
        <a:ln w="19050">
          <a:solidFill>
            <a:srgbClr val="005ABE"/>
          </a:solidFill>
          <a:prstDash val="dash"/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31750</xdr:colOff>
      <xdr:row>5</xdr:row>
      <xdr:rowOff>124263</xdr:rowOff>
    </xdr:from>
    <xdr:to>
      <xdr:col>26</xdr:col>
      <xdr:colOff>146050</xdr:colOff>
      <xdr:row>6</xdr:row>
      <xdr:rowOff>48063</xdr:rowOff>
    </xdr:to>
    <xdr:sp macro="" textlink="">
      <xdr:nvSpPr>
        <xdr:cNvPr id="15" name="OCG_DotB">
          <a:extLst>
            <a:ext uri="{FF2B5EF4-FFF2-40B4-BE49-F238E27FC236}">
              <a16:creationId xmlns:a16="http://schemas.microsoft.com/office/drawing/2014/main" id="{458273A2-433E-EF3A-3CF3-0A0D35D04D40}"/>
            </a:ext>
          </a:extLst>
        </xdr:cNvPr>
        <xdr:cNvSpPr/>
      </xdr:nvSpPr>
      <xdr:spPr>
        <a:xfrm>
          <a:off x="16414750" y="1076763"/>
          <a:ext cx="114300" cy="114300"/>
        </a:xfrm>
        <a:prstGeom prst="ellipse">
          <a:avLst/>
        </a:prstGeom>
        <a:solidFill>
          <a:srgbClr val="FFFFFF"/>
        </a:solidFill>
        <a:ln w="25400">
          <a:solidFill>
            <a:srgbClr val="005A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88900</xdr:colOff>
      <xdr:row>3</xdr:row>
      <xdr:rowOff>95250</xdr:rowOff>
    </xdr:from>
    <xdr:to>
      <xdr:col>26</xdr:col>
      <xdr:colOff>654050</xdr:colOff>
      <xdr:row>5</xdr:row>
      <xdr:rowOff>181698</xdr:rowOff>
    </xdr:to>
    <xdr:cxnSp macro="">
      <xdr:nvCxnSpPr>
        <xdr:cNvPr id="16" name="OCG_VecA">
          <a:extLst>
            <a:ext uri="{FF2B5EF4-FFF2-40B4-BE49-F238E27FC236}">
              <a16:creationId xmlns:a16="http://schemas.microsoft.com/office/drawing/2014/main" id="{7FE2498A-18B5-D4CC-51A2-3248FC825D41}"/>
            </a:ext>
          </a:extLst>
        </xdr:cNvPr>
        <xdr:cNvCxnSpPr/>
      </xdr:nvCxnSpPr>
      <xdr:spPr>
        <a:xfrm flipH="1">
          <a:off x="16471900" y="666750"/>
          <a:ext cx="565150" cy="467448"/>
        </a:xfrm>
        <a:prstGeom prst="line">
          <a:avLst/>
        </a:prstGeom>
        <a:ln w="25400">
          <a:solidFill>
            <a:srgbClr val="C0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31750</xdr:colOff>
      <xdr:row>5</xdr:row>
      <xdr:rowOff>124548</xdr:rowOff>
    </xdr:from>
    <xdr:to>
      <xdr:col>26</xdr:col>
      <xdr:colOff>146050</xdr:colOff>
      <xdr:row>6</xdr:row>
      <xdr:rowOff>48348</xdr:rowOff>
    </xdr:to>
    <xdr:sp macro="" textlink="">
      <xdr:nvSpPr>
        <xdr:cNvPr id="17" name="OCG_DotA">
          <a:extLst>
            <a:ext uri="{FF2B5EF4-FFF2-40B4-BE49-F238E27FC236}">
              <a16:creationId xmlns:a16="http://schemas.microsoft.com/office/drawing/2014/main" id="{C7FAF703-8A9B-E10E-30A8-A824E99CB1F9}"/>
            </a:ext>
          </a:extLst>
        </xdr:cNvPr>
        <xdr:cNvSpPr/>
      </xdr:nvSpPr>
      <xdr:spPr>
        <a:xfrm>
          <a:off x="16414750" y="1077048"/>
          <a:ext cx="114300" cy="114300"/>
        </a:xfrm>
        <a:prstGeom prst="ellipse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27</xdr:col>
      <xdr:colOff>695960</xdr:colOff>
      <xdr:row>0</xdr:row>
      <xdr:rowOff>12700</xdr:rowOff>
    </xdr:from>
    <xdr:to>
      <xdr:col>28</xdr:col>
      <xdr:colOff>802640</xdr:colOff>
      <xdr:row>0</xdr:row>
      <xdr:rowOff>177800</xdr:rowOff>
    </xdr:to>
    <xdr:sp macro="" textlink="">
      <xdr:nvSpPr>
        <xdr:cNvPr id="18" name="OCG_Mode">
          <a:extLst>
            <a:ext uri="{FF2B5EF4-FFF2-40B4-BE49-F238E27FC236}">
              <a16:creationId xmlns:a16="http://schemas.microsoft.com/office/drawing/2014/main" id="{189E7433-7681-931C-CE6B-A698AB76425A}"/>
            </a:ext>
          </a:extLst>
        </xdr:cNvPr>
        <xdr:cNvSpPr txBox="1"/>
      </xdr:nvSpPr>
      <xdr:spPr>
        <a:xfrm>
          <a:off x="17886680" y="12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282828"/>
              </a:solidFill>
              <a:latin typeface="Consolas" panose="020B0609020204030204" pitchFamily="49" charset="0"/>
            </a:rPr>
            <a:t>GRAVITY</a:t>
          </a:r>
        </a:p>
      </xdr:txBody>
    </xdr:sp>
    <xdr:clientData/>
  </xdr:twoCellAnchor>
  <xdr:twoCellAnchor>
    <xdr:from>
      <xdr:col>27</xdr:col>
      <xdr:colOff>695960</xdr:colOff>
      <xdr:row>0</xdr:row>
      <xdr:rowOff>165100</xdr:rowOff>
    </xdr:from>
    <xdr:to>
      <xdr:col>28</xdr:col>
      <xdr:colOff>802640</xdr:colOff>
      <xdr:row>1</xdr:row>
      <xdr:rowOff>127000</xdr:rowOff>
    </xdr:to>
    <xdr:sp macro="" textlink="">
      <xdr:nvSpPr>
        <xdr:cNvPr id="19" name="OCG_RdY">
          <a:extLst>
            <a:ext uri="{FF2B5EF4-FFF2-40B4-BE49-F238E27FC236}">
              <a16:creationId xmlns:a16="http://schemas.microsoft.com/office/drawing/2014/main" id="{06BF8BD9-999C-5B9F-CD68-F758C344F3B3}"/>
            </a:ext>
          </a:extLst>
        </xdr:cNvPr>
        <xdr:cNvSpPr txBox="1"/>
      </xdr:nvSpPr>
      <xdr:spPr>
        <a:xfrm>
          <a:off x="17886680" y="165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DN 175.84m</a:t>
          </a:r>
        </a:p>
      </xdr:txBody>
    </xdr:sp>
    <xdr:clientData/>
  </xdr:twoCellAnchor>
  <xdr:twoCellAnchor>
    <xdr:from>
      <xdr:col>27</xdr:col>
      <xdr:colOff>695960</xdr:colOff>
      <xdr:row>1</xdr:row>
      <xdr:rowOff>127000</xdr:rowOff>
    </xdr:from>
    <xdr:to>
      <xdr:col>28</xdr:col>
      <xdr:colOff>802640</xdr:colOff>
      <xdr:row>2</xdr:row>
      <xdr:rowOff>88900</xdr:rowOff>
    </xdr:to>
    <xdr:sp macro="" textlink="">
      <xdr:nvSpPr>
        <xdr:cNvPr id="20" name="OCG_RdX">
          <a:extLst>
            <a:ext uri="{FF2B5EF4-FFF2-40B4-BE49-F238E27FC236}">
              <a16:creationId xmlns:a16="http://schemas.microsoft.com/office/drawing/2014/main" id="{34F90A6D-D77C-DF81-FADB-5951DCFD5E09}"/>
            </a:ext>
          </a:extLst>
        </xdr:cNvPr>
        <xdr:cNvSpPr txBox="1"/>
      </xdr:nvSpPr>
      <xdr:spPr>
        <a:xfrm>
          <a:off x="17886680" y="317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LT 1373.52m</a:t>
          </a:r>
        </a:p>
      </xdr:txBody>
    </xdr:sp>
    <xdr:clientData/>
  </xdr:twoCellAnchor>
  <xdr:twoCellAnchor>
    <xdr:from>
      <xdr:col>27</xdr:col>
      <xdr:colOff>695960</xdr:colOff>
      <xdr:row>2</xdr:row>
      <xdr:rowOff>88900</xdr:rowOff>
    </xdr:from>
    <xdr:to>
      <xdr:col>28</xdr:col>
      <xdr:colOff>802640</xdr:colOff>
      <xdr:row>3</xdr:row>
      <xdr:rowOff>50800</xdr:rowOff>
    </xdr:to>
    <xdr:sp macro="" textlink="">
      <xdr:nvSpPr>
        <xdr:cNvPr id="21" name="OCG_RdT">
          <a:extLst>
            <a:ext uri="{FF2B5EF4-FFF2-40B4-BE49-F238E27FC236}">
              <a16:creationId xmlns:a16="http://schemas.microsoft.com/office/drawing/2014/main" id="{0F07C40D-D88E-069E-1B62-5B507F64A9AA}"/>
            </a:ext>
          </a:extLst>
        </xdr:cNvPr>
        <xdr:cNvSpPr txBox="1"/>
      </xdr:nvSpPr>
      <xdr:spPr>
        <a:xfrm>
          <a:off x="17886680" y="469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1384.73m</a:t>
          </a:r>
        </a:p>
      </xdr:txBody>
    </xdr:sp>
    <xdr:clientData/>
  </xdr:twoCellAnchor>
  <xdr:twoCellAnchor>
    <xdr:from>
      <xdr:col>27</xdr:col>
      <xdr:colOff>695960</xdr:colOff>
      <xdr:row>3</xdr:row>
      <xdr:rowOff>76200</xdr:rowOff>
    </xdr:from>
    <xdr:to>
      <xdr:col>28</xdr:col>
      <xdr:colOff>802640</xdr:colOff>
      <xdr:row>4</xdr:row>
      <xdr:rowOff>50800</xdr:rowOff>
    </xdr:to>
    <xdr:sp macro="" textlink="">
      <xdr:nvSpPr>
        <xdr:cNvPr id="22" name="OCG_PtbHdr">
          <a:extLst>
            <a:ext uri="{FF2B5EF4-FFF2-40B4-BE49-F238E27FC236}">
              <a16:creationId xmlns:a16="http://schemas.microsoft.com/office/drawing/2014/main" id="{2F8D371F-A2E8-5910-E215-30A0FE0CA391}"/>
            </a:ext>
          </a:extLst>
        </xdr:cNvPr>
        <xdr:cNvSpPr txBox="1"/>
      </xdr:nvSpPr>
      <xdr:spPr>
        <a:xfrm>
          <a:off x="17886680" y="647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005ABE"/>
              </a:solidFill>
              <a:latin typeface="Consolas" panose="020B0609020204030204" pitchFamily="49" charset="0"/>
            </a:rPr>
            <a:t>PTB</a:t>
          </a:r>
        </a:p>
      </xdr:txBody>
    </xdr:sp>
    <xdr:clientData/>
  </xdr:twoCellAnchor>
  <xdr:twoCellAnchor>
    <xdr:from>
      <xdr:col>27</xdr:col>
      <xdr:colOff>695960</xdr:colOff>
      <xdr:row>4</xdr:row>
      <xdr:rowOff>38100</xdr:rowOff>
    </xdr:from>
    <xdr:to>
      <xdr:col>28</xdr:col>
      <xdr:colOff>802640</xdr:colOff>
      <xdr:row>5</xdr:row>
      <xdr:rowOff>0</xdr:rowOff>
    </xdr:to>
    <xdr:sp macro="" textlink="">
      <xdr:nvSpPr>
        <xdr:cNvPr id="23" name="OCG_PtbY">
          <a:extLst>
            <a:ext uri="{FF2B5EF4-FFF2-40B4-BE49-F238E27FC236}">
              <a16:creationId xmlns:a16="http://schemas.microsoft.com/office/drawing/2014/main" id="{88662CEE-74B7-62F3-FAB5-CE7747DC1299}"/>
            </a:ext>
          </a:extLst>
        </xdr:cNvPr>
        <xdr:cNvSpPr txBox="1"/>
      </xdr:nvSpPr>
      <xdr:spPr>
        <a:xfrm>
          <a:off x="17886680" y="800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DN 175.73m</a:t>
          </a:r>
        </a:p>
      </xdr:txBody>
    </xdr:sp>
    <xdr:clientData/>
  </xdr:twoCellAnchor>
  <xdr:twoCellAnchor>
    <xdr:from>
      <xdr:col>27</xdr:col>
      <xdr:colOff>695960</xdr:colOff>
      <xdr:row>5</xdr:row>
      <xdr:rowOff>0</xdr:rowOff>
    </xdr:from>
    <xdr:to>
      <xdr:col>28</xdr:col>
      <xdr:colOff>802640</xdr:colOff>
      <xdr:row>5</xdr:row>
      <xdr:rowOff>152400</xdr:rowOff>
    </xdr:to>
    <xdr:sp macro="" textlink="">
      <xdr:nvSpPr>
        <xdr:cNvPr id="24" name="OCG_PtbX">
          <a:extLst>
            <a:ext uri="{FF2B5EF4-FFF2-40B4-BE49-F238E27FC236}">
              <a16:creationId xmlns:a16="http://schemas.microsoft.com/office/drawing/2014/main" id="{4C8EB3BE-E1B6-A3E6-EBBB-F485A540AF6D}"/>
            </a:ext>
          </a:extLst>
        </xdr:cNvPr>
        <xdr:cNvSpPr txBox="1"/>
      </xdr:nvSpPr>
      <xdr:spPr>
        <a:xfrm>
          <a:off x="17886680" y="952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LT 1381.88m</a:t>
          </a:r>
        </a:p>
      </xdr:txBody>
    </xdr:sp>
    <xdr:clientData/>
  </xdr:twoCellAnchor>
  <xdr:twoCellAnchor>
    <xdr:from>
      <xdr:col>27</xdr:col>
      <xdr:colOff>695960</xdr:colOff>
      <xdr:row>5</xdr:row>
      <xdr:rowOff>152400</xdr:rowOff>
    </xdr:from>
    <xdr:to>
      <xdr:col>28</xdr:col>
      <xdr:colOff>802640</xdr:colOff>
      <xdr:row>6</xdr:row>
      <xdr:rowOff>114300</xdr:rowOff>
    </xdr:to>
    <xdr:sp macro="" textlink="">
      <xdr:nvSpPr>
        <xdr:cNvPr id="25" name="OCG_PtbT">
          <a:extLst>
            <a:ext uri="{FF2B5EF4-FFF2-40B4-BE49-F238E27FC236}">
              <a16:creationId xmlns:a16="http://schemas.microsoft.com/office/drawing/2014/main" id="{77300E85-4713-143C-7FC8-E3865FD3932C}"/>
            </a:ext>
          </a:extLst>
        </xdr:cNvPr>
        <xdr:cNvSpPr txBox="1"/>
      </xdr:nvSpPr>
      <xdr:spPr>
        <a:xfrm>
          <a:off x="17886680" y="1104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1393.00m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63490" name="Spinner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45720</xdr:rowOff>
        </xdr:from>
        <xdr:to>
          <xdr:col>3</xdr:col>
          <xdr:colOff>716280</xdr:colOff>
          <xdr:row>19</xdr:row>
          <xdr:rowOff>68580</xdr:rowOff>
        </xdr:to>
        <xdr:sp macro="" textlink="">
          <xdr:nvSpPr>
            <xdr:cNvPr id="63491" name="btnAppendTallyBitDepth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4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To Slidesheet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9299" name="BHABtn_1" hidden="1">
              <a:extLst>
                <a:ext uri="{63B3BB69-23CF-44E3-9099-C40C66FF867C}">
                  <a14:compatExt spid="_x0000_s39299"/>
                </a:ext>
                <a:ext uri="{FF2B5EF4-FFF2-40B4-BE49-F238E27FC236}">
                  <a16:creationId xmlns:a16="http://schemas.microsoft.com/office/drawing/2014/main" id="{00000000-0008-0000-0500-000083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300" name="BHABtn_2" hidden="1">
              <a:extLst>
                <a:ext uri="{63B3BB69-23CF-44E3-9099-C40C66FF867C}">
                  <a14:compatExt spid="_x0000_s39300"/>
                </a:ext>
                <a:ext uri="{FF2B5EF4-FFF2-40B4-BE49-F238E27FC236}">
                  <a16:creationId xmlns:a16="http://schemas.microsoft.com/office/drawing/2014/main" id="{00000000-0008-0000-0500-000084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9301" name="BHABtn_3" hidden="1">
              <a:extLst>
                <a:ext uri="{63B3BB69-23CF-44E3-9099-C40C66FF867C}">
                  <a14:compatExt spid="_x0000_s39301"/>
                </a:ext>
                <a:ext uri="{FF2B5EF4-FFF2-40B4-BE49-F238E27FC236}">
                  <a16:creationId xmlns:a16="http://schemas.microsoft.com/office/drawing/2014/main" id="{00000000-0008-0000-0500-000085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39302" name="BHABtn_4" hidden="1">
              <a:extLst>
                <a:ext uri="{63B3BB69-23CF-44E3-9099-C40C66FF867C}">
                  <a14:compatExt spid="_x0000_s39302"/>
                </a:ext>
                <a:ext uri="{FF2B5EF4-FFF2-40B4-BE49-F238E27FC236}">
                  <a16:creationId xmlns:a16="http://schemas.microsoft.com/office/drawing/2014/main" id="{00000000-0008-0000-0500-000086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9303" name="BHABtn_5" hidden="1">
              <a:extLst>
                <a:ext uri="{63B3BB69-23CF-44E3-9099-C40C66FF867C}">
                  <a14:compatExt spid="_x0000_s39303"/>
                </a:ext>
                <a:ext uri="{FF2B5EF4-FFF2-40B4-BE49-F238E27FC236}">
                  <a16:creationId xmlns:a16="http://schemas.microsoft.com/office/drawing/2014/main" id="{00000000-0008-0000-0500-000087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9304" name="BHABtn_6" hidden="1">
              <a:extLst>
                <a:ext uri="{63B3BB69-23CF-44E3-9099-C40C66FF867C}">
                  <a14:compatExt spid="_x0000_s39304"/>
                </a:ext>
                <a:ext uri="{FF2B5EF4-FFF2-40B4-BE49-F238E27FC236}">
                  <a16:creationId xmlns:a16="http://schemas.microsoft.com/office/drawing/2014/main" id="{00000000-0008-0000-0500-000088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BHA6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39305" name="BtnImport" hidden="1">
              <a:extLst>
                <a:ext uri="{63B3BB69-23CF-44E3-9099-C40C66FF867C}">
                  <a14:compatExt spid="_x0000_s39305"/>
                </a:ext>
                <a:ext uri="{FF2B5EF4-FFF2-40B4-BE49-F238E27FC236}">
                  <a16:creationId xmlns:a16="http://schemas.microsoft.com/office/drawing/2014/main" id="{00000000-0008-0000-0500-000089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9306" name="BtnRebuild" hidden="1">
              <a:extLst>
                <a:ext uri="{63B3BB69-23CF-44E3-9099-C40C66FF867C}">
                  <a14:compatExt spid="_x0000_s39306"/>
                </a:ext>
                <a:ext uri="{FF2B5EF4-FFF2-40B4-BE49-F238E27FC236}">
                  <a16:creationId xmlns:a16="http://schemas.microsoft.com/office/drawing/2014/main" id="{00000000-0008-0000-0500-00008A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AppData\Local\Temp\pt_restore_source.xlsm" TargetMode="External"/><Relationship Id="rId1" Type="http://schemas.openxmlformats.org/officeDocument/2006/relationships/externalLinkPath" Target="file:///C:\Users\User\AppData\Local\Temp\pt_restore_sour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Costs"/>
      <sheetName val="Slidesheet"/>
      <sheetName val="Data"/>
      <sheetName val="Misc"/>
      <sheetName val="Pipe Tally Calculator"/>
      <sheetName val="DD Tools"/>
      <sheetName val="Sidetrack Points"/>
      <sheetName val="Sidetrack"/>
      <sheetName val="_FC_Job"/>
      <sheetName val="_FC_Crew"/>
      <sheetName val="_FC_BHA"/>
      <sheetName val="_OC_Job"/>
      <sheetName val="_OC_Crew"/>
      <sheetName val="_OC_BHA"/>
      <sheetName val="_OC_Slide"/>
      <sheetName val="_OC_Inventory"/>
      <sheetName val="_OC_Survey"/>
      <sheetName val="_OC_AC"/>
      <sheetName val="_OC_Costs"/>
    </sheetNames>
    <sheetDataSet>
      <sheetData sheetId="0" refreshError="1"/>
      <sheetData sheetId="1" refreshError="1"/>
      <sheetData sheetId="2">
        <row r="2">
          <cell r="D2" t="str">
            <v>PARA HZ ELMWORTH 13-14-71-12 - sinclairdrill</v>
          </cell>
          <cell r="U2">
            <v>2747</v>
          </cell>
          <cell r="V2">
            <v>0</v>
          </cell>
          <cell r="W2">
            <v>39.729999999999997</v>
          </cell>
          <cell r="X2">
            <v>2755.97</v>
          </cell>
        </row>
        <row r="3">
          <cell r="U3">
            <v>2983.24</v>
          </cell>
          <cell r="V3">
            <v>45.39</v>
          </cell>
          <cell r="W3">
            <v>39.729999999999997</v>
          </cell>
          <cell r="X3">
            <v>2956.2</v>
          </cell>
        </row>
        <row r="4">
          <cell r="U4">
            <v>3013.23</v>
          </cell>
          <cell r="V4">
            <v>45.39</v>
          </cell>
          <cell r="W4">
            <v>39.729999999999997</v>
          </cell>
          <cell r="X4">
            <v>2981.27</v>
          </cell>
        </row>
        <row r="5">
          <cell r="U5">
            <v>3297.63</v>
          </cell>
          <cell r="V5">
            <v>90</v>
          </cell>
          <cell r="W5">
            <v>0</v>
          </cell>
          <cell r="X5">
            <v>3086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sam.rivera@demo-dd.example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github.com/freebrew/OpenCap_PHX_Exporter" TargetMode="External"/><Relationship Id="rId1" Type="http://schemas.openxmlformats.org/officeDocument/2006/relationships/hyperlink" Target="https://chromewebstore.google.com/detail/opencap-data-exporter/egafclljokidcoiipaiojlaamgkooffb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hyperlink" Target="mailto:taylor.brooks@demo-sales.example" TargetMode="External"/><Relationship Id="rId10" Type="http://schemas.openxmlformats.org/officeDocument/2006/relationships/ctrlProp" Target="../ctrlProps/ctrlProp3.xml"/><Relationship Id="rId4" Type="http://schemas.openxmlformats.org/officeDocument/2006/relationships/hyperlink" Target="mailto:riley.chen@demo-mwd.example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BB46-B8A0-45F3-9DED-7D76AD34FAF7}">
  <sheetPr codeName="Sheet4">
    <tabColor rgb="FF00B050"/>
  </sheetPr>
  <dimension ref="A1:W251"/>
  <sheetViews>
    <sheetView showGridLines="0" zoomScaleNormal="100" workbookViewId="0">
      <pane ySplit="2" topLeftCell="A3" activePane="bottomLeft" state="frozen"/>
      <selection pane="bottomLeft" sqref="A1:R1"/>
    </sheetView>
  </sheetViews>
  <sheetFormatPr defaultRowHeight="12" x14ac:dyDescent="0.25"/>
  <cols>
    <col min="1" max="1" width="2.21875" style="539" customWidth="1"/>
    <col min="2" max="2" width="11.77734375" style="539" customWidth="1"/>
    <col min="3" max="3" width="8.77734375" style="539" customWidth="1"/>
    <col min="4" max="4" width="15.77734375" style="539" customWidth="1"/>
    <col min="5" max="5" width="9.77734375" style="539" customWidth="1"/>
    <col min="6" max="6" width="14.77734375" style="539" customWidth="1"/>
    <col min="7" max="7" width="13.77734375" style="539" customWidth="1"/>
    <col min="8" max="8" width="8.77734375" style="539" customWidth="1"/>
    <col min="9" max="9" width="2.5546875" style="539" customWidth="1"/>
    <col min="10" max="10" width="10.77734375" style="539" customWidth="1"/>
    <col min="11" max="11" width="4.77734375" style="539" customWidth="1"/>
    <col min="12" max="12" width="17.77734375" style="539" customWidth="1"/>
    <col min="13" max="13" width="4.77734375" style="539" customWidth="1"/>
    <col min="14" max="16" width="8.88671875" style="539"/>
    <col min="17" max="17" width="18.77734375" style="539" customWidth="1"/>
    <col min="18" max="20" width="8.77734375" style="539" customWidth="1"/>
    <col min="21" max="21" width="20.77734375" style="539" customWidth="1"/>
    <col min="22" max="22" width="17.77734375" style="539" customWidth="1"/>
    <col min="23" max="23" width="10.77734375" style="539" customWidth="1"/>
    <col min="24" max="16384" width="8.88671875" style="539"/>
  </cols>
  <sheetData>
    <row r="1" spans="1:23" ht="30" customHeight="1" x14ac:dyDescent="0.3">
      <c r="A1" s="701" t="s">
        <v>477</v>
      </c>
      <c r="B1" s="701"/>
      <c r="C1" s="701"/>
      <c r="D1" s="701"/>
      <c r="E1" s="701"/>
      <c r="F1" s="701"/>
      <c r="G1" s="701"/>
      <c r="H1" s="701"/>
      <c r="I1" s="701"/>
      <c r="J1" s="701"/>
      <c r="K1" s="701"/>
      <c r="L1" s="701"/>
      <c r="M1" s="701"/>
      <c r="N1" s="701"/>
      <c r="O1" s="701"/>
      <c r="P1" s="701"/>
      <c r="Q1" s="701"/>
      <c r="R1" s="701"/>
      <c r="S1"/>
      <c r="T1"/>
      <c r="U1"/>
      <c r="V1"/>
      <c r="W1"/>
    </row>
    <row r="2" spans="1:23" ht="3" customHeight="1" x14ac:dyDescent="0.3">
      <c r="A2" s="542"/>
      <c r="B2" s="542"/>
      <c r="C2" s="542"/>
      <c r="D2" s="542"/>
      <c r="E2" s="542"/>
      <c r="F2" s="542"/>
      <c r="G2" s="542"/>
      <c r="H2" s="542"/>
      <c r="I2" s="542"/>
      <c r="J2" s="542"/>
      <c r="K2" s="542"/>
      <c r="L2" s="542"/>
      <c r="M2" s="542"/>
      <c r="N2" s="542"/>
      <c r="O2" s="542"/>
      <c r="P2" s="542"/>
      <c r="Q2" s="542"/>
      <c r="R2" s="542"/>
      <c r="S2"/>
      <c r="T2"/>
      <c r="U2"/>
      <c r="V2"/>
      <c r="W2"/>
    </row>
    <row r="3" spans="1:23" ht="16.05" customHeight="1" x14ac:dyDescent="0.3">
      <c r="A3" s="706" t="s">
        <v>478</v>
      </c>
      <c r="B3" s="707"/>
      <c r="C3" s="707"/>
      <c r="D3" s="707"/>
      <c r="E3" s="707"/>
      <c r="F3" s="707"/>
      <c r="G3" s="707"/>
      <c r="H3" s="708"/>
      <c r="J3" s="706" t="s">
        <v>951</v>
      </c>
      <c r="K3" s="707"/>
      <c r="L3" s="707"/>
      <c r="M3" s="707"/>
      <c r="N3" s="707"/>
      <c r="O3" s="707"/>
      <c r="P3" s="707"/>
      <c r="Q3" s="707"/>
      <c r="R3" s="708"/>
      <c r="S3"/>
      <c r="T3"/>
      <c r="U3"/>
      <c r="V3"/>
      <c r="W3"/>
    </row>
    <row r="4" spans="1:23" ht="10.95" customHeight="1" x14ac:dyDescent="0.3">
      <c r="A4" s="573"/>
      <c r="B4" s="709" t="s">
        <v>479</v>
      </c>
      <c r="C4" s="709"/>
      <c r="D4" s="710" t="s">
        <v>910</v>
      </c>
      <c r="E4" s="710"/>
      <c r="F4" s="602" t="s">
        <v>481</v>
      </c>
      <c r="G4" s="711" t="s">
        <v>564</v>
      </c>
      <c r="H4" s="712"/>
      <c r="J4" s="578" t="s">
        <v>530</v>
      </c>
      <c r="K4" s="749" t="s">
        <v>531</v>
      </c>
      <c r="L4" s="749"/>
      <c r="M4" s="749" t="s">
        <v>532</v>
      </c>
      <c r="N4" s="749"/>
      <c r="O4" s="749"/>
      <c r="P4" s="749" t="s">
        <v>533</v>
      </c>
      <c r="Q4" s="749"/>
      <c r="R4" s="750"/>
      <c r="S4"/>
      <c r="T4"/>
      <c r="U4"/>
      <c r="V4"/>
      <c r="W4"/>
    </row>
    <row r="5" spans="1:23" ht="12" customHeight="1" x14ac:dyDescent="0.3">
      <c r="A5" s="574"/>
      <c r="B5" s="702" t="s">
        <v>482</v>
      </c>
      <c r="C5" s="702"/>
      <c r="D5" s="703" t="s">
        <v>909</v>
      </c>
      <c r="E5" s="703"/>
      <c r="F5" s="571" t="s">
        <v>483</v>
      </c>
      <c r="G5" s="704" t="s">
        <v>353</v>
      </c>
      <c r="H5" s="705"/>
      <c r="J5" s="604" t="s">
        <v>629</v>
      </c>
      <c r="K5" s="732" t="s">
        <v>927</v>
      </c>
      <c r="L5" s="732"/>
      <c r="M5" s="733" t="s">
        <v>928</v>
      </c>
      <c r="N5" s="733"/>
      <c r="O5" s="733"/>
      <c r="P5" s="733" t="s">
        <v>929</v>
      </c>
      <c r="Q5" s="733"/>
      <c r="R5" s="734"/>
      <c r="S5"/>
      <c r="T5"/>
      <c r="U5"/>
      <c r="V5"/>
      <c r="W5"/>
    </row>
    <row r="6" spans="1:23" ht="12" customHeight="1" x14ac:dyDescent="0.3">
      <c r="A6" s="574"/>
      <c r="B6" s="702" t="s">
        <v>484</v>
      </c>
      <c r="C6" s="702"/>
      <c r="D6" s="703" t="s">
        <v>912</v>
      </c>
      <c r="E6" s="703"/>
      <c r="F6" s="571" t="s">
        <v>284</v>
      </c>
      <c r="G6" s="704" t="s">
        <v>908</v>
      </c>
      <c r="H6" s="705"/>
      <c r="J6" s="605" t="s">
        <v>643</v>
      </c>
      <c r="K6" s="713" t="s">
        <v>930</v>
      </c>
      <c r="L6" s="713"/>
      <c r="M6" s="714" t="s">
        <v>931</v>
      </c>
      <c r="N6" s="714"/>
      <c r="O6" s="714"/>
      <c r="P6" s="714" t="s">
        <v>932</v>
      </c>
      <c r="Q6" s="714"/>
      <c r="R6" s="715"/>
      <c r="S6"/>
      <c r="T6"/>
      <c r="U6"/>
      <c r="V6"/>
      <c r="W6"/>
    </row>
    <row r="7" spans="1:23" ht="12" customHeight="1" x14ac:dyDescent="0.3">
      <c r="A7" s="574"/>
      <c r="B7" s="702" t="s">
        <v>485</v>
      </c>
      <c r="C7" s="702"/>
      <c r="D7" s="703" t="s">
        <v>914</v>
      </c>
      <c r="E7" s="703"/>
      <c r="F7" s="571" t="s">
        <v>486</v>
      </c>
      <c r="G7" s="704">
        <v>990001</v>
      </c>
      <c r="H7" s="705"/>
      <c r="J7" s="604" t="s">
        <v>629</v>
      </c>
      <c r="K7" s="732" t="s">
        <v>933</v>
      </c>
      <c r="L7" s="732"/>
      <c r="M7" s="733" t="s">
        <v>934</v>
      </c>
      <c r="N7" s="733"/>
      <c r="O7" s="733"/>
      <c r="P7" s="733" t="s">
        <v>935</v>
      </c>
      <c r="Q7" s="733"/>
      <c r="R7" s="734"/>
      <c r="S7"/>
      <c r="T7"/>
      <c r="U7"/>
      <c r="V7"/>
      <c r="W7"/>
    </row>
    <row r="8" spans="1:23" ht="12" customHeight="1" x14ac:dyDescent="0.3">
      <c r="A8" s="574"/>
      <c r="B8" s="702" t="s">
        <v>487</v>
      </c>
      <c r="C8" s="702"/>
      <c r="D8" s="703" t="s">
        <v>902</v>
      </c>
      <c r="E8" s="703"/>
      <c r="F8" s="571" t="s">
        <v>488</v>
      </c>
      <c r="G8" s="704" t="s">
        <v>459</v>
      </c>
      <c r="H8" s="705"/>
      <c r="J8" s="605"/>
      <c r="K8" s="716"/>
      <c r="L8" s="716"/>
      <c r="M8" s="714"/>
      <c r="N8" s="714"/>
      <c r="O8" s="714"/>
      <c r="P8" s="714"/>
      <c r="Q8" s="714"/>
      <c r="R8" s="715"/>
      <c r="S8"/>
      <c r="T8"/>
      <c r="U8"/>
      <c r="V8"/>
      <c r="W8"/>
    </row>
    <row r="9" spans="1:23" ht="12" customHeight="1" x14ac:dyDescent="0.3">
      <c r="A9" s="574"/>
      <c r="B9" s="702" t="s">
        <v>489</v>
      </c>
      <c r="C9" s="702"/>
      <c r="D9" s="703" t="s">
        <v>691</v>
      </c>
      <c r="E9" s="703"/>
      <c r="F9" s="571" t="s">
        <v>490</v>
      </c>
      <c r="G9" s="717"/>
      <c r="H9" s="718"/>
      <c r="J9" s="604"/>
      <c r="K9" s="783"/>
      <c r="L9" s="783"/>
      <c r="M9" s="733"/>
      <c r="N9" s="733"/>
      <c r="O9" s="733"/>
      <c r="P9" s="733"/>
      <c r="Q9" s="733"/>
      <c r="R9" s="734"/>
      <c r="S9"/>
      <c r="T9"/>
      <c r="U9"/>
      <c r="V9"/>
      <c r="W9"/>
    </row>
    <row r="10" spans="1:23" ht="12" customHeight="1" x14ac:dyDescent="0.3">
      <c r="A10" s="575"/>
      <c r="B10" s="719" t="s">
        <v>491</v>
      </c>
      <c r="C10" s="719"/>
      <c r="D10" s="720" t="s">
        <v>563</v>
      </c>
      <c r="E10" s="720"/>
      <c r="F10" s="572" t="s">
        <v>492</v>
      </c>
      <c r="G10" s="721" t="b">
        <v>1</v>
      </c>
      <c r="H10" s="722"/>
      <c r="J10" s="605"/>
      <c r="K10" s="716"/>
      <c r="L10" s="716"/>
      <c r="M10" s="714"/>
      <c r="N10" s="714"/>
      <c r="O10" s="714"/>
      <c r="P10" s="714"/>
      <c r="Q10" s="714"/>
      <c r="R10" s="715"/>
      <c r="S10"/>
      <c r="T10"/>
      <c r="U10"/>
      <c r="V10"/>
      <c r="W10"/>
    </row>
    <row r="11" spans="1:23" ht="18" customHeight="1" x14ac:dyDescent="0.3">
      <c r="A11" s="540"/>
      <c r="H11" s="541"/>
      <c r="J11" s="606" t="s">
        <v>399</v>
      </c>
      <c r="K11" s="780" t="s">
        <v>549</v>
      </c>
      <c r="L11" s="780"/>
      <c r="M11" s="780" t="s">
        <v>550</v>
      </c>
      <c r="N11" s="780"/>
      <c r="O11" s="780" t="s">
        <v>146</v>
      </c>
      <c r="P11" s="780"/>
      <c r="Q11" s="781" t="s">
        <v>551</v>
      </c>
      <c r="R11" s="782"/>
      <c r="S11"/>
      <c r="T11"/>
      <c r="U11"/>
      <c r="V11"/>
      <c r="W11"/>
    </row>
    <row r="12" spans="1:23" ht="16.05" customHeight="1" x14ac:dyDescent="0.3">
      <c r="A12" s="735" t="s">
        <v>493</v>
      </c>
      <c r="B12" s="736"/>
      <c r="C12" s="736"/>
      <c r="D12" s="736"/>
      <c r="E12" s="736"/>
      <c r="F12" s="736"/>
      <c r="G12" s="736"/>
      <c r="H12" s="737"/>
      <c r="J12" s="607">
        <v>1</v>
      </c>
      <c r="K12" s="755">
        <v>570</v>
      </c>
      <c r="L12" s="755"/>
      <c r="M12" s="755">
        <v>426.95</v>
      </c>
      <c r="N12" s="755"/>
      <c r="O12" s="756">
        <v>33.194000000000003</v>
      </c>
      <c r="P12" s="756"/>
      <c r="Q12" s="757" t="s">
        <v>952</v>
      </c>
      <c r="R12" s="758"/>
      <c r="S12"/>
      <c r="T12"/>
      <c r="U12"/>
      <c r="V12"/>
      <c r="W12"/>
    </row>
    <row r="13" spans="1:23" ht="16.05" customHeight="1" x14ac:dyDescent="0.3">
      <c r="A13" s="573"/>
      <c r="B13" s="709" t="s">
        <v>494</v>
      </c>
      <c r="C13" s="709"/>
      <c r="D13" s="710" t="s">
        <v>692</v>
      </c>
      <c r="E13" s="710"/>
      <c r="F13" s="602" t="s">
        <v>181</v>
      </c>
      <c r="G13" s="711" t="s">
        <v>693</v>
      </c>
      <c r="H13" s="712"/>
      <c r="J13" s="608">
        <v>2</v>
      </c>
      <c r="K13" s="759">
        <v>542.46</v>
      </c>
      <c r="L13" s="759"/>
      <c r="M13" s="759">
        <v>426.51</v>
      </c>
      <c r="N13" s="759"/>
      <c r="O13" s="760">
        <v>33.256999999999998</v>
      </c>
      <c r="P13" s="760"/>
      <c r="Q13" s="761" t="s">
        <v>952</v>
      </c>
      <c r="R13" s="762"/>
      <c r="S13"/>
      <c r="T13"/>
      <c r="U13"/>
      <c r="V13"/>
      <c r="W13"/>
    </row>
    <row r="14" spans="1:23" ht="16.95" customHeight="1" x14ac:dyDescent="0.3">
      <c r="A14" s="574"/>
      <c r="B14" s="702" t="s">
        <v>495</v>
      </c>
      <c r="C14" s="702"/>
      <c r="D14" s="703" t="s">
        <v>694</v>
      </c>
      <c r="E14" s="703"/>
      <c r="F14" s="571" t="s">
        <v>496</v>
      </c>
      <c r="G14" s="704" t="s">
        <v>695</v>
      </c>
      <c r="H14" s="705"/>
      <c r="J14"/>
      <c r="K14"/>
      <c r="L14"/>
      <c r="M14"/>
      <c r="N14"/>
      <c r="O14"/>
      <c r="P14"/>
      <c r="Q14"/>
      <c r="R14"/>
      <c r="S14"/>
      <c r="T14"/>
      <c r="U14"/>
      <c r="V14"/>
      <c r="W14"/>
    </row>
    <row r="15" spans="1:23" ht="16.95" customHeight="1" x14ac:dyDescent="0.3">
      <c r="A15" s="574"/>
      <c r="B15" s="702" t="s">
        <v>497</v>
      </c>
      <c r="C15" s="702"/>
      <c r="D15" s="703" t="s">
        <v>918</v>
      </c>
      <c r="E15" s="703"/>
      <c r="F15" s="571" t="s">
        <v>498</v>
      </c>
      <c r="G15" s="704" t="s">
        <v>905</v>
      </c>
      <c r="H15" s="705"/>
      <c r="J15"/>
      <c r="K15"/>
      <c r="L15"/>
      <c r="M15"/>
      <c r="N15"/>
      <c r="O15"/>
      <c r="P15"/>
      <c r="Q15"/>
      <c r="R15"/>
      <c r="S15"/>
      <c r="T15"/>
      <c r="U15"/>
      <c r="V15"/>
      <c r="W15"/>
    </row>
    <row r="16" spans="1:23" ht="16.95" customHeight="1" x14ac:dyDescent="0.3">
      <c r="A16" s="575"/>
      <c r="B16" s="719" t="s">
        <v>2</v>
      </c>
      <c r="C16" s="719"/>
      <c r="D16" s="720" t="s">
        <v>696</v>
      </c>
      <c r="E16" s="720"/>
      <c r="F16" s="572" t="s">
        <v>499</v>
      </c>
      <c r="G16" s="721" t="s">
        <v>353</v>
      </c>
      <c r="H16" s="722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ht="19.95" customHeight="1" x14ac:dyDescent="0.3">
      <c r="A17" s="540"/>
      <c r="H17" s="541"/>
      <c r="S17"/>
      <c r="T17"/>
      <c r="U17"/>
      <c r="V17"/>
      <c r="W17"/>
    </row>
    <row r="18" spans="1:23" ht="18" customHeight="1" x14ac:dyDescent="0.3">
      <c r="A18" s="735" t="s">
        <v>500</v>
      </c>
      <c r="B18" s="736"/>
      <c r="C18" s="736"/>
      <c r="D18" s="736"/>
      <c r="E18" s="736"/>
      <c r="F18" s="736"/>
      <c r="G18" s="736"/>
      <c r="H18" s="737"/>
      <c r="J18" s="707" t="s">
        <v>534</v>
      </c>
      <c r="K18" s="707"/>
      <c r="L18" s="707"/>
      <c r="M18" s="707"/>
      <c r="N18" s="707"/>
      <c r="O18" s="707"/>
      <c r="P18" s="707"/>
      <c r="Q18" s="707"/>
      <c r="R18" s="707"/>
      <c r="S18"/>
      <c r="T18"/>
      <c r="U18"/>
      <c r="V18"/>
      <c r="W18"/>
    </row>
    <row r="19" spans="1:23" ht="13.95" customHeight="1" x14ac:dyDescent="0.3">
      <c r="A19" s="573"/>
      <c r="B19" s="709" t="s">
        <v>501</v>
      </c>
      <c r="C19" s="709"/>
      <c r="D19" s="710" t="s">
        <v>697</v>
      </c>
      <c r="E19" s="710"/>
      <c r="F19" s="602" t="s">
        <v>502</v>
      </c>
      <c r="G19" s="711" t="s">
        <v>562</v>
      </c>
      <c r="H19" s="712"/>
      <c r="J19" s="603" t="s">
        <v>535</v>
      </c>
      <c r="K19" s="749" t="s">
        <v>536</v>
      </c>
      <c r="L19" s="749"/>
      <c r="M19" s="749" t="s">
        <v>537</v>
      </c>
      <c r="N19" s="749"/>
      <c r="O19" s="749"/>
      <c r="P19" s="603" t="s">
        <v>538</v>
      </c>
      <c r="Q19" s="749" t="s">
        <v>539</v>
      </c>
      <c r="R19" s="749"/>
      <c r="S19"/>
      <c r="T19"/>
      <c r="U19"/>
      <c r="V19"/>
      <c r="W19"/>
    </row>
    <row r="20" spans="1:23" ht="18" customHeight="1" x14ac:dyDescent="0.3">
      <c r="A20" s="574"/>
      <c r="B20" s="702" t="s">
        <v>297</v>
      </c>
      <c r="C20" s="702"/>
      <c r="D20" s="703" t="s">
        <v>698</v>
      </c>
      <c r="E20" s="703"/>
      <c r="F20" s="571" t="s">
        <v>503</v>
      </c>
      <c r="G20" s="738">
        <v>46219</v>
      </c>
      <c r="H20" s="705"/>
      <c r="J20" s="581" t="s">
        <v>756</v>
      </c>
      <c r="K20" s="763" t="s">
        <v>540</v>
      </c>
      <c r="L20" s="763"/>
      <c r="M20" s="766" t="s">
        <v>936</v>
      </c>
      <c r="N20" s="766"/>
      <c r="O20" s="766"/>
      <c r="P20" s="579">
        <v>1</v>
      </c>
      <c r="Q20" s="764" t="s">
        <v>937</v>
      </c>
      <c r="R20" s="765"/>
      <c r="S20"/>
      <c r="T20"/>
      <c r="U20"/>
      <c r="V20"/>
      <c r="W20"/>
    </row>
    <row r="21" spans="1:23" ht="18" customHeight="1" x14ac:dyDescent="0.3">
      <c r="A21" s="574"/>
      <c r="B21" s="702" t="s">
        <v>334</v>
      </c>
      <c r="C21" s="702"/>
      <c r="D21" s="703" t="s">
        <v>699</v>
      </c>
      <c r="E21" s="703"/>
      <c r="F21" s="571" t="s">
        <v>335</v>
      </c>
      <c r="G21" s="704">
        <v>0.56311599999999995</v>
      </c>
      <c r="H21" s="705"/>
      <c r="J21" s="582" t="s">
        <v>756</v>
      </c>
      <c r="K21" s="739" t="s">
        <v>541</v>
      </c>
      <c r="L21" s="739"/>
      <c r="M21" s="744" t="s">
        <v>938</v>
      </c>
      <c r="N21" s="744"/>
      <c r="O21" s="744"/>
      <c r="P21" s="580">
        <v>3</v>
      </c>
      <c r="Q21" s="753" t="s">
        <v>939</v>
      </c>
      <c r="R21" s="754"/>
      <c r="S21"/>
      <c r="T21"/>
      <c r="U21"/>
      <c r="V21"/>
      <c r="W21"/>
    </row>
    <row r="22" spans="1:23" ht="18" customHeight="1" x14ac:dyDescent="0.3">
      <c r="A22" s="574"/>
      <c r="B22" s="702" t="s">
        <v>504</v>
      </c>
      <c r="C22" s="702"/>
      <c r="D22" s="703" t="s">
        <v>700</v>
      </c>
      <c r="E22" s="703"/>
      <c r="F22" s="571" t="s">
        <v>505</v>
      </c>
      <c r="G22" s="704">
        <v>0.25</v>
      </c>
      <c r="H22" s="705"/>
      <c r="J22" s="582" t="s">
        <v>756</v>
      </c>
      <c r="K22" s="739" t="s">
        <v>542</v>
      </c>
      <c r="L22" s="739"/>
      <c r="M22" s="744" t="s">
        <v>940</v>
      </c>
      <c r="N22" s="744"/>
      <c r="O22" s="744"/>
      <c r="P22" s="580">
        <v>110</v>
      </c>
      <c r="Q22" s="753" t="s">
        <v>941</v>
      </c>
      <c r="R22" s="754"/>
      <c r="S22"/>
      <c r="T22"/>
      <c r="U22"/>
      <c r="V22"/>
      <c r="W22"/>
    </row>
    <row r="23" spans="1:23" ht="18" customHeight="1" x14ac:dyDescent="0.3">
      <c r="A23" s="575"/>
      <c r="B23" s="719" t="s">
        <v>506</v>
      </c>
      <c r="C23" s="719"/>
      <c r="D23" s="720" t="s">
        <v>346</v>
      </c>
      <c r="E23" s="720"/>
      <c r="F23" s="572" t="s">
        <v>507</v>
      </c>
      <c r="G23" s="721" t="s">
        <v>348</v>
      </c>
      <c r="H23" s="722"/>
      <c r="J23" s="582" t="s">
        <v>756</v>
      </c>
      <c r="K23" s="739" t="s">
        <v>543</v>
      </c>
      <c r="L23" s="739"/>
      <c r="M23" s="744" t="s">
        <v>942</v>
      </c>
      <c r="N23" s="744"/>
      <c r="O23" s="744"/>
      <c r="P23" s="580">
        <v>18</v>
      </c>
      <c r="Q23" s="753" t="s">
        <v>943</v>
      </c>
      <c r="R23" s="754"/>
      <c r="S23"/>
      <c r="T23"/>
      <c r="U23"/>
      <c r="V23"/>
      <c r="W23"/>
    </row>
    <row r="24" spans="1:23" ht="18" customHeight="1" x14ac:dyDescent="0.3">
      <c r="A24" s="540"/>
      <c r="H24" s="541"/>
      <c r="J24" s="582" t="s">
        <v>756</v>
      </c>
      <c r="K24" s="739" t="s">
        <v>544</v>
      </c>
      <c r="L24" s="739"/>
      <c r="M24" s="744" t="s">
        <v>944</v>
      </c>
      <c r="N24" s="744"/>
      <c r="O24" s="744"/>
      <c r="P24" s="580">
        <v>145</v>
      </c>
      <c r="Q24" s="753" t="s">
        <v>945</v>
      </c>
      <c r="R24" s="754"/>
      <c r="S24"/>
      <c r="T24"/>
      <c r="U24"/>
      <c r="V24"/>
      <c r="W24"/>
    </row>
    <row r="25" spans="1:23" ht="18" customHeight="1" x14ac:dyDescent="0.3">
      <c r="A25" s="706" t="s">
        <v>508</v>
      </c>
      <c r="B25" s="707"/>
      <c r="C25" s="707"/>
      <c r="D25" s="707"/>
      <c r="E25" s="707"/>
      <c r="F25" s="707"/>
      <c r="G25" s="707"/>
      <c r="H25" s="708"/>
      <c r="J25" s="582" t="s">
        <v>756</v>
      </c>
      <c r="K25" s="739" t="s">
        <v>728</v>
      </c>
      <c r="L25" s="739"/>
      <c r="M25" s="744" t="s">
        <v>946</v>
      </c>
      <c r="N25" s="744"/>
      <c r="O25" s="744"/>
      <c r="P25" s="580">
        <v>20</v>
      </c>
      <c r="Q25" s="753" t="s">
        <v>947</v>
      </c>
      <c r="R25" s="754"/>
      <c r="S25"/>
      <c r="T25"/>
      <c r="U25"/>
      <c r="V25"/>
      <c r="W25"/>
    </row>
    <row r="26" spans="1:23" ht="16.05" customHeight="1" x14ac:dyDescent="0.3">
      <c r="A26" s="573"/>
      <c r="B26" s="709" t="s">
        <v>509</v>
      </c>
      <c r="C26" s="709"/>
      <c r="D26" s="710" t="s">
        <v>352</v>
      </c>
      <c r="E26" s="710"/>
      <c r="F26" s="602" t="s">
        <v>510</v>
      </c>
      <c r="G26" s="711" t="s">
        <v>349</v>
      </c>
      <c r="H26" s="712"/>
      <c r="J26" s="740" t="s">
        <v>948</v>
      </c>
      <c r="K26" s="741"/>
      <c r="L26" s="742" t="s">
        <v>949</v>
      </c>
      <c r="M26" s="743"/>
      <c r="N26" s="743"/>
      <c r="O26" s="743"/>
      <c r="P26" s="742" t="s">
        <v>950</v>
      </c>
      <c r="Q26" s="743"/>
      <c r="R26" s="779"/>
      <c r="S26"/>
      <c r="T26"/>
      <c r="U26"/>
      <c r="V26"/>
      <c r="W26"/>
    </row>
    <row r="27" spans="1:23" ht="19.95" customHeight="1" x14ac:dyDescent="0.3">
      <c r="A27" s="574"/>
      <c r="B27" s="702" t="s">
        <v>511</v>
      </c>
      <c r="C27" s="702"/>
      <c r="D27" s="703" t="s">
        <v>883</v>
      </c>
      <c r="E27" s="703"/>
      <c r="F27" s="571" t="s">
        <v>512</v>
      </c>
      <c r="G27" s="704" t="s">
        <v>346</v>
      </c>
      <c r="H27" s="705"/>
      <c r="J27" s="767" t="s">
        <v>545</v>
      </c>
      <c r="K27" s="768"/>
      <c r="L27" s="768"/>
      <c r="M27" s="768"/>
      <c r="N27" s="768"/>
      <c r="O27" s="768"/>
      <c r="P27" s="768"/>
      <c r="Q27" s="768"/>
      <c r="R27" s="769"/>
      <c r="S27"/>
      <c r="T27"/>
      <c r="U27"/>
      <c r="V27"/>
      <c r="W27"/>
    </row>
    <row r="28" spans="1:23" ht="12" customHeight="1" x14ac:dyDescent="0.3">
      <c r="A28" s="574"/>
      <c r="B28" s="702" t="s">
        <v>513</v>
      </c>
      <c r="C28" s="702"/>
      <c r="D28" s="703" t="s">
        <v>350</v>
      </c>
      <c r="E28" s="703"/>
      <c r="F28" s="571" t="s">
        <v>514</v>
      </c>
      <c r="G28" s="704" t="s">
        <v>346</v>
      </c>
      <c r="H28" s="705"/>
      <c r="J28" s="770" t="s">
        <v>546</v>
      </c>
      <c r="K28" s="749"/>
      <c r="L28" s="749"/>
      <c r="M28" s="749" t="s">
        <v>547</v>
      </c>
      <c r="N28" s="749"/>
      <c r="O28" s="749"/>
      <c r="P28" s="749"/>
      <c r="Q28" s="749"/>
      <c r="R28" s="750"/>
      <c r="S28"/>
      <c r="T28"/>
      <c r="U28"/>
      <c r="V28"/>
      <c r="W28"/>
    </row>
    <row r="29" spans="1:23" ht="22.05" customHeight="1" x14ac:dyDescent="0.3">
      <c r="A29" s="575"/>
      <c r="B29" s="719" t="s">
        <v>515</v>
      </c>
      <c r="C29" s="719"/>
      <c r="D29" s="720" t="s">
        <v>926</v>
      </c>
      <c r="E29" s="720"/>
      <c r="F29" s="572" t="s">
        <v>516</v>
      </c>
      <c r="G29" s="721" t="s">
        <v>349</v>
      </c>
      <c r="H29" s="722"/>
      <c r="J29" s="771"/>
      <c r="K29" s="772"/>
      <c r="L29" s="772"/>
      <c r="M29" s="773" t="s">
        <v>953</v>
      </c>
      <c r="N29" s="773"/>
      <c r="O29" s="773"/>
      <c r="P29" s="773"/>
      <c r="Q29" s="773"/>
      <c r="R29" s="774"/>
      <c r="S29"/>
      <c r="T29"/>
      <c r="U29"/>
      <c r="V29"/>
      <c r="W29"/>
    </row>
    <row r="30" spans="1:23" ht="22.05" customHeight="1" x14ac:dyDescent="0.3">
      <c r="A30" s="540"/>
      <c r="H30" s="541"/>
      <c r="J30" s="775"/>
      <c r="K30" s="776"/>
      <c r="L30" s="776"/>
      <c r="M30" s="777" t="s">
        <v>879</v>
      </c>
      <c r="N30" s="777"/>
      <c r="O30" s="777"/>
      <c r="P30" s="777"/>
      <c r="Q30" s="777"/>
      <c r="R30" s="778"/>
      <c r="S30"/>
      <c r="T30"/>
      <c r="U30"/>
      <c r="V30"/>
      <c r="W30"/>
    </row>
    <row r="31" spans="1:23" ht="18" customHeight="1" x14ac:dyDescent="0.3">
      <c r="A31" s="706" t="s">
        <v>517</v>
      </c>
      <c r="B31" s="707"/>
      <c r="C31" s="707"/>
      <c r="D31" s="707"/>
      <c r="E31" s="707"/>
      <c r="F31" s="707"/>
      <c r="G31" s="707"/>
      <c r="H31" s="708"/>
      <c r="S31"/>
      <c r="T31"/>
      <c r="U31"/>
      <c r="V31"/>
      <c r="W31"/>
    </row>
    <row r="32" spans="1:23" ht="18" customHeight="1" x14ac:dyDescent="0.3">
      <c r="A32" s="573"/>
      <c r="B32" s="709" t="s">
        <v>518</v>
      </c>
      <c r="C32" s="709"/>
      <c r="D32" s="710" t="s">
        <v>911</v>
      </c>
      <c r="E32" s="710"/>
      <c r="F32" s="602" t="s">
        <v>519</v>
      </c>
      <c r="G32" s="711" t="s">
        <v>897</v>
      </c>
      <c r="H32" s="712"/>
      <c r="J32" s="707" t="s">
        <v>548</v>
      </c>
      <c r="K32" s="707"/>
      <c r="L32" s="707"/>
      <c r="M32" s="707"/>
      <c r="N32" s="707"/>
      <c r="O32" s="707"/>
      <c r="P32" s="707"/>
      <c r="Q32" s="707"/>
      <c r="R32" s="707"/>
      <c r="S32"/>
      <c r="T32"/>
      <c r="U32"/>
      <c r="V32"/>
      <c r="W32"/>
    </row>
    <row r="33" spans="1:23" ht="16.05" customHeight="1" x14ac:dyDescent="0.3">
      <c r="A33" s="574"/>
      <c r="B33" s="702" t="s">
        <v>520</v>
      </c>
      <c r="C33" s="702"/>
      <c r="D33" s="703" t="s">
        <v>916</v>
      </c>
      <c r="E33" s="703"/>
      <c r="F33" s="571" t="s">
        <v>521</v>
      </c>
      <c r="G33" s="717"/>
      <c r="H33" s="718"/>
      <c r="J33" s="723"/>
      <c r="K33" s="724"/>
      <c r="L33" s="724"/>
      <c r="M33" s="724"/>
      <c r="N33" s="724"/>
      <c r="O33" s="724"/>
      <c r="P33" s="724"/>
      <c r="Q33" s="724"/>
      <c r="R33" s="725"/>
      <c r="S33"/>
      <c r="T33"/>
      <c r="U33"/>
      <c r="V33"/>
      <c r="W33"/>
    </row>
    <row r="34" spans="1:23" ht="16.05" customHeight="1" x14ac:dyDescent="0.3">
      <c r="A34" s="574"/>
      <c r="B34" s="702" t="s">
        <v>522</v>
      </c>
      <c r="C34" s="702"/>
      <c r="D34" s="703" t="s">
        <v>898</v>
      </c>
      <c r="E34" s="703"/>
      <c r="F34" s="571" t="s">
        <v>523</v>
      </c>
      <c r="G34" s="717"/>
      <c r="H34" s="718"/>
      <c r="J34" s="726"/>
      <c r="K34" s="727"/>
      <c r="L34" s="727"/>
      <c r="M34" s="727"/>
      <c r="N34" s="727"/>
      <c r="O34" s="727"/>
      <c r="P34" s="727"/>
      <c r="Q34" s="727"/>
      <c r="R34" s="728"/>
      <c r="S34"/>
      <c r="T34"/>
      <c r="U34"/>
      <c r="V34"/>
      <c r="W34"/>
    </row>
    <row r="35" spans="1:23" ht="16.05" customHeight="1" x14ac:dyDescent="0.3">
      <c r="A35" s="574"/>
      <c r="B35" s="702" t="s">
        <v>524</v>
      </c>
      <c r="C35" s="702"/>
      <c r="D35" s="703" t="s">
        <v>924</v>
      </c>
      <c r="E35" s="703"/>
      <c r="F35" s="571" t="s">
        <v>525</v>
      </c>
      <c r="G35" s="751" t="s">
        <v>896</v>
      </c>
      <c r="H35" s="752"/>
      <c r="J35" s="726"/>
      <c r="K35" s="727"/>
      <c r="L35" s="727"/>
      <c r="M35" s="727"/>
      <c r="N35" s="727"/>
      <c r="O35" s="727"/>
      <c r="P35" s="727"/>
      <c r="Q35" s="727"/>
      <c r="R35" s="728"/>
      <c r="S35"/>
      <c r="T35"/>
      <c r="U35"/>
      <c r="V35"/>
      <c r="W35"/>
    </row>
    <row r="36" spans="1:23" ht="16.05" customHeight="1" x14ac:dyDescent="0.3">
      <c r="A36" s="574"/>
      <c r="B36" s="702" t="s">
        <v>526</v>
      </c>
      <c r="C36" s="702"/>
      <c r="D36" s="703" t="s">
        <v>906</v>
      </c>
      <c r="E36" s="703"/>
      <c r="F36" s="571" t="s">
        <v>527</v>
      </c>
      <c r="G36" s="751" t="s">
        <v>922</v>
      </c>
      <c r="H36" s="752"/>
      <c r="J36" s="726"/>
      <c r="K36" s="727"/>
      <c r="L36" s="727"/>
      <c r="M36" s="727"/>
      <c r="N36" s="727"/>
      <c r="O36" s="727"/>
      <c r="P36" s="727"/>
      <c r="Q36" s="727"/>
      <c r="R36" s="728"/>
      <c r="S36"/>
      <c r="T36"/>
      <c r="U36"/>
      <c r="V36"/>
      <c r="W36"/>
    </row>
    <row r="37" spans="1:23" ht="16.05" customHeight="1" x14ac:dyDescent="0.3">
      <c r="A37" s="576"/>
      <c r="B37" s="745" t="s">
        <v>528</v>
      </c>
      <c r="C37" s="745"/>
      <c r="D37" s="746" t="s">
        <v>904</v>
      </c>
      <c r="E37" s="746"/>
      <c r="F37" s="577" t="s">
        <v>529</v>
      </c>
      <c r="G37" s="747" t="s">
        <v>899</v>
      </c>
      <c r="H37" s="748"/>
      <c r="J37" s="729"/>
      <c r="K37" s="730"/>
      <c r="L37" s="730"/>
      <c r="M37" s="730"/>
      <c r="N37" s="730"/>
      <c r="O37" s="730"/>
      <c r="P37" s="730"/>
      <c r="Q37" s="730"/>
      <c r="R37" s="731"/>
      <c r="S37"/>
      <c r="T37"/>
      <c r="U37"/>
      <c r="V37"/>
      <c r="W37"/>
    </row>
    <row r="38" spans="1:23" ht="16.05" customHeight="1" x14ac:dyDescent="0.3">
      <c r="S38"/>
      <c r="T38"/>
      <c r="U38"/>
      <c r="V38"/>
      <c r="W38"/>
    </row>
    <row r="39" spans="1:23" ht="16.05" customHeight="1" x14ac:dyDescent="0.3">
      <c r="S39"/>
      <c r="T39"/>
      <c r="U39"/>
      <c r="V39"/>
      <c r="W39"/>
    </row>
    <row r="40" spans="1:23" ht="16.05" customHeight="1" x14ac:dyDescent="0.3">
      <c r="S40"/>
      <c r="T40"/>
      <c r="U40"/>
      <c r="V40"/>
      <c r="W40"/>
    </row>
    <row r="41" spans="1:23" ht="16.05" customHeight="1" x14ac:dyDescent="0.3">
      <c r="S41"/>
      <c r="T41"/>
      <c r="U41"/>
      <c r="V41"/>
      <c r="W41"/>
    </row>
    <row r="42" spans="1:23" ht="16.05" customHeight="1" x14ac:dyDescent="0.3">
      <c r="S42"/>
      <c r="T42"/>
      <c r="U42"/>
      <c r="V42"/>
      <c r="W42"/>
    </row>
    <row r="43" spans="1:23" ht="16.05" customHeight="1" x14ac:dyDescent="0.3">
      <c r="S43"/>
      <c r="T43"/>
      <c r="U43"/>
      <c r="V43"/>
      <c r="W43"/>
    </row>
    <row r="44" spans="1:23" ht="16.05" customHeight="1" x14ac:dyDescent="0.3">
      <c r="S44"/>
      <c r="T44"/>
      <c r="U44"/>
      <c r="V44"/>
      <c r="W44"/>
    </row>
    <row r="45" spans="1:23" ht="16.05" customHeight="1" x14ac:dyDescent="0.3">
      <c r="S45"/>
      <c r="T45"/>
      <c r="U45"/>
      <c r="V45"/>
      <c r="W45"/>
    </row>
    <row r="46" spans="1:23" ht="16.05" customHeight="1" x14ac:dyDescent="0.3">
      <c r="S46"/>
      <c r="T46"/>
      <c r="U46"/>
      <c r="V46"/>
      <c r="W46"/>
    </row>
    <row r="47" spans="1:23" ht="16.05" customHeight="1" x14ac:dyDescent="0.3">
      <c r="S47"/>
      <c r="T47"/>
      <c r="U47"/>
      <c r="V47"/>
      <c r="W47"/>
    </row>
    <row r="48" spans="1:23" ht="16.05" customHeight="1" x14ac:dyDescent="0.3">
      <c r="S48"/>
      <c r="T48"/>
      <c r="U48"/>
      <c r="V48"/>
      <c r="W48"/>
    </row>
    <row r="49" spans="19:23" ht="16.05" customHeight="1" x14ac:dyDescent="0.3">
      <c r="S49"/>
      <c r="T49"/>
      <c r="U49"/>
      <c r="V49"/>
      <c r="W49"/>
    </row>
    <row r="50" spans="19:23" ht="16.05" customHeight="1" x14ac:dyDescent="0.3">
      <c r="S50"/>
      <c r="T50"/>
      <c r="U50"/>
      <c r="V50"/>
      <c r="W50"/>
    </row>
    <row r="51" spans="19:23" ht="16.05" customHeight="1" x14ac:dyDescent="0.3">
      <c r="S51"/>
      <c r="T51"/>
      <c r="U51"/>
      <c r="V51"/>
      <c r="W51"/>
    </row>
    <row r="52" spans="19:23" ht="16.05" customHeight="1" x14ac:dyDescent="0.3">
      <c r="S52"/>
      <c r="T52"/>
      <c r="U52"/>
      <c r="V52"/>
      <c r="W52"/>
    </row>
    <row r="53" spans="19:23" ht="16.05" customHeight="1" x14ac:dyDescent="0.3">
      <c r="S53"/>
      <c r="T53"/>
      <c r="U53"/>
      <c r="V53"/>
      <c r="W53"/>
    </row>
    <row r="54" spans="19:23" ht="16.05" customHeight="1" x14ac:dyDescent="0.3">
      <c r="S54"/>
      <c r="T54"/>
      <c r="U54"/>
      <c r="V54"/>
      <c r="W54"/>
    </row>
    <row r="55" spans="19:23" ht="16.05" customHeight="1" x14ac:dyDescent="0.3">
      <c r="S55"/>
      <c r="T55"/>
      <c r="U55"/>
      <c r="V55"/>
      <c r="W55"/>
    </row>
    <row r="56" spans="19:23" ht="16.05" customHeight="1" x14ac:dyDescent="0.3">
      <c r="S56"/>
      <c r="T56"/>
      <c r="U56"/>
      <c r="V56"/>
      <c r="W56"/>
    </row>
    <row r="57" spans="19:23" ht="16.05" customHeight="1" x14ac:dyDescent="0.3">
      <c r="S57"/>
      <c r="T57"/>
      <c r="U57"/>
      <c r="V57"/>
      <c r="W57"/>
    </row>
    <row r="58" spans="19:23" ht="16.05" customHeight="1" x14ac:dyDescent="0.3">
      <c r="S58"/>
      <c r="T58"/>
      <c r="U58"/>
      <c r="V58"/>
      <c r="W58"/>
    </row>
    <row r="59" spans="19:23" ht="16.05" customHeight="1" x14ac:dyDescent="0.3">
      <c r="S59"/>
      <c r="T59"/>
      <c r="U59"/>
      <c r="V59"/>
      <c r="W59"/>
    </row>
    <row r="60" spans="19:23" ht="16.05" customHeight="1" x14ac:dyDescent="0.3">
      <c r="S60"/>
      <c r="T60"/>
      <c r="U60"/>
      <c r="V60"/>
      <c r="W60"/>
    </row>
    <row r="61" spans="19:23" ht="16.05" customHeight="1" x14ac:dyDescent="0.3">
      <c r="S61"/>
      <c r="T61"/>
      <c r="U61"/>
      <c r="V61"/>
      <c r="W61"/>
    </row>
    <row r="62" spans="19:23" ht="16.05" customHeight="1" x14ac:dyDescent="0.3">
      <c r="S62"/>
      <c r="T62"/>
      <c r="U62"/>
      <c r="V62"/>
      <c r="W62"/>
    </row>
    <row r="63" spans="19:23" ht="16.05" customHeight="1" x14ac:dyDescent="0.3">
      <c r="S63"/>
      <c r="T63"/>
      <c r="U63"/>
      <c r="V63"/>
      <c r="W63"/>
    </row>
    <row r="64" spans="19:23" ht="16.05" customHeight="1" x14ac:dyDescent="0.3">
      <c r="S64"/>
      <c r="T64"/>
      <c r="U64"/>
      <c r="V64"/>
      <c r="W64"/>
    </row>
    <row r="65" spans="19:23" ht="16.05" customHeight="1" x14ac:dyDescent="0.3">
      <c r="S65"/>
      <c r="T65"/>
      <c r="U65"/>
      <c r="V65"/>
      <c r="W65"/>
    </row>
    <row r="66" spans="19:23" ht="16.05" customHeight="1" x14ac:dyDescent="0.3">
      <c r="S66"/>
      <c r="T66"/>
      <c r="U66"/>
      <c r="V66"/>
      <c r="W66"/>
    </row>
    <row r="67" spans="19:23" ht="16.05" customHeight="1" x14ac:dyDescent="0.3">
      <c r="S67"/>
      <c r="T67"/>
      <c r="U67"/>
      <c r="V67"/>
      <c r="W67"/>
    </row>
    <row r="68" spans="19:23" ht="16.05" customHeight="1" x14ac:dyDescent="0.3">
      <c r="S68"/>
      <c r="T68"/>
      <c r="U68"/>
      <c r="V68"/>
      <c r="W68"/>
    </row>
    <row r="69" spans="19:23" ht="16.05" customHeight="1" x14ac:dyDescent="0.3">
      <c r="S69"/>
      <c r="T69"/>
      <c r="U69"/>
      <c r="V69"/>
      <c r="W69"/>
    </row>
    <row r="70" spans="19:23" ht="16.05" customHeight="1" x14ac:dyDescent="0.3">
      <c r="S70"/>
      <c r="T70"/>
      <c r="U70"/>
      <c r="V70"/>
      <c r="W70"/>
    </row>
    <row r="71" spans="19:23" ht="16.05" customHeight="1" x14ac:dyDescent="0.3">
      <c r="S71"/>
      <c r="T71"/>
      <c r="U71"/>
      <c r="V71"/>
      <c r="W71"/>
    </row>
    <row r="72" spans="19:23" ht="16.05" customHeight="1" x14ac:dyDescent="0.3">
      <c r="S72"/>
      <c r="T72"/>
      <c r="U72"/>
      <c r="V72"/>
      <c r="W72"/>
    </row>
    <row r="73" spans="19:23" ht="16.05" customHeight="1" x14ac:dyDescent="0.3">
      <c r="S73"/>
      <c r="T73"/>
      <c r="U73"/>
      <c r="V73"/>
      <c r="W73"/>
    </row>
    <row r="74" spans="19:23" ht="16.05" customHeight="1" x14ac:dyDescent="0.3">
      <c r="S74"/>
      <c r="T74"/>
      <c r="U74"/>
      <c r="V74"/>
      <c r="W74"/>
    </row>
    <row r="75" spans="19:23" ht="16.05" customHeight="1" x14ac:dyDescent="0.3">
      <c r="S75"/>
      <c r="T75"/>
      <c r="U75"/>
      <c r="V75"/>
      <c r="W75"/>
    </row>
    <row r="76" spans="19:23" ht="16.05" customHeight="1" x14ac:dyDescent="0.3">
      <c r="S76"/>
      <c r="T76"/>
      <c r="U76"/>
      <c r="V76"/>
      <c r="W76"/>
    </row>
    <row r="77" spans="19:23" ht="16.05" customHeight="1" x14ac:dyDescent="0.3">
      <c r="S77"/>
      <c r="T77"/>
      <c r="U77"/>
      <c r="V77"/>
      <c r="W77"/>
    </row>
    <row r="78" spans="19:23" ht="16.05" customHeight="1" x14ac:dyDescent="0.3">
      <c r="S78"/>
      <c r="T78"/>
      <c r="U78"/>
      <c r="V78"/>
      <c r="W78"/>
    </row>
    <row r="79" spans="19:23" ht="16.05" customHeight="1" x14ac:dyDescent="0.3">
      <c r="S79"/>
      <c r="T79"/>
      <c r="U79"/>
      <c r="V79"/>
      <c r="W79"/>
    </row>
    <row r="80" spans="19:23" ht="16.05" customHeight="1" x14ac:dyDescent="0.3">
      <c r="S80"/>
      <c r="T80"/>
      <c r="U80"/>
      <c r="V80"/>
      <c r="W80"/>
    </row>
    <row r="81" spans="19:23" ht="16.05" customHeight="1" x14ac:dyDescent="0.3">
      <c r="S81"/>
      <c r="T81"/>
      <c r="U81"/>
      <c r="V81"/>
      <c r="W81"/>
    </row>
    <row r="82" spans="19:23" ht="16.05" customHeight="1" x14ac:dyDescent="0.3">
      <c r="S82"/>
      <c r="T82"/>
      <c r="U82"/>
      <c r="V82"/>
      <c r="W82"/>
    </row>
    <row r="83" spans="19:23" ht="16.05" customHeight="1" x14ac:dyDescent="0.3">
      <c r="S83"/>
      <c r="T83"/>
      <c r="U83"/>
      <c r="V83"/>
      <c r="W83"/>
    </row>
    <row r="84" spans="19:23" ht="16.05" customHeight="1" x14ac:dyDescent="0.3">
      <c r="S84"/>
      <c r="T84"/>
      <c r="U84"/>
      <c r="V84"/>
      <c r="W84"/>
    </row>
    <row r="85" spans="19:23" ht="16.05" customHeight="1" x14ac:dyDescent="0.3">
      <c r="S85"/>
      <c r="T85"/>
      <c r="U85"/>
      <c r="V85"/>
      <c r="W85"/>
    </row>
    <row r="86" spans="19:23" ht="16.05" customHeight="1" x14ac:dyDescent="0.3">
      <c r="S86"/>
      <c r="T86"/>
      <c r="U86"/>
      <c r="V86"/>
      <c r="W86"/>
    </row>
    <row r="87" spans="19:23" ht="16.05" customHeight="1" x14ac:dyDescent="0.3">
      <c r="S87"/>
      <c r="T87"/>
      <c r="U87"/>
      <c r="V87"/>
      <c r="W87"/>
    </row>
    <row r="88" spans="19:23" ht="16.05" customHeight="1" x14ac:dyDescent="0.3">
      <c r="S88"/>
      <c r="T88"/>
      <c r="U88"/>
      <c r="V88"/>
      <c r="W88"/>
    </row>
    <row r="89" spans="19:23" ht="16.05" customHeight="1" x14ac:dyDescent="0.3">
      <c r="S89"/>
      <c r="T89"/>
      <c r="U89"/>
      <c r="V89"/>
      <c r="W89"/>
    </row>
    <row r="90" spans="19:23" ht="16.05" customHeight="1" x14ac:dyDescent="0.3">
      <c r="S90"/>
      <c r="T90"/>
      <c r="U90"/>
      <c r="V90"/>
      <c r="W90"/>
    </row>
    <row r="91" spans="19:23" ht="16.05" customHeight="1" x14ac:dyDescent="0.3">
      <c r="S91"/>
      <c r="T91"/>
      <c r="U91"/>
      <c r="V91"/>
      <c r="W91"/>
    </row>
    <row r="92" spans="19:23" ht="16.05" customHeight="1" x14ac:dyDescent="0.3">
      <c r="S92"/>
      <c r="T92"/>
      <c r="U92"/>
      <c r="V92"/>
      <c r="W92"/>
    </row>
    <row r="93" spans="19:23" ht="16.05" customHeight="1" x14ac:dyDescent="0.3">
      <c r="S93"/>
      <c r="T93"/>
      <c r="U93"/>
      <c r="V93"/>
      <c r="W93"/>
    </row>
    <row r="94" spans="19:23" ht="16.05" customHeight="1" x14ac:dyDescent="0.3">
      <c r="S94"/>
      <c r="T94"/>
      <c r="U94"/>
      <c r="V94"/>
      <c r="W94"/>
    </row>
    <row r="95" spans="19:23" ht="16.05" customHeight="1" x14ac:dyDescent="0.3">
      <c r="S95"/>
      <c r="T95"/>
      <c r="U95"/>
      <c r="V95"/>
      <c r="W95"/>
    </row>
    <row r="96" spans="19:23" ht="16.05" customHeight="1" x14ac:dyDescent="0.3">
      <c r="S96"/>
      <c r="T96"/>
      <c r="U96"/>
      <c r="V96"/>
      <c r="W96"/>
    </row>
    <row r="97" spans="19:23" ht="16.05" customHeight="1" x14ac:dyDescent="0.3">
      <c r="S97"/>
      <c r="T97"/>
      <c r="U97"/>
      <c r="V97"/>
      <c r="W97"/>
    </row>
    <row r="98" spans="19:23" ht="16.05" customHeight="1" x14ac:dyDescent="0.3">
      <c r="S98"/>
      <c r="T98"/>
      <c r="U98"/>
      <c r="V98"/>
      <c r="W98"/>
    </row>
    <row r="99" spans="19:23" ht="16.05" customHeight="1" x14ac:dyDescent="0.3">
      <c r="S99"/>
      <c r="T99"/>
      <c r="U99"/>
      <c r="V99"/>
      <c r="W99"/>
    </row>
    <row r="100" spans="19:23" ht="16.05" customHeight="1" x14ac:dyDescent="0.3">
      <c r="S100"/>
      <c r="T100"/>
      <c r="U100"/>
      <c r="V100"/>
      <c r="W100"/>
    </row>
    <row r="101" spans="19:23" ht="16.05" customHeight="1" x14ac:dyDescent="0.3">
      <c r="S101"/>
      <c r="T101"/>
      <c r="U101"/>
      <c r="V101"/>
      <c r="W101"/>
    </row>
    <row r="102" spans="19:23" ht="16.05" customHeight="1" x14ac:dyDescent="0.3">
      <c r="S102"/>
      <c r="T102"/>
      <c r="U102"/>
      <c r="V102"/>
      <c r="W102"/>
    </row>
    <row r="103" spans="19:23" ht="16.05" customHeight="1" x14ac:dyDescent="0.3">
      <c r="S103"/>
      <c r="T103"/>
      <c r="U103"/>
      <c r="V103"/>
      <c r="W103"/>
    </row>
    <row r="104" spans="19:23" ht="16.05" customHeight="1" x14ac:dyDescent="0.3">
      <c r="S104"/>
      <c r="T104"/>
      <c r="U104"/>
      <c r="V104"/>
      <c r="W104"/>
    </row>
    <row r="105" spans="19:23" ht="16.05" customHeight="1" x14ac:dyDescent="0.3">
      <c r="S105"/>
      <c r="T105"/>
      <c r="U105"/>
      <c r="V105"/>
      <c r="W105"/>
    </row>
    <row r="106" spans="19:23" ht="16.05" customHeight="1" x14ac:dyDescent="0.3">
      <c r="S106"/>
      <c r="T106"/>
      <c r="U106"/>
      <c r="V106"/>
      <c r="W106"/>
    </row>
    <row r="107" spans="19:23" ht="16.05" customHeight="1" x14ac:dyDescent="0.3">
      <c r="S107"/>
      <c r="T107"/>
      <c r="U107"/>
      <c r="V107"/>
      <c r="W107"/>
    </row>
    <row r="108" spans="19:23" ht="16.05" customHeight="1" x14ac:dyDescent="0.3">
      <c r="S108"/>
      <c r="T108"/>
      <c r="U108"/>
      <c r="V108"/>
      <c r="W108"/>
    </row>
    <row r="109" spans="19:23" ht="16.05" customHeight="1" x14ac:dyDescent="0.3">
      <c r="S109"/>
      <c r="T109"/>
      <c r="U109"/>
      <c r="V109"/>
      <c r="W109"/>
    </row>
    <row r="110" spans="19:23" ht="16.05" customHeight="1" x14ac:dyDescent="0.3">
      <c r="S110"/>
      <c r="T110"/>
      <c r="U110"/>
      <c r="V110"/>
      <c r="W110"/>
    </row>
    <row r="111" spans="19:23" ht="16.05" customHeight="1" x14ac:dyDescent="0.3">
      <c r="S111"/>
      <c r="T111"/>
      <c r="U111"/>
      <c r="V111"/>
      <c r="W111"/>
    </row>
    <row r="112" spans="19:23" ht="16.05" customHeight="1" x14ac:dyDescent="0.3">
      <c r="S112"/>
      <c r="T112"/>
      <c r="U112"/>
      <c r="V112"/>
      <c r="W112"/>
    </row>
    <row r="113" spans="19:23" ht="16.05" customHeight="1" x14ac:dyDescent="0.3">
      <c r="S113"/>
      <c r="T113"/>
      <c r="U113"/>
      <c r="V113"/>
      <c r="W113"/>
    </row>
    <row r="114" spans="19:23" ht="16.05" customHeight="1" x14ac:dyDescent="0.3">
      <c r="S114"/>
      <c r="T114"/>
      <c r="U114"/>
      <c r="V114"/>
      <c r="W114"/>
    </row>
    <row r="115" spans="19:23" ht="16.05" customHeight="1" x14ac:dyDescent="0.3">
      <c r="S115"/>
      <c r="T115"/>
      <c r="U115"/>
      <c r="V115"/>
      <c r="W115"/>
    </row>
    <row r="116" spans="19:23" ht="16.05" customHeight="1" x14ac:dyDescent="0.3">
      <c r="S116"/>
      <c r="T116"/>
      <c r="U116"/>
      <c r="V116"/>
      <c r="W116"/>
    </row>
    <row r="117" spans="19:23" ht="16.05" customHeight="1" x14ac:dyDescent="0.3">
      <c r="S117"/>
      <c r="T117"/>
      <c r="U117"/>
      <c r="V117"/>
      <c r="W117"/>
    </row>
    <row r="118" spans="19:23" ht="16.05" customHeight="1" x14ac:dyDescent="0.3">
      <c r="S118"/>
      <c r="T118"/>
      <c r="U118"/>
      <c r="V118"/>
      <c r="W118"/>
    </row>
    <row r="119" spans="19:23" ht="16.05" customHeight="1" x14ac:dyDescent="0.3">
      <c r="S119"/>
      <c r="T119"/>
      <c r="U119"/>
      <c r="V119"/>
      <c r="W119"/>
    </row>
    <row r="120" spans="19:23" ht="16.05" customHeight="1" x14ac:dyDescent="0.3">
      <c r="S120"/>
      <c r="T120"/>
      <c r="U120"/>
      <c r="V120"/>
      <c r="W120"/>
    </row>
    <row r="121" spans="19:23" ht="16.05" customHeight="1" x14ac:dyDescent="0.3">
      <c r="S121"/>
      <c r="T121"/>
      <c r="U121"/>
      <c r="V121"/>
      <c r="W121"/>
    </row>
    <row r="122" spans="19:23" ht="16.05" customHeight="1" x14ac:dyDescent="0.3">
      <c r="S122"/>
      <c r="T122"/>
      <c r="U122"/>
      <c r="V122"/>
      <c r="W122"/>
    </row>
    <row r="123" spans="19:23" ht="16.05" customHeight="1" x14ac:dyDescent="0.3">
      <c r="S123"/>
      <c r="T123"/>
      <c r="U123"/>
      <c r="V123"/>
      <c r="W123"/>
    </row>
    <row r="124" spans="19:23" ht="16.05" customHeight="1" x14ac:dyDescent="0.3">
      <c r="S124"/>
      <c r="T124"/>
      <c r="U124"/>
      <c r="V124"/>
      <c r="W124"/>
    </row>
    <row r="125" spans="19:23" ht="16.05" customHeight="1" x14ac:dyDescent="0.3">
      <c r="S125"/>
      <c r="T125"/>
      <c r="U125"/>
      <c r="V125"/>
      <c r="W125"/>
    </row>
    <row r="126" spans="19:23" ht="16.05" customHeight="1" x14ac:dyDescent="0.3">
      <c r="S126"/>
      <c r="T126"/>
      <c r="U126"/>
      <c r="V126"/>
      <c r="W126"/>
    </row>
    <row r="127" spans="19:23" ht="16.05" customHeight="1" x14ac:dyDescent="0.3">
      <c r="S127"/>
      <c r="T127"/>
      <c r="U127"/>
      <c r="V127"/>
      <c r="W127"/>
    </row>
    <row r="128" spans="19:23" ht="16.05" customHeight="1" x14ac:dyDescent="0.3">
      <c r="S128"/>
      <c r="T128"/>
      <c r="U128"/>
      <c r="V128"/>
      <c r="W128"/>
    </row>
    <row r="129" spans="19:23" ht="16.05" customHeight="1" x14ac:dyDescent="0.3">
      <c r="S129"/>
      <c r="T129"/>
      <c r="U129"/>
      <c r="V129"/>
      <c r="W129"/>
    </row>
    <row r="130" spans="19:23" ht="16.05" customHeight="1" x14ac:dyDescent="0.3">
      <c r="S130"/>
      <c r="T130"/>
      <c r="U130"/>
      <c r="V130"/>
      <c r="W130"/>
    </row>
    <row r="131" spans="19:23" ht="14.4" x14ac:dyDescent="0.3">
      <c r="S131"/>
      <c r="T131"/>
      <c r="U131"/>
      <c r="V131"/>
      <c r="W131"/>
    </row>
    <row r="132" spans="19:23" ht="14.4" x14ac:dyDescent="0.3">
      <c r="S132"/>
      <c r="T132"/>
      <c r="U132"/>
      <c r="V132"/>
      <c r="W132"/>
    </row>
    <row r="133" spans="19:23" ht="14.4" x14ac:dyDescent="0.3">
      <c r="S133"/>
      <c r="T133"/>
      <c r="U133"/>
      <c r="V133"/>
      <c r="W133"/>
    </row>
    <row r="134" spans="19:23" ht="14.4" x14ac:dyDescent="0.3">
      <c r="S134"/>
      <c r="T134"/>
      <c r="U134"/>
      <c r="V134"/>
      <c r="W134"/>
    </row>
    <row r="135" spans="19:23" ht="14.4" x14ac:dyDescent="0.3">
      <c r="S135"/>
      <c r="T135"/>
      <c r="U135"/>
      <c r="V135"/>
      <c r="W135"/>
    </row>
    <row r="136" spans="19:23" ht="14.4" x14ac:dyDescent="0.3">
      <c r="S136"/>
      <c r="T136"/>
      <c r="U136"/>
      <c r="V136"/>
      <c r="W136"/>
    </row>
    <row r="137" spans="19:23" ht="14.4" x14ac:dyDescent="0.3">
      <c r="S137"/>
      <c r="T137"/>
      <c r="U137"/>
      <c r="V137"/>
      <c r="W137"/>
    </row>
    <row r="138" spans="19:23" ht="14.4" x14ac:dyDescent="0.3">
      <c r="S138"/>
      <c r="T138"/>
      <c r="U138"/>
      <c r="V138"/>
      <c r="W138"/>
    </row>
    <row r="139" spans="19:23" ht="14.4" x14ac:dyDescent="0.3">
      <c r="S139"/>
      <c r="T139"/>
      <c r="U139"/>
      <c r="V139"/>
      <c r="W139"/>
    </row>
    <row r="140" spans="19:23" ht="14.4" x14ac:dyDescent="0.3">
      <c r="S140"/>
      <c r="T140"/>
      <c r="U140"/>
      <c r="V140"/>
      <c r="W140"/>
    </row>
    <row r="141" spans="19:23" ht="14.4" x14ac:dyDescent="0.3">
      <c r="S141"/>
      <c r="T141"/>
      <c r="U141"/>
      <c r="V141"/>
      <c r="W141"/>
    </row>
    <row r="142" spans="19:23" ht="14.4" x14ac:dyDescent="0.3">
      <c r="S142"/>
      <c r="T142"/>
      <c r="U142"/>
      <c r="V142"/>
      <c r="W142"/>
    </row>
    <row r="143" spans="19:23" ht="14.4" x14ac:dyDescent="0.3">
      <c r="S143"/>
      <c r="T143"/>
      <c r="U143"/>
      <c r="V143"/>
      <c r="W143"/>
    </row>
    <row r="144" spans="19:23" ht="14.4" x14ac:dyDescent="0.3">
      <c r="S144"/>
      <c r="T144"/>
      <c r="U144"/>
      <c r="V144"/>
      <c r="W144"/>
    </row>
    <row r="145" spans="19:23" ht="14.4" x14ac:dyDescent="0.3">
      <c r="S145"/>
      <c r="T145"/>
      <c r="U145"/>
      <c r="V145"/>
      <c r="W145"/>
    </row>
    <row r="146" spans="19:23" ht="14.4" x14ac:dyDescent="0.3">
      <c r="S146"/>
      <c r="T146"/>
      <c r="U146"/>
      <c r="V146"/>
      <c r="W146"/>
    </row>
    <row r="147" spans="19:23" ht="14.4" x14ac:dyDescent="0.3">
      <c r="S147"/>
      <c r="T147"/>
      <c r="U147"/>
      <c r="V147"/>
      <c r="W147"/>
    </row>
    <row r="148" spans="19:23" ht="14.4" x14ac:dyDescent="0.3">
      <c r="S148"/>
      <c r="T148"/>
      <c r="U148"/>
      <c r="V148"/>
      <c r="W148"/>
    </row>
    <row r="149" spans="19:23" ht="14.4" x14ac:dyDescent="0.3">
      <c r="S149"/>
      <c r="T149"/>
      <c r="U149"/>
      <c r="V149"/>
      <c r="W149"/>
    </row>
    <row r="150" spans="19:23" ht="14.4" x14ac:dyDescent="0.3">
      <c r="S150"/>
      <c r="T150"/>
      <c r="U150"/>
      <c r="V150"/>
      <c r="W150"/>
    </row>
    <row r="151" spans="19:23" ht="14.4" x14ac:dyDescent="0.3">
      <c r="S151"/>
      <c r="T151"/>
      <c r="U151"/>
      <c r="V151"/>
      <c r="W151"/>
    </row>
    <row r="152" spans="19:23" ht="14.4" x14ac:dyDescent="0.3">
      <c r="S152"/>
      <c r="T152"/>
      <c r="U152"/>
      <c r="V152"/>
      <c r="W152"/>
    </row>
    <row r="153" spans="19:23" ht="14.4" x14ac:dyDescent="0.3">
      <c r="S153"/>
      <c r="T153"/>
      <c r="U153"/>
      <c r="V153"/>
      <c r="W153"/>
    </row>
    <row r="154" spans="19:23" ht="14.4" x14ac:dyDescent="0.3">
      <c r="S154"/>
      <c r="T154"/>
      <c r="U154"/>
      <c r="V154"/>
      <c r="W154"/>
    </row>
    <row r="155" spans="19:23" ht="14.4" x14ac:dyDescent="0.3">
      <c r="S155"/>
      <c r="T155"/>
      <c r="U155"/>
      <c r="V155"/>
      <c r="W155"/>
    </row>
    <row r="156" spans="19:23" ht="14.4" x14ac:dyDescent="0.3">
      <c r="S156"/>
      <c r="T156"/>
      <c r="U156"/>
      <c r="V156"/>
      <c r="W156"/>
    </row>
    <row r="157" spans="19:23" ht="14.4" x14ac:dyDescent="0.3">
      <c r="S157"/>
      <c r="T157"/>
      <c r="U157"/>
      <c r="V157"/>
      <c r="W157"/>
    </row>
    <row r="158" spans="19:23" ht="14.4" x14ac:dyDescent="0.3">
      <c r="S158"/>
      <c r="T158"/>
      <c r="U158"/>
      <c r="V158"/>
      <c r="W158"/>
    </row>
    <row r="159" spans="19:23" ht="14.4" x14ac:dyDescent="0.3">
      <c r="S159"/>
      <c r="T159"/>
      <c r="U159"/>
      <c r="V159"/>
      <c r="W159"/>
    </row>
    <row r="160" spans="19:23" ht="14.4" x14ac:dyDescent="0.3">
      <c r="S160"/>
      <c r="T160"/>
      <c r="U160"/>
      <c r="V160"/>
      <c r="W160"/>
    </row>
    <row r="161" spans="19:23" ht="14.4" x14ac:dyDescent="0.3">
      <c r="S161"/>
      <c r="T161"/>
      <c r="U161"/>
      <c r="V161"/>
      <c r="W161"/>
    </row>
    <row r="162" spans="19:23" ht="14.4" x14ac:dyDescent="0.3">
      <c r="S162"/>
      <c r="T162"/>
      <c r="U162"/>
      <c r="V162"/>
      <c r="W162"/>
    </row>
    <row r="163" spans="19:23" ht="14.4" x14ac:dyDescent="0.3">
      <c r="S163"/>
      <c r="T163"/>
      <c r="U163"/>
      <c r="V163"/>
      <c r="W163"/>
    </row>
    <row r="164" spans="19:23" ht="14.4" x14ac:dyDescent="0.3">
      <c r="S164"/>
      <c r="T164"/>
      <c r="U164"/>
      <c r="V164"/>
      <c r="W164"/>
    </row>
    <row r="165" spans="19:23" ht="14.4" x14ac:dyDescent="0.3">
      <c r="S165"/>
      <c r="T165"/>
      <c r="U165"/>
      <c r="V165"/>
      <c r="W165"/>
    </row>
    <row r="166" spans="19:23" ht="14.4" x14ac:dyDescent="0.3">
      <c r="S166"/>
      <c r="T166"/>
      <c r="U166"/>
      <c r="V166"/>
      <c r="W166"/>
    </row>
    <row r="167" spans="19:23" ht="14.4" x14ac:dyDescent="0.3">
      <c r="S167"/>
      <c r="T167"/>
      <c r="U167"/>
      <c r="V167"/>
      <c r="W167"/>
    </row>
    <row r="168" spans="19:23" ht="14.4" x14ac:dyDescent="0.3">
      <c r="S168"/>
      <c r="T168"/>
      <c r="U168"/>
      <c r="V168"/>
      <c r="W168"/>
    </row>
    <row r="169" spans="19:23" ht="14.4" x14ac:dyDescent="0.3">
      <c r="S169"/>
      <c r="T169"/>
      <c r="U169"/>
      <c r="V169"/>
      <c r="W169"/>
    </row>
    <row r="170" spans="19:23" ht="14.4" x14ac:dyDescent="0.3">
      <c r="S170"/>
      <c r="T170"/>
      <c r="U170"/>
      <c r="V170"/>
      <c r="W170"/>
    </row>
    <row r="171" spans="19:23" ht="14.4" x14ac:dyDescent="0.3">
      <c r="S171"/>
      <c r="T171"/>
      <c r="U171"/>
      <c r="V171"/>
      <c r="W171"/>
    </row>
    <row r="172" spans="19:23" ht="14.4" x14ac:dyDescent="0.3">
      <c r="S172"/>
      <c r="T172"/>
      <c r="U172"/>
      <c r="V172"/>
      <c r="W172"/>
    </row>
    <row r="173" spans="19:23" ht="14.4" x14ac:dyDescent="0.3">
      <c r="S173"/>
      <c r="T173"/>
      <c r="U173"/>
      <c r="V173"/>
      <c r="W173"/>
    </row>
    <row r="174" spans="19:23" ht="14.4" x14ac:dyDescent="0.3">
      <c r="S174"/>
      <c r="T174"/>
      <c r="U174"/>
      <c r="V174"/>
      <c r="W174"/>
    </row>
    <row r="175" spans="19:23" ht="14.4" x14ac:dyDescent="0.3">
      <c r="S175"/>
      <c r="T175"/>
      <c r="U175"/>
      <c r="V175"/>
      <c r="W175"/>
    </row>
    <row r="176" spans="19:23" ht="14.4" x14ac:dyDescent="0.3">
      <c r="S176"/>
      <c r="T176"/>
      <c r="U176"/>
      <c r="V176"/>
      <c r="W176"/>
    </row>
    <row r="177" spans="19:23" ht="14.4" x14ac:dyDescent="0.3">
      <c r="S177"/>
      <c r="T177"/>
      <c r="U177"/>
      <c r="V177"/>
      <c r="W177"/>
    </row>
    <row r="178" spans="19:23" ht="14.4" x14ac:dyDescent="0.3">
      <c r="S178"/>
      <c r="T178"/>
      <c r="U178"/>
      <c r="V178"/>
      <c r="W178"/>
    </row>
    <row r="179" spans="19:23" ht="14.4" x14ac:dyDescent="0.3">
      <c r="S179"/>
      <c r="T179"/>
      <c r="U179"/>
      <c r="V179"/>
      <c r="W179"/>
    </row>
    <row r="180" spans="19:23" ht="14.4" x14ac:dyDescent="0.3">
      <c r="S180"/>
      <c r="T180"/>
      <c r="U180"/>
      <c r="V180"/>
      <c r="W180"/>
    </row>
    <row r="181" spans="19:23" ht="14.4" x14ac:dyDescent="0.3">
      <c r="S181"/>
      <c r="T181"/>
      <c r="U181"/>
      <c r="V181"/>
      <c r="W181"/>
    </row>
    <row r="182" spans="19:23" ht="14.4" x14ac:dyDescent="0.3">
      <c r="S182"/>
      <c r="T182"/>
      <c r="U182"/>
      <c r="V182"/>
      <c r="W182"/>
    </row>
    <row r="183" spans="19:23" ht="14.4" x14ac:dyDescent="0.3">
      <c r="S183"/>
      <c r="T183"/>
      <c r="U183"/>
      <c r="V183"/>
      <c r="W183"/>
    </row>
    <row r="184" spans="19:23" ht="14.4" x14ac:dyDescent="0.3">
      <c r="S184"/>
      <c r="T184"/>
      <c r="U184"/>
      <c r="V184"/>
      <c r="W184"/>
    </row>
    <row r="185" spans="19:23" ht="14.4" x14ac:dyDescent="0.3">
      <c r="S185"/>
      <c r="T185"/>
      <c r="U185"/>
      <c r="V185"/>
      <c r="W185"/>
    </row>
    <row r="186" spans="19:23" ht="14.4" x14ac:dyDescent="0.3">
      <c r="S186"/>
      <c r="T186"/>
      <c r="U186"/>
      <c r="V186"/>
      <c r="W186"/>
    </row>
    <row r="187" spans="19:23" ht="14.4" x14ac:dyDescent="0.3">
      <c r="S187"/>
      <c r="T187"/>
      <c r="U187"/>
      <c r="V187"/>
      <c r="W187"/>
    </row>
    <row r="188" spans="19:23" ht="14.4" x14ac:dyDescent="0.3">
      <c r="S188"/>
      <c r="T188"/>
      <c r="U188"/>
      <c r="V188"/>
      <c r="W188"/>
    </row>
    <row r="189" spans="19:23" ht="14.4" x14ac:dyDescent="0.3">
      <c r="S189"/>
      <c r="T189"/>
      <c r="U189"/>
      <c r="V189"/>
      <c r="W189"/>
    </row>
    <row r="190" spans="19:23" ht="14.4" x14ac:dyDescent="0.3">
      <c r="S190"/>
      <c r="T190"/>
      <c r="U190"/>
      <c r="V190"/>
      <c r="W190"/>
    </row>
    <row r="191" spans="19:23" ht="14.4" x14ac:dyDescent="0.3">
      <c r="S191"/>
      <c r="T191"/>
      <c r="U191"/>
      <c r="V191"/>
      <c r="W191"/>
    </row>
    <row r="192" spans="19:23" ht="14.4" x14ac:dyDescent="0.3">
      <c r="S192"/>
      <c r="T192"/>
      <c r="U192"/>
      <c r="V192"/>
      <c r="W192"/>
    </row>
    <row r="193" spans="19:23" ht="14.4" x14ac:dyDescent="0.3">
      <c r="S193"/>
      <c r="T193"/>
      <c r="U193"/>
      <c r="V193"/>
      <c r="W193"/>
    </row>
    <row r="194" spans="19:23" ht="14.4" x14ac:dyDescent="0.3">
      <c r="S194"/>
      <c r="T194"/>
      <c r="U194"/>
      <c r="V194"/>
      <c r="W194"/>
    </row>
    <row r="195" spans="19:23" ht="14.4" x14ac:dyDescent="0.3">
      <c r="S195"/>
      <c r="T195"/>
      <c r="U195"/>
      <c r="V195"/>
      <c r="W195"/>
    </row>
    <row r="196" spans="19:23" ht="14.4" x14ac:dyDescent="0.3">
      <c r="S196"/>
      <c r="T196"/>
      <c r="U196"/>
      <c r="V196"/>
      <c r="W196"/>
    </row>
    <row r="197" spans="19:23" ht="14.4" x14ac:dyDescent="0.3">
      <c r="S197"/>
      <c r="T197"/>
      <c r="U197"/>
      <c r="V197"/>
      <c r="W197"/>
    </row>
    <row r="198" spans="19:23" ht="14.4" x14ac:dyDescent="0.3">
      <c r="S198"/>
      <c r="T198"/>
      <c r="U198"/>
      <c r="V198"/>
      <c r="W198"/>
    </row>
    <row r="199" spans="19:23" ht="14.4" x14ac:dyDescent="0.3">
      <c r="S199"/>
      <c r="T199"/>
      <c r="U199"/>
      <c r="V199"/>
      <c r="W199"/>
    </row>
    <row r="200" spans="19:23" ht="14.4" x14ac:dyDescent="0.3">
      <c r="S200"/>
      <c r="T200"/>
      <c r="U200"/>
      <c r="V200"/>
      <c r="W200"/>
    </row>
    <row r="201" spans="19:23" ht="14.4" x14ac:dyDescent="0.3">
      <c r="S201"/>
      <c r="T201"/>
      <c r="U201"/>
      <c r="V201"/>
      <c r="W201"/>
    </row>
    <row r="202" spans="19:23" ht="14.4" x14ac:dyDescent="0.3">
      <c r="S202"/>
      <c r="T202"/>
      <c r="U202"/>
      <c r="V202"/>
      <c r="W202"/>
    </row>
    <row r="203" spans="19:23" ht="14.4" x14ac:dyDescent="0.3">
      <c r="S203"/>
      <c r="T203"/>
      <c r="U203"/>
      <c r="V203"/>
      <c r="W203"/>
    </row>
    <row r="204" spans="19:23" ht="14.4" x14ac:dyDescent="0.3">
      <c r="S204"/>
      <c r="T204"/>
      <c r="U204"/>
      <c r="V204"/>
      <c r="W204"/>
    </row>
    <row r="205" spans="19:23" ht="14.4" x14ac:dyDescent="0.3">
      <c r="S205"/>
      <c r="T205"/>
      <c r="U205"/>
      <c r="V205"/>
      <c r="W205"/>
    </row>
    <row r="206" spans="19:23" ht="14.4" x14ac:dyDescent="0.3">
      <c r="S206"/>
      <c r="T206"/>
      <c r="U206"/>
      <c r="V206"/>
      <c r="W206"/>
    </row>
    <row r="207" spans="19:23" ht="14.4" x14ac:dyDescent="0.3">
      <c r="S207"/>
      <c r="T207"/>
      <c r="U207"/>
      <c r="V207"/>
      <c r="W207"/>
    </row>
    <row r="208" spans="19:23" ht="14.4" x14ac:dyDescent="0.3">
      <c r="S208"/>
      <c r="T208"/>
      <c r="U208"/>
      <c r="V208"/>
      <c r="W208"/>
    </row>
    <row r="209" spans="19:23" ht="14.4" x14ac:dyDescent="0.3">
      <c r="S209"/>
      <c r="T209"/>
      <c r="U209"/>
      <c r="V209"/>
      <c r="W209"/>
    </row>
    <row r="210" spans="19:23" ht="14.4" x14ac:dyDescent="0.3">
      <c r="S210"/>
      <c r="T210"/>
      <c r="U210"/>
      <c r="V210"/>
      <c r="W210"/>
    </row>
    <row r="211" spans="19:23" ht="14.4" x14ac:dyDescent="0.3">
      <c r="S211"/>
      <c r="T211"/>
      <c r="U211"/>
      <c r="V211"/>
      <c r="W211"/>
    </row>
    <row r="212" spans="19:23" ht="14.4" x14ac:dyDescent="0.3">
      <c r="S212"/>
      <c r="T212"/>
      <c r="U212"/>
      <c r="V212"/>
      <c r="W212"/>
    </row>
    <row r="213" spans="19:23" ht="14.4" x14ac:dyDescent="0.3">
      <c r="S213"/>
      <c r="T213"/>
      <c r="U213"/>
      <c r="V213"/>
      <c r="W213"/>
    </row>
    <row r="214" spans="19:23" ht="14.4" x14ac:dyDescent="0.3">
      <c r="S214"/>
      <c r="T214"/>
      <c r="U214"/>
      <c r="V214"/>
      <c r="W214"/>
    </row>
    <row r="215" spans="19:23" ht="14.4" x14ac:dyDescent="0.3">
      <c r="S215"/>
      <c r="T215"/>
      <c r="U215"/>
      <c r="V215"/>
      <c r="W215"/>
    </row>
    <row r="216" spans="19:23" ht="14.4" x14ac:dyDescent="0.3">
      <c r="S216"/>
      <c r="T216"/>
      <c r="U216"/>
      <c r="V216"/>
      <c r="W216"/>
    </row>
    <row r="217" spans="19:23" ht="14.4" x14ac:dyDescent="0.3">
      <c r="S217"/>
      <c r="T217"/>
      <c r="U217"/>
      <c r="V217"/>
      <c r="W217"/>
    </row>
    <row r="218" spans="19:23" ht="14.4" x14ac:dyDescent="0.3">
      <c r="S218"/>
      <c r="T218"/>
      <c r="U218"/>
      <c r="V218"/>
      <c r="W218"/>
    </row>
    <row r="219" spans="19:23" ht="14.4" x14ac:dyDescent="0.3">
      <c r="S219"/>
      <c r="T219"/>
      <c r="U219"/>
      <c r="V219"/>
      <c r="W219"/>
    </row>
    <row r="220" spans="19:23" ht="14.4" x14ac:dyDescent="0.3">
      <c r="S220"/>
      <c r="T220"/>
      <c r="U220"/>
      <c r="V220"/>
      <c r="W220"/>
    </row>
    <row r="221" spans="19:23" ht="14.4" x14ac:dyDescent="0.3">
      <c r="S221"/>
      <c r="T221"/>
      <c r="U221"/>
      <c r="V221"/>
      <c r="W221"/>
    </row>
    <row r="222" spans="19:23" ht="14.4" x14ac:dyDescent="0.3">
      <c r="S222"/>
      <c r="T222"/>
      <c r="U222"/>
      <c r="V222"/>
      <c r="W222"/>
    </row>
    <row r="223" spans="19:23" ht="14.4" x14ac:dyDescent="0.3">
      <c r="S223"/>
      <c r="T223"/>
      <c r="U223"/>
      <c r="V223"/>
      <c r="W223"/>
    </row>
    <row r="224" spans="19:23" ht="14.4" x14ac:dyDescent="0.3">
      <c r="S224"/>
      <c r="T224"/>
      <c r="U224"/>
      <c r="V224"/>
      <c r="W224"/>
    </row>
    <row r="225" spans="19:23" ht="14.4" x14ac:dyDescent="0.3">
      <c r="S225"/>
      <c r="T225"/>
      <c r="U225"/>
      <c r="V225"/>
      <c r="W225"/>
    </row>
    <row r="226" spans="19:23" ht="14.4" x14ac:dyDescent="0.3">
      <c r="S226"/>
      <c r="T226"/>
      <c r="U226"/>
      <c r="V226"/>
      <c r="W226"/>
    </row>
    <row r="227" spans="19:23" ht="14.4" x14ac:dyDescent="0.3">
      <c r="S227"/>
      <c r="T227"/>
      <c r="U227"/>
      <c r="V227"/>
      <c r="W227"/>
    </row>
    <row r="228" spans="19:23" ht="14.4" x14ac:dyDescent="0.3">
      <c r="S228"/>
      <c r="T228"/>
      <c r="U228"/>
      <c r="V228"/>
      <c r="W228"/>
    </row>
    <row r="229" spans="19:23" ht="14.4" x14ac:dyDescent="0.3">
      <c r="S229"/>
      <c r="T229"/>
      <c r="U229"/>
      <c r="V229"/>
      <c r="W229"/>
    </row>
    <row r="230" spans="19:23" ht="14.4" x14ac:dyDescent="0.3">
      <c r="S230"/>
      <c r="T230"/>
      <c r="U230"/>
      <c r="V230"/>
      <c r="W230"/>
    </row>
    <row r="231" spans="19:23" ht="14.4" x14ac:dyDescent="0.3">
      <c r="S231"/>
      <c r="T231"/>
      <c r="U231"/>
      <c r="V231"/>
      <c r="W231"/>
    </row>
    <row r="232" spans="19:23" ht="14.4" x14ac:dyDescent="0.3">
      <c r="S232"/>
      <c r="T232"/>
      <c r="U232"/>
      <c r="V232"/>
      <c r="W232"/>
    </row>
    <row r="233" spans="19:23" ht="14.4" x14ac:dyDescent="0.3">
      <c r="S233"/>
      <c r="T233"/>
      <c r="U233"/>
      <c r="V233"/>
      <c r="W233"/>
    </row>
    <row r="234" spans="19:23" ht="14.4" x14ac:dyDescent="0.3">
      <c r="S234"/>
      <c r="T234"/>
      <c r="U234"/>
      <c r="V234"/>
      <c r="W234"/>
    </row>
    <row r="235" spans="19:23" ht="14.4" x14ac:dyDescent="0.3">
      <c r="S235"/>
      <c r="T235"/>
      <c r="U235"/>
      <c r="V235"/>
      <c r="W235"/>
    </row>
    <row r="236" spans="19:23" ht="14.4" x14ac:dyDescent="0.3">
      <c r="S236"/>
      <c r="T236"/>
      <c r="U236"/>
      <c r="V236"/>
      <c r="W236"/>
    </row>
    <row r="237" spans="19:23" ht="14.4" x14ac:dyDescent="0.3">
      <c r="S237"/>
      <c r="T237"/>
      <c r="U237"/>
      <c r="V237"/>
      <c r="W237"/>
    </row>
    <row r="238" spans="19:23" ht="14.4" x14ac:dyDescent="0.3">
      <c r="S238"/>
      <c r="T238"/>
      <c r="U238"/>
      <c r="V238"/>
      <c r="W238"/>
    </row>
    <row r="239" spans="19:23" ht="14.4" x14ac:dyDescent="0.3">
      <c r="S239"/>
      <c r="T239"/>
      <c r="U239"/>
      <c r="V239"/>
      <c r="W239"/>
    </row>
    <row r="240" spans="19:23" ht="14.4" x14ac:dyDescent="0.3">
      <c r="S240"/>
      <c r="T240"/>
      <c r="U240"/>
      <c r="V240"/>
      <c r="W240"/>
    </row>
    <row r="241" spans="19:23" ht="14.4" x14ac:dyDescent="0.3">
      <c r="S241"/>
      <c r="T241"/>
      <c r="U241"/>
      <c r="V241"/>
      <c r="W241"/>
    </row>
    <row r="242" spans="19:23" ht="14.4" x14ac:dyDescent="0.3">
      <c r="S242"/>
      <c r="T242"/>
      <c r="U242"/>
      <c r="V242"/>
      <c r="W242"/>
    </row>
    <row r="243" spans="19:23" ht="14.4" x14ac:dyDescent="0.3">
      <c r="S243"/>
      <c r="T243"/>
      <c r="U243"/>
      <c r="V243"/>
      <c r="W243"/>
    </row>
    <row r="244" spans="19:23" ht="14.4" x14ac:dyDescent="0.3">
      <c r="S244"/>
      <c r="T244"/>
      <c r="U244"/>
      <c r="V244"/>
      <c r="W244"/>
    </row>
    <row r="245" spans="19:23" ht="14.4" x14ac:dyDescent="0.3">
      <c r="S245"/>
      <c r="T245"/>
      <c r="U245"/>
      <c r="V245"/>
      <c r="W245"/>
    </row>
    <row r="246" spans="19:23" ht="14.4" x14ac:dyDescent="0.3">
      <c r="S246"/>
      <c r="T246"/>
      <c r="U246"/>
      <c r="V246"/>
      <c r="W246"/>
    </row>
    <row r="247" spans="19:23" ht="14.4" x14ac:dyDescent="0.3">
      <c r="S247"/>
      <c r="T247"/>
      <c r="U247"/>
      <c r="V247"/>
      <c r="W247"/>
    </row>
    <row r="248" spans="19:23" ht="14.4" x14ac:dyDescent="0.3">
      <c r="S248"/>
      <c r="T248"/>
      <c r="U248"/>
      <c r="V248"/>
      <c r="W248"/>
    </row>
    <row r="249" spans="19:23" ht="14.4" x14ac:dyDescent="0.3">
      <c r="S249"/>
      <c r="T249"/>
      <c r="U249"/>
      <c r="V249"/>
      <c r="W249"/>
    </row>
    <row r="250" spans="19:23" ht="14.4" x14ac:dyDescent="0.3">
      <c r="S250"/>
      <c r="T250"/>
      <c r="U250"/>
      <c r="V250"/>
      <c r="W250"/>
    </row>
    <row r="251" spans="19:23" ht="14.4" x14ac:dyDescent="0.3">
      <c r="S251"/>
      <c r="T251"/>
      <c r="U251"/>
      <c r="V251"/>
      <c r="W251"/>
    </row>
  </sheetData>
  <mergeCells count="152">
    <mergeCell ref="M9:O9"/>
    <mergeCell ref="P9:R9"/>
    <mergeCell ref="K10:L10"/>
    <mergeCell ref="M10:O10"/>
    <mergeCell ref="P10:R10"/>
    <mergeCell ref="K11:L11"/>
    <mergeCell ref="M11:N11"/>
    <mergeCell ref="O11:P11"/>
    <mergeCell ref="Q11:R11"/>
    <mergeCell ref="K9:L9"/>
    <mergeCell ref="J32:R32"/>
    <mergeCell ref="K23:L23"/>
    <mergeCell ref="Q23:R23"/>
    <mergeCell ref="K24:L24"/>
    <mergeCell ref="Q24:R24"/>
    <mergeCell ref="K25:L25"/>
    <mergeCell ref="Q25:R25"/>
    <mergeCell ref="J27:R27"/>
    <mergeCell ref="M23:O23"/>
    <mergeCell ref="M24:O24"/>
    <mergeCell ref="M25:O25"/>
    <mergeCell ref="J28:L28"/>
    <mergeCell ref="M28:R28"/>
    <mergeCell ref="J29:L29"/>
    <mergeCell ref="M29:R29"/>
    <mergeCell ref="J30:L30"/>
    <mergeCell ref="M30:R30"/>
    <mergeCell ref="P26:R26"/>
    <mergeCell ref="K12:L12"/>
    <mergeCell ref="M12:N12"/>
    <mergeCell ref="O12:P12"/>
    <mergeCell ref="Q12:R12"/>
    <mergeCell ref="K13:L13"/>
    <mergeCell ref="M13:N13"/>
    <mergeCell ref="O13:P13"/>
    <mergeCell ref="Q13:R13"/>
    <mergeCell ref="K21:L21"/>
    <mergeCell ref="Q21:R21"/>
    <mergeCell ref="K19:L19"/>
    <mergeCell ref="M19:O19"/>
    <mergeCell ref="Q19:R19"/>
    <mergeCell ref="K20:L20"/>
    <mergeCell ref="Q20:R20"/>
    <mergeCell ref="M20:O20"/>
    <mergeCell ref="M21:O21"/>
    <mergeCell ref="B37:C37"/>
    <mergeCell ref="D37:E37"/>
    <mergeCell ref="G37:H37"/>
    <mergeCell ref="J3:R3"/>
    <mergeCell ref="K4:L4"/>
    <mergeCell ref="M4:O4"/>
    <mergeCell ref="P4:R4"/>
    <mergeCell ref="K5:L5"/>
    <mergeCell ref="M5:O5"/>
    <mergeCell ref="P5:R5"/>
    <mergeCell ref="B35:C35"/>
    <mergeCell ref="D35:E35"/>
    <mergeCell ref="G35:H35"/>
    <mergeCell ref="B36:C36"/>
    <mergeCell ref="D36:E36"/>
    <mergeCell ref="G36:H36"/>
    <mergeCell ref="B33:C33"/>
    <mergeCell ref="D33:E33"/>
    <mergeCell ref="G33:H33"/>
    <mergeCell ref="B34:C34"/>
    <mergeCell ref="D34:E34"/>
    <mergeCell ref="Q22:R22"/>
    <mergeCell ref="J18:R18"/>
    <mergeCell ref="G34:H34"/>
    <mergeCell ref="B29:C29"/>
    <mergeCell ref="K22:L22"/>
    <mergeCell ref="D29:E29"/>
    <mergeCell ref="G29:H29"/>
    <mergeCell ref="A31:H31"/>
    <mergeCell ref="B32:C32"/>
    <mergeCell ref="D32:E32"/>
    <mergeCell ref="G32:H32"/>
    <mergeCell ref="B27:C27"/>
    <mergeCell ref="D27:E27"/>
    <mergeCell ref="G27:H27"/>
    <mergeCell ref="B28:C28"/>
    <mergeCell ref="D28:E28"/>
    <mergeCell ref="G28:H28"/>
    <mergeCell ref="B23:C23"/>
    <mergeCell ref="D23:E23"/>
    <mergeCell ref="G23:H23"/>
    <mergeCell ref="A25:H25"/>
    <mergeCell ref="B26:C26"/>
    <mergeCell ref="D26:E26"/>
    <mergeCell ref="G26:H26"/>
    <mergeCell ref="J26:K26"/>
    <mergeCell ref="L26:O26"/>
    <mergeCell ref="M22:O22"/>
    <mergeCell ref="D21:E21"/>
    <mergeCell ref="G21:H21"/>
    <mergeCell ref="B22:C22"/>
    <mergeCell ref="D22:E22"/>
    <mergeCell ref="G22:H22"/>
    <mergeCell ref="A18:H18"/>
    <mergeCell ref="B19:C19"/>
    <mergeCell ref="D19:E19"/>
    <mergeCell ref="G19:H19"/>
    <mergeCell ref="B20:C20"/>
    <mergeCell ref="D20:E20"/>
    <mergeCell ref="G20:H20"/>
    <mergeCell ref="B9:C9"/>
    <mergeCell ref="D9:E9"/>
    <mergeCell ref="G9:H9"/>
    <mergeCell ref="B10:C10"/>
    <mergeCell ref="D10:E10"/>
    <mergeCell ref="G10:H10"/>
    <mergeCell ref="J33:R37"/>
    <mergeCell ref="K7:L7"/>
    <mergeCell ref="M7:O7"/>
    <mergeCell ref="P7:R7"/>
    <mergeCell ref="B15:C15"/>
    <mergeCell ref="D15:E15"/>
    <mergeCell ref="G15:H15"/>
    <mergeCell ref="B16:C16"/>
    <mergeCell ref="D16:E16"/>
    <mergeCell ref="G16:H16"/>
    <mergeCell ref="A12:H12"/>
    <mergeCell ref="B13:C13"/>
    <mergeCell ref="D13:E13"/>
    <mergeCell ref="G13:H13"/>
    <mergeCell ref="B14:C14"/>
    <mergeCell ref="D14:E14"/>
    <mergeCell ref="G14:H14"/>
    <mergeCell ref="B21:C21"/>
    <mergeCell ref="A1:R1"/>
    <mergeCell ref="B7:C7"/>
    <mergeCell ref="D7:E7"/>
    <mergeCell ref="G7:H7"/>
    <mergeCell ref="B8:C8"/>
    <mergeCell ref="D8:E8"/>
    <mergeCell ref="G8:H8"/>
    <mergeCell ref="A3:H3"/>
    <mergeCell ref="B4:C4"/>
    <mergeCell ref="D4:E4"/>
    <mergeCell ref="G4:H4"/>
    <mergeCell ref="K6:L6"/>
    <mergeCell ref="M6:O6"/>
    <mergeCell ref="P6:R6"/>
    <mergeCell ref="B5:C5"/>
    <mergeCell ref="D5:E5"/>
    <mergeCell ref="G5:H5"/>
    <mergeCell ref="B6:C6"/>
    <mergeCell ref="D6:E6"/>
    <mergeCell ref="G6:H6"/>
    <mergeCell ref="K8:L8"/>
    <mergeCell ref="M8:O8"/>
    <mergeCell ref="P8:R8"/>
  </mergeCells>
  <dataValidations count="1">
    <dataValidation type="list" allowBlank="1" showInputMessage="1" sqref="J5:J10" xr:uid="{2D1B989B-CFEA-4230-865C-D1AFFD4B0E5E}">
      <formula1>"DD,MWD"</formula1>
    </dataValidation>
  </dataValidations>
  <hyperlinks>
    <hyperlink ref="L26" r:id="rId1" xr:uid="{196AD9FB-0FFA-42AA-B99B-D958612BFDE9}"/>
    <hyperlink ref="P26" r:id="rId2" xr:uid="{65B16531-DB3F-4A4F-8FA5-D849FD05C6B7}"/>
    <hyperlink ref="G35" r:id="rId3" display="mailto:sam.rivera@demo-dd.example" xr:uid="{C6EB91B2-C945-4F14-9221-C77A05A3E0A4}"/>
    <hyperlink ref="G36" r:id="rId4" display="mailto:riley.chen@demo-mwd.example" xr:uid="{398EDBC0-3478-4EB6-8D56-1AF4FAE3DCE4}"/>
    <hyperlink ref="G37" r:id="rId5" display="mailto:taylor.brooks@demo-sales.example" xr:uid="{C6627898-C88F-4CDF-AE42-BB17D46214C9}"/>
  </hyperlink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70" r:id="rId8" name="BtnOCRefresh">
              <controlPr defaultSize="0" print="0" autoFill="0" autoPict="0" macro="[0]!RefreshSetup">
                <anchor moveWithCells="1" sizeWithCells="1">
                  <from>
                    <xdr:col>14</xdr:col>
                    <xdr:colOff>0</xdr:colOff>
                    <xdr:row>0</xdr:row>
                    <xdr:rowOff>45720</xdr:rowOff>
                  </from>
                  <to>
                    <xdr:col>16</xdr:col>
                    <xdr:colOff>914400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1" r:id="rId9" name="BtnOCRebuild">
              <controlPr defaultSize="0" print="0" autoFill="0" autoPict="0" macro="[0]!RebuildSetup">
                <anchor moveWithCells="1" sizeWithCells="1">
                  <from>
                    <xdr:col>10</xdr:col>
                    <xdr:colOff>0</xdr:colOff>
                    <xdr:row>0</xdr:row>
                    <xdr:rowOff>45720</xdr:rowOff>
                  </from>
                  <to>
                    <xdr:col>11</xdr:col>
                    <xdr:colOff>655320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2" r:id="rId10" name="BtnImportPlan">
              <controlPr defaultSize="0" print="0" autoFill="0" autoPict="0" macro="[0]!ImportSurveyPlan">
                <anchor moveWithCells="1" siz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3" r:id="rId11" name="BtnImportAC">
              <controlPr defaultSize="0" print="0" autoFill="0" autoPict="0" macro="[0]!ImportAntiCollision">
                <anchor moveWithCells="1" siz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CA26A-E4D9-4FA1-9661-E17DA17C1B8A}">
  <sheetPr codeName="Sheet1">
    <tabColor rgb="FFFF0000"/>
  </sheetPr>
  <dimension ref="A1:U74"/>
  <sheetViews>
    <sheetView showGridLines="0" topLeftCell="B1" zoomScale="85" zoomScaleNormal="85" workbookViewId="0">
      <selection activeCell="C19" sqref="C19:D19"/>
    </sheetView>
  </sheetViews>
  <sheetFormatPr defaultColWidth="9.109375" defaultRowHeight="14.4" x14ac:dyDescent="0.3"/>
  <cols>
    <col min="1" max="1" width="20.88671875" style="16" hidden="1" customWidth="1"/>
    <col min="2" max="2" width="14.44140625" style="16" bestFit="1" customWidth="1"/>
    <col min="3" max="3" width="9.109375" style="16"/>
    <col min="4" max="4" width="16.88671875" style="16" customWidth="1"/>
    <col min="5" max="5" width="21.33203125" style="16" customWidth="1"/>
    <col min="6" max="6" width="2.6640625" style="16" customWidth="1"/>
    <col min="7" max="7" width="22.109375" style="16" customWidth="1"/>
    <col min="8" max="8" width="26.88671875" style="16" customWidth="1"/>
    <col min="9" max="9" width="19.5546875" style="16" customWidth="1"/>
    <col min="10" max="16384" width="9.109375" style="16"/>
  </cols>
  <sheetData>
    <row r="1" spans="1:21" ht="18" thickBot="1" x14ac:dyDescent="0.35">
      <c r="A1" s="441">
        <v>29674</v>
      </c>
      <c r="B1" s="788" t="str">
        <f>Setup!D5</f>
        <v>NWE HZ WILLOWBEND 04-22-68-08 - demo-rig -</v>
      </c>
      <c r="C1" s="789"/>
      <c r="D1" s="789"/>
      <c r="E1" s="789"/>
      <c r="F1" s="790"/>
      <c r="G1" s="790"/>
      <c r="H1" s="790"/>
      <c r="I1" s="791"/>
    </row>
    <row r="2" spans="1:21" ht="19.2" thickBot="1" x14ac:dyDescent="0.35">
      <c r="A2" s="442"/>
      <c r="B2" s="4" t="s">
        <v>719</v>
      </c>
      <c r="C2" s="3" t="s">
        <v>6</v>
      </c>
      <c r="D2" s="171"/>
      <c r="E2" s="5" t="s">
        <v>7</v>
      </c>
      <c r="F2" s="446"/>
      <c r="G2" s="445" t="s">
        <v>8</v>
      </c>
      <c r="H2" s="447" t="s">
        <v>9</v>
      </c>
      <c r="I2" s="447" t="s">
        <v>10</v>
      </c>
    </row>
    <row r="3" spans="1:21" ht="18" thickBot="1" x14ac:dyDescent="0.35">
      <c r="A3" s="443"/>
      <c r="B3" s="1" t="s">
        <v>11</v>
      </c>
      <c r="C3" s="784">
        <v>46224</v>
      </c>
      <c r="D3" s="785"/>
      <c r="E3" s="175">
        <v>7070</v>
      </c>
      <c r="F3" s="17"/>
      <c r="G3" s="18">
        <f>IF(ISBLANK(E3),"",E3)</f>
        <v>7070</v>
      </c>
      <c r="H3" s="176" t="s">
        <v>461</v>
      </c>
      <c r="I3" s="177"/>
      <c r="K3" s="786"/>
      <c r="L3" s="786"/>
      <c r="M3" s="786"/>
      <c r="N3" s="786"/>
      <c r="O3" s="786"/>
    </row>
    <row r="4" spans="1:21" ht="18.600000000000001" thickBot="1" x14ac:dyDescent="0.4">
      <c r="A4" s="443"/>
      <c r="B4" s="1" t="s">
        <v>12</v>
      </c>
      <c r="C4" s="784">
        <f t="shared" ref="C4:C35" si="0">IF(E4&lt;&gt;"",C3+1,"")</f>
        <v>46225</v>
      </c>
      <c r="D4" s="785"/>
      <c r="E4" s="175">
        <v>26645</v>
      </c>
      <c r="F4" s="17"/>
      <c r="G4" s="18">
        <f>IF(ISBLANK(E4),"",SUM($E$3:E4))</f>
        <v>33715</v>
      </c>
      <c r="H4" s="19"/>
      <c r="I4" s="20">
        <f>I3+E74</f>
        <v>799700</v>
      </c>
      <c r="P4" s="174"/>
      <c r="Q4" s="174"/>
      <c r="R4" s="174"/>
    </row>
    <row r="5" spans="1:21" ht="20.25" customHeight="1" thickBot="1" x14ac:dyDescent="0.35">
      <c r="A5" s="443"/>
      <c r="B5" s="1" t="s">
        <v>13</v>
      </c>
      <c r="C5" s="784">
        <f t="shared" si="0"/>
        <v>46226</v>
      </c>
      <c r="D5" s="785"/>
      <c r="E5" s="175">
        <v>8435</v>
      </c>
      <c r="F5" s="17"/>
      <c r="G5" s="18">
        <f>IF(ISBLANK(E5),"",SUM($E$3:E5))</f>
        <v>42150</v>
      </c>
      <c r="H5" s="21"/>
      <c r="K5" s="787"/>
      <c r="L5" s="787"/>
      <c r="M5" s="787"/>
      <c r="N5" s="787"/>
      <c r="O5" s="787"/>
      <c r="P5" s="173"/>
      <c r="Q5" s="173"/>
      <c r="R5" s="173"/>
    </row>
    <row r="6" spans="1:21" ht="18" thickBot="1" x14ac:dyDescent="0.35">
      <c r="A6" s="443"/>
      <c r="B6" s="1" t="s">
        <v>14</v>
      </c>
      <c r="C6" s="784">
        <f t="shared" si="0"/>
        <v>46227</v>
      </c>
      <c r="D6" s="785"/>
      <c r="E6" s="175">
        <v>28525</v>
      </c>
      <c r="F6" s="17"/>
      <c r="G6" s="18">
        <f>IF(ISBLANK(E6),"",SUM($E$3:E6))</f>
        <v>70675</v>
      </c>
      <c r="H6" s="21"/>
      <c r="K6" s="173"/>
      <c r="L6" s="173"/>
      <c r="M6" s="173"/>
      <c r="N6" s="173"/>
      <c r="O6" s="173"/>
      <c r="P6" s="173"/>
      <c r="Q6" s="173"/>
      <c r="R6" s="173"/>
    </row>
    <row r="7" spans="1:21" ht="18" thickBot="1" x14ac:dyDescent="0.35">
      <c r="A7" s="443"/>
      <c r="B7" s="2" t="s">
        <v>15</v>
      </c>
      <c r="C7" s="784">
        <f t="shared" si="0"/>
        <v>46228</v>
      </c>
      <c r="D7" s="785"/>
      <c r="E7" s="175">
        <v>10375</v>
      </c>
      <c r="F7" s="17"/>
      <c r="G7" s="18">
        <f>IF(ISBLANK(E7),"",SUM($E$3:E7))</f>
        <v>81050</v>
      </c>
      <c r="H7" s="21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</row>
    <row r="8" spans="1:21" ht="18" thickBot="1" x14ac:dyDescent="0.35">
      <c r="A8" s="443"/>
      <c r="B8" s="2" t="s">
        <v>16</v>
      </c>
      <c r="C8" s="784">
        <f t="shared" si="0"/>
        <v>46229</v>
      </c>
      <c r="D8" s="785"/>
      <c r="E8" s="175">
        <v>10475</v>
      </c>
      <c r="F8" s="17"/>
      <c r="G8" s="18">
        <f>IF(ISBLANK(E8),"",SUM($E$3:E8))</f>
        <v>91525</v>
      </c>
      <c r="H8" s="21"/>
      <c r="K8" s="172"/>
      <c r="L8" s="172"/>
      <c r="M8" s="172"/>
      <c r="N8" s="172"/>
      <c r="O8" s="172"/>
      <c r="P8" s="172"/>
      <c r="Q8" s="172"/>
      <c r="R8" s="172"/>
    </row>
    <row r="9" spans="1:21" ht="18" thickBot="1" x14ac:dyDescent="0.35">
      <c r="A9" s="443"/>
      <c r="B9" s="2" t="s">
        <v>17</v>
      </c>
      <c r="C9" s="784">
        <f t="shared" si="0"/>
        <v>46230</v>
      </c>
      <c r="D9" s="785"/>
      <c r="E9" s="175">
        <v>10175</v>
      </c>
      <c r="F9" s="17"/>
      <c r="G9" s="18">
        <f>IF(ISBLANK(E9),"",SUM($E$3:E9))</f>
        <v>101700</v>
      </c>
      <c r="H9" s="21"/>
    </row>
    <row r="10" spans="1:21" ht="18" thickBot="1" x14ac:dyDescent="0.35">
      <c r="A10" s="443"/>
      <c r="B10" s="2" t="s">
        <v>18</v>
      </c>
      <c r="C10" s="784">
        <f t="shared" si="0"/>
        <v>46231</v>
      </c>
      <c r="D10" s="785"/>
      <c r="E10" s="175">
        <v>33200</v>
      </c>
      <c r="F10" s="17"/>
      <c r="G10" s="18">
        <f>IF(ISBLANK(E10),"",SUM($E$3:E10))</f>
        <v>134900</v>
      </c>
      <c r="H10" s="21"/>
    </row>
    <row r="11" spans="1:21" ht="18" thickBot="1" x14ac:dyDescent="0.35">
      <c r="A11" s="443"/>
      <c r="B11" s="2" t="s">
        <v>19</v>
      </c>
      <c r="C11" s="784">
        <f t="shared" si="0"/>
        <v>46232</v>
      </c>
      <c r="D11" s="785"/>
      <c r="E11" s="175">
        <v>10500</v>
      </c>
      <c r="F11" s="17"/>
      <c r="G11" s="18">
        <f>IF(ISBLANK(E11),"",SUM($E$3:E11))</f>
        <v>145400</v>
      </c>
      <c r="H11" s="21"/>
    </row>
    <row r="12" spans="1:21" ht="18" thickBot="1" x14ac:dyDescent="0.35">
      <c r="A12" s="443"/>
      <c r="B12" s="2" t="s">
        <v>20</v>
      </c>
      <c r="C12" s="784">
        <f t="shared" si="0"/>
        <v>46233</v>
      </c>
      <c r="D12" s="785"/>
      <c r="E12" s="175">
        <v>32550</v>
      </c>
      <c r="F12" s="17"/>
      <c r="G12" s="18">
        <f>IF(ISBLANK(E12),"",SUM($E$3:E12))</f>
        <v>177950</v>
      </c>
      <c r="H12" s="21"/>
    </row>
    <row r="13" spans="1:21" ht="18" thickBot="1" x14ac:dyDescent="0.35">
      <c r="A13" s="443"/>
      <c r="B13" s="2" t="s">
        <v>21</v>
      </c>
      <c r="C13" s="784">
        <f t="shared" si="0"/>
        <v>46234</v>
      </c>
      <c r="D13" s="785"/>
      <c r="E13" s="175">
        <v>10500</v>
      </c>
      <c r="F13" s="17"/>
      <c r="G13" s="18">
        <f>IF(ISBLANK(E13),"",SUM($E$3:E13))</f>
        <v>188450</v>
      </c>
      <c r="H13" s="21"/>
    </row>
    <row r="14" spans="1:21" ht="18" thickBot="1" x14ac:dyDescent="0.35">
      <c r="A14" s="443"/>
      <c r="B14" s="2" t="s">
        <v>22</v>
      </c>
      <c r="C14" s="784">
        <f t="shared" si="0"/>
        <v>46235</v>
      </c>
      <c r="D14" s="785"/>
      <c r="E14" s="175">
        <v>8750</v>
      </c>
      <c r="F14" s="17"/>
      <c r="G14" s="18">
        <f>IF(ISBLANK(E14),"",SUM($E$3:E14))</f>
        <v>197200</v>
      </c>
      <c r="H14" s="21"/>
    </row>
    <row r="15" spans="1:21" ht="18" thickBot="1" x14ac:dyDescent="0.35">
      <c r="A15" s="443"/>
      <c r="B15" s="2" t="s">
        <v>23</v>
      </c>
      <c r="C15" s="784">
        <f t="shared" si="0"/>
        <v>46236</v>
      </c>
      <c r="D15" s="785"/>
      <c r="E15" s="175">
        <v>24250</v>
      </c>
      <c r="F15" s="17"/>
      <c r="G15" s="18">
        <f>IF(ISBLANK(E15),"",SUM($E$3:E15))</f>
        <v>221450</v>
      </c>
      <c r="H15" s="21"/>
    </row>
    <row r="16" spans="1:21" ht="18" thickBot="1" x14ac:dyDescent="0.35">
      <c r="A16" s="443"/>
      <c r="B16" s="2" t="s">
        <v>24</v>
      </c>
      <c r="C16" s="784">
        <f t="shared" si="0"/>
        <v>46237</v>
      </c>
      <c r="D16" s="785"/>
      <c r="E16" s="175">
        <v>9325</v>
      </c>
      <c r="F16" s="17"/>
      <c r="G16" s="18">
        <f>IF(ISBLANK(E16),"",SUM($E$3:E16))</f>
        <v>230775</v>
      </c>
      <c r="H16" s="21"/>
    </row>
    <row r="17" spans="1:8" ht="18" thickBot="1" x14ac:dyDescent="0.35">
      <c r="A17" s="443"/>
      <c r="B17" s="2" t="s">
        <v>25</v>
      </c>
      <c r="C17" s="784">
        <f t="shared" si="0"/>
        <v>46238</v>
      </c>
      <c r="D17" s="785"/>
      <c r="E17" s="175">
        <v>9300</v>
      </c>
      <c r="F17" s="17"/>
      <c r="G17" s="18">
        <f>IF(ISBLANK(E17),"",SUM($E$3:E17))</f>
        <v>240075</v>
      </c>
      <c r="H17" s="21"/>
    </row>
    <row r="18" spans="1:8" ht="18" thickBot="1" x14ac:dyDescent="0.35">
      <c r="A18" s="443"/>
      <c r="B18" s="2" t="s">
        <v>26</v>
      </c>
      <c r="C18" s="784">
        <f t="shared" si="0"/>
        <v>46239</v>
      </c>
      <c r="D18" s="785"/>
      <c r="E18" s="175">
        <v>9325</v>
      </c>
      <c r="F18" s="17"/>
      <c r="G18" s="18">
        <f>IF(ISBLANK(E18),"",SUM($E$3:E18))</f>
        <v>249400</v>
      </c>
      <c r="H18" s="21"/>
    </row>
    <row r="19" spans="1:8" ht="18" thickBot="1" x14ac:dyDescent="0.35">
      <c r="A19" s="443"/>
      <c r="B19" s="2" t="s">
        <v>27</v>
      </c>
      <c r="C19" s="784">
        <f t="shared" si="0"/>
        <v>46240</v>
      </c>
      <c r="D19" s="785"/>
      <c r="E19" s="175">
        <v>9000</v>
      </c>
      <c r="F19" s="17"/>
      <c r="G19" s="18">
        <f>IF(ISBLANK(E19),"",SUM($E$3:E19))</f>
        <v>258400</v>
      </c>
      <c r="H19" s="21"/>
    </row>
    <row r="20" spans="1:8" ht="18" thickBot="1" x14ac:dyDescent="0.35">
      <c r="A20" s="443"/>
      <c r="B20" s="2" t="s">
        <v>28</v>
      </c>
      <c r="C20" s="784">
        <f t="shared" si="0"/>
        <v>46241</v>
      </c>
      <c r="D20" s="785"/>
      <c r="E20" s="175">
        <v>23937.5</v>
      </c>
      <c r="F20" s="17"/>
      <c r="G20" s="18">
        <f>IF(ISBLANK(E20),"",SUM($E$3:E20))</f>
        <v>282337.5</v>
      </c>
      <c r="H20" s="21"/>
    </row>
    <row r="21" spans="1:8" ht="18" thickBot="1" x14ac:dyDescent="0.35">
      <c r="A21" s="443"/>
      <c r="B21" s="2" t="s">
        <v>29</v>
      </c>
      <c r="C21" s="784">
        <f t="shared" si="0"/>
        <v>46242</v>
      </c>
      <c r="D21" s="785"/>
      <c r="E21" s="175">
        <v>9262.5</v>
      </c>
      <c r="F21" s="17"/>
      <c r="G21" s="18">
        <f>IF(ISBLANK(E21),"",SUM($E$3:E21))</f>
        <v>291600</v>
      </c>
      <c r="H21" s="21"/>
    </row>
    <row r="22" spans="1:8" ht="18" thickBot="1" x14ac:dyDescent="0.35">
      <c r="A22" s="443"/>
      <c r="B22" s="2" t="s">
        <v>30</v>
      </c>
      <c r="C22" s="784">
        <f t="shared" si="0"/>
        <v>46243</v>
      </c>
      <c r="D22" s="785"/>
      <c r="E22" s="175">
        <v>508100</v>
      </c>
      <c r="F22" s="17"/>
      <c r="G22" s="18">
        <f>IF(ISBLANK(E22),"",SUM($E$3:E22))</f>
        <v>799700</v>
      </c>
      <c r="H22" s="21"/>
    </row>
    <row r="23" spans="1:8" ht="18" thickBot="1" x14ac:dyDescent="0.35">
      <c r="A23" s="443"/>
      <c r="B23" s="2" t="s">
        <v>31</v>
      </c>
      <c r="C23" s="784" t="str">
        <f t="shared" si="0"/>
        <v/>
      </c>
      <c r="D23" s="785"/>
      <c r="E23" s="175"/>
      <c r="F23" s="17"/>
      <c r="G23" s="18" t="str">
        <f>IF(ISBLANK(E23),"",SUM($E$3:E23))</f>
        <v/>
      </c>
      <c r="H23" s="21"/>
    </row>
    <row r="24" spans="1:8" ht="18" thickBot="1" x14ac:dyDescent="0.35">
      <c r="A24" s="443"/>
      <c r="B24" s="2" t="s">
        <v>32</v>
      </c>
      <c r="C24" s="784" t="str">
        <f t="shared" si="0"/>
        <v/>
      </c>
      <c r="D24" s="785"/>
      <c r="E24" s="175"/>
      <c r="F24" s="17"/>
      <c r="G24" s="18" t="str">
        <f>IF(ISBLANK(E24),"",SUM($E$3:E24))</f>
        <v/>
      </c>
      <c r="H24" s="21"/>
    </row>
    <row r="25" spans="1:8" ht="18" thickBot="1" x14ac:dyDescent="0.35">
      <c r="A25" s="443"/>
      <c r="B25" s="2" t="s">
        <v>33</v>
      </c>
      <c r="C25" s="784" t="str">
        <f t="shared" si="0"/>
        <v/>
      </c>
      <c r="D25" s="785"/>
      <c r="E25" s="175"/>
      <c r="F25" s="17"/>
      <c r="G25" s="18" t="str">
        <f>IF(ISBLANK(E25),"",SUM($E$3:E25))</f>
        <v/>
      </c>
      <c r="H25" s="21"/>
    </row>
    <row r="26" spans="1:8" ht="18" thickBot="1" x14ac:dyDescent="0.35">
      <c r="A26" s="443"/>
      <c r="B26" s="2" t="s">
        <v>34</v>
      </c>
      <c r="C26" s="784" t="str">
        <f t="shared" si="0"/>
        <v/>
      </c>
      <c r="D26" s="785"/>
      <c r="E26" s="175"/>
      <c r="F26" s="17"/>
      <c r="G26" s="18" t="str">
        <f>IF(ISBLANK(E26),"",SUM($E$3:E26))</f>
        <v/>
      </c>
      <c r="H26" s="21"/>
    </row>
    <row r="27" spans="1:8" ht="18" thickBot="1" x14ac:dyDescent="0.35">
      <c r="A27" s="443"/>
      <c r="B27" s="2" t="s">
        <v>35</v>
      </c>
      <c r="C27" s="784" t="str">
        <f t="shared" si="0"/>
        <v/>
      </c>
      <c r="D27" s="785"/>
      <c r="E27" s="175"/>
      <c r="F27" s="17"/>
      <c r="G27" s="18" t="str">
        <f>IF(ISBLANK(E27),"",SUM($E$3:E27))</f>
        <v/>
      </c>
      <c r="H27" s="21"/>
    </row>
    <row r="28" spans="1:8" ht="18" thickBot="1" x14ac:dyDescent="0.35">
      <c r="A28" s="443"/>
      <c r="B28" s="2" t="s">
        <v>36</v>
      </c>
      <c r="C28" s="784" t="str">
        <f t="shared" si="0"/>
        <v/>
      </c>
      <c r="D28" s="785"/>
      <c r="E28" s="175"/>
      <c r="F28" s="17"/>
      <c r="G28" s="18" t="str">
        <f>IF(ISBLANK(E28),"",SUM($E$3:E28))</f>
        <v/>
      </c>
      <c r="H28" s="21"/>
    </row>
    <row r="29" spans="1:8" ht="18" thickBot="1" x14ac:dyDescent="0.35">
      <c r="A29" s="443"/>
      <c r="B29" s="2" t="s">
        <v>37</v>
      </c>
      <c r="C29" s="784" t="str">
        <f t="shared" si="0"/>
        <v/>
      </c>
      <c r="D29" s="785"/>
      <c r="E29" s="175"/>
      <c r="F29" s="17"/>
      <c r="G29" s="18" t="str">
        <f>IF(ISBLANK(E29),"",SUM($E$3:E29))</f>
        <v/>
      </c>
      <c r="H29" s="21"/>
    </row>
    <row r="30" spans="1:8" ht="18" thickBot="1" x14ac:dyDescent="0.35">
      <c r="A30" s="443"/>
      <c r="B30" s="2" t="s">
        <v>38</v>
      </c>
      <c r="C30" s="784" t="str">
        <f t="shared" si="0"/>
        <v/>
      </c>
      <c r="D30" s="785"/>
      <c r="E30" s="175"/>
      <c r="F30" s="17"/>
      <c r="G30" s="18" t="str">
        <f>IF(ISBLANK(E30),"",SUM($E$3:E30))</f>
        <v/>
      </c>
      <c r="H30" s="21"/>
    </row>
    <row r="31" spans="1:8" ht="18" thickBot="1" x14ac:dyDescent="0.35">
      <c r="A31" s="443"/>
      <c r="B31" s="2" t="s">
        <v>39</v>
      </c>
      <c r="C31" s="784" t="str">
        <f t="shared" si="0"/>
        <v/>
      </c>
      <c r="D31" s="785"/>
      <c r="E31" s="175"/>
      <c r="F31" s="17"/>
      <c r="G31" s="18" t="str">
        <f>IF(ISBLANK(E31),"",SUM($E$3:E31))</f>
        <v/>
      </c>
      <c r="H31" s="21"/>
    </row>
    <row r="32" spans="1:8" ht="18" thickBot="1" x14ac:dyDescent="0.35">
      <c r="A32" s="443"/>
      <c r="B32" s="2" t="s">
        <v>40</v>
      </c>
      <c r="C32" s="784" t="str">
        <f t="shared" si="0"/>
        <v/>
      </c>
      <c r="D32" s="785"/>
      <c r="E32" s="175"/>
      <c r="F32" s="17"/>
      <c r="G32" s="18" t="str">
        <f>IF(ISBLANK(E32),"",SUM($E$3:E32))</f>
        <v/>
      </c>
      <c r="H32" s="21"/>
    </row>
    <row r="33" spans="1:8" ht="18" thickBot="1" x14ac:dyDescent="0.35">
      <c r="A33" s="443"/>
      <c r="B33" s="2" t="s">
        <v>41</v>
      </c>
      <c r="C33" s="784" t="str">
        <f t="shared" si="0"/>
        <v/>
      </c>
      <c r="D33" s="785"/>
      <c r="E33" s="175"/>
      <c r="F33" s="17"/>
      <c r="G33" s="18" t="str">
        <f>IF(ISBLANK(E33),"",SUM($E$3:E33))</f>
        <v/>
      </c>
      <c r="H33" s="21"/>
    </row>
    <row r="34" spans="1:8" ht="18" thickBot="1" x14ac:dyDescent="0.35">
      <c r="A34" s="443"/>
      <c r="B34" s="2" t="s">
        <v>42</v>
      </c>
      <c r="C34" s="784" t="str">
        <f t="shared" si="0"/>
        <v/>
      </c>
      <c r="D34" s="785"/>
      <c r="E34" s="175"/>
      <c r="F34" s="17"/>
      <c r="G34" s="18" t="str">
        <f>IF(ISBLANK(E34),"",SUM($E$3:E34))</f>
        <v/>
      </c>
      <c r="H34" s="21"/>
    </row>
    <row r="35" spans="1:8" ht="18" thickBot="1" x14ac:dyDescent="0.35">
      <c r="A35" s="443"/>
      <c r="B35" s="2" t="s">
        <v>43</v>
      </c>
      <c r="C35" s="784" t="str">
        <f t="shared" si="0"/>
        <v/>
      </c>
      <c r="D35" s="785"/>
      <c r="E35" s="175"/>
      <c r="F35" s="17"/>
      <c r="G35" s="18" t="str">
        <f>IF(ISBLANK(E35),"",SUM($E$3:E35))</f>
        <v/>
      </c>
      <c r="H35" s="21"/>
    </row>
    <row r="36" spans="1:8" ht="18" thickBot="1" x14ac:dyDescent="0.35">
      <c r="A36" s="443"/>
      <c r="B36" s="2" t="s">
        <v>44</v>
      </c>
      <c r="C36" s="784" t="str">
        <f t="shared" ref="C36:C72" si="1">IF(E36&lt;&gt;"",C35+1,"")</f>
        <v/>
      </c>
      <c r="D36" s="785"/>
      <c r="E36" s="175"/>
      <c r="F36" s="17"/>
      <c r="G36" s="18" t="str">
        <f>IF(ISBLANK(E36),"",SUM($E$3:E36))</f>
        <v/>
      </c>
      <c r="H36" s="21"/>
    </row>
    <row r="37" spans="1:8" ht="18" thickBot="1" x14ac:dyDescent="0.35">
      <c r="A37" s="443"/>
      <c r="B37" s="2" t="s">
        <v>45</v>
      </c>
      <c r="C37" s="784" t="str">
        <f t="shared" si="1"/>
        <v/>
      </c>
      <c r="D37" s="785"/>
      <c r="E37" s="175"/>
      <c r="F37" s="17"/>
      <c r="G37" s="18" t="str">
        <f>IF(ISBLANK(E37),"",SUM($E$3:E37))</f>
        <v/>
      </c>
      <c r="H37" s="21"/>
    </row>
    <row r="38" spans="1:8" ht="18" thickBot="1" x14ac:dyDescent="0.35">
      <c r="A38" s="443"/>
      <c r="B38" s="2" t="s">
        <v>46</v>
      </c>
      <c r="C38" s="784" t="str">
        <f t="shared" si="1"/>
        <v/>
      </c>
      <c r="D38" s="785"/>
      <c r="E38" s="175"/>
      <c r="F38" s="17"/>
      <c r="G38" s="18" t="str">
        <f>IF(ISBLANK(E38),"",SUM($E$3:E38))</f>
        <v/>
      </c>
      <c r="H38" s="21"/>
    </row>
    <row r="39" spans="1:8" ht="18" thickBot="1" x14ac:dyDescent="0.35">
      <c r="A39" s="443"/>
      <c r="B39" s="2" t="s">
        <v>47</v>
      </c>
      <c r="C39" s="784" t="str">
        <f t="shared" si="1"/>
        <v/>
      </c>
      <c r="D39" s="785"/>
      <c r="E39" s="175"/>
      <c r="F39" s="17"/>
      <c r="G39" s="18" t="str">
        <f>IF(ISBLANK(E39),"",SUM($E$3:E39))</f>
        <v/>
      </c>
      <c r="H39" s="21"/>
    </row>
    <row r="40" spans="1:8" ht="18" thickBot="1" x14ac:dyDescent="0.35">
      <c r="A40" s="443"/>
      <c r="B40" s="2" t="s">
        <v>48</v>
      </c>
      <c r="C40" s="784" t="str">
        <f t="shared" si="1"/>
        <v/>
      </c>
      <c r="D40" s="785"/>
      <c r="E40" s="175"/>
      <c r="F40" s="17"/>
      <c r="G40" s="18" t="str">
        <f>IF(ISBLANK(E40),"",SUM($E$3:E40))</f>
        <v/>
      </c>
      <c r="H40" s="21"/>
    </row>
    <row r="41" spans="1:8" ht="18" thickBot="1" x14ac:dyDescent="0.35">
      <c r="A41" s="443"/>
      <c r="B41" s="2" t="s">
        <v>49</v>
      </c>
      <c r="C41" s="784" t="str">
        <f t="shared" si="1"/>
        <v/>
      </c>
      <c r="D41" s="785"/>
      <c r="E41" s="175"/>
      <c r="F41" s="17"/>
      <c r="G41" s="18" t="str">
        <f>IF(ISBLANK(E41),"",SUM($E$3:E41))</f>
        <v/>
      </c>
      <c r="H41" s="21"/>
    </row>
    <row r="42" spans="1:8" ht="18" thickBot="1" x14ac:dyDescent="0.35">
      <c r="A42" s="443"/>
      <c r="B42" s="2" t="s">
        <v>50</v>
      </c>
      <c r="C42" s="784" t="str">
        <f t="shared" si="1"/>
        <v/>
      </c>
      <c r="D42" s="785"/>
      <c r="E42" s="175"/>
      <c r="F42" s="17"/>
      <c r="G42" s="18" t="str">
        <f>IF(ISBLANK(E42),"",SUM($E$3:E42))</f>
        <v/>
      </c>
      <c r="H42" s="21"/>
    </row>
    <row r="43" spans="1:8" ht="18" thickBot="1" x14ac:dyDescent="0.35">
      <c r="A43" s="443"/>
      <c r="B43" s="2" t="s">
        <v>51</v>
      </c>
      <c r="C43" s="784" t="str">
        <f t="shared" si="1"/>
        <v/>
      </c>
      <c r="D43" s="785"/>
      <c r="E43" s="175"/>
      <c r="F43" s="17"/>
      <c r="G43" s="18" t="str">
        <f>IF(ISBLANK(E43),"",SUM($E$3:E43))</f>
        <v/>
      </c>
      <c r="H43" s="21"/>
    </row>
    <row r="44" spans="1:8" ht="18" thickBot="1" x14ac:dyDescent="0.35">
      <c r="A44" s="443"/>
      <c r="B44" s="2" t="s">
        <v>52</v>
      </c>
      <c r="C44" s="784" t="str">
        <f t="shared" si="1"/>
        <v/>
      </c>
      <c r="D44" s="785"/>
      <c r="E44" s="175"/>
      <c r="F44" s="17"/>
      <c r="G44" s="18" t="str">
        <f>IF(ISBLANK(E44),"",SUM($E$3:E44))</f>
        <v/>
      </c>
      <c r="H44" s="21"/>
    </row>
    <row r="45" spans="1:8" ht="18" thickBot="1" x14ac:dyDescent="0.35">
      <c r="A45" s="443"/>
      <c r="B45" s="2" t="s">
        <v>53</v>
      </c>
      <c r="C45" s="784" t="str">
        <f t="shared" si="1"/>
        <v/>
      </c>
      <c r="D45" s="785"/>
      <c r="E45" s="175"/>
      <c r="F45" s="17"/>
      <c r="G45" s="18" t="str">
        <f>IF(ISBLANK(E45),"",SUM($E$3:E45))</f>
        <v/>
      </c>
      <c r="H45" s="21"/>
    </row>
    <row r="46" spans="1:8" ht="18" thickBot="1" x14ac:dyDescent="0.35">
      <c r="A46" s="443"/>
      <c r="B46" s="2" t="s">
        <v>54</v>
      </c>
      <c r="C46" s="784" t="str">
        <f t="shared" si="1"/>
        <v/>
      </c>
      <c r="D46" s="785"/>
      <c r="E46" s="175"/>
      <c r="F46" s="17"/>
      <c r="G46" s="18" t="str">
        <f>IF(ISBLANK(E46),"",SUM($E$3:E46))</f>
        <v/>
      </c>
      <c r="H46" s="21"/>
    </row>
    <row r="47" spans="1:8" ht="18" thickBot="1" x14ac:dyDescent="0.35">
      <c r="A47" s="443"/>
      <c r="B47" s="2" t="s">
        <v>55</v>
      </c>
      <c r="C47" s="784" t="str">
        <f t="shared" si="1"/>
        <v/>
      </c>
      <c r="D47" s="785"/>
      <c r="E47" s="175"/>
      <c r="F47" s="17"/>
      <c r="G47" s="18" t="str">
        <f>IF(ISBLANK(E47),"",SUM($E$3:E47))</f>
        <v/>
      </c>
      <c r="H47" s="21"/>
    </row>
    <row r="48" spans="1:8" ht="18" thickBot="1" x14ac:dyDescent="0.35">
      <c r="A48" s="443"/>
      <c r="B48" s="2" t="s">
        <v>56</v>
      </c>
      <c r="C48" s="784" t="str">
        <f t="shared" si="1"/>
        <v/>
      </c>
      <c r="D48" s="785"/>
      <c r="E48" s="175"/>
      <c r="F48" s="17"/>
      <c r="G48" s="18" t="str">
        <f>IF(ISBLANK(E48),"",SUM($E$3:E48))</f>
        <v/>
      </c>
      <c r="H48" s="21"/>
    </row>
    <row r="49" spans="1:8" ht="18" thickBot="1" x14ac:dyDescent="0.35">
      <c r="A49" s="443"/>
      <c r="B49" s="2" t="s">
        <v>57</v>
      </c>
      <c r="C49" s="784" t="str">
        <f t="shared" si="1"/>
        <v/>
      </c>
      <c r="D49" s="785"/>
      <c r="E49" s="175"/>
      <c r="F49" s="17"/>
      <c r="G49" s="18" t="str">
        <f>IF(ISBLANK(E49),"",SUM($E$3:E49))</f>
        <v/>
      </c>
      <c r="H49" s="21"/>
    </row>
    <row r="50" spans="1:8" ht="18" thickBot="1" x14ac:dyDescent="0.35">
      <c r="A50" s="443"/>
      <c r="B50" s="2" t="s">
        <v>58</v>
      </c>
      <c r="C50" s="784" t="str">
        <f t="shared" si="1"/>
        <v/>
      </c>
      <c r="D50" s="785"/>
      <c r="E50" s="175"/>
      <c r="F50" s="17"/>
      <c r="G50" s="18" t="str">
        <f>IF(ISBLANK(E50),"",SUM($E$3:E50))</f>
        <v/>
      </c>
      <c r="H50" s="21"/>
    </row>
    <row r="51" spans="1:8" ht="18" thickBot="1" x14ac:dyDescent="0.35">
      <c r="A51" s="443"/>
      <c r="B51" s="2" t="s">
        <v>59</v>
      </c>
      <c r="C51" s="784" t="str">
        <f t="shared" si="1"/>
        <v/>
      </c>
      <c r="D51" s="785"/>
      <c r="E51" s="175"/>
      <c r="F51" s="17"/>
      <c r="G51" s="18" t="str">
        <f>IF(ISBLANK(E51),"",SUM($E$3:E51))</f>
        <v/>
      </c>
      <c r="H51" s="21"/>
    </row>
    <row r="52" spans="1:8" ht="18" thickBot="1" x14ac:dyDescent="0.35">
      <c r="A52" s="443"/>
      <c r="B52" s="2" t="s">
        <v>60</v>
      </c>
      <c r="C52" s="784" t="str">
        <f t="shared" si="1"/>
        <v/>
      </c>
      <c r="D52" s="785"/>
      <c r="E52" s="175"/>
      <c r="F52" s="17"/>
      <c r="G52" s="18" t="str">
        <f>IF(ISBLANK(E52),"",SUM($E$3:E52))</f>
        <v/>
      </c>
      <c r="H52" s="21"/>
    </row>
    <row r="53" spans="1:8" ht="18" thickBot="1" x14ac:dyDescent="0.35">
      <c r="A53" s="443"/>
      <c r="B53" s="2" t="s">
        <v>61</v>
      </c>
      <c r="C53" s="784" t="str">
        <f t="shared" si="1"/>
        <v/>
      </c>
      <c r="D53" s="785"/>
      <c r="E53" s="175"/>
      <c r="F53" s="17"/>
      <c r="G53" s="18" t="str">
        <f>IF(ISBLANK(E53),"",SUM($E$3:E53))</f>
        <v/>
      </c>
      <c r="H53" s="21"/>
    </row>
    <row r="54" spans="1:8" ht="18" thickBot="1" x14ac:dyDescent="0.35">
      <c r="A54" s="443"/>
      <c r="B54" s="2" t="s">
        <v>62</v>
      </c>
      <c r="C54" s="784" t="str">
        <f t="shared" si="1"/>
        <v/>
      </c>
      <c r="D54" s="785"/>
      <c r="E54" s="175"/>
      <c r="F54" s="17"/>
      <c r="G54" s="18" t="str">
        <f>IF(ISBLANK(E54),"",SUM($E$3:E54))</f>
        <v/>
      </c>
      <c r="H54" s="21"/>
    </row>
    <row r="55" spans="1:8" ht="18" thickBot="1" x14ac:dyDescent="0.35">
      <c r="A55" s="443"/>
      <c r="B55" s="2" t="s">
        <v>63</v>
      </c>
      <c r="C55" s="784" t="str">
        <f t="shared" si="1"/>
        <v/>
      </c>
      <c r="D55" s="785"/>
      <c r="E55" s="175"/>
      <c r="F55" s="17"/>
      <c r="G55" s="18" t="str">
        <f>IF(ISBLANK(E55),"",SUM($E$3:E55))</f>
        <v/>
      </c>
      <c r="H55" s="21"/>
    </row>
    <row r="56" spans="1:8" ht="18" thickBot="1" x14ac:dyDescent="0.35">
      <c r="A56" s="443"/>
      <c r="B56" s="2" t="s">
        <v>64</v>
      </c>
      <c r="C56" s="784" t="str">
        <f t="shared" si="1"/>
        <v/>
      </c>
      <c r="D56" s="785"/>
      <c r="E56" s="175"/>
      <c r="F56" s="17"/>
      <c r="G56" s="18" t="str">
        <f>IF(ISBLANK(E56),"",SUM($E$3:E56))</f>
        <v/>
      </c>
      <c r="H56" s="21"/>
    </row>
    <row r="57" spans="1:8" ht="18" thickBot="1" x14ac:dyDescent="0.35">
      <c r="A57" s="443"/>
      <c r="B57" s="2" t="s">
        <v>65</v>
      </c>
      <c r="C57" s="784" t="str">
        <f t="shared" si="1"/>
        <v/>
      </c>
      <c r="D57" s="785"/>
      <c r="E57" s="175"/>
      <c r="F57" s="17"/>
      <c r="G57" s="18" t="str">
        <f>IF(ISBLANK(E57),"",SUM($E$3:E57))</f>
        <v/>
      </c>
      <c r="H57" s="21"/>
    </row>
    <row r="58" spans="1:8" ht="18" thickBot="1" x14ac:dyDescent="0.35">
      <c r="A58" s="443"/>
      <c r="B58" s="2" t="s">
        <v>66</v>
      </c>
      <c r="C58" s="784" t="str">
        <f t="shared" si="1"/>
        <v/>
      </c>
      <c r="D58" s="785"/>
      <c r="E58" s="175"/>
      <c r="F58" s="17"/>
      <c r="G58" s="18" t="str">
        <f>IF(ISBLANK(E58),"",SUM($E$3:E58))</f>
        <v/>
      </c>
      <c r="H58" s="21"/>
    </row>
    <row r="59" spans="1:8" ht="18" thickBot="1" x14ac:dyDescent="0.35">
      <c r="A59" s="443"/>
      <c r="B59" s="2" t="s">
        <v>67</v>
      </c>
      <c r="C59" s="784" t="str">
        <f t="shared" si="1"/>
        <v/>
      </c>
      <c r="D59" s="785"/>
      <c r="E59" s="175"/>
      <c r="F59" s="17"/>
      <c r="G59" s="18" t="str">
        <f>IF(ISBLANK(E59),"",SUM($E$3:E59))</f>
        <v/>
      </c>
      <c r="H59" s="21"/>
    </row>
    <row r="60" spans="1:8" ht="18" thickBot="1" x14ac:dyDescent="0.35">
      <c r="A60" s="443"/>
      <c r="B60" s="2" t="s">
        <v>68</v>
      </c>
      <c r="C60" s="784" t="str">
        <f t="shared" si="1"/>
        <v/>
      </c>
      <c r="D60" s="785"/>
      <c r="E60" s="175"/>
      <c r="F60" s="17"/>
      <c r="G60" s="18" t="str">
        <f>IF(ISBLANK(E60),"",SUM($E$3:E60))</f>
        <v/>
      </c>
      <c r="H60" s="21"/>
    </row>
    <row r="61" spans="1:8" ht="18" thickBot="1" x14ac:dyDescent="0.35">
      <c r="A61" s="443"/>
      <c r="B61" s="2" t="s">
        <v>69</v>
      </c>
      <c r="C61" s="784" t="str">
        <f t="shared" si="1"/>
        <v/>
      </c>
      <c r="D61" s="785"/>
      <c r="E61" s="175"/>
      <c r="F61" s="17"/>
      <c r="G61" s="18" t="str">
        <f>IF(ISBLANK(E61),"",SUM($E$3:E61))</f>
        <v/>
      </c>
      <c r="H61" s="21"/>
    </row>
    <row r="62" spans="1:8" ht="18" thickBot="1" x14ac:dyDescent="0.35">
      <c r="A62" s="443"/>
      <c r="B62" s="2" t="s">
        <v>70</v>
      </c>
      <c r="C62" s="784" t="str">
        <f t="shared" si="1"/>
        <v/>
      </c>
      <c r="D62" s="785"/>
      <c r="E62" s="175"/>
      <c r="F62" s="17"/>
      <c r="G62" s="18" t="str">
        <f>IF(ISBLANK(E62),"",SUM($E$3:E62))</f>
        <v/>
      </c>
      <c r="H62" s="21"/>
    </row>
    <row r="63" spans="1:8" ht="18" thickBot="1" x14ac:dyDescent="0.35">
      <c r="A63" s="443"/>
      <c r="B63" s="2" t="s">
        <v>71</v>
      </c>
      <c r="C63" s="784" t="str">
        <f t="shared" si="1"/>
        <v/>
      </c>
      <c r="D63" s="785"/>
      <c r="E63" s="175"/>
      <c r="F63" s="17"/>
      <c r="G63" s="18" t="str">
        <f>IF(ISBLANK(E63),"",SUM($E$3:E63))</f>
        <v/>
      </c>
      <c r="H63" s="21"/>
    </row>
    <row r="64" spans="1:8" ht="18" thickBot="1" x14ac:dyDescent="0.35">
      <c r="A64" s="443"/>
      <c r="B64" s="2" t="s">
        <v>72</v>
      </c>
      <c r="C64" s="784" t="str">
        <f t="shared" si="1"/>
        <v/>
      </c>
      <c r="D64" s="785"/>
      <c r="E64" s="175"/>
      <c r="F64" s="17"/>
      <c r="G64" s="18" t="str">
        <f>IF(ISBLANK(E64),"",SUM($E$3:E64))</f>
        <v/>
      </c>
      <c r="H64" s="21"/>
    </row>
    <row r="65" spans="1:8" ht="18" thickBot="1" x14ac:dyDescent="0.35">
      <c r="A65" s="443"/>
      <c r="B65" s="2" t="s">
        <v>73</v>
      </c>
      <c r="C65" s="784" t="str">
        <f t="shared" si="1"/>
        <v/>
      </c>
      <c r="D65" s="785"/>
      <c r="E65" s="175"/>
      <c r="F65" s="17"/>
      <c r="G65" s="18" t="str">
        <f>IF(ISBLANK(E65),"",SUM($E$3:E65))</f>
        <v/>
      </c>
      <c r="H65" s="21"/>
    </row>
    <row r="66" spans="1:8" ht="18" thickBot="1" x14ac:dyDescent="0.35">
      <c r="A66" s="443"/>
      <c r="B66" s="2" t="s">
        <v>74</v>
      </c>
      <c r="C66" s="784" t="str">
        <f t="shared" si="1"/>
        <v/>
      </c>
      <c r="D66" s="785"/>
      <c r="E66" s="175"/>
      <c r="F66" s="17"/>
      <c r="G66" s="18" t="str">
        <f>IF(ISBLANK(E66),"",SUM($E$3:E66))</f>
        <v/>
      </c>
      <c r="H66" s="21"/>
    </row>
    <row r="67" spans="1:8" ht="18" thickBot="1" x14ac:dyDescent="0.35">
      <c r="A67" s="443"/>
      <c r="B67" s="2" t="s">
        <v>75</v>
      </c>
      <c r="C67" s="784" t="str">
        <f t="shared" si="1"/>
        <v/>
      </c>
      <c r="D67" s="785"/>
      <c r="E67" s="175"/>
      <c r="F67" s="17"/>
      <c r="G67" s="18" t="str">
        <f>IF(ISBLANK(E67),"",SUM($E$3:E67))</f>
        <v/>
      </c>
      <c r="H67" s="21"/>
    </row>
    <row r="68" spans="1:8" ht="18" thickBot="1" x14ac:dyDescent="0.35">
      <c r="A68" s="443"/>
      <c r="B68" s="2" t="s">
        <v>76</v>
      </c>
      <c r="C68" s="784" t="str">
        <f t="shared" si="1"/>
        <v/>
      </c>
      <c r="D68" s="785"/>
      <c r="E68" s="175"/>
      <c r="F68" s="17"/>
      <c r="G68" s="18" t="str">
        <f>IF(ISBLANK(E68),"",SUM($E$3:E68))</f>
        <v/>
      </c>
      <c r="H68" s="21"/>
    </row>
    <row r="69" spans="1:8" ht="18" thickBot="1" x14ac:dyDescent="0.35">
      <c r="A69" s="443"/>
      <c r="B69" s="2" t="s">
        <v>77</v>
      </c>
      <c r="C69" s="784" t="str">
        <f t="shared" si="1"/>
        <v/>
      </c>
      <c r="D69" s="785"/>
      <c r="E69" s="175"/>
      <c r="F69" s="17"/>
      <c r="G69" s="18" t="str">
        <f>IF(ISBLANK(E69),"",SUM($E$3:E69))</f>
        <v/>
      </c>
      <c r="H69" s="21"/>
    </row>
    <row r="70" spans="1:8" ht="18" thickBot="1" x14ac:dyDescent="0.35">
      <c r="A70" s="443"/>
      <c r="B70" s="2" t="s">
        <v>78</v>
      </c>
      <c r="C70" s="784" t="str">
        <f t="shared" si="1"/>
        <v/>
      </c>
      <c r="D70" s="785"/>
      <c r="E70" s="175"/>
      <c r="F70" s="17"/>
      <c r="G70" s="18" t="str">
        <f>IF(ISBLANK(E70),"",SUM($E$3:E70))</f>
        <v/>
      </c>
      <c r="H70" s="21"/>
    </row>
    <row r="71" spans="1:8" ht="18" thickBot="1" x14ac:dyDescent="0.35">
      <c r="A71" s="443"/>
      <c r="B71" s="2" t="s">
        <v>79</v>
      </c>
      <c r="C71" s="784" t="str">
        <f t="shared" si="1"/>
        <v/>
      </c>
      <c r="D71" s="785"/>
      <c r="E71" s="175"/>
      <c r="F71" s="17"/>
      <c r="G71" s="18" t="str">
        <f>IF(ISBLANK(E71),"",SUM($E$3:E71))</f>
        <v/>
      </c>
      <c r="H71" s="21"/>
    </row>
    <row r="72" spans="1:8" ht="18" thickBot="1" x14ac:dyDescent="0.35">
      <c r="A72" s="443"/>
      <c r="B72" s="2" t="s">
        <v>80</v>
      </c>
      <c r="C72" s="784" t="str">
        <f t="shared" si="1"/>
        <v/>
      </c>
      <c r="D72" s="785"/>
      <c r="E72" s="175"/>
      <c r="F72" s="22"/>
      <c r="G72" s="18" t="str">
        <f>IF(ISBLANK(E72),"",SUM($E$3:E72))</f>
        <v/>
      </c>
      <c r="H72" s="21"/>
    </row>
    <row r="73" spans="1:8" ht="14.25" customHeight="1" thickBot="1" x14ac:dyDescent="0.35">
      <c r="E73" s="23" cm="1">
        <f t="array" ref="E73">LOOKUP(2,1/(E3:E72&lt;&gt;""),E3:E72)</f>
        <v>508100</v>
      </c>
      <c r="F73" s="23"/>
      <c r="H73" s="24"/>
    </row>
    <row r="74" spans="1:8" ht="18" thickBot="1" x14ac:dyDescent="0.35">
      <c r="B74" s="444" t="s">
        <v>8</v>
      </c>
      <c r="E74" s="25">
        <f>SUM(E3:E72)</f>
        <v>799700</v>
      </c>
      <c r="F74" s="26"/>
    </row>
  </sheetData>
  <mergeCells count="73">
    <mergeCell ref="K3:O3"/>
    <mergeCell ref="C4:D4"/>
    <mergeCell ref="C5:D5"/>
    <mergeCell ref="K5:O5"/>
    <mergeCell ref="B1:I1"/>
    <mergeCell ref="C3:D3"/>
    <mergeCell ref="C17:D17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65:D65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72:D72"/>
    <mergeCell ref="C66:D66"/>
    <mergeCell ref="C67:D67"/>
    <mergeCell ref="C68:D68"/>
    <mergeCell ref="C69:D69"/>
    <mergeCell ref="C70:D70"/>
    <mergeCell ref="C71:D71"/>
  </mergeCells>
  <dataValidations count="2">
    <dataValidation type="list" allowBlank="1" showInputMessage="1" showErrorMessage="1" sqref="H4:H73" xr:uid="{6BED2869-A829-49CB-A324-03E8A56370F3}">
      <formula1>"Yes"</formula1>
    </dataValidation>
    <dataValidation type="list" allowBlank="1" showInputMessage="1" showErrorMessage="1" sqref="H3" xr:uid="{F486E12E-E727-4743-9BFD-97855C23AE37}">
      <formula1>"Yes,No"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A9829-FBAD-41C8-A9FF-A07F8AFD5026}">
  <sheetPr codeName="Sheet11">
    <tabColor rgb="FFFFFF00"/>
    <pageSetUpPr fitToPage="1"/>
  </sheetPr>
  <dimension ref="B1:AH95"/>
  <sheetViews>
    <sheetView showGridLines="0" showRowColHeaders="0" zoomScaleNormal="100" workbookViewId="0">
      <selection activeCell="I12" sqref="I12"/>
    </sheetView>
  </sheetViews>
  <sheetFormatPr defaultColWidth="9.109375" defaultRowHeight="16.95" customHeight="1" x14ac:dyDescent="0.3"/>
  <cols>
    <col min="1" max="1" width="2.109375" style="16" customWidth="1"/>
    <col min="2" max="2" width="34.109375" style="16" customWidth="1"/>
    <col min="3" max="3" width="34.33203125" style="16" customWidth="1"/>
    <col min="4" max="4" width="44" style="16" customWidth="1"/>
    <col min="5" max="5" width="15.33203125" style="16" customWidth="1"/>
    <col min="6" max="6" width="18.6640625" style="16" customWidth="1"/>
    <col min="7" max="7" width="2.6640625" style="16" customWidth="1"/>
    <col min="8" max="8" width="14" style="16" customWidth="1"/>
    <col min="9" max="9" width="14.33203125" style="16" customWidth="1"/>
    <col min="10" max="10" width="12.6640625" style="16" customWidth="1"/>
    <col min="11" max="11" width="11.6640625" style="16" customWidth="1"/>
    <col min="12" max="12" width="11.88671875" style="16" customWidth="1"/>
    <col min="13" max="13" width="10" style="16" bestFit="1" customWidth="1"/>
    <col min="14" max="14" width="9.6640625" style="16" customWidth="1"/>
    <col min="15" max="15" width="11.109375" style="16" customWidth="1"/>
    <col min="16" max="17" width="11.6640625" style="26" customWidth="1"/>
    <col min="18" max="18" width="11.6640625" style="141" customWidth="1"/>
    <col min="19" max="19" width="11.5546875" style="141" customWidth="1"/>
    <col min="20" max="20" width="10.44140625" style="141" customWidth="1"/>
    <col min="21" max="21" width="11.6640625" style="141" customWidth="1"/>
    <col min="22" max="22" width="11.33203125" style="141" customWidth="1"/>
    <col min="23" max="23" width="16.33203125" style="141" customWidth="1"/>
    <col min="24" max="24" width="46.6640625" style="16" hidden="1" customWidth="1"/>
    <col min="25" max="25" width="44.88671875" style="16" customWidth="1"/>
    <col min="26" max="27" width="9.109375" style="6"/>
    <col min="28" max="28" width="16.109375" style="6" customWidth="1"/>
    <col min="29" max="29" width="13.5546875" style="6" customWidth="1"/>
    <col min="30" max="33" width="9.109375" style="6"/>
    <col min="34" max="16384" width="9.109375" style="16"/>
  </cols>
  <sheetData>
    <row r="1" spans="2:34" ht="16.95" customHeight="1" thickBot="1" x14ac:dyDescent="0.35"/>
    <row r="2" spans="2:34" ht="15" customHeight="1" thickBot="1" x14ac:dyDescent="0.35">
      <c r="B2" s="147" t="s">
        <v>96</v>
      </c>
      <c r="C2" s="170" t="s">
        <v>789</v>
      </c>
      <c r="D2" s="900" t="s">
        <v>97</v>
      </c>
      <c r="E2" s="899"/>
      <c r="F2" s="901"/>
      <c r="H2" s="423" t="s">
        <v>82</v>
      </c>
      <c r="I2" s="291"/>
      <c r="J2" s="291"/>
      <c r="K2" s="292"/>
      <c r="L2" s="850" t="s">
        <v>83</v>
      </c>
      <c r="M2" s="852" t="s">
        <v>84</v>
      </c>
      <c r="N2" s="853"/>
      <c r="O2" s="850" t="s">
        <v>85</v>
      </c>
      <c r="P2" s="854" t="s">
        <v>86</v>
      </c>
      <c r="Q2" s="856" t="s">
        <v>87</v>
      </c>
      <c r="R2" s="854" t="s">
        <v>88</v>
      </c>
      <c r="S2" s="848" t="s">
        <v>89</v>
      </c>
      <c r="T2" s="848" t="s">
        <v>90</v>
      </c>
      <c r="U2" s="848" t="s">
        <v>91</v>
      </c>
      <c r="V2" s="846" t="s">
        <v>84</v>
      </c>
      <c r="W2" s="142"/>
      <c r="X2" s="263"/>
      <c r="Y2" s="263"/>
      <c r="Z2" s="164"/>
      <c r="AA2" s="165"/>
    </row>
    <row r="3" spans="2:34" ht="15" customHeight="1" thickBot="1" x14ac:dyDescent="0.35">
      <c r="B3" s="397" t="s">
        <v>98</v>
      </c>
      <c r="C3" s="398" t="str">
        <f>IFERROR("#"&amp;H3,"")</f>
        <v>#6</v>
      </c>
      <c r="D3" s="148" t="s">
        <v>99</v>
      </c>
      <c r="E3" s="265">
        <f>IFERROR(Costs!E73,"")</f>
        <v>508100</v>
      </c>
      <c r="F3" s="301"/>
      <c r="H3" s="424">
        <v>6</v>
      </c>
      <c r="I3" s="425" t="s">
        <v>92</v>
      </c>
      <c r="J3" s="426" t="s">
        <v>93</v>
      </c>
      <c r="K3" s="427" t="s">
        <v>81</v>
      </c>
      <c r="L3" s="851"/>
      <c r="M3" s="428" t="s">
        <v>94</v>
      </c>
      <c r="N3" s="427" t="s">
        <v>95</v>
      </c>
      <c r="O3" s="851"/>
      <c r="P3" s="855"/>
      <c r="Q3" s="857"/>
      <c r="R3" s="855"/>
      <c r="S3" s="849"/>
      <c r="T3" s="849"/>
      <c r="U3" s="849"/>
      <c r="V3" s="847"/>
      <c r="W3" s="145"/>
      <c r="X3" s="263"/>
      <c r="Y3" s="263"/>
      <c r="Z3" s="166"/>
      <c r="AA3" s="166"/>
    </row>
    <row r="4" spans="2:34" ht="15" customHeight="1" x14ac:dyDescent="0.3">
      <c r="B4" s="310" t="s">
        <v>100</v>
      </c>
      <c r="C4" s="149">
        <f>IFERROR(I23,"")</f>
        <v>5324</v>
      </c>
      <c r="D4" s="148" t="s">
        <v>101</v>
      </c>
      <c r="E4" s="265">
        <f>IFERROR(Costs!I4,"")</f>
        <v>799700</v>
      </c>
      <c r="F4" s="301"/>
      <c r="H4" s="351" t="s">
        <v>891</v>
      </c>
      <c r="I4" s="410">
        <v>5324</v>
      </c>
      <c r="J4" s="410">
        <v>5842</v>
      </c>
      <c r="K4" s="411">
        <f t="shared" ref="K4:K22" si="0">IFERROR(IF(ISBLANK(J4),"",J4-I4),"")</f>
        <v>518</v>
      </c>
      <c r="L4" s="412">
        <v>94</v>
      </c>
      <c r="M4" s="413">
        <v>11</v>
      </c>
      <c r="N4" s="414" t="s">
        <v>857</v>
      </c>
      <c r="O4" s="415">
        <f t="shared" ref="O4:O22" si="1">IFERROR(IF(ISBLANK(J4),"",J4-I4-L4),"")</f>
        <v>424</v>
      </c>
      <c r="P4" s="416">
        <v>18</v>
      </c>
      <c r="Q4" s="417">
        <v>23.5</v>
      </c>
      <c r="R4" s="418">
        <f>IFERROR(IF(ISBLANK(N4),L4/0.0000001,L4/V4),"")</f>
        <v>8.115107913669064</v>
      </c>
      <c r="S4" s="419">
        <f t="shared" ref="S4:S22" si="2">IFERROR(IF(ISBLANK(P4),"",ROUND(O4/(P4-V4),2)),"")</f>
        <v>66.08</v>
      </c>
      <c r="T4" s="420">
        <f t="shared" ref="T4:T22" si="3">IFERROR(IF(ISBLANK(L4),"",L4/K4),"")</f>
        <v>0.18146718146718147</v>
      </c>
      <c r="U4" s="421">
        <f t="shared" ref="U4:U22" si="4">IFERROR(IF(ISBLANK(J4),"",O4/K4),"")</f>
        <v>0.81853281853281856</v>
      </c>
      <c r="V4" s="422">
        <f t="shared" ref="V4:V22" si="5">IFERROR(IF(ISBLANK(N4),"",(N4/60)+M4),"")</f>
        <v>11.583333333333334</v>
      </c>
      <c r="W4" s="145"/>
      <c r="X4" s="263"/>
      <c r="Z4" s="164"/>
      <c r="AA4" s="164"/>
      <c r="AB4" s="162"/>
      <c r="AC4" s="162"/>
    </row>
    <row r="5" spans="2:34" ht="15" customHeight="1" thickBot="1" x14ac:dyDescent="0.35">
      <c r="B5" s="310" t="str" cm="1">
        <f t="array" ref="B5">IFERROR(LOOKUP(2,1/(H4:H22&lt;&gt;""),H4:H22)&amp;" Depth","")</f>
        <v>Midnight Depth</v>
      </c>
      <c r="C5" s="149">
        <f>IFERROR(J23,"")</f>
        <v>5842</v>
      </c>
      <c r="D5" s="372"/>
      <c r="E5" s="285"/>
      <c r="F5" s="301"/>
      <c r="H5" s="351"/>
      <c r="I5" s="353"/>
      <c r="J5" s="352"/>
      <c r="K5" s="144" t="str">
        <f t="shared" si="0"/>
        <v/>
      </c>
      <c r="L5" s="354"/>
      <c r="M5" s="355"/>
      <c r="N5" s="356"/>
      <c r="O5" s="143" t="str">
        <f t="shared" si="1"/>
        <v/>
      </c>
      <c r="P5" s="358"/>
      <c r="Q5" s="359"/>
      <c r="R5" s="305" t="str">
        <f t="shared" ref="R5:R22" si="6">IFERROR(IF(ISBLANK(N5),"",L5/V5),"")</f>
        <v/>
      </c>
      <c r="S5" s="306" t="str">
        <f t="shared" si="2"/>
        <v/>
      </c>
      <c r="T5" s="307" t="str">
        <f t="shared" si="3"/>
        <v/>
      </c>
      <c r="U5" s="308" t="str">
        <f t="shared" si="4"/>
        <v/>
      </c>
      <c r="V5" s="309" t="str">
        <f t="shared" si="5"/>
        <v/>
      </c>
      <c r="X5" s="263"/>
      <c r="Y5" s="263"/>
      <c r="AB5" s="163"/>
      <c r="AC5" s="163"/>
    </row>
    <row r="6" spans="2:34" ht="15" customHeight="1" thickBot="1" x14ac:dyDescent="0.35">
      <c r="B6" s="310" t="s">
        <v>102</v>
      </c>
      <c r="C6" s="369">
        <f>IFERROR(K23,"")</f>
        <v>518</v>
      </c>
      <c r="D6" s="900" t="s">
        <v>103</v>
      </c>
      <c r="E6" s="899"/>
      <c r="F6" s="901"/>
      <c r="H6" s="351"/>
      <c r="I6" s="353"/>
      <c r="J6" s="352"/>
      <c r="K6" s="144" t="str">
        <f t="shared" si="0"/>
        <v/>
      </c>
      <c r="L6" s="354"/>
      <c r="M6" s="355"/>
      <c r="N6" s="357"/>
      <c r="O6" s="143" t="str">
        <f t="shared" si="1"/>
        <v/>
      </c>
      <c r="P6" s="358"/>
      <c r="Q6" s="359"/>
      <c r="R6" s="305" t="str">
        <f t="shared" si="6"/>
        <v/>
      </c>
      <c r="S6" s="306" t="str">
        <f t="shared" si="2"/>
        <v/>
      </c>
      <c r="T6" s="307" t="str">
        <f t="shared" si="3"/>
        <v/>
      </c>
      <c r="U6" s="308" t="str">
        <f t="shared" si="4"/>
        <v/>
      </c>
      <c r="V6" s="309" t="str">
        <f t="shared" si="5"/>
        <v/>
      </c>
      <c r="X6" s="263"/>
      <c r="Y6" s="263"/>
      <c r="AB6" s="164"/>
      <c r="AC6" s="164"/>
      <c r="AD6" s="164"/>
      <c r="AE6" s="164"/>
      <c r="AF6" s="164"/>
      <c r="AG6" s="164"/>
      <c r="AH6" s="141"/>
    </row>
    <row r="7" spans="2:34" ht="15" customHeight="1" x14ac:dyDescent="0.3">
      <c r="B7" s="310" t="s">
        <v>104</v>
      </c>
      <c r="C7" s="149">
        <f>IFERROR(IF(ISERROR(L23),0,L23),"")</f>
        <v>94</v>
      </c>
      <c r="D7" s="148" t="s">
        <v>105</v>
      </c>
      <c r="E7" s="266">
        <f>IFERROR(Slidesheet!E306,"")</f>
        <v>6011.74</v>
      </c>
      <c r="F7" s="301"/>
      <c r="H7" s="351"/>
      <c r="I7" s="353"/>
      <c r="J7" s="352"/>
      <c r="K7" s="144" t="str">
        <f t="shared" si="0"/>
        <v/>
      </c>
      <c r="L7" s="354"/>
      <c r="M7" s="355"/>
      <c r="N7" s="357"/>
      <c r="O7" s="143" t="str">
        <f t="shared" si="1"/>
        <v/>
      </c>
      <c r="P7" s="358"/>
      <c r="Q7" s="359"/>
      <c r="R7" s="305" t="str">
        <f t="shared" si="6"/>
        <v/>
      </c>
      <c r="S7" s="306" t="str">
        <f t="shared" si="2"/>
        <v/>
      </c>
      <c r="T7" s="307" t="str">
        <f t="shared" si="3"/>
        <v/>
      </c>
      <c r="U7" s="308" t="str">
        <f t="shared" si="4"/>
        <v/>
      </c>
      <c r="V7" s="309" t="str">
        <f t="shared" si="5"/>
        <v/>
      </c>
      <c r="X7" s="262"/>
      <c r="Y7" s="263"/>
      <c r="AB7" s="166"/>
      <c r="AD7" s="166"/>
      <c r="AE7" s="166"/>
      <c r="AF7" s="166"/>
      <c r="AG7" s="166"/>
      <c r="AH7" s="146"/>
    </row>
    <row r="8" spans="2:34" ht="15" customHeight="1" x14ac:dyDescent="0.3">
      <c r="B8" s="310" t="s">
        <v>106</v>
      </c>
      <c r="C8" s="149">
        <f>IFERROR(ROUND(SUM(C6-C7),2),"")</f>
        <v>424</v>
      </c>
      <c r="D8" s="148" t="s">
        <v>107</v>
      </c>
      <c r="E8" s="266">
        <f>IFERROR(Slidesheet!F306,"")</f>
        <v>90.38</v>
      </c>
      <c r="F8" s="301"/>
      <c r="H8" s="351"/>
      <c r="I8" s="353"/>
      <c r="J8" s="352"/>
      <c r="K8" s="144" t="str">
        <f t="shared" si="0"/>
        <v/>
      </c>
      <c r="L8" s="354"/>
      <c r="M8" s="355"/>
      <c r="N8" s="357"/>
      <c r="O8" s="143" t="str">
        <f t="shared" si="1"/>
        <v/>
      </c>
      <c r="P8" s="358"/>
      <c r="Q8" s="359"/>
      <c r="R8" s="305" t="str">
        <f t="shared" si="6"/>
        <v/>
      </c>
      <c r="S8" s="306" t="str">
        <f t="shared" si="2"/>
        <v/>
      </c>
      <c r="T8" s="307" t="str">
        <f t="shared" si="3"/>
        <v/>
      </c>
      <c r="U8" s="308" t="str">
        <f t="shared" si="4"/>
        <v/>
      </c>
      <c r="V8" s="309" t="str">
        <f t="shared" si="5"/>
        <v/>
      </c>
      <c r="X8" s="262"/>
      <c r="Y8" s="263"/>
      <c r="AB8" s="164"/>
      <c r="AC8" s="164"/>
      <c r="AD8" s="164"/>
      <c r="AE8" s="164"/>
      <c r="AF8" s="164"/>
      <c r="AG8" s="164"/>
      <c r="AH8" s="141"/>
    </row>
    <row r="9" spans="2:34" ht="15" customHeight="1" thickBot="1" x14ac:dyDescent="0.35">
      <c r="B9" s="310" t="s">
        <v>108</v>
      </c>
      <c r="C9" s="150" t="str">
        <f>IFERROR(IF(ISERROR(L23),"0Hrs",ROUND(V23,2)&amp;"Hrs / "&amp;ROUND(T23,4)*100&amp;"% / "&amp;ROUND(R23,2)&amp;"m/hr"),"")</f>
        <v>11.58Hrs / 18.15% / 8.12m/hr</v>
      </c>
      <c r="D9" s="148" t="s">
        <v>109</v>
      </c>
      <c r="E9" s="266">
        <f>IFERROR(Slidesheet!G306,"")</f>
        <v>0.59</v>
      </c>
      <c r="F9" s="301"/>
      <c r="H9" s="351"/>
      <c r="I9" s="353"/>
      <c r="J9" s="352"/>
      <c r="K9" s="144" t="str">
        <f t="shared" si="0"/>
        <v/>
      </c>
      <c r="L9" s="354"/>
      <c r="M9" s="355"/>
      <c r="N9" s="357"/>
      <c r="O9" s="143" t="str">
        <f t="shared" si="1"/>
        <v/>
      </c>
      <c r="P9" s="358"/>
      <c r="Q9" s="359"/>
      <c r="R9" s="305" t="str">
        <f t="shared" si="6"/>
        <v/>
      </c>
      <c r="S9" s="306" t="str">
        <f t="shared" si="2"/>
        <v/>
      </c>
      <c r="T9" s="307" t="str">
        <f t="shared" si="3"/>
        <v/>
      </c>
      <c r="U9" s="308" t="str">
        <f t="shared" si="4"/>
        <v/>
      </c>
      <c r="V9" s="309" t="str">
        <f t="shared" si="5"/>
        <v/>
      </c>
      <c r="X9" s="264"/>
      <c r="Y9" s="263"/>
    </row>
    <row r="10" spans="2:34" ht="15" customHeight="1" thickBot="1" x14ac:dyDescent="0.35">
      <c r="B10" s="310" t="s">
        <v>110</v>
      </c>
      <c r="C10" s="151" t="str">
        <f>IFERROR(IF(U23=0,"0Hrs",ROUND((P23-V23),2)&amp;"Hrs / "&amp;ROUND(U23,4)*100&amp;"% / "&amp;ROUND(S23,2)&amp;"m/hr"),"")</f>
        <v>6.42Hrs / 81.85% / 66.08m/hr</v>
      </c>
      <c r="D10" s="148" t="s">
        <v>111</v>
      </c>
      <c r="E10" s="267">
        <f>IFERROR(Slidesheet!H306,"")</f>
        <v>3070.6313769994513</v>
      </c>
      <c r="F10" s="301"/>
      <c r="H10" s="351"/>
      <c r="I10" s="353"/>
      <c r="J10" s="352"/>
      <c r="K10" s="144" t="str">
        <f t="shared" si="0"/>
        <v/>
      </c>
      <c r="L10" s="354"/>
      <c r="M10" s="355"/>
      <c r="N10" s="357"/>
      <c r="O10" s="143" t="str">
        <f t="shared" si="1"/>
        <v/>
      </c>
      <c r="P10" s="358"/>
      <c r="Q10" s="359"/>
      <c r="R10" s="305" t="str">
        <f t="shared" si="6"/>
        <v/>
      </c>
      <c r="S10" s="306" t="str">
        <f t="shared" si="2"/>
        <v/>
      </c>
      <c r="T10" s="307" t="str">
        <f t="shared" si="3"/>
        <v/>
      </c>
      <c r="U10" s="308" t="str">
        <f t="shared" si="4"/>
        <v/>
      </c>
      <c r="V10" s="309" t="str">
        <f t="shared" si="5"/>
        <v/>
      </c>
      <c r="X10" s="233" t="str">
        <f>IFERROR("Current Plan: "&amp;C2,"")</f>
        <v>Current Plan: P2</v>
      </c>
    </row>
    <row r="11" spans="2:34" ht="15" customHeight="1" thickBot="1" x14ac:dyDescent="0.35">
      <c r="B11" s="310" t="s">
        <v>112</v>
      </c>
      <c r="C11" s="374" t="str">
        <f>IFERROR(P23&amp;" Bit / "&amp;Q23&amp;" Circ","")</f>
        <v>18 Bit / 23.5 Circ</v>
      </c>
      <c r="D11" s="148" t="s">
        <v>113</v>
      </c>
      <c r="E11" s="373">
        <f>IFERROR(Slidesheet!J306,"")</f>
        <v>0.53112823123875741</v>
      </c>
      <c r="F11" s="301"/>
      <c r="H11" s="351"/>
      <c r="I11" s="353"/>
      <c r="J11" s="352"/>
      <c r="K11" s="144" t="str">
        <f t="shared" si="0"/>
        <v/>
      </c>
      <c r="L11" s="354"/>
      <c r="M11" s="355"/>
      <c r="N11" s="357"/>
      <c r="O11" s="143" t="str">
        <f t="shared" si="1"/>
        <v/>
      </c>
      <c r="P11" s="358"/>
      <c r="Q11" s="359"/>
      <c r="R11" s="305" t="str">
        <f t="shared" si="6"/>
        <v/>
      </c>
      <c r="S11" s="306" t="str">
        <f t="shared" si="2"/>
        <v/>
      </c>
      <c r="T11" s="307" t="str">
        <f t="shared" si="3"/>
        <v/>
      </c>
      <c r="U11" s="308" t="str">
        <f t="shared" si="4"/>
        <v/>
      </c>
      <c r="V11" s="309" t="str">
        <f t="shared" si="5"/>
        <v/>
      </c>
      <c r="X11" s="234" t="s">
        <v>265</v>
      </c>
    </row>
    <row r="12" spans="2:34" ht="16.95" customHeight="1" thickBot="1" x14ac:dyDescent="0.35">
      <c r="B12" s="399" t="s">
        <v>114</v>
      </c>
      <c r="C12" s="400" t="str">
        <f>IFERROR(C3,"")</f>
        <v>#6</v>
      </c>
      <c r="D12" s="900" t="s">
        <v>115</v>
      </c>
      <c r="E12" s="902"/>
      <c r="F12" s="903"/>
      <c r="H12" s="351"/>
      <c r="I12" s="353"/>
      <c r="J12" s="352"/>
      <c r="K12" s="144" t="str">
        <f t="shared" si="0"/>
        <v/>
      </c>
      <c r="L12" s="354"/>
      <c r="M12" s="355"/>
      <c r="N12" s="357"/>
      <c r="O12" s="143" t="str">
        <f t="shared" si="1"/>
        <v/>
      </c>
      <c r="P12" s="358"/>
      <c r="Q12" s="359"/>
      <c r="R12" s="305" t="str">
        <f t="shared" si="6"/>
        <v/>
      </c>
      <c r="S12" s="306" t="str">
        <f t="shared" si="2"/>
        <v/>
      </c>
      <c r="T12" s="307" t="str">
        <f t="shared" si="3"/>
        <v/>
      </c>
      <c r="U12" s="308" t="str">
        <f t="shared" si="4"/>
        <v/>
      </c>
      <c r="V12" s="309" t="str">
        <f t="shared" si="5"/>
        <v/>
      </c>
      <c r="X12" s="235" t="s">
        <v>266</v>
      </c>
    </row>
    <row r="13" spans="2:34" ht="16.95" customHeight="1" x14ac:dyDescent="0.3">
      <c r="B13" s="310" t="s">
        <v>102</v>
      </c>
      <c r="C13" s="149" t="str">
        <f>IFERROR(I4&amp;"m-"&amp;J23&amp;"m = "&amp;K24&amp;"m","")</f>
        <v>5324m-5842m = 518m</v>
      </c>
      <c r="D13" s="310" t="str">
        <f>IFERROR(IF(E8&gt;5,"R/L from Plan "&amp;C2,"E/W Direction from Plan "&amp;C2),"")</f>
        <v>R/L from Plan P2</v>
      </c>
      <c r="E13" s="268" t="s">
        <v>1818</v>
      </c>
      <c r="F13" s="293" t="s">
        <v>1819</v>
      </c>
      <c r="H13" s="351"/>
      <c r="I13" s="353"/>
      <c r="J13" s="352"/>
      <c r="K13" s="144" t="str">
        <f t="shared" si="0"/>
        <v/>
      </c>
      <c r="L13" s="354"/>
      <c r="M13" s="355"/>
      <c r="N13" s="357"/>
      <c r="O13" s="143" t="str">
        <f t="shared" si="1"/>
        <v/>
      </c>
      <c r="P13" s="358"/>
      <c r="Q13" s="359"/>
      <c r="R13" s="305" t="str">
        <f t="shared" si="6"/>
        <v/>
      </c>
      <c r="S13" s="306" t="str">
        <f t="shared" si="2"/>
        <v/>
      </c>
      <c r="T13" s="307" t="str">
        <f t="shared" si="3"/>
        <v/>
      </c>
      <c r="U13" s="308" t="str">
        <f t="shared" si="4"/>
        <v/>
      </c>
      <c r="V13" s="309" t="str">
        <f t="shared" si="5"/>
        <v/>
      </c>
      <c r="X13" s="235" t="str">
        <f>IFERROR("24hrs Rotating: "&amp;ROUND(O23,2)&amp;"m","")</f>
        <v>24hrs Rotating: 424m</v>
      </c>
    </row>
    <row r="14" spans="2:34" ht="16.95" customHeight="1" x14ac:dyDescent="0.3">
      <c r="B14" s="310" t="s">
        <v>104</v>
      </c>
      <c r="C14" s="149">
        <f>IFERROR(L24,"")</f>
        <v>94</v>
      </c>
      <c r="D14" s="310" t="str">
        <f>IFERROR(IF(E8&gt;5,"Above/Below from Plan "&amp;C2,"N/S Direction from Plan "&amp;C2),"")</f>
        <v>Above/Below from Plan P2</v>
      </c>
      <c r="E14" s="268" t="s">
        <v>1820</v>
      </c>
      <c r="F14" s="294" t="s">
        <v>892</v>
      </c>
      <c r="H14" s="351"/>
      <c r="I14" s="353"/>
      <c r="J14" s="352"/>
      <c r="K14" s="144" t="str">
        <f t="shared" si="0"/>
        <v/>
      </c>
      <c r="L14" s="354"/>
      <c r="M14" s="355"/>
      <c r="N14" s="357"/>
      <c r="O14" s="143" t="str">
        <f t="shared" si="1"/>
        <v/>
      </c>
      <c r="P14" s="358"/>
      <c r="Q14" s="359"/>
      <c r="R14" s="305" t="str">
        <f t="shared" si="6"/>
        <v/>
      </c>
      <c r="S14" s="306" t="str">
        <f t="shared" si="2"/>
        <v/>
      </c>
      <c r="T14" s="307" t="str">
        <f t="shared" si="3"/>
        <v/>
      </c>
      <c r="U14" s="308" t="str">
        <f t="shared" si="4"/>
        <v/>
      </c>
      <c r="V14" s="309" t="str">
        <f t="shared" si="5"/>
        <v/>
      </c>
      <c r="X14" s="236" t="str">
        <f>IFERROR("Sliding Percentage: "&amp;ROUND(T23,4)*100&amp;"%","")</f>
        <v>Sliding Percentage: 18.15%</v>
      </c>
    </row>
    <row r="15" spans="2:34" ht="16.95" customHeight="1" thickBot="1" x14ac:dyDescent="0.5">
      <c r="B15" s="310" t="s">
        <v>106</v>
      </c>
      <c r="C15" s="149">
        <f>IFERROR(ROUND(SUM(K24-C14),2),"")</f>
        <v>424</v>
      </c>
      <c r="D15" s="310" t="s">
        <v>116</v>
      </c>
      <c r="E15" s="268" t="s">
        <v>893</v>
      </c>
      <c r="F15" s="347" t="s">
        <v>863</v>
      </c>
      <c r="H15" s="351"/>
      <c r="I15" s="353"/>
      <c r="J15" s="352"/>
      <c r="K15" s="144" t="str">
        <f t="shared" si="0"/>
        <v/>
      </c>
      <c r="L15" s="354"/>
      <c r="M15" s="355"/>
      <c r="N15" s="357"/>
      <c r="O15" s="143" t="str">
        <f t="shared" si="1"/>
        <v/>
      </c>
      <c r="P15" s="358"/>
      <c r="Q15" s="359"/>
      <c r="R15" s="305" t="str">
        <f t="shared" si="6"/>
        <v/>
      </c>
      <c r="S15" s="306" t="str">
        <f t="shared" si="2"/>
        <v/>
      </c>
      <c r="T15" s="307" t="str">
        <f t="shared" si="3"/>
        <v/>
      </c>
      <c r="U15" s="308" t="str">
        <f t="shared" si="4"/>
        <v/>
      </c>
      <c r="V15" s="309" t="str">
        <f t="shared" si="5"/>
        <v/>
      </c>
      <c r="X15" s="237" t="str">
        <f>IFERROR("Rotating Percentage: "&amp;ROUND(U23,4)*100&amp;"%","")</f>
        <v>Rotating Percentage: 81.85%</v>
      </c>
      <c r="AB15" s="274"/>
      <c r="AC15" s="275"/>
      <c r="AD15" s="275"/>
      <c r="AE15" s="275"/>
      <c r="AF15" s="275"/>
      <c r="AG15" s="275"/>
    </row>
    <row r="16" spans="2:34" ht="16.95" customHeight="1" x14ac:dyDescent="0.45">
      <c r="B16" s="310" t="s">
        <v>117</v>
      </c>
      <c r="C16" s="151" t="str">
        <f>IFERROR(IF(ISERROR(L23),"0Hrs",ROUND(V24,2)&amp;"Hrs / "&amp;ROUND(T24,4)*100&amp;"% / "&amp;ROUND(R24,2)&amp;"m/hr"),"")</f>
        <v>11.58Hrs / 18.15% / 8.12m/hr</v>
      </c>
      <c r="D16" s="310"/>
      <c r="E16" s="269"/>
      <c r="F16" s="348"/>
      <c r="H16" s="351"/>
      <c r="I16" s="353"/>
      <c r="J16" s="352"/>
      <c r="K16" s="144" t="str">
        <f t="shared" si="0"/>
        <v/>
      </c>
      <c r="L16" s="354"/>
      <c r="M16" s="355"/>
      <c r="N16" s="357"/>
      <c r="O16" s="143" t="str">
        <f t="shared" si="1"/>
        <v/>
      </c>
      <c r="P16" s="358"/>
      <c r="Q16" s="359"/>
      <c r="R16" s="305" t="str">
        <f t="shared" si="6"/>
        <v/>
      </c>
      <c r="S16" s="306" t="str">
        <f t="shared" si="2"/>
        <v/>
      </c>
      <c r="T16" s="307" t="str">
        <f t="shared" si="3"/>
        <v/>
      </c>
      <c r="U16" s="308" t="str">
        <f t="shared" si="4"/>
        <v/>
      </c>
      <c r="V16" s="309" t="str">
        <f t="shared" si="5"/>
        <v/>
      </c>
      <c r="W16" s="277"/>
      <c r="X16" s="277"/>
      <c r="Y16" s="277"/>
      <c r="AB16" s="274"/>
      <c r="AC16" s="275"/>
      <c r="AD16" s="275"/>
      <c r="AE16" s="275"/>
      <c r="AF16" s="275"/>
      <c r="AG16" s="275"/>
    </row>
    <row r="17" spans="2:33" ht="16.95" customHeight="1" thickBot="1" x14ac:dyDescent="0.5">
      <c r="B17" s="310" t="s">
        <v>118</v>
      </c>
      <c r="C17" s="151" t="str">
        <f>IFERROR(IF(U24=0,"0Hrs",ROUND((P24-V24),2)&amp;"Hrs / "&amp;ROUND(U24,4)*100&amp;"% / "&amp;ROUND(S24,2)&amp;"m/hr"),"")</f>
        <v>6.42Hrs / 81.85% / 66.08m/hr</v>
      </c>
      <c r="D17" s="311"/>
      <c r="E17" s="302"/>
      <c r="F17" s="303"/>
      <c r="H17" s="351"/>
      <c r="I17" s="353"/>
      <c r="J17" s="352"/>
      <c r="K17" s="144" t="str">
        <f t="shared" si="0"/>
        <v/>
      </c>
      <c r="L17" s="354"/>
      <c r="M17" s="355"/>
      <c r="N17" s="357"/>
      <c r="O17" s="143" t="str">
        <f t="shared" si="1"/>
        <v/>
      </c>
      <c r="P17" s="358"/>
      <c r="Q17" s="359"/>
      <c r="R17" s="305" t="str">
        <f t="shared" si="6"/>
        <v/>
      </c>
      <c r="S17" s="306" t="str">
        <f t="shared" si="2"/>
        <v/>
      </c>
      <c r="T17" s="307" t="str">
        <f t="shared" si="3"/>
        <v/>
      </c>
      <c r="U17" s="308" t="str">
        <f t="shared" si="4"/>
        <v/>
      </c>
      <c r="V17" s="309" t="str">
        <f t="shared" si="5"/>
        <v/>
      </c>
      <c r="W17" s="277"/>
      <c r="X17" s="277"/>
      <c r="Y17" s="277"/>
      <c r="AB17" s="274"/>
      <c r="AC17" s="275"/>
      <c r="AD17" s="275"/>
      <c r="AE17" s="275"/>
      <c r="AF17" s="275"/>
      <c r="AG17" s="275"/>
    </row>
    <row r="18" spans="2:33" ht="16.95" customHeight="1" x14ac:dyDescent="0.45">
      <c r="B18" s="148" t="s">
        <v>120</v>
      </c>
      <c r="C18" s="270" t="str">
        <f>IFERROR(IF(U24=0,"0Hrs",ROUND(K24/P24,2)&amp;"m/hr"),"")</f>
        <v>28.78m/hr</v>
      </c>
      <c r="D18" s="904" t="s">
        <v>121</v>
      </c>
      <c r="E18" s="905"/>
      <c r="F18" s="906"/>
      <c r="H18" s="351"/>
      <c r="I18" s="353"/>
      <c r="J18" s="352"/>
      <c r="K18" s="144" t="str">
        <f t="shared" si="0"/>
        <v/>
      </c>
      <c r="L18" s="354"/>
      <c r="M18" s="355"/>
      <c r="N18" s="357"/>
      <c r="O18" s="143" t="str">
        <f t="shared" si="1"/>
        <v/>
      </c>
      <c r="P18" s="358"/>
      <c r="Q18" s="359"/>
      <c r="R18" s="305" t="str">
        <f t="shared" si="6"/>
        <v/>
      </c>
      <c r="S18" s="306" t="str">
        <f t="shared" si="2"/>
        <v/>
      </c>
      <c r="T18" s="307" t="str">
        <f t="shared" si="3"/>
        <v/>
      </c>
      <c r="U18" s="308" t="str">
        <f t="shared" si="4"/>
        <v/>
      </c>
      <c r="V18" s="309" t="str">
        <f t="shared" si="5"/>
        <v/>
      </c>
      <c r="W18" s="277"/>
      <c r="X18" s="277"/>
      <c r="Y18" s="277"/>
      <c r="AC18" s="275"/>
      <c r="AD18" s="275"/>
      <c r="AE18" s="275"/>
      <c r="AF18" s="275"/>
      <c r="AG18" s="275"/>
    </row>
    <row r="19" spans="2:33" ht="16.95" customHeight="1" x14ac:dyDescent="0.45">
      <c r="B19" s="310" t="s">
        <v>122</v>
      </c>
      <c r="C19" s="151">
        <f>IFERROR(P24,"")</f>
        <v>18</v>
      </c>
      <c r="D19" s="310" t="s">
        <v>123</v>
      </c>
      <c r="E19" s="271">
        <v>7</v>
      </c>
      <c r="F19" s="301"/>
      <c r="H19" s="351"/>
      <c r="I19" s="353"/>
      <c r="J19" s="352"/>
      <c r="K19" s="144" t="str">
        <f t="shared" si="0"/>
        <v/>
      </c>
      <c r="L19" s="354"/>
      <c r="M19" s="355"/>
      <c r="N19" s="357"/>
      <c r="O19" s="143" t="str">
        <f t="shared" si="1"/>
        <v/>
      </c>
      <c r="P19" s="358"/>
      <c r="Q19" s="359"/>
      <c r="R19" s="305" t="str">
        <f t="shared" si="6"/>
        <v/>
      </c>
      <c r="S19" s="306" t="str">
        <f t="shared" si="2"/>
        <v/>
      </c>
      <c r="T19" s="307" t="str">
        <f t="shared" si="3"/>
        <v/>
      </c>
      <c r="U19" s="308" t="str">
        <f t="shared" si="4"/>
        <v/>
      </c>
      <c r="V19" s="309" t="str">
        <f t="shared" si="5"/>
        <v/>
      </c>
      <c r="X19" s="283"/>
      <c r="Y19" s="283"/>
      <c r="AC19" s="275"/>
      <c r="AD19" s="275"/>
      <c r="AE19" s="275"/>
      <c r="AF19" s="275"/>
      <c r="AG19" s="275"/>
    </row>
    <row r="20" spans="2:33" ht="16.95" customHeight="1" thickBot="1" x14ac:dyDescent="0.5">
      <c r="B20" s="310" t="s">
        <v>124</v>
      </c>
      <c r="C20" s="151">
        <f>IFERROR(Q24,"")</f>
        <v>23.5</v>
      </c>
      <c r="D20" s="310" t="s">
        <v>125</v>
      </c>
      <c r="E20" s="272" t="s">
        <v>263</v>
      </c>
      <c r="F20" s="301"/>
      <c r="H20" s="351"/>
      <c r="I20" s="353"/>
      <c r="J20" s="352"/>
      <c r="K20" s="144" t="str">
        <f t="shared" si="0"/>
        <v/>
      </c>
      <c r="L20" s="354"/>
      <c r="M20" s="355"/>
      <c r="N20" s="357"/>
      <c r="O20" s="143" t="str">
        <f t="shared" si="1"/>
        <v/>
      </c>
      <c r="P20" s="358"/>
      <c r="Q20" s="359"/>
      <c r="R20" s="305" t="str">
        <f t="shared" si="6"/>
        <v/>
      </c>
      <c r="S20" s="306" t="str">
        <f t="shared" si="2"/>
        <v/>
      </c>
      <c r="T20" s="307" t="str">
        <f t="shared" si="3"/>
        <v/>
      </c>
      <c r="U20" s="308" t="str">
        <f t="shared" si="4"/>
        <v/>
      </c>
      <c r="V20" s="309" t="str">
        <f t="shared" si="5"/>
        <v/>
      </c>
      <c r="X20" s="284"/>
      <c r="Y20" s="270"/>
      <c r="AC20" s="275"/>
      <c r="AD20" s="275"/>
      <c r="AE20" s="275"/>
      <c r="AF20" s="275"/>
      <c r="AG20" s="275"/>
    </row>
    <row r="21" spans="2:33" ht="16.95" customHeight="1" thickBot="1" x14ac:dyDescent="0.5">
      <c r="B21" s="399" t="s">
        <v>119</v>
      </c>
      <c r="C21" s="401"/>
      <c r="D21" s="148" t="s">
        <v>127</v>
      </c>
      <c r="E21" s="273">
        <v>112</v>
      </c>
      <c r="F21" s="301"/>
      <c r="H21" s="351"/>
      <c r="I21" s="353"/>
      <c r="J21" s="352"/>
      <c r="K21" s="144" t="str">
        <f t="shared" si="0"/>
        <v/>
      </c>
      <c r="L21" s="354"/>
      <c r="M21" s="355"/>
      <c r="N21" s="357"/>
      <c r="O21" s="143" t="str">
        <f t="shared" si="1"/>
        <v/>
      </c>
      <c r="P21" s="358"/>
      <c r="Q21" s="359"/>
      <c r="R21" s="305" t="str">
        <f t="shared" si="6"/>
        <v/>
      </c>
      <c r="S21" s="306" t="str">
        <f t="shared" si="2"/>
        <v/>
      </c>
      <c r="T21" s="307" t="str">
        <f t="shared" si="3"/>
        <v/>
      </c>
      <c r="U21" s="308" t="str">
        <f t="shared" si="4"/>
        <v/>
      </c>
      <c r="V21" s="309" t="str">
        <f t="shared" si="5"/>
        <v/>
      </c>
      <c r="X21" s="285"/>
      <c r="Y21" s="285"/>
      <c r="AC21" s="275"/>
      <c r="AD21" s="275"/>
      <c r="AE21" s="275"/>
      <c r="AF21" s="275"/>
      <c r="AG21" s="275"/>
    </row>
    <row r="22" spans="2:33" ht="16.95" customHeight="1" thickBot="1" x14ac:dyDescent="0.5">
      <c r="B22" s="310" t="s">
        <v>128</v>
      </c>
      <c r="C22" s="169" t="s">
        <v>668</v>
      </c>
      <c r="D22" s="375"/>
      <c r="E22" s="285"/>
      <c r="F22" s="376"/>
      <c r="H22" s="351"/>
      <c r="I22" s="353"/>
      <c r="J22" s="352"/>
      <c r="K22" s="144" t="str">
        <f t="shared" si="0"/>
        <v/>
      </c>
      <c r="L22" s="354"/>
      <c r="M22" s="355"/>
      <c r="N22" s="357"/>
      <c r="O22" s="143" t="str">
        <f t="shared" si="1"/>
        <v/>
      </c>
      <c r="P22" s="358"/>
      <c r="Q22" s="359"/>
      <c r="R22" s="305" t="str">
        <f t="shared" si="6"/>
        <v/>
      </c>
      <c r="S22" s="306" t="str">
        <f t="shared" si="2"/>
        <v/>
      </c>
      <c r="T22" s="307" t="str">
        <f t="shared" si="3"/>
        <v/>
      </c>
      <c r="U22" s="308" t="str">
        <f t="shared" si="4"/>
        <v/>
      </c>
      <c r="V22" s="309" t="str">
        <f t="shared" si="5"/>
        <v/>
      </c>
      <c r="X22" s="285"/>
      <c r="AC22" s="275"/>
      <c r="AD22" s="275"/>
      <c r="AE22" s="275"/>
      <c r="AF22" s="275"/>
      <c r="AG22" s="275"/>
    </row>
    <row r="23" spans="2:33" ht="16.95" customHeight="1" thickBot="1" x14ac:dyDescent="0.5">
      <c r="B23" s="310" t="s">
        <v>130</v>
      </c>
      <c r="C23" s="370" t="str">
        <f>IFERROR(VLOOKUP(C22,B45:F52,2,FALSE)&amp;" @ "&amp;VLOOKUP(C22,B45:F52,3,FALSE),"")</f>
        <v>6/7 10.5 @ 1.5</v>
      </c>
      <c r="D23" s="402" t="s">
        <v>131</v>
      </c>
      <c r="E23" s="403" t="s">
        <v>132</v>
      </c>
      <c r="F23" s="404" t="s">
        <v>133</v>
      </c>
      <c r="H23" s="429"/>
      <c r="I23" s="430" cm="1">
        <f t="array" ref="I23">IFERROR(LOOKUP(2,1/(I4:I22&lt;&gt;""),I4:I22),"")</f>
        <v>5324</v>
      </c>
      <c r="J23" s="431" cm="1">
        <f t="array" ref="J23">IFERROR(LOOKUP(2,1/(J4:J22&lt;&gt;""),J4:J22),"")</f>
        <v>5842</v>
      </c>
      <c r="K23" s="431" cm="1">
        <f t="array" ref="K23">IFERROR(LOOKUP(2,1/(K4:K22&lt;&gt;""),K4:K22),"")</f>
        <v>518</v>
      </c>
      <c r="L23" s="431" cm="1">
        <f t="array" ref="L23">IFERROR(LOOKUP(2,1/(L4:L22&lt;&gt;""),L4:L22),"")</f>
        <v>94</v>
      </c>
      <c r="M23" s="431" cm="1">
        <f t="array" ref="M23">IFERROR(LOOKUP(2,1/(M4:M22&lt;&gt;""),M4:M22),"")</f>
        <v>11</v>
      </c>
      <c r="N23" s="431" t="str" cm="1">
        <f t="array" ref="N23">IFERROR(LOOKUP(2,1/(N4:N22&lt;&gt;""),N4:N22),"")</f>
        <v>35</v>
      </c>
      <c r="O23" s="431" cm="1">
        <f t="array" ref="O23">IFERROR(LOOKUP(2,1/(O4:O22&lt;&gt;""),O4:O22),"")</f>
        <v>424</v>
      </c>
      <c r="P23" s="431" cm="1">
        <f t="array" ref="P23">IFERROR(LOOKUP(2,1/(P4:P22&lt;&gt;""),P4:P22),"")</f>
        <v>18</v>
      </c>
      <c r="Q23" s="431" cm="1">
        <f t="array" ref="Q23">IFERROR(LOOKUP(2,1/(Q4:Q22&lt;&gt;""),Q4:Q22),"")</f>
        <v>23.5</v>
      </c>
      <c r="R23" s="431" cm="1">
        <f t="array" ref="R23">IFERROR(LOOKUP(2,1/(R4:R22&lt;&gt;""),R4:R22),"")</f>
        <v>8.115107913669064</v>
      </c>
      <c r="S23" s="431" cm="1">
        <f t="array" ref="S23">IFERROR(LOOKUP(2,1/(S4:S22&lt;&gt;""),S4:S22),"")</f>
        <v>66.08</v>
      </c>
      <c r="T23" s="432" cm="1">
        <f t="array" ref="T23">IFERROR(LOOKUP(2,1/(T4:T22&lt;&gt;""),T4:T22),"")</f>
        <v>0.18146718146718147</v>
      </c>
      <c r="U23" s="433" cm="1">
        <f t="array" ref="U23">IFERROR(LOOKUP(2,1/(U4:U22&lt;&gt;""),U4:U22),"")</f>
        <v>0.81853281853281856</v>
      </c>
      <c r="V23" s="434" cm="1">
        <f t="array" ref="V23">IFERROR(LOOKUP(2,1/(V4:V22&lt;&gt;""),V4:V22),"")</f>
        <v>11.583333333333334</v>
      </c>
      <c r="W23" s="277"/>
      <c r="X23" s="277"/>
      <c r="Y23" s="277"/>
      <c r="AC23" s="275"/>
      <c r="AD23" s="275"/>
      <c r="AE23" s="275"/>
      <c r="AF23" s="275"/>
      <c r="AG23" s="275"/>
    </row>
    <row r="24" spans="2:33" ht="16.95" customHeight="1" thickBot="1" x14ac:dyDescent="0.5">
      <c r="B24" s="310" t="s">
        <v>134</v>
      </c>
      <c r="C24" s="155">
        <f>IFERROR(VLOOKUP(C22,B45:F52,4,FALSE),"")</f>
        <v>0.193</v>
      </c>
      <c r="D24" s="383" t="s">
        <v>880</v>
      </c>
      <c r="E24" s="384">
        <f>IFERROR(VLOOKUP(D24,$O$31:$S$39,2,FALSE),"")</f>
        <v>0</v>
      </c>
      <c r="F24" s="385">
        <f>IFERROR(IF(ISBLANK(D24),"",VLOOKUP(D24,$O$33:$S$39,4,0)),"")</f>
        <v>0</v>
      </c>
      <c r="H24" s="898" t="s">
        <v>126</v>
      </c>
      <c r="I24" s="899"/>
      <c r="J24" s="435"/>
      <c r="K24" s="436">
        <f t="shared" ref="K24:Q24" si="7">IFERROR(SUM(K4:K22),"")</f>
        <v>518</v>
      </c>
      <c r="L24" s="436">
        <f t="shared" si="7"/>
        <v>94</v>
      </c>
      <c r="M24" s="436">
        <f t="shared" si="7"/>
        <v>11</v>
      </c>
      <c r="N24" s="436">
        <f t="shared" si="7"/>
        <v>0</v>
      </c>
      <c r="O24" s="436">
        <f t="shared" si="7"/>
        <v>424</v>
      </c>
      <c r="P24" s="436">
        <f t="shared" si="7"/>
        <v>18</v>
      </c>
      <c r="Q24" s="436">
        <f t="shared" si="7"/>
        <v>23.5</v>
      </c>
      <c r="R24" s="435">
        <f>IFERROR(L24/V24,"")</f>
        <v>8.115107913669064</v>
      </c>
      <c r="S24" s="435">
        <f>IFERROR(ROUND(O24/(P24-V24),2),"")</f>
        <v>66.08</v>
      </c>
      <c r="T24" s="437">
        <f>IFERROR(L24/K24,"")</f>
        <v>0.18146718146718147</v>
      </c>
      <c r="U24" s="437">
        <f>IFERROR(O24/K24,"")</f>
        <v>0.81853281853281856</v>
      </c>
      <c r="V24" s="438">
        <f>IFERROR(SUM(V4:V22),"")</f>
        <v>11.583333333333334</v>
      </c>
      <c r="W24" s="277"/>
      <c r="X24" s="277"/>
      <c r="Y24" s="277"/>
      <c r="AC24" s="275"/>
      <c r="AD24" s="275"/>
      <c r="AE24" s="275"/>
      <c r="AF24" s="275"/>
      <c r="AG24" s="275"/>
    </row>
    <row r="25" spans="2:33" ht="16.95" customHeight="1" x14ac:dyDescent="0.45">
      <c r="B25" s="310" t="s">
        <v>135</v>
      </c>
      <c r="C25" s="345">
        <v>1.5</v>
      </c>
      <c r="D25" s="361"/>
      <c r="E25" s="387" t="str">
        <f t="shared" ref="E25:E28" si="8">IFERROR(VLOOKUP(D25,$O$31:$S$39,2,FALSE),"")</f>
        <v/>
      </c>
      <c r="F25" s="388" t="str">
        <f>IFERROR(IF(ISBLANK(D25),"",VLOOKUP(D25,$O$33:$S$39,4,0)),"")</f>
        <v/>
      </c>
      <c r="L25" s="238"/>
      <c r="M25" s="238"/>
      <c r="N25" s="238"/>
      <c r="P25" s="16"/>
      <c r="Q25" s="16"/>
      <c r="R25" s="16"/>
      <c r="S25" s="16"/>
      <c r="T25" s="16"/>
      <c r="U25" s="16"/>
      <c r="V25" s="26"/>
      <c r="X25" s="285"/>
      <c r="Y25" s="285"/>
      <c r="AC25" s="275"/>
      <c r="AD25" s="275"/>
      <c r="AE25" s="275"/>
      <c r="AF25" s="275"/>
      <c r="AG25" s="275"/>
    </row>
    <row r="26" spans="2:33" ht="16.95" customHeight="1" x14ac:dyDescent="0.45">
      <c r="B26" s="310" t="s">
        <v>136</v>
      </c>
      <c r="C26" s="156">
        <f>IFERROR((C24*C25)*1000,"")</f>
        <v>289.5</v>
      </c>
      <c r="D26" s="299"/>
      <c r="E26" s="384" t="str">
        <f t="shared" si="8"/>
        <v/>
      </c>
      <c r="F26" s="385" t="str">
        <f>IFERROR(IF(ISBLANK(D26),"",VLOOKUP(D26,$O$33:$S$39,4,0)),"")</f>
        <v/>
      </c>
      <c r="N26" s="239"/>
      <c r="O26"/>
      <c r="P26" s="153"/>
      <c r="V26" s="154"/>
      <c r="X26" s="285"/>
      <c r="AC26" s="275"/>
      <c r="AD26" s="275"/>
      <c r="AE26" s="275"/>
      <c r="AF26" s="275"/>
      <c r="AG26" s="275"/>
    </row>
    <row r="27" spans="2:33" ht="16.95" customHeight="1" thickBot="1" x14ac:dyDescent="0.35">
      <c r="B27" s="310" t="s">
        <v>137</v>
      </c>
      <c r="C27" s="346">
        <v>50</v>
      </c>
      <c r="D27" s="362"/>
      <c r="E27" s="387" t="str">
        <f t="shared" si="8"/>
        <v/>
      </c>
      <c r="F27" s="388" t="str">
        <f>IFERROR(IF(ISBLANK(D27),"",VLOOKUP(D27,$O$33:$S$39,4,0)),"")</f>
        <v/>
      </c>
      <c r="N27" s="239"/>
      <c r="O27"/>
      <c r="P27" s="153"/>
      <c r="V27" s="154"/>
      <c r="X27" s="285"/>
    </row>
    <row r="28" spans="2:33" ht="16.95" customHeight="1" thickTop="1" thickBot="1" x14ac:dyDescent="0.35">
      <c r="B28" s="310" t="s">
        <v>138</v>
      </c>
      <c r="C28" s="156">
        <f>IFERROR(SUM(C26,C27),"")</f>
        <v>339.5</v>
      </c>
      <c r="D28" s="300"/>
      <c r="E28" s="384" t="str">
        <f t="shared" si="8"/>
        <v/>
      </c>
      <c r="F28" s="385" t="str">
        <f>IFERROR(IF(ISBLANK(D28),"",VLOOKUP(D28,$O$33:$S$39,4,0)),"")</f>
        <v/>
      </c>
      <c r="H28" s="626" t="s">
        <v>1844</v>
      </c>
      <c r="I28" s="881" t="s">
        <v>1845</v>
      </c>
      <c r="J28" s="882"/>
      <c r="K28" s="627" t="s">
        <v>1846</v>
      </c>
      <c r="L28" s="883" t="s">
        <v>4</v>
      </c>
      <c r="M28" s="884"/>
      <c r="N28" s="153"/>
      <c r="O28" s="811" t="s">
        <v>129</v>
      </c>
      <c r="P28" s="812"/>
      <c r="Q28" s="812"/>
      <c r="R28" s="812"/>
      <c r="S28" s="813"/>
      <c r="U28" s="805" t="s">
        <v>157</v>
      </c>
      <c r="V28" s="806"/>
      <c r="X28" s="283"/>
    </row>
    <row r="29" spans="2:33" ht="16.95" customHeight="1" thickBot="1" x14ac:dyDescent="0.35">
      <c r="B29" s="310" t="s">
        <v>139</v>
      </c>
      <c r="C29" s="371">
        <f>IFERROR(P23,"")</f>
        <v>18</v>
      </c>
      <c r="D29" s="405" t="s">
        <v>140</v>
      </c>
      <c r="E29" s="403" t="s">
        <v>132</v>
      </c>
      <c r="F29" s="404" t="s">
        <v>133</v>
      </c>
      <c r="H29" s="628" t="s">
        <v>1847</v>
      </c>
      <c r="I29" s="892"/>
      <c r="J29" s="893"/>
      <c r="K29" s="622" t="s">
        <v>1848</v>
      </c>
      <c r="L29" s="894" t="s">
        <v>915</v>
      </c>
      <c r="M29" s="895"/>
      <c r="N29" s="153"/>
      <c r="O29" s="814"/>
      <c r="P29" s="815"/>
      <c r="Q29" s="815"/>
      <c r="R29" s="815"/>
      <c r="S29" s="816"/>
      <c r="U29" s="807"/>
      <c r="V29" s="808"/>
    </row>
    <row r="30" spans="2:33" ht="16.95" customHeight="1" thickBot="1" x14ac:dyDescent="0.35">
      <c r="B30" s="310" t="s">
        <v>141</v>
      </c>
      <c r="C30" s="151">
        <f>IFERROR(Q23,"")</f>
        <v>23.5</v>
      </c>
      <c r="D30" s="386" t="s">
        <v>760</v>
      </c>
      <c r="E30" s="387">
        <f>IFERROR(VLOOKUP(D30,$O$33:$S$38,3,FALSE),"")</f>
        <v>0</v>
      </c>
      <c r="F30" s="388">
        <f>IFERROR(IF(ISBLANK(D30),"",VLOOKUP(D30,$O$33:$S$39,4,0)),"")</f>
        <v>0</v>
      </c>
      <c r="H30" s="629" t="s">
        <v>1849</v>
      </c>
      <c r="I30" s="896"/>
      <c r="J30" s="897"/>
      <c r="K30" s="623" t="s">
        <v>1850</v>
      </c>
      <c r="L30" s="879" t="s">
        <v>917</v>
      </c>
      <c r="M30" s="880"/>
      <c r="N30" s="153"/>
      <c r="O30" s="817"/>
      <c r="P30" s="818"/>
      <c r="Q30" s="818"/>
      <c r="R30" s="818"/>
      <c r="S30" s="819"/>
      <c r="U30" s="809"/>
      <c r="V30" s="810"/>
      <c r="X30" s="264"/>
      <c r="AB30" s="276"/>
    </row>
    <row r="31" spans="2:33" ht="16.95" customHeight="1" x14ac:dyDescent="0.3">
      <c r="B31" s="148" t="s">
        <v>142</v>
      </c>
      <c r="C31" s="151">
        <f>IFERROR(VLOOKUP($C$22,$O$42:$S$55,4,0),"")</f>
        <v>0</v>
      </c>
      <c r="D31" s="360"/>
      <c r="E31" s="349" t="str">
        <f>IFERROR(VLOOKUP($D31,$O$33:$S$38,3,FALSE),"")</f>
        <v/>
      </c>
      <c r="F31" s="349" t="str">
        <f>IFERROR(VLOOKUP($D31,$O$33:$S$38,5,FALSE),"")</f>
        <v/>
      </c>
      <c r="H31" s="629" t="s">
        <v>1851</v>
      </c>
      <c r="I31" s="896"/>
      <c r="J31" s="897"/>
      <c r="K31" s="623" t="s">
        <v>1850</v>
      </c>
      <c r="L31" s="879"/>
      <c r="M31" s="880"/>
      <c r="N31" s="157"/>
      <c r="O31" s="829" t="s">
        <v>150</v>
      </c>
      <c r="P31" s="830"/>
      <c r="Q31" s="824" t="s">
        <v>475</v>
      </c>
      <c r="R31" s="826" t="s">
        <v>730</v>
      </c>
      <c r="S31" s="827" t="s">
        <v>81</v>
      </c>
      <c r="U31" s="395" t="s">
        <v>476</v>
      </c>
      <c r="V31" s="396" t="s">
        <v>155</v>
      </c>
      <c r="X31" s="285"/>
    </row>
    <row r="32" spans="2:33" ht="16.95" customHeight="1" thickBot="1" x14ac:dyDescent="0.35">
      <c r="B32" s="310" t="s">
        <v>143</v>
      </c>
      <c r="C32" s="151">
        <f>IFERROR(Q24,"")</f>
        <v>23.5</v>
      </c>
      <c r="D32" s="377"/>
      <c r="E32" s="378" t="str">
        <f t="shared" ref="E32" si="9">IFERROR(VLOOKUP(D32,$O$33:$S$38,3,FALSE),"")</f>
        <v/>
      </c>
      <c r="F32" s="379" t="str">
        <f>IFERROR(IF(ISBLANK(D32),"",E32+$C$20-Y35),"")</f>
        <v/>
      </c>
      <c r="H32" s="629" t="s">
        <v>1852</v>
      </c>
      <c r="I32" s="877"/>
      <c r="J32" s="878"/>
      <c r="K32" s="623" t="s">
        <v>1850</v>
      </c>
      <c r="L32" s="879"/>
      <c r="M32" s="880"/>
      <c r="N32" s="157"/>
      <c r="O32" s="831"/>
      <c r="P32" s="825"/>
      <c r="Q32" s="825"/>
      <c r="R32" s="825"/>
      <c r="S32" s="828"/>
      <c r="U32" s="320" t="s">
        <v>160</v>
      </c>
      <c r="V32" s="321">
        <v>0.16600000000000001</v>
      </c>
      <c r="X32" s="277"/>
      <c r="Y32" s="285"/>
    </row>
    <row r="33" spans="2:25" ht="16.95" customHeight="1" thickBot="1" x14ac:dyDescent="0.35">
      <c r="B33" s="885" t="s">
        <v>144</v>
      </c>
      <c r="C33" s="886"/>
      <c r="D33" s="886"/>
      <c r="E33" s="886"/>
      <c r="F33" s="887"/>
      <c r="H33" s="630" t="s">
        <v>1853</v>
      </c>
      <c r="I33" s="888" t="s">
        <v>480</v>
      </c>
      <c r="J33" s="889"/>
      <c r="K33" s="631" t="s">
        <v>1850</v>
      </c>
      <c r="L33" s="890"/>
      <c r="M33" s="891"/>
      <c r="N33" s="157"/>
      <c r="O33" s="820" t="s">
        <v>880</v>
      </c>
      <c r="P33" s="821"/>
      <c r="Q33" s="316"/>
      <c r="R33" s="317"/>
      <c r="S33" s="350">
        <f t="shared" ref="S33:S38" si="10">IFERROR(IF(O33&lt;&gt;"",SUM(Q33:R33),""),"")</f>
        <v>0</v>
      </c>
      <c r="U33" s="320" t="s">
        <v>163</v>
      </c>
      <c r="V33" s="321">
        <v>0.25</v>
      </c>
      <c r="W33" s="278"/>
      <c r="X33" s="279"/>
      <c r="Y33" s="280"/>
    </row>
    <row r="34" spans="2:25" ht="16.95" customHeight="1" thickTop="1" thickBot="1" x14ac:dyDescent="0.35">
      <c r="B34" s="871" t="s">
        <v>145</v>
      </c>
      <c r="C34" s="872"/>
      <c r="D34" s="406" t="s">
        <v>146</v>
      </c>
      <c r="E34" s="406" t="s">
        <v>147</v>
      </c>
      <c r="F34" s="407" t="s">
        <v>148</v>
      </c>
      <c r="H34"/>
      <c r="I34"/>
      <c r="J34"/>
      <c r="K34"/>
      <c r="L34"/>
      <c r="M34"/>
      <c r="N34"/>
      <c r="O34" s="822"/>
      <c r="P34" s="823"/>
      <c r="Q34" s="366"/>
      <c r="R34" s="367"/>
      <c r="S34" s="368" t="str">
        <f t="shared" si="10"/>
        <v/>
      </c>
      <c r="U34" s="320" t="s">
        <v>164</v>
      </c>
      <c r="V34" s="321">
        <v>0.21</v>
      </c>
      <c r="W34" s="278"/>
      <c r="X34" s="279"/>
      <c r="Y34" s="281"/>
    </row>
    <row r="35" spans="2:25" ht="16.95" customHeight="1" x14ac:dyDescent="0.3">
      <c r="B35" s="873" t="s">
        <v>881</v>
      </c>
      <c r="C35" s="874"/>
      <c r="D35" s="546">
        <v>33.256999999999998</v>
      </c>
      <c r="E35" s="547">
        <v>426.51</v>
      </c>
      <c r="F35" s="548">
        <v>542.46</v>
      </c>
      <c r="H35" s="448" t="str">
        <f>IFERROR('DD Tools'!O5,"")</f>
        <v>BHA</v>
      </c>
      <c r="I35" s="448" t="str">
        <f>IFERROR('DD Tools'!Q5,"")</f>
        <v>Mtrs Sld</v>
      </c>
      <c r="J35" s="448" t="str">
        <f>IFERROR('DD Tools'!R5,"")</f>
        <v>Mtrs Rot</v>
      </c>
      <c r="K35" s="448" t="str">
        <f>IFERROR('DD Tools'!S5,"")</f>
        <v>Hrs Sld</v>
      </c>
      <c r="L35" s="448" t="str">
        <f>IFERROR('DD Tools'!T5,"")</f>
        <v>Hrs Rot</v>
      </c>
      <c r="M35" s="448" t="str">
        <f>IFERROR('DD Tools'!U5,"")</f>
        <v>Hrs Crc</v>
      </c>
      <c r="N35"/>
      <c r="O35" s="840"/>
      <c r="P35" s="841"/>
      <c r="Q35" s="314"/>
      <c r="R35" s="315"/>
      <c r="S35" s="350" t="str">
        <f t="shared" si="10"/>
        <v/>
      </c>
      <c r="U35" s="320" t="s">
        <v>165</v>
      </c>
      <c r="V35" s="321">
        <v>0.21</v>
      </c>
      <c r="W35" s="278"/>
      <c r="X35" s="282"/>
      <c r="Y35" s="281"/>
    </row>
    <row r="36" spans="2:25" ht="16.95" customHeight="1" x14ac:dyDescent="0.3">
      <c r="B36" s="875" t="s">
        <v>881</v>
      </c>
      <c r="C36" s="876"/>
      <c r="D36" s="549">
        <v>33.194000000000003</v>
      </c>
      <c r="E36" s="550">
        <v>426.95</v>
      </c>
      <c r="F36" s="551">
        <v>570</v>
      </c>
      <c r="H36" s="304">
        <f>IFERROR(IF('DD Tools'!O6&lt;&gt;"",'DD Tools'!O6,""),"")</f>
        <v>1</v>
      </c>
      <c r="I36" s="304">
        <f>IFERROR(IF('DD Tools'!Q6&lt;&gt;"",'DD Tools'!Q6,""),"")</f>
        <v>32</v>
      </c>
      <c r="J36" s="304">
        <f>IFERROR(IF('DD Tools'!R6&lt;&gt;"",'DD Tools'!R6,""),"")</f>
        <v>581</v>
      </c>
      <c r="K36" s="304">
        <f>IFERROR(IF('DD Tools'!S6&lt;&gt;"",'DD Tools'!S6,""),"")</f>
        <v>1</v>
      </c>
      <c r="L36" s="304">
        <f>IFERROR(IF('DD Tools'!T6&lt;&gt;"",'DD Tools'!T6,""),"")</f>
        <v>9.9</v>
      </c>
      <c r="M36" s="304">
        <f>IFERROR(IF('DD Tools'!U6&lt;&gt;"",'DD Tools'!U6,""),"")</f>
        <v>5.23</v>
      </c>
      <c r="N36"/>
      <c r="O36" s="822"/>
      <c r="P36" s="823"/>
      <c r="Q36" s="366"/>
      <c r="R36" s="367">
        <v>69</v>
      </c>
      <c r="S36" s="368" t="str">
        <f t="shared" si="10"/>
        <v/>
      </c>
      <c r="U36" s="320" t="s">
        <v>162</v>
      </c>
      <c r="V36" s="321">
        <v>0.18</v>
      </c>
      <c r="X36" s="152" t="str">
        <f>IFERROR("Total Rotating Percentage: "&amp;ROUND(U24,4)*100&amp;"%","")</f>
        <v>Total Rotating Percentage: 81.85%</v>
      </c>
      <c r="Y36" s="158"/>
    </row>
    <row r="37" spans="2:25" ht="16.95" customHeight="1" x14ac:dyDescent="0.3">
      <c r="B37" s="863"/>
      <c r="C37" s="864"/>
      <c r="D37" s="558"/>
      <c r="E37" s="559"/>
      <c r="F37" s="560"/>
      <c r="H37" s="304">
        <f>IFERROR(IF('DD Tools'!O7&lt;&gt;"",'DD Tools'!O7,""),"")</f>
        <v>2</v>
      </c>
      <c r="I37" s="304">
        <f>IFERROR(IF('DD Tools'!Q7&lt;&gt;"",'DD Tools'!Q7,""),"")</f>
        <v>53</v>
      </c>
      <c r="J37" s="304">
        <f>IFERROR(IF('DD Tools'!R7&lt;&gt;"",'DD Tools'!R7,""),"")</f>
        <v>1612.12</v>
      </c>
      <c r="K37" s="304">
        <f>IFERROR(IF('DD Tools'!S7&lt;&gt;"",'DD Tools'!S7,""),"")</f>
        <v>6.12</v>
      </c>
      <c r="L37" s="304">
        <f>IFERROR(IF('DD Tools'!T7&lt;&gt;"",'DD Tools'!T7,""),"")</f>
        <v>54.83</v>
      </c>
      <c r="M37" s="304">
        <f>IFERROR(IF('DD Tools'!U7&lt;&gt;"",'DD Tools'!U7,""),"")</f>
        <v>14.77</v>
      </c>
      <c r="N37"/>
      <c r="O37" s="840" t="s">
        <v>759</v>
      </c>
      <c r="P37" s="841"/>
      <c r="Q37" s="314"/>
      <c r="R37" s="315">
        <v>69</v>
      </c>
      <c r="S37" s="350">
        <f t="shared" si="10"/>
        <v>69</v>
      </c>
      <c r="U37" s="320" t="s">
        <v>259</v>
      </c>
      <c r="V37" s="321">
        <v>0.193</v>
      </c>
      <c r="X37" s="286" t="str">
        <f>IFERROR("Total time Sliding: "&amp;ROUND(V24,2)&amp;"Hrs","")</f>
        <v>Total time Sliding: 11.58Hrs</v>
      </c>
      <c r="Y37" s="158"/>
    </row>
    <row r="38" spans="2:25" ht="16.95" customHeight="1" thickBot="1" x14ac:dyDescent="0.35">
      <c r="B38" s="865"/>
      <c r="C38" s="866"/>
      <c r="D38" s="504"/>
      <c r="E38" s="505"/>
      <c r="F38" s="506"/>
      <c r="H38" s="304">
        <f>IFERROR(IF('DD Tools'!O8&lt;&gt;"",'DD Tools'!O8,""),"")</f>
        <v>3</v>
      </c>
      <c r="I38" s="304">
        <f>IFERROR(IF('DD Tools'!Q8&lt;&gt;"",'DD Tools'!Q8,""),"")</f>
        <v>46.02</v>
      </c>
      <c r="J38" s="304">
        <f>IFERROR(IF('DD Tools'!R8&lt;&gt;"",'DD Tools'!R8,""),"")</f>
        <v>461.92</v>
      </c>
      <c r="K38" s="304">
        <f>IFERROR(IF('DD Tools'!S8&lt;&gt;"",'DD Tools'!S8,""),"")</f>
        <v>10.42</v>
      </c>
      <c r="L38" s="304">
        <f>IFERROR(IF('DD Tools'!T8&lt;&gt;"",'DD Tools'!T8,""),"")</f>
        <v>25.5</v>
      </c>
      <c r="M38" s="304">
        <f>IFERROR(IF('DD Tools'!U8&lt;&gt;"",'DD Tools'!U8,""),"")</f>
        <v>4.58</v>
      </c>
      <c r="N38"/>
      <c r="O38" s="842" t="s">
        <v>760</v>
      </c>
      <c r="P38" s="843"/>
      <c r="Q38" s="380"/>
      <c r="R38" s="381"/>
      <c r="S38" s="382">
        <f t="shared" si="10"/>
        <v>0</v>
      </c>
      <c r="U38" s="320" t="s">
        <v>866</v>
      </c>
      <c r="V38" s="321">
        <v>0.159</v>
      </c>
      <c r="X38" s="286"/>
      <c r="Y38" s="158"/>
    </row>
    <row r="39" spans="2:25" ht="17.25" customHeight="1" x14ac:dyDescent="0.3">
      <c r="B39" s="863"/>
      <c r="C39" s="864"/>
      <c r="D39" s="558"/>
      <c r="E39" s="559"/>
      <c r="F39" s="560"/>
      <c r="H39" s="304">
        <f>IFERROR(IF('DD Tools'!O9&lt;&gt;"",'DD Tools'!O9,""),"")</f>
        <v>4</v>
      </c>
      <c r="I39" s="304">
        <f>IFERROR(IF('DD Tools'!Q9&lt;&gt;"",'DD Tools'!Q9,""),"")</f>
        <v>167.64</v>
      </c>
      <c r="J39" s="304">
        <f>IFERROR(IF('DD Tools'!R9&lt;&gt;"",'DD Tools'!R9,""),"")</f>
        <v>32.299999999999997</v>
      </c>
      <c r="K39" s="304">
        <f>IFERROR(IF('DD Tools'!S9&lt;&gt;"",'DD Tools'!S9,""),"")</f>
        <v>33.58</v>
      </c>
      <c r="L39" s="304">
        <f>IFERROR(IF('DD Tools'!T9&lt;&gt;"",'DD Tools'!T9,""),"")</f>
        <v>2.42</v>
      </c>
      <c r="M39" s="304">
        <f>IFERROR(IF('DD Tools'!U9&lt;&gt;"",'DD Tools'!U9,""),"")</f>
        <v>8.92</v>
      </c>
      <c r="N39"/>
      <c r="O39" s="811" t="s">
        <v>149</v>
      </c>
      <c r="P39" s="832"/>
      <c r="Q39" s="832"/>
      <c r="R39" s="832"/>
      <c r="S39" s="833"/>
      <c r="U39" s="320" t="s">
        <v>161</v>
      </c>
      <c r="V39" s="321">
        <v>0.23799999999999999</v>
      </c>
      <c r="W39" s="159"/>
      <c r="X39" s="160"/>
      <c r="Y39" s="161"/>
    </row>
    <row r="40" spans="2:25" ht="17.25" customHeight="1" x14ac:dyDescent="0.3">
      <c r="B40" s="865"/>
      <c r="C40" s="866"/>
      <c r="D40" s="504"/>
      <c r="E40" s="505"/>
      <c r="F40" s="506"/>
      <c r="H40" s="304">
        <f>IFERROR(IF('DD Tools'!O10&lt;&gt;"",'DD Tools'!O10,""),"")</f>
        <v>5</v>
      </c>
      <c r="I40" s="304">
        <f>IFERROR(IF('DD Tools'!Q10&lt;&gt;"",'DD Tools'!Q10,""),"")</f>
        <v>339.61</v>
      </c>
      <c r="J40" s="304">
        <f>IFERROR(IF('DD Tools'!R10&lt;&gt;"",'DD Tools'!R10,""),"")</f>
        <v>1238.3900000000001</v>
      </c>
      <c r="K40" s="304">
        <f>IFERROR(IF('DD Tools'!S10&lt;&gt;"",'DD Tools'!S10,""),"")</f>
        <v>38.75</v>
      </c>
      <c r="L40" s="304">
        <f>IFERROR(IF('DD Tools'!T10&lt;&gt;"",'DD Tools'!T10,""),"")</f>
        <v>38.479999999999997</v>
      </c>
      <c r="M40" s="304">
        <f>IFERROR(IF('DD Tools'!U10&lt;&gt;"",'DD Tools'!U10,""),"")</f>
        <v>14.93</v>
      </c>
      <c r="N40"/>
      <c r="O40" s="834"/>
      <c r="P40" s="835"/>
      <c r="Q40" s="835"/>
      <c r="R40" s="835"/>
      <c r="S40" s="836"/>
      <c r="U40" s="320" t="s">
        <v>166</v>
      </c>
      <c r="V40" s="321">
        <v>9.2999999999999999E-2</v>
      </c>
      <c r="W40" s="159"/>
      <c r="X40" s="160"/>
      <c r="Y40" s="161"/>
    </row>
    <row r="41" spans="2:25" ht="17.25" customHeight="1" thickBot="1" x14ac:dyDescent="0.35">
      <c r="B41" s="863"/>
      <c r="C41" s="864"/>
      <c r="D41" s="558"/>
      <c r="E41" s="559"/>
      <c r="F41" s="560"/>
      <c r="H41" s="304">
        <f>IFERROR(IF('DD Tools'!O11&lt;&gt;"",'DD Tools'!O11,""),"")</f>
        <v>6</v>
      </c>
      <c r="I41" s="304">
        <f>IFERROR(IF('DD Tools'!Q11&lt;&gt;"",'DD Tools'!Q11,""),"")</f>
        <v>94</v>
      </c>
      <c r="J41" s="304">
        <f>IFERROR(IF('DD Tools'!R11&lt;&gt;"",'DD Tools'!R11,""),"")</f>
        <v>1140.42</v>
      </c>
      <c r="K41" s="304">
        <f>IFERROR(IF('DD Tools'!S11&lt;&gt;"",'DD Tools'!S11,""),"")</f>
        <v>11.58</v>
      </c>
      <c r="L41" s="304">
        <f>IFERROR(IF('DD Tools'!T11&lt;&gt;"",'DD Tools'!T11,""),"")</f>
        <v>28.33</v>
      </c>
      <c r="M41" s="304">
        <f>IFERROR(IF('DD Tools'!U11&lt;&gt;"",'DD Tools'!U11,""),"")</f>
        <v>12.75</v>
      </c>
      <c r="N41"/>
      <c r="O41" s="837"/>
      <c r="P41" s="838"/>
      <c r="Q41" s="838"/>
      <c r="R41" s="838"/>
      <c r="S41" s="839"/>
      <c r="U41" s="320" t="s">
        <v>167</v>
      </c>
      <c r="V41" s="321">
        <v>0.13800000000000001</v>
      </c>
      <c r="W41" s="159"/>
      <c r="X41" s="26"/>
      <c r="Y41" s="26"/>
    </row>
    <row r="42" spans="2:25" ht="17.25" customHeight="1" thickBot="1" x14ac:dyDescent="0.35">
      <c r="B42" s="861"/>
      <c r="C42" s="862"/>
      <c r="D42" s="507"/>
      <c r="E42" s="508"/>
      <c r="F42" s="509"/>
      <c r="H42" s="304" t="str">
        <f>IFERROR(IF('DD Tools'!O12&lt;&gt;"",'DD Tools'!O12,""),"")</f>
        <v/>
      </c>
      <c r="I42" s="304" t="str">
        <f>IFERROR(IF('DD Tools'!Q12&lt;&gt;"",'DD Tools'!Q12,""),"")</f>
        <v/>
      </c>
      <c r="J42" s="304" t="str">
        <f>IFERROR(IF('DD Tools'!R12&lt;&gt;"",'DD Tools'!R12,""),"")</f>
        <v/>
      </c>
      <c r="K42" s="304" t="str">
        <f>IFERROR(IF('DD Tools'!S12&lt;&gt;"",'DD Tools'!S12,""),"")</f>
        <v/>
      </c>
      <c r="L42" s="304" t="str">
        <f>IFERROR(IF('DD Tools'!T12&lt;&gt;"",'DD Tools'!T12,""),"")</f>
        <v/>
      </c>
      <c r="M42" s="304" t="str">
        <f>IFERROR(IF('DD Tools'!U12&lt;&gt;"",'DD Tools'!U12,""),"")</f>
        <v/>
      </c>
      <c r="N42"/>
      <c r="O42" s="844" t="s">
        <v>665</v>
      </c>
      <c r="P42" s="845"/>
      <c r="Q42" s="561"/>
      <c r="R42" s="562">
        <v>69</v>
      </c>
      <c r="S42" s="411">
        <f t="shared" ref="S42:S55" si="11">IFERROR(IF(O42&lt;&gt;"",R42+Q42,""),"")</f>
        <v>69</v>
      </c>
      <c r="T42" s="16"/>
      <c r="U42" s="320" t="s">
        <v>168</v>
      </c>
      <c r="V42" s="322">
        <v>7.5999999999999998E-2</v>
      </c>
      <c r="W42" s="159"/>
      <c r="X42" s="26"/>
      <c r="Y42" s="26"/>
    </row>
    <row r="43" spans="2:25" ht="17.25" customHeight="1" thickBot="1" x14ac:dyDescent="0.35">
      <c r="B43" s="858" t="s">
        <v>151</v>
      </c>
      <c r="C43" s="859"/>
      <c r="D43" s="859"/>
      <c r="E43" s="859"/>
      <c r="F43" s="860"/>
      <c r="H43" s="304" t="str">
        <f>IFERROR(IF('DD Tools'!O13&lt;&gt;"",'DD Tools'!O13,""),"")</f>
        <v/>
      </c>
      <c r="I43" s="304" t="str">
        <f>IFERROR(IF('DD Tools'!Q13&lt;&gt;"",'DD Tools'!Q13,""),"")</f>
        <v/>
      </c>
      <c r="J43" s="304" t="str">
        <f>IFERROR(IF('DD Tools'!R13&lt;&gt;"",'DD Tools'!R13,""),"")</f>
        <v/>
      </c>
      <c r="K43" s="304" t="str">
        <f>IFERROR(IF('DD Tools'!S13&lt;&gt;"",'DD Tools'!S13,""),"")</f>
        <v/>
      </c>
      <c r="L43" s="304" t="str">
        <f>IFERROR(IF('DD Tools'!T13&lt;&gt;"",'DD Tools'!T13,""),"")</f>
        <v/>
      </c>
      <c r="M43" s="304" t="str">
        <f>IFERROR(IF('DD Tools'!U13&lt;&gt;"",'DD Tools'!U13,""),"")</f>
        <v/>
      </c>
      <c r="N43"/>
      <c r="O43" s="792" t="s">
        <v>668</v>
      </c>
      <c r="P43" s="793"/>
      <c r="Q43" s="563"/>
      <c r="R43" s="564"/>
      <c r="S43" s="565">
        <f t="shared" si="11"/>
        <v>0</v>
      </c>
      <c r="U43" s="320" t="s">
        <v>158</v>
      </c>
      <c r="V43" s="321">
        <v>0.14599999999999999</v>
      </c>
      <c r="W43" s="159"/>
      <c r="X43" s="26"/>
      <c r="Y43" s="26"/>
    </row>
    <row r="44" spans="2:25" ht="17.25" customHeight="1" thickBot="1" x14ac:dyDescent="0.35">
      <c r="B44" s="408" t="s">
        <v>152</v>
      </c>
      <c r="C44" s="409" t="s">
        <v>153</v>
      </c>
      <c r="D44" s="409" t="s">
        <v>154</v>
      </c>
      <c r="E44" s="409" t="s">
        <v>155</v>
      </c>
      <c r="F44" s="404" t="s">
        <v>94</v>
      </c>
      <c r="H44" s="304" t="str">
        <f>IFERROR(IF('DD Tools'!O14&lt;&gt;"",'DD Tools'!O14,""),"")</f>
        <v/>
      </c>
      <c r="I44" s="304" t="str">
        <f>IFERROR(IF('DD Tools'!Q14&lt;&gt;"",'DD Tools'!Q14,""),"")</f>
        <v/>
      </c>
      <c r="J44" s="304" t="str">
        <f>IFERROR(IF('DD Tools'!R14&lt;&gt;"",'DD Tools'!R14,""),"")</f>
        <v/>
      </c>
      <c r="K44" s="304" t="str">
        <f>IFERROR(IF('DD Tools'!S14&lt;&gt;"",'DD Tools'!S14,""),"")</f>
        <v/>
      </c>
      <c r="L44" s="304" t="str">
        <f>IFERROR(IF('DD Tools'!T14&lt;&gt;"",'DD Tools'!T14,""),"")</f>
        <v/>
      </c>
      <c r="M44" s="304" t="str">
        <f>IFERROR(IF('DD Tools'!U14&lt;&gt;"",'DD Tools'!U14,""),"")</f>
        <v/>
      </c>
      <c r="N44"/>
      <c r="O44" s="803" t="s">
        <v>466</v>
      </c>
      <c r="P44" s="804"/>
      <c r="Q44" s="566"/>
      <c r="R44" s="567"/>
      <c r="S44" s="144">
        <f t="shared" si="11"/>
        <v>0</v>
      </c>
      <c r="U44" s="320" t="s">
        <v>159</v>
      </c>
      <c r="V44" s="321">
        <v>4.7E-2</v>
      </c>
    </row>
    <row r="45" spans="2:25" ht="17.25" customHeight="1" x14ac:dyDescent="0.3">
      <c r="B45" s="389" t="s">
        <v>665</v>
      </c>
      <c r="C45" s="390" t="s">
        <v>259</v>
      </c>
      <c r="D45" s="390">
        <v>1.5</v>
      </c>
      <c r="E45" s="391">
        <f t="shared" ref="E45:E55" si="12">IFERROR(VLOOKUP(C45,$U$32:$V$52,2,FALSE),"")</f>
        <v>0.193</v>
      </c>
      <c r="F45" s="439">
        <f>IFERROR(VLOOKUP(B45,$O$42:$S$55,5,FALSE),"")</f>
        <v>69</v>
      </c>
      <c r="H45" s="304" t="str">
        <f>IFERROR(IF('DD Tools'!O15&lt;&gt;"",'DD Tools'!O15,""),"")</f>
        <v/>
      </c>
      <c r="I45" s="304" t="str">
        <f>IFERROR(IF('DD Tools'!Q15&lt;&gt;"",'DD Tools'!Q15,""),"")</f>
        <v/>
      </c>
      <c r="J45" s="304" t="str">
        <f>IFERROR(IF('DD Tools'!R15&lt;&gt;"",'DD Tools'!R15,""),"")</f>
        <v/>
      </c>
      <c r="K45" s="304" t="str">
        <f>IFERROR(IF('DD Tools'!S15&lt;&gt;"",'DD Tools'!S15,""),"")</f>
        <v/>
      </c>
      <c r="L45" s="304" t="str">
        <f>IFERROR(IF('DD Tools'!T15&lt;&gt;"",'DD Tools'!T15,""),"")</f>
        <v/>
      </c>
      <c r="M45" s="304" t="str">
        <f>IFERROR(IF('DD Tools'!U15&lt;&gt;"",'DD Tools'!U15,""),"")</f>
        <v/>
      </c>
      <c r="N45"/>
      <c r="O45" s="792" t="s">
        <v>468</v>
      </c>
      <c r="P45" s="793"/>
      <c r="Q45" s="563"/>
      <c r="R45" s="564"/>
      <c r="S45" s="565">
        <f t="shared" si="11"/>
        <v>0</v>
      </c>
      <c r="U45" s="320" t="s">
        <v>470</v>
      </c>
      <c r="V45" s="321">
        <v>6.3E-2</v>
      </c>
    </row>
    <row r="46" spans="2:25" ht="17.25" customHeight="1" x14ac:dyDescent="0.3">
      <c r="B46" s="389" t="s">
        <v>668</v>
      </c>
      <c r="C46" s="363" t="s">
        <v>259</v>
      </c>
      <c r="D46" s="363">
        <v>1.5</v>
      </c>
      <c r="E46" s="364">
        <f t="shared" si="12"/>
        <v>0.193</v>
      </c>
      <c r="F46" s="439">
        <f t="shared" ref="F46:F55" si="13">IFERROR(VLOOKUP(B46,$O$42:$S$55,5,FALSE),"")</f>
        <v>0</v>
      </c>
      <c r="H46" s="304" t="str">
        <f>IFERROR(IF('DD Tools'!O16&lt;&gt;"",'DD Tools'!O16,""),"")</f>
        <v/>
      </c>
      <c r="I46" s="304" t="str">
        <f>IFERROR(IF('DD Tools'!Q16&lt;&gt;"",'DD Tools'!Q16,""),"")</f>
        <v/>
      </c>
      <c r="J46" s="304" t="str">
        <f>IFERROR(IF('DD Tools'!R16&lt;&gt;"",'DD Tools'!R16,""),"")</f>
        <v/>
      </c>
      <c r="K46" s="304" t="str">
        <f>IFERROR(IF('DD Tools'!S16&lt;&gt;"",'DD Tools'!S16,""),"")</f>
        <v/>
      </c>
      <c r="L46" s="304" t="str">
        <f>IFERROR(IF('DD Tools'!T16&lt;&gt;"",'DD Tools'!T16,""),"")</f>
        <v/>
      </c>
      <c r="M46" s="304" t="str">
        <f>IFERROR(IF('DD Tools'!U16&lt;&gt;"",'DD Tools'!U16,""),"")</f>
        <v/>
      </c>
      <c r="O46" s="803" t="s">
        <v>469</v>
      </c>
      <c r="P46" s="804"/>
      <c r="Q46" s="566"/>
      <c r="R46" s="567"/>
      <c r="S46" s="144">
        <f t="shared" si="11"/>
        <v>0</v>
      </c>
      <c r="U46" s="320" t="s">
        <v>258</v>
      </c>
      <c r="V46" s="321">
        <v>0.114</v>
      </c>
    </row>
    <row r="47" spans="2:25" ht="17.25" customHeight="1" x14ac:dyDescent="0.3">
      <c r="B47" s="389"/>
      <c r="C47" s="224"/>
      <c r="D47" s="224"/>
      <c r="E47" s="295" t="str">
        <f t="shared" si="12"/>
        <v/>
      </c>
      <c r="F47" s="439" t="str">
        <f t="shared" si="13"/>
        <v/>
      </c>
      <c r="H47" s="304" t="str">
        <f>IFERROR(IF('DD Tools'!O17&lt;&gt;"",'DD Tools'!O17,""),"")</f>
        <v/>
      </c>
      <c r="I47" s="304" t="str">
        <f>IFERROR(IF('DD Tools'!Q17&lt;&gt;"",'DD Tools'!Q17,""),"")</f>
        <v/>
      </c>
      <c r="J47" s="304" t="str">
        <f>IFERROR(IF('DD Tools'!R17&lt;&gt;"",'DD Tools'!R17,""),"")</f>
        <v/>
      </c>
      <c r="K47" s="304" t="str">
        <f>IFERROR(IF('DD Tools'!S17&lt;&gt;"",'DD Tools'!S17,""),"")</f>
        <v/>
      </c>
      <c r="L47" s="304" t="str">
        <f>IFERROR(IF('DD Tools'!T17&lt;&gt;"",'DD Tools'!T17,""),"")</f>
        <v/>
      </c>
      <c r="M47" s="304" t="str">
        <f>IFERROR(IF('DD Tools'!U17&lt;&gt;"",'DD Tools'!U17,""),"")</f>
        <v/>
      </c>
      <c r="O47" s="792" t="s">
        <v>601</v>
      </c>
      <c r="P47" s="793"/>
      <c r="Q47" s="563"/>
      <c r="R47" s="564"/>
      <c r="S47" s="565">
        <f t="shared" si="11"/>
        <v>0</v>
      </c>
      <c r="U47" s="320" t="s">
        <v>460</v>
      </c>
      <c r="V47" s="321">
        <v>2.4E-2</v>
      </c>
    </row>
    <row r="48" spans="2:25" ht="17.25" customHeight="1" thickBot="1" x14ac:dyDescent="0.35">
      <c r="B48" s="389"/>
      <c r="C48" s="363"/>
      <c r="D48" s="363"/>
      <c r="E48" s="364" t="str">
        <f t="shared" si="12"/>
        <v/>
      </c>
      <c r="F48" s="439" t="str">
        <f t="shared" si="13"/>
        <v/>
      </c>
      <c r="O48" s="803"/>
      <c r="P48" s="804"/>
      <c r="Q48" s="566"/>
      <c r="R48" s="567"/>
      <c r="S48" s="144" t="str">
        <f t="shared" si="11"/>
        <v/>
      </c>
      <c r="U48" s="320"/>
      <c r="V48" s="321"/>
    </row>
    <row r="49" spans="2:23" ht="17.25" customHeight="1" x14ac:dyDescent="0.3">
      <c r="B49" s="389"/>
      <c r="C49" s="224"/>
      <c r="D49" s="224"/>
      <c r="E49" s="295" t="str">
        <f t="shared" si="12"/>
        <v/>
      </c>
      <c r="F49" s="439" t="str">
        <f t="shared" si="13"/>
        <v/>
      </c>
      <c r="H49" s="794" t="s">
        <v>252</v>
      </c>
      <c r="I49" s="795"/>
      <c r="J49" s="795"/>
      <c r="K49" s="795"/>
      <c r="L49" s="795"/>
      <c r="M49" s="796"/>
      <c r="O49" s="792"/>
      <c r="P49" s="793"/>
      <c r="Q49" s="563"/>
      <c r="R49" s="564"/>
      <c r="S49" s="565" t="str">
        <f t="shared" si="11"/>
        <v/>
      </c>
      <c r="U49" s="320"/>
      <c r="V49" s="321"/>
      <c r="W49" s="159"/>
    </row>
    <row r="50" spans="2:23" ht="17.25" customHeight="1" x14ac:dyDescent="0.3">
      <c r="B50" s="389"/>
      <c r="C50" s="363"/>
      <c r="D50" s="363"/>
      <c r="E50" s="364" t="str">
        <f t="shared" si="12"/>
        <v/>
      </c>
      <c r="F50" s="439" t="str">
        <f t="shared" si="13"/>
        <v/>
      </c>
      <c r="H50" s="797"/>
      <c r="I50" s="798"/>
      <c r="J50" s="798"/>
      <c r="K50" s="798"/>
      <c r="L50" s="798"/>
      <c r="M50" s="799"/>
      <c r="O50" s="803"/>
      <c r="P50" s="804"/>
      <c r="Q50" s="566"/>
      <c r="R50" s="567"/>
      <c r="S50" s="144" t="str">
        <f t="shared" si="11"/>
        <v/>
      </c>
      <c r="U50" s="320"/>
      <c r="V50" s="321"/>
      <c r="W50" s="145"/>
    </row>
    <row r="51" spans="2:23" ht="17.25" customHeight="1" thickBot="1" x14ac:dyDescent="0.35">
      <c r="B51" s="389"/>
      <c r="C51" s="296"/>
      <c r="D51" s="296"/>
      <c r="E51" s="295" t="str">
        <f t="shared" si="12"/>
        <v/>
      </c>
      <c r="F51" s="439" t="str">
        <f t="shared" si="13"/>
        <v/>
      </c>
      <c r="H51" s="800"/>
      <c r="I51" s="801"/>
      <c r="J51" s="801"/>
      <c r="K51" s="801"/>
      <c r="L51" s="801"/>
      <c r="M51" s="802"/>
      <c r="O51" s="792"/>
      <c r="P51" s="793"/>
      <c r="Q51" s="563"/>
      <c r="R51" s="564"/>
      <c r="S51" s="565" t="str">
        <f t="shared" si="11"/>
        <v/>
      </c>
      <c r="U51" s="320"/>
      <c r="V51" s="321"/>
      <c r="W51" s="159"/>
    </row>
    <row r="52" spans="2:23" ht="17.25" customHeight="1" x14ac:dyDescent="0.3">
      <c r="B52" s="389"/>
      <c r="C52" s="365"/>
      <c r="D52" s="365"/>
      <c r="E52" s="364" t="str">
        <f t="shared" si="12"/>
        <v/>
      </c>
      <c r="F52" s="439" t="str">
        <f t="shared" si="13"/>
        <v/>
      </c>
      <c r="H52" s="392"/>
      <c r="I52" s="393" t="s">
        <v>197</v>
      </c>
      <c r="J52" s="393" t="s">
        <v>195</v>
      </c>
      <c r="K52" s="393" t="s">
        <v>196</v>
      </c>
      <c r="L52" s="393" t="s">
        <v>253</v>
      </c>
      <c r="M52" s="394" t="s">
        <v>254</v>
      </c>
      <c r="O52" s="803"/>
      <c r="P52" s="804"/>
      <c r="Q52" s="566"/>
      <c r="R52" s="567"/>
      <c r="S52" s="144" t="str">
        <f t="shared" si="11"/>
        <v/>
      </c>
      <c r="U52" s="320"/>
      <c r="V52" s="321"/>
    </row>
    <row r="53" spans="2:23" ht="17.25" customHeight="1" x14ac:dyDescent="0.3">
      <c r="B53" s="389"/>
      <c r="C53" s="296"/>
      <c r="D53" s="296"/>
      <c r="E53" s="295" t="str">
        <f t="shared" si="12"/>
        <v/>
      </c>
      <c r="F53" s="439" t="str">
        <f t="shared" si="13"/>
        <v/>
      </c>
      <c r="H53" s="312" t="s">
        <v>255</v>
      </c>
      <c r="I53" s="552">
        <f>IFERROR(TdActualBit("MD",Slidesheet!$D$13:$AQ$320,Slidesheet!$T$2:$Y$5),"")</f>
        <v>6028.74</v>
      </c>
      <c r="J53" s="552">
        <f>IFERROR(TdActualBit("INC",Slidesheet!$D$13:$AQ$320,Slidesheet!$T$2:$Y$5),"")</f>
        <v>90.38</v>
      </c>
      <c r="K53" s="552">
        <f>IFERROR(TdActualBit("AZM",Slidesheet!$D$13:$AQ$320,Slidesheet!$T$2:$Y$5),"")</f>
        <v>357.53</v>
      </c>
      <c r="L53" s="552">
        <f>IFERROR(TdActualBit("NS",Slidesheet!$D$13:$AQ$320,Slidesheet!$T$2:$Y$5),"")</f>
        <v>3051.3536115604907</v>
      </c>
      <c r="M53" s="553">
        <f>IFERROR(TdActualBit("EW",Slidesheet!$D$13:$AQ$320,Slidesheet!$T$2:$Y$5),"")</f>
        <v>145.08543768768999</v>
      </c>
      <c r="O53" s="792"/>
      <c r="P53" s="793"/>
      <c r="Q53" s="563"/>
      <c r="R53" s="564"/>
      <c r="S53" s="565" t="str">
        <f t="shared" si="11"/>
        <v/>
      </c>
      <c r="U53" s="320"/>
      <c r="V53" s="321"/>
      <c r="W53" s="159"/>
    </row>
    <row r="54" spans="2:23" ht="17.25" customHeight="1" x14ac:dyDescent="0.3">
      <c r="B54" s="389"/>
      <c r="C54" s="365"/>
      <c r="D54" s="365"/>
      <c r="E54" s="364" t="str">
        <f t="shared" si="12"/>
        <v/>
      </c>
      <c r="F54" s="439" t="str">
        <f t="shared" si="13"/>
        <v/>
      </c>
      <c r="H54" s="312" t="s">
        <v>256</v>
      </c>
      <c r="I54" s="552">
        <v>6704.23</v>
      </c>
      <c r="J54" s="552">
        <v>90.03</v>
      </c>
      <c r="K54" s="552">
        <v>148.08000000000001</v>
      </c>
      <c r="L54" s="552">
        <v>-2925.27</v>
      </c>
      <c r="M54" s="553">
        <v>2240.1</v>
      </c>
      <c r="O54" s="803"/>
      <c r="P54" s="804"/>
      <c r="Q54" s="566"/>
      <c r="R54" s="567"/>
      <c r="S54" s="144" t="str">
        <f t="shared" si="11"/>
        <v/>
      </c>
      <c r="U54" s="320"/>
      <c r="V54" s="321"/>
      <c r="W54" s="159"/>
    </row>
    <row r="55" spans="2:23" ht="17.25" customHeight="1" thickBot="1" x14ac:dyDescent="0.35">
      <c r="B55" s="168"/>
      <c r="C55" s="297"/>
      <c r="D55" s="297"/>
      <c r="E55" s="298" t="str">
        <f t="shared" si="12"/>
        <v/>
      </c>
      <c r="F55" s="440" t="str">
        <f t="shared" si="13"/>
        <v/>
      </c>
      <c r="H55" s="313" t="s">
        <v>257</v>
      </c>
      <c r="I55" s="624">
        <f>IFERROR(TdEstFinal("MD",Slidesheet!$D$13:$AQ$320,Slidesheet!$T$2:$Y$5,Data!$I$54:$M$54),"")</f>
        <v>14635.022178987727</v>
      </c>
      <c r="J55" s="624">
        <f>IFERROR(TdEstFinal("INC",Slidesheet!$D$13:$AQ$320,Slidesheet!$T$2:$Y$5,Data!$I$54:$M$54),"")</f>
        <v>90.03</v>
      </c>
      <c r="K55" s="624">
        <f>IFERROR(TdEstFinal("AZM",Slidesheet!$D$13:$AQ$320,Slidesheet!$T$2:$Y$5,Data!$I$54:$M$54),"")</f>
        <v>148.08000000000001</v>
      </c>
      <c r="L55" s="624">
        <f>IFERROR(TdEstFinal("NS",Slidesheet!$D$13:$AQ$320,Slidesheet!$T$2:$Y$5,Data!$I$54:$M$54),"")</f>
        <v>-2925.27</v>
      </c>
      <c r="M55" s="625">
        <f>IFERROR(TdEstFinal("EW",Slidesheet!$D$13:$AQ$320,Slidesheet!$T$2:$Y$5,Data!$I$54:$M$54),"")</f>
        <v>2240.1</v>
      </c>
      <c r="O55" s="869"/>
      <c r="P55" s="870"/>
      <c r="Q55" s="568"/>
      <c r="R55" s="569"/>
      <c r="S55" s="570" t="str">
        <f t="shared" si="11"/>
        <v/>
      </c>
      <c r="U55" s="323"/>
      <c r="V55" s="324"/>
      <c r="W55" s="159"/>
    </row>
    <row r="56" spans="2:23" ht="17.25" customHeight="1" x14ac:dyDescent="0.3">
      <c r="O56" s="867"/>
      <c r="P56" s="868"/>
      <c r="Q56" s="318"/>
      <c r="R56" s="319"/>
      <c r="S56" s="319"/>
      <c r="V56" s="26"/>
      <c r="W56" s="159"/>
    </row>
    <row r="57" spans="2:23" ht="17.25" customHeight="1" x14ac:dyDescent="0.3">
      <c r="O57" s="867"/>
      <c r="P57" s="868"/>
      <c r="Q57" s="318"/>
      <c r="R57" s="319"/>
      <c r="S57" s="319"/>
      <c r="V57" s="26"/>
      <c r="W57" s="159"/>
    </row>
    <row r="58" spans="2:23" ht="17.25" customHeight="1" x14ac:dyDescent="0.3">
      <c r="O58" s="867"/>
      <c r="P58" s="868"/>
      <c r="Q58" s="318"/>
      <c r="R58" s="319"/>
      <c r="S58" s="319"/>
      <c r="V58" s="26"/>
      <c r="W58" s="159"/>
    </row>
    <row r="59" spans="2:23" ht="17.25" customHeight="1" x14ac:dyDescent="0.3">
      <c r="O59" s="867"/>
      <c r="P59" s="868"/>
      <c r="Q59" s="318"/>
      <c r="R59" s="319"/>
      <c r="S59" s="319"/>
      <c r="V59" s="26"/>
      <c r="W59" s="159"/>
    </row>
    <row r="60" spans="2:23" ht="17.25" customHeight="1" x14ac:dyDescent="0.3">
      <c r="O60" s="867"/>
      <c r="P60" s="868"/>
      <c r="Q60" s="318"/>
      <c r="R60" s="319"/>
      <c r="S60" s="319"/>
      <c r="V60" s="26"/>
      <c r="W60" s="159"/>
    </row>
    <row r="61" spans="2:23" ht="17.25" customHeight="1" x14ac:dyDescent="0.3">
      <c r="K61" s="6"/>
      <c r="L61" s="6"/>
      <c r="M61" s="6"/>
      <c r="O61" s="867"/>
      <c r="P61" s="868"/>
      <c r="Q61" s="318"/>
      <c r="R61" s="319"/>
      <c r="S61" s="319"/>
      <c r="T61" s="287"/>
      <c r="U61" s="287"/>
      <c r="V61" s="287"/>
      <c r="W61" s="159"/>
    </row>
    <row r="62" spans="2:23" ht="17.25" customHeight="1" x14ac:dyDescent="0.3">
      <c r="R62" s="145"/>
      <c r="S62" s="145"/>
      <c r="T62" s="145"/>
      <c r="U62" s="145"/>
      <c r="V62" s="145"/>
      <c r="W62" s="159"/>
    </row>
    <row r="63" spans="2:23" ht="17.25" customHeight="1" x14ac:dyDescent="0.3">
      <c r="R63" s="278"/>
      <c r="S63" s="278"/>
      <c r="T63" s="289"/>
      <c r="U63" s="288"/>
      <c r="V63" s="288"/>
      <c r="W63" s="159"/>
    </row>
    <row r="64" spans="2:23" ht="17.25" customHeight="1" x14ac:dyDescent="0.3">
      <c r="R64" s="278"/>
      <c r="S64" s="278"/>
      <c r="T64" s="289"/>
      <c r="U64" s="288"/>
      <c r="V64" s="288"/>
      <c r="W64" s="159"/>
    </row>
    <row r="65" spans="18:23" ht="16.95" customHeight="1" x14ac:dyDescent="0.3">
      <c r="R65" s="278"/>
      <c r="S65" s="278"/>
      <c r="T65" s="289"/>
      <c r="U65" s="288"/>
      <c r="V65" s="290"/>
      <c r="W65" s="159"/>
    </row>
    <row r="66" spans="18:23" ht="16.95" customHeight="1" x14ac:dyDescent="0.3">
      <c r="R66" s="278"/>
      <c r="S66" s="278"/>
      <c r="T66" s="289"/>
      <c r="U66" s="288"/>
      <c r="V66" s="290"/>
      <c r="W66" s="159"/>
    </row>
    <row r="67" spans="18:23" ht="16.95" customHeight="1" x14ac:dyDescent="0.3">
      <c r="R67" s="278"/>
      <c r="S67" s="278"/>
      <c r="T67" s="289"/>
      <c r="U67" s="288"/>
      <c r="V67" s="290"/>
      <c r="W67" s="159"/>
    </row>
    <row r="68" spans="18:23" ht="16.95" customHeight="1" x14ac:dyDescent="0.3">
      <c r="T68" s="159"/>
      <c r="U68" s="159"/>
      <c r="V68" s="159"/>
      <c r="W68" s="159"/>
    </row>
    <row r="69" spans="18:23" ht="16.95" customHeight="1" x14ac:dyDescent="0.3">
      <c r="T69" s="159"/>
      <c r="U69" s="159"/>
      <c r="V69" s="159"/>
      <c r="W69" s="159"/>
    </row>
    <row r="70" spans="18:23" ht="16.95" customHeight="1" x14ac:dyDescent="0.3">
      <c r="T70" s="159"/>
      <c r="U70" s="159"/>
      <c r="V70" s="159"/>
      <c r="W70" s="159"/>
    </row>
    <row r="71" spans="18:23" ht="16.95" customHeight="1" x14ac:dyDescent="0.3">
      <c r="T71" s="159"/>
      <c r="U71" s="159"/>
      <c r="V71" s="159"/>
      <c r="W71" s="159"/>
    </row>
    <row r="72" spans="18:23" ht="16.95" customHeight="1" x14ac:dyDescent="0.3">
      <c r="T72" s="159"/>
      <c r="U72" s="159"/>
      <c r="V72" s="159"/>
      <c r="W72" s="159"/>
    </row>
    <row r="73" spans="18:23" ht="16.95" customHeight="1" x14ac:dyDescent="0.3">
      <c r="T73" s="159"/>
      <c r="U73" s="159"/>
      <c r="V73" s="159"/>
      <c r="W73" s="159"/>
    </row>
    <row r="74" spans="18:23" ht="16.95" customHeight="1" x14ac:dyDescent="0.3">
      <c r="T74" s="159"/>
      <c r="U74" s="159"/>
      <c r="V74" s="159"/>
      <c r="W74" s="159"/>
    </row>
    <row r="75" spans="18:23" ht="16.95" customHeight="1" x14ac:dyDescent="0.3">
      <c r="T75" s="159"/>
      <c r="U75" s="159"/>
      <c r="V75" s="159"/>
      <c r="W75" s="159"/>
    </row>
    <row r="76" spans="18:23" ht="16.95" customHeight="1" x14ac:dyDescent="0.3">
      <c r="T76" s="159"/>
      <c r="U76" s="159"/>
      <c r="V76" s="159"/>
      <c r="W76" s="159"/>
    </row>
    <row r="77" spans="18:23" ht="16.95" customHeight="1" x14ac:dyDescent="0.3">
      <c r="T77" s="159"/>
      <c r="U77" s="159"/>
      <c r="V77" s="159"/>
      <c r="W77" s="159"/>
    </row>
    <row r="78" spans="18:23" ht="16.95" customHeight="1" x14ac:dyDescent="0.3">
      <c r="T78" s="159"/>
      <c r="U78" s="159"/>
      <c r="V78" s="159"/>
      <c r="W78" s="159"/>
    </row>
    <row r="79" spans="18:23" ht="16.95" customHeight="1" x14ac:dyDescent="0.3">
      <c r="T79" s="159"/>
      <c r="U79" s="159"/>
      <c r="V79" s="159"/>
      <c r="W79" s="159"/>
    </row>
    <row r="80" spans="18:23" ht="16.95" customHeight="1" x14ac:dyDescent="0.3">
      <c r="T80" s="159"/>
      <c r="U80" s="159"/>
      <c r="V80" s="159"/>
      <c r="W80" s="159"/>
    </row>
    <row r="81" spans="20:23" ht="16.95" customHeight="1" x14ac:dyDescent="0.3">
      <c r="T81" s="159"/>
      <c r="U81" s="159"/>
      <c r="V81" s="159"/>
      <c r="W81" s="159"/>
    </row>
    <row r="82" spans="20:23" ht="16.95" customHeight="1" x14ac:dyDescent="0.3">
      <c r="T82" s="159"/>
      <c r="U82" s="159"/>
      <c r="V82" s="159"/>
      <c r="W82" s="159"/>
    </row>
    <row r="83" spans="20:23" ht="16.95" customHeight="1" x14ac:dyDescent="0.3">
      <c r="T83" s="159"/>
      <c r="U83" s="159"/>
      <c r="V83" s="159"/>
      <c r="W83" s="159"/>
    </row>
    <row r="84" spans="20:23" ht="16.95" customHeight="1" x14ac:dyDescent="0.3">
      <c r="T84" s="159"/>
      <c r="U84" s="159"/>
      <c r="V84" s="159"/>
      <c r="W84" s="159"/>
    </row>
    <row r="85" spans="20:23" ht="16.95" customHeight="1" x14ac:dyDescent="0.3">
      <c r="T85" s="159"/>
      <c r="U85" s="159"/>
      <c r="V85" s="159"/>
      <c r="W85" s="159"/>
    </row>
    <row r="86" spans="20:23" ht="16.95" customHeight="1" x14ac:dyDescent="0.3">
      <c r="T86" s="159"/>
      <c r="U86" s="159"/>
      <c r="V86" s="159"/>
      <c r="W86" s="159"/>
    </row>
    <row r="87" spans="20:23" ht="16.95" customHeight="1" x14ac:dyDescent="0.3">
      <c r="T87" s="159"/>
      <c r="U87" s="159"/>
      <c r="V87" s="159"/>
      <c r="W87" s="159"/>
    </row>
    <row r="88" spans="20:23" ht="16.95" customHeight="1" x14ac:dyDescent="0.3">
      <c r="T88" s="159"/>
      <c r="U88" s="159"/>
      <c r="V88" s="159"/>
      <c r="W88" s="159"/>
    </row>
    <row r="89" spans="20:23" ht="16.95" customHeight="1" x14ac:dyDescent="0.3">
      <c r="T89" s="159"/>
      <c r="U89" s="159"/>
      <c r="V89" s="159"/>
      <c r="W89" s="159"/>
    </row>
    <row r="90" spans="20:23" ht="16.95" customHeight="1" x14ac:dyDescent="0.3">
      <c r="T90" s="159"/>
      <c r="U90" s="159"/>
      <c r="V90" s="159"/>
      <c r="W90" s="159"/>
    </row>
    <row r="91" spans="20:23" ht="16.95" customHeight="1" x14ac:dyDescent="0.3">
      <c r="T91" s="159"/>
      <c r="U91" s="145"/>
      <c r="V91" s="145"/>
      <c r="W91" s="159"/>
    </row>
    <row r="92" spans="20:23" ht="16.95" customHeight="1" x14ac:dyDescent="0.3">
      <c r="T92" s="145"/>
      <c r="U92" s="145"/>
      <c r="V92" s="145"/>
      <c r="W92" s="145"/>
    </row>
    <row r="93" spans="20:23" ht="16.95" customHeight="1" x14ac:dyDescent="0.3">
      <c r="T93" s="145"/>
      <c r="U93" s="145"/>
      <c r="V93" s="145"/>
      <c r="W93" s="145"/>
    </row>
    <row r="94" spans="20:23" ht="16.95" customHeight="1" x14ac:dyDescent="0.3">
      <c r="T94" s="145"/>
      <c r="U94" s="145"/>
      <c r="V94" s="145"/>
      <c r="W94" s="145"/>
    </row>
    <row r="95" spans="20:23" ht="16.95" customHeight="1" x14ac:dyDescent="0.3">
      <c r="T95" s="145"/>
      <c r="W95" s="145"/>
    </row>
  </sheetData>
  <mergeCells count="72">
    <mergeCell ref="H24:I24"/>
    <mergeCell ref="D2:F2"/>
    <mergeCell ref="D6:F6"/>
    <mergeCell ref="D12:F12"/>
    <mergeCell ref="D18:F18"/>
    <mergeCell ref="I32:J32"/>
    <mergeCell ref="L32:M32"/>
    <mergeCell ref="I28:J28"/>
    <mergeCell ref="L28:M28"/>
    <mergeCell ref="B33:F33"/>
    <mergeCell ref="I33:J33"/>
    <mergeCell ref="L33:M33"/>
    <mergeCell ref="I29:J29"/>
    <mergeCell ref="L29:M29"/>
    <mergeCell ref="I30:J30"/>
    <mergeCell ref="L30:M30"/>
    <mergeCell ref="I31:J31"/>
    <mergeCell ref="L31:M31"/>
    <mergeCell ref="B34:C34"/>
    <mergeCell ref="B35:C35"/>
    <mergeCell ref="B38:C38"/>
    <mergeCell ref="B37:C37"/>
    <mergeCell ref="B36:C36"/>
    <mergeCell ref="O59:P59"/>
    <mergeCell ref="O60:P60"/>
    <mergeCell ref="O61:P61"/>
    <mergeCell ref="O54:P54"/>
    <mergeCell ref="O55:P55"/>
    <mergeCell ref="O56:P56"/>
    <mergeCell ref="O57:P57"/>
    <mergeCell ref="O58:P58"/>
    <mergeCell ref="B43:F43"/>
    <mergeCell ref="B42:C42"/>
    <mergeCell ref="B41:C41"/>
    <mergeCell ref="B40:C40"/>
    <mergeCell ref="B39:C39"/>
    <mergeCell ref="V2:V3"/>
    <mergeCell ref="U2:U3"/>
    <mergeCell ref="L2:L3"/>
    <mergeCell ref="M2:N2"/>
    <mergeCell ref="O2:O3"/>
    <mergeCell ref="P2:P3"/>
    <mergeCell ref="Q2:Q3"/>
    <mergeCell ref="R2:R3"/>
    <mergeCell ref="S2:S3"/>
    <mergeCell ref="T2:T3"/>
    <mergeCell ref="O39:S41"/>
    <mergeCell ref="O35:P35"/>
    <mergeCell ref="O36:P36"/>
    <mergeCell ref="O37:P37"/>
    <mergeCell ref="O50:P50"/>
    <mergeCell ref="O38:P38"/>
    <mergeCell ref="O42:P42"/>
    <mergeCell ref="U28:V30"/>
    <mergeCell ref="O28:S30"/>
    <mergeCell ref="O33:P33"/>
    <mergeCell ref="O34:P34"/>
    <mergeCell ref="Q31:Q32"/>
    <mergeCell ref="R31:R32"/>
    <mergeCell ref="S31:S32"/>
    <mergeCell ref="O31:P32"/>
    <mergeCell ref="O51:P51"/>
    <mergeCell ref="O43:P43"/>
    <mergeCell ref="H49:M51"/>
    <mergeCell ref="O52:P52"/>
    <mergeCell ref="O53:P53"/>
    <mergeCell ref="O47:P47"/>
    <mergeCell ref="O48:P48"/>
    <mergeCell ref="O49:P49"/>
    <mergeCell ref="O44:P44"/>
    <mergeCell ref="O45:P45"/>
    <mergeCell ref="O46:P46"/>
  </mergeCells>
  <phoneticPr fontId="29" type="noConversion"/>
  <conditionalFormatting sqref="H24 H23:U23 J24:V24">
    <cfRule type="containsErrors" dxfId="8" priority="6">
      <formula>ISERROR(H23)</formula>
    </cfRule>
  </conditionalFormatting>
  <conditionalFormatting sqref="F32 F23:F30">
    <cfRule type="containsErrors" dxfId="7" priority="7">
      <formula>ISERROR(F23)</formula>
    </cfRule>
  </conditionalFormatting>
  <conditionalFormatting sqref="D29">
    <cfRule type="containsErrors" dxfId="6" priority="4">
      <formula>ISERROR(D29)</formula>
    </cfRule>
  </conditionalFormatting>
  <conditionalFormatting sqref="D27">
    <cfRule type="containsErrors" dxfId="5" priority="2">
      <formula>ISERROR(D27)</formula>
    </cfRule>
  </conditionalFormatting>
  <conditionalFormatting sqref="V23">
    <cfRule type="containsErrors" dxfId="4" priority="1">
      <formula>ISERROR(V23)</formula>
    </cfRule>
  </conditionalFormatting>
  <dataValidations count="11">
    <dataValidation type="list" allowBlank="1" showInputMessage="1" showErrorMessage="1" sqref="F13" xr:uid="{CFA179B2-1034-48A2-9638-2FD044430F97}">
      <formula1>"Right, Left, East, West"</formula1>
    </dataValidation>
    <dataValidation type="list" allowBlank="1" showInputMessage="1" showErrorMessage="1" sqref="H23" xr:uid="{88A6764E-0FFA-463D-9780-A23951C07D6E}">
      <formula1>"6am,Noon,6pm,Midnight"</formula1>
    </dataValidation>
    <dataValidation type="list" allowBlank="1" showInputMessage="1" showErrorMessage="1" sqref="C2" xr:uid="{9D46BBB7-C92B-451F-A5AB-3D6D22A07D73}">
      <formula1>"P1,P2,P3,P4,P5,P6,P7,P8,P9,P10"</formula1>
    </dataValidation>
    <dataValidation type="list" allowBlank="1" showInputMessage="1" showErrorMessage="1" sqref="H4:H22" xr:uid="{66B0012B-2928-48FB-BB1F-4BD13E541ACD}">
      <formula1>"6am,4pm,Midnight,End of Run"</formula1>
    </dataValidation>
    <dataValidation type="list" allowBlank="1" showInputMessage="1" showErrorMessage="1" sqref="W32" xr:uid="{90CAAADC-1068-4C5B-B25D-6E43D48BD199}">
      <formula1>"YES,NO"</formula1>
    </dataValidation>
    <dataValidation type="list" allowBlank="1" showInputMessage="1" showErrorMessage="1" sqref="F14" xr:uid="{F12BBED6-0133-4289-B25F-0B7EC89256FF}">
      <formula1>"Above,Below,North,South"</formula1>
    </dataValidation>
    <dataValidation type="list" allowBlank="1" showInputMessage="1" showErrorMessage="1" sqref="D24:D28 D30:D32" xr:uid="{89BF9697-E845-402A-AAA3-9CC2D18CA912}">
      <formula1>$O$31:$O$38</formula1>
    </dataValidation>
    <dataValidation type="list" allowBlank="1" showInputMessage="1" showErrorMessage="1" sqref="V63:V67" xr:uid="{0E222E47-C2B3-411E-9378-08F74D69EFD2}">
      <formula1>"Days, Nights, Off, 24/7"</formula1>
    </dataValidation>
    <dataValidation type="list" allowBlank="1" showInputMessage="1" showErrorMessage="1" sqref="C22" xr:uid="{D72F6F2E-CA99-4EEB-B992-3E3A1648BF73}">
      <formula1>$B$45:$B$55</formula1>
    </dataValidation>
    <dataValidation type="list" allowBlank="1" showInputMessage="1" showErrorMessage="1" sqref="C45:C55" xr:uid="{6F6B11BE-D27C-4FDB-9927-81213DF39F3C}">
      <formula1>$U$32:$U$52</formula1>
    </dataValidation>
    <dataValidation type="list" allowBlank="1" showInputMessage="1" showErrorMessage="1" sqref="B45:B55" xr:uid="{17DAB080-48F4-4F1A-BC6F-CFF09E64035A}">
      <formula1>$O$42:$O$55</formula1>
    </dataValidation>
  </dataValidations>
  <printOptions horizontalCentered="1"/>
  <pageMargins left="0.23622047244094491" right="0.23622047244094491" top="0.15748031496062992" bottom="0.15748031496062992" header="0.31496062992125984" footer="0.31496062992125984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77" r:id="rId4" name="Button 61">
              <controlPr defaultSize="0" print="0" autoFill="0" autoPict="0" macro="[0]!PickAttachmentFile_Y14">
                <anchor moveWithCells="1">
                  <from>
                    <xdr:col>7</xdr:col>
                    <xdr:colOff>0</xdr:colOff>
                    <xdr:row>27</xdr:row>
                    <xdr:rowOff>213360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5" name="Button 62">
              <controlPr defaultSize="0" print="0" autoFill="0" autoPict="0" macro="[0]!PickAttachmentFile_Y15">
                <anchor moveWithCells="1">
                  <from>
                    <xdr:col>7</xdr:col>
                    <xdr:colOff>0</xdr:colOff>
                    <xdr:row>28</xdr:row>
                    <xdr:rowOff>213360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6" name="Button 63">
              <controlPr defaultSize="0" print="0" autoFill="0" autoPict="0" macro="[0]!PickAttachmentFile_Y16">
                <anchor moveWithCells="1">
                  <from>
                    <xdr:col>7</xdr:col>
                    <xdr:colOff>0</xdr:colOff>
                    <xdr:row>29</xdr:row>
                    <xdr:rowOff>213360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7" name="Button 64">
              <controlPr defaultSize="0" print="0" autoFill="0" autoPict="0" macro="[0]!PickAttachmentFile_Y17">
                <anchor moveWithCells="1">
                  <from>
                    <xdr:col>7</xdr:col>
                    <xdr:colOff>0</xdr:colOff>
                    <xdr:row>30</xdr:row>
                    <xdr:rowOff>213360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8" name="Button 66">
              <controlPr defaultSize="0" print="0" autoFill="0" autoPict="0" macro="[0]!PickAttachmentFile_Y18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9" name="Button 71">
              <controlPr defaultSize="0" print="0" autoFill="0" autoPict="0" macro="[0]!RTP_printW_Email">
                <anchor moveWithCells="1" sizeWithCells="1">
                  <from>
                    <xdr:col>7</xdr:col>
                    <xdr:colOff>114300</xdr:colOff>
                    <xdr:row>24</xdr:row>
                    <xdr:rowOff>205740</xdr:rowOff>
                  </from>
                  <to>
                    <xdr:col>8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10" name="Button 72">
              <controlPr defaultSize="0" print="0" autoFill="0" autoPict="0" macro="[0]!GenerateMorningSummaryMini">
                <anchor moveWithCells="1" sizeWithCells="1">
                  <from>
                    <xdr:col>8</xdr:col>
                    <xdr:colOff>15240</xdr:colOff>
                    <xdr:row>24</xdr:row>
                    <xdr:rowOff>205740</xdr:rowOff>
                  </from>
                  <to>
                    <xdr:col>8</xdr:col>
                    <xdr:colOff>967740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11" name="Button 73">
              <controlPr defaultSize="0" print="0" autoFill="0" autoPict="0" macro="[0]!GenerateMorningReport">
                <anchor moveWithCells="1" sizeWithCells="1">
                  <from>
                    <xdr:col>8</xdr:col>
                    <xdr:colOff>975360</xdr:colOff>
                    <xdr:row>24</xdr:row>
                    <xdr:rowOff>213360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12" name="BtnImport">
              <controlPr defaultSize="0" print="0" autoFill="0" autoPict="0" macro="[0]!RefreshData">
                <anchor moveWithCells="1" sizeWithCells="1">
                  <from>
                    <xdr:col>10</xdr:col>
                    <xdr:colOff>701040</xdr:colOff>
                    <xdr:row>25</xdr:row>
                    <xdr:rowOff>0</xdr:rowOff>
                  </from>
                  <to>
                    <xdr:col>11</xdr:col>
                    <xdr:colOff>716280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13" name="BtnImport">
              <controlPr defaultSize="0" print="0" autoFill="0" autoPict="0" macro="[0]!CLEAR_TIMETABLE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14" name="btnCostsForm">
              <controlPr defaultSize="0" print="0" autoFill="0" autoPict="0" macro="[0]!ShowCostsForm">
                <anchor moveWithCells="1" siz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10</xdr:col>
                    <xdr:colOff>693420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CCFBA9-2E0C-49B5-9083-184A381BA4CB}">
          <x14:formula1>
            <xm:f>'DD Tools'!$O$6:$O$26</xm:f>
          </x14:formula1>
          <xm:sqref>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8F174-F947-40F8-918A-94FCFFC90277}">
  <sheetPr codeName="Sheet48">
    <tabColor rgb="FF00B050"/>
    <pageSetUpPr fitToPage="1"/>
  </sheetPr>
  <dimension ref="B1:AT320"/>
  <sheetViews>
    <sheetView showGridLines="0" showRowColHeaders="0" tabSelected="1" topLeftCell="V1" zoomScale="205" zoomScaleNormal="205" zoomScaleSheetLayoutView="100" workbookViewId="0">
      <pane ySplit="11" topLeftCell="A12" activePane="bottomLeft" state="frozen"/>
      <selection pane="bottomLeft" activeCell="AD3" sqref="AD3"/>
    </sheetView>
  </sheetViews>
  <sheetFormatPr defaultColWidth="8.88671875" defaultRowHeight="14.4" x14ac:dyDescent="0.3"/>
  <cols>
    <col min="1" max="1" width="2.6640625" style="210" customWidth="1"/>
    <col min="2" max="2" width="6.109375" style="211" customWidth="1"/>
    <col min="3" max="3" width="7.109375" style="212" customWidth="1"/>
    <col min="4" max="4" width="8.88671875" style="219" customWidth="1"/>
    <col min="5" max="5" width="9.6640625" style="212" customWidth="1"/>
    <col min="6" max="7" width="7.6640625" style="212" customWidth="1"/>
    <col min="8" max="8" width="8.33203125" style="210" customWidth="1"/>
    <col min="9" max="9" width="10.44140625" style="210" customWidth="1"/>
    <col min="10" max="10" width="7.6640625" style="210" customWidth="1"/>
    <col min="11" max="11" width="8" style="210" customWidth="1"/>
    <col min="12" max="12" width="9" style="210" customWidth="1"/>
    <col min="13" max="13" width="7" style="210" customWidth="1"/>
    <col min="14" max="14" width="6.109375" style="213" customWidth="1"/>
    <col min="15" max="15" width="3.5546875" style="214" customWidth="1"/>
    <col min="16" max="16" width="8" style="210" customWidth="1"/>
    <col min="17" max="17" width="7.6640625" style="210" customWidth="1"/>
    <col min="18" max="18" width="8.33203125" style="210" customWidth="1"/>
    <col min="19" max="19" width="9.109375" style="210" customWidth="1"/>
    <col min="20" max="20" width="8" style="210" customWidth="1"/>
    <col min="21" max="21" width="8" style="210" bestFit="1" customWidth="1"/>
    <col min="22" max="22" width="9.77734375" style="210" customWidth="1"/>
    <col min="23" max="23" width="9.33203125" style="215" bestFit="1" customWidth="1"/>
    <col min="24" max="24" width="13.44140625" style="215" bestFit="1" customWidth="1"/>
    <col min="25" max="25" width="35.5546875" style="215" bestFit="1" customWidth="1"/>
    <col min="26" max="26" width="11.77734375" style="215" customWidth="1"/>
    <col min="27" max="27" width="11.77734375" style="216" customWidth="1"/>
    <col min="28" max="28" width="11.77734375" style="211" customWidth="1"/>
    <col min="29" max="29" width="11.88671875" style="210" customWidth="1"/>
    <col min="30" max="30" width="8.77734375" style="218" customWidth="1"/>
    <col min="31" max="32" width="10.77734375" style="210" customWidth="1"/>
    <col min="33" max="33" width="11.77734375" style="210" customWidth="1"/>
    <col min="34" max="35" width="10.6640625" style="210" customWidth="1"/>
    <col min="36" max="38" width="8.88671875" style="210" hidden="1" customWidth="1"/>
    <col min="39" max="39" width="14.77734375" style="210" hidden="1" customWidth="1"/>
    <col min="40" max="41" width="12.77734375" style="210" hidden="1" customWidth="1"/>
    <col min="42" max="43" width="8.88671875" style="210" hidden="1" customWidth="1"/>
    <col min="44" max="46" width="0" style="210" hidden="1" customWidth="1"/>
    <col min="47" max="16384" width="8.88671875" style="210"/>
  </cols>
  <sheetData>
    <row r="1" spans="2:46" ht="15" customHeight="1" thickBot="1" x14ac:dyDescent="0.35">
      <c r="B1" s="649"/>
      <c r="C1" s="650"/>
      <c r="D1" s="650"/>
      <c r="E1" s="650"/>
      <c r="F1" s="651"/>
      <c r="G1" s="650"/>
      <c r="H1" s="650"/>
      <c r="I1" s="650"/>
      <c r="S1" s="457" t="s">
        <v>750</v>
      </c>
      <c r="T1" s="456">
        <v>5</v>
      </c>
      <c r="U1" s="449" t="s">
        <v>197</v>
      </c>
      <c r="V1" s="449" t="s">
        <v>195</v>
      </c>
      <c r="W1" s="450" t="s">
        <v>196</v>
      </c>
      <c r="X1" s="450" t="s">
        <v>181</v>
      </c>
      <c r="Y1" s="451" t="s">
        <v>531</v>
      </c>
      <c r="Z1" s="644"/>
      <c r="AA1" s="635"/>
      <c r="AB1" s="636"/>
      <c r="AC1" s="636"/>
    </row>
    <row r="2" spans="2:46" s="181" customFormat="1" ht="15" customHeight="1" thickBot="1" x14ac:dyDescent="0.35">
      <c r="B2" s="676" t="s">
        <v>169</v>
      </c>
      <c r="C2" s="676"/>
      <c r="D2" s="674" t="str">
        <f>Setup!D5</f>
        <v>NWE HZ WILLOWBEND 04-22-68-08 - demo-rig -</v>
      </c>
      <c r="E2" s="675"/>
      <c r="F2" s="675"/>
      <c r="G2" s="675"/>
      <c r="H2" s="675"/>
      <c r="I2" s="675"/>
      <c r="J2" s="683" t="s">
        <v>170</v>
      </c>
      <c r="K2" s="683"/>
      <c r="L2" s="646" t="str">
        <f>IF(Setup!D6="","Paramount Resources Ltd.",Setup!D6)</f>
        <v>Northwind Energy Ltd.</v>
      </c>
      <c r="M2" s="646"/>
      <c r="N2" s="646"/>
      <c r="O2" s="646"/>
      <c r="P2" s="646"/>
      <c r="Q2" s="646"/>
      <c r="R2" s="647" t="s">
        <v>174</v>
      </c>
      <c r="S2" s="648"/>
      <c r="T2" s="609" t="s">
        <v>735</v>
      </c>
      <c r="U2" s="610">
        <v>2435.25</v>
      </c>
      <c r="V2" s="610">
        <v>27.62</v>
      </c>
      <c r="W2" s="610">
        <v>20.18</v>
      </c>
      <c r="X2" s="610">
        <v>2355.31</v>
      </c>
      <c r="Y2" s="611" t="s">
        <v>965</v>
      </c>
      <c r="Z2" s="644"/>
      <c r="AA2" s="636"/>
      <c r="AB2" s="636"/>
      <c r="AC2" s="636"/>
      <c r="AD2" s="459"/>
      <c r="AE2"/>
      <c r="AF2"/>
      <c r="AG2"/>
      <c r="AM2" s="326"/>
      <c r="AN2" s="326"/>
      <c r="AO2" s="326"/>
    </row>
    <row r="3" spans="2:46" s="182" customFormat="1" ht="15" customHeight="1" thickBot="1" x14ac:dyDescent="0.35">
      <c r="B3" s="676"/>
      <c r="C3" s="676"/>
      <c r="D3" s="675"/>
      <c r="E3" s="675"/>
      <c r="F3" s="675"/>
      <c r="G3" s="675"/>
      <c r="H3" s="675"/>
      <c r="I3" s="675"/>
      <c r="J3" s="683"/>
      <c r="K3" s="683"/>
      <c r="L3" s="646"/>
      <c r="M3" s="646"/>
      <c r="N3" s="646"/>
      <c r="O3" s="646"/>
      <c r="P3" s="646"/>
      <c r="Q3" s="646"/>
      <c r="R3" s="647"/>
      <c r="S3" s="648"/>
      <c r="T3" s="612" t="s">
        <v>736</v>
      </c>
      <c r="U3" s="613">
        <v>2821.17</v>
      </c>
      <c r="V3" s="613">
        <v>37.35</v>
      </c>
      <c r="W3" s="613">
        <v>148.08000000000001</v>
      </c>
      <c r="X3" s="613">
        <v>2710.4</v>
      </c>
      <c r="Y3" s="614" t="s">
        <v>967</v>
      </c>
      <c r="Z3" s="644"/>
      <c r="AA3" s="636"/>
      <c r="AB3" s="636"/>
      <c r="AC3" s="636"/>
      <c r="AD3" s="460"/>
      <c r="AE3"/>
      <c r="AF3"/>
      <c r="AG3"/>
      <c r="AM3" s="327"/>
      <c r="AN3" s="327"/>
      <c r="AO3" s="327"/>
    </row>
    <row r="4" spans="2:46" s="182" customFormat="1" ht="15" customHeight="1" thickBot="1" x14ac:dyDescent="0.35">
      <c r="B4" s="684" t="s">
        <v>171</v>
      </c>
      <c r="C4" s="684"/>
      <c r="D4" s="685" t="str">
        <f>Setup!D4</f>
        <v>99001</v>
      </c>
      <c r="E4" s="686"/>
      <c r="F4" s="681" t="s">
        <v>172</v>
      </c>
      <c r="G4" s="681"/>
      <c r="H4" s="682" t="s">
        <v>436</v>
      </c>
      <c r="I4" s="682"/>
      <c r="J4" s="677" t="s">
        <v>82</v>
      </c>
      <c r="K4" s="678"/>
      <c r="L4" s="664">
        <f>Data!H3</f>
        <v>6</v>
      </c>
      <c r="M4" s="689" t="s">
        <v>173</v>
      </c>
      <c r="N4" s="690"/>
      <c r="O4" s="693" t="str">
        <f>IF(Setup!D29="","",Setup!D29)</f>
        <v>Apex-214</v>
      </c>
      <c r="P4" s="694"/>
      <c r="Q4" s="695"/>
      <c r="R4" s="670">
        <f>IFERROR(VALUE(TRIM(SUBSTITUTE(SUBSTITUTE(Setup!G14," m",""),"m",""))),TRIM(Setup!G14))</f>
        <v>772.25</v>
      </c>
      <c r="S4" s="671"/>
      <c r="T4" s="615" t="s">
        <v>737</v>
      </c>
      <c r="U4" s="616">
        <v>3217.37</v>
      </c>
      <c r="V4" s="617">
        <v>90.03</v>
      </c>
      <c r="W4" s="617">
        <v>148.08000000000001</v>
      </c>
      <c r="X4" s="616">
        <v>2896.4</v>
      </c>
      <c r="Y4" s="614" t="s">
        <v>740</v>
      </c>
      <c r="Z4" s="645"/>
      <c r="AA4" s="636"/>
      <c r="AB4" s="636"/>
      <c r="AC4" s="636"/>
      <c r="AD4"/>
      <c r="AE4"/>
      <c r="AF4"/>
      <c r="AG4"/>
      <c r="AM4" s="328"/>
      <c r="AN4" s="328"/>
      <c r="AO4" s="327"/>
    </row>
    <row r="5" spans="2:46" s="182" customFormat="1" ht="15" customHeight="1" thickBot="1" x14ac:dyDescent="0.35">
      <c r="B5" s="684"/>
      <c r="C5" s="684"/>
      <c r="D5" s="686"/>
      <c r="E5" s="686"/>
      <c r="F5" s="681"/>
      <c r="G5" s="681"/>
      <c r="H5" s="682"/>
      <c r="I5" s="682"/>
      <c r="J5" s="679"/>
      <c r="K5" s="680"/>
      <c r="L5" s="665"/>
      <c r="M5" s="691"/>
      <c r="N5" s="692"/>
      <c r="O5" s="696"/>
      <c r="P5" s="697"/>
      <c r="Q5" s="698"/>
      <c r="R5" s="672"/>
      <c r="S5" s="673"/>
      <c r="T5" s="618" t="s">
        <v>738</v>
      </c>
      <c r="U5" s="619">
        <v>6704.23</v>
      </c>
      <c r="V5" s="620">
        <v>90.03</v>
      </c>
      <c r="W5" s="620">
        <v>148.08000000000001</v>
      </c>
      <c r="X5" s="619">
        <v>2894.4</v>
      </c>
      <c r="Y5" s="621" t="s">
        <v>972</v>
      </c>
      <c r="Z5" s="645"/>
      <c r="AA5" s="636"/>
      <c r="AB5" s="636"/>
      <c r="AC5" s="636"/>
      <c r="AD5"/>
      <c r="AE5"/>
      <c r="AF5"/>
      <c r="AG5"/>
      <c r="AM5" s="327"/>
      <c r="AN5" s="328"/>
      <c r="AO5" s="327"/>
    </row>
    <row r="6" spans="2:46" s="182" customFormat="1" ht="15" customHeight="1" x14ac:dyDescent="0.3">
      <c r="B6" s="668" t="s">
        <v>175</v>
      </c>
      <c r="C6" s="654" t="s">
        <v>176</v>
      </c>
      <c r="D6" s="656" t="s">
        <v>177</v>
      </c>
      <c r="E6" s="658" t="s">
        <v>178</v>
      </c>
      <c r="F6" s="660" t="s">
        <v>179</v>
      </c>
      <c r="G6" s="660" t="s">
        <v>180</v>
      </c>
      <c r="H6" s="687" t="s">
        <v>181</v>
      </c>
      <c r="I6" s="687" t="s">
        <v>182</v>
      </c>
      <c r="J6" s="699" t="s">
        <v>183</v>
      </c>
      <c r="K6" s="639" t="s">
        <v>184</v>
      </c>
      <c r="L6" s="639" t="s">
        <v>185</v>
      </c>
      <c r="M6" s="639" t="s">
        <v>186</v>
      </c>
      <c r="N6" s="637" t="s">
        <v>187</v>
      </c>
      <c r="O6" s="637"/>
      <c r="P6" s="639" t="s">
        <v>188</v>
      </c>
      <c r="Q6" s="639" t="s">
        <v>189</v>
      </c>
      <c r="R6" s="641" t="s">
        <v>190</v>
      </c>
      <c r="S6" s="641" t="s">
        <v>191</v>
      </c>
      <c r="T6" s="643" t="s">
        <v>192</v>
      </c>
      <c r="U6" s="643" t="s">
        <v>193</v>
      </c>
      <c r="V6" s="666" t="s">
        <v>742</v>
      </c>
      <c r="W6" s="641" t="s">
        <v>741</v>
      </c>
      <c r="X6" s="662" t="s">
        <v>761</v>
      </c>
      <c r="Y6" s="652" t="s">
        <v>194</v>
      </c>
      <c r="Z6" s="645"/>
      <c r="AA6" s="636"/>
      <c r="AB6" s="636"/>
      <c r="AC6" s="636"/>
      <c r="AD6"/>
      <c r="AE6"/>
      <c r="AF6"/>
      <c r="AG6"/>
      <c r="AJ6" s="182" t="s">
        <v>743</v>
      </c>
      <c r="AK6" s="182" t="s">
        <v>744</v>
      </c>
      <c r="AL6" s="182" t="s">
        <v>745</v>
      </c>
      <c r="AM6" s="327" t="s">
        <v>746</v>
      </c>
      <c r="AN6" s="328" t="s">
        <v>747</v>
      </c>
      <c r="AO6" s="327" t="s">
        <v>748</v>
      </c>
      <c r="AP6" s="182" t="s">
        <v>751</v>
      </c>
      <c r="AQ6" s="182" t="s">
        <v>752</v>
      </c>
      <c r="AR6" s="182" t="s">
        <v>753</v>
      </c>
      <c r="AS6" s="182" t="s">
        <v>757</v>
      </c>
      <c r="AT6" s="182" t="s">
        <v>758</v>
      </c>
    </row>
    <row r="7" spans="2:46" s="182" customFormat="1" ht="15" customHeight="1" thickBot="1" x14ac:dyDescent="0.35">
      <c r="B7" s="669"/>
      <c r="C7" s="655"/>
      <c r="D7" s="657"/>
      <c r="E7" s="659"/>
      <c r="F7" s="661"/>
      <c r="G7" s="661"/>
      <c r="H7" s="688"/>
      <c r="I7" s="688"/>
      <c r="J7" s="700"/>
      <c r="K7" s="640"/>
      <c r="L7" s="640"/>
      <c r="M7" s="640"/>
      <c r="N7" s="638"/>
      <c r="O7" s="638"/>
      <c r="P7" s="640"/>
      <c r="Q7" s="640"/>
      <c r="R7" s="642"/>
      <c r="S7" s="642"/>
      <c r="T7" s="642"/>
      <c r="U7" s="642"/>
      <c r="V7" s="667"/>
      <c r="W7" s="642"/>
      <c r="X7" s="663"/>
      <c r="Y7" s="653"/>
      <c r="Z7" s="458"/>
      <c r="AA7" s="636"/>
      <c r="AB7" s="636"/>
      <c r="AC7" s="636"/>
      <c r="AD7"/>
      <c r="AE7"/>
      <c r="AF7"/>
      <c r="AG7"/>
      <c r="AM7" s="327"/>
      <c r="AN7" s="328"/>
      <c r="AO7" s="327"/>
    </row>
    <row r="8" spans="2:46" s="182" customFormat="1" ht="13.95" hidden="1" customHeight="1" x14ac:dyDescent="0.3">
      <c r="B8" s="185"/>
      <c r="C8" s="186"/>
      <c r="D8" s="187"/>
      <c r="E8" s="188"/>
      <c r="F8" s="189"/>
      <c r="G8" s="179"/>
      <c r="H8" s="180" t="str">
        <f>IF(ISNUMBER(F8),COS(((F8+F7)/2)*(PI()/180))*(E8-E7)+H7,"")</f>
        <v/>
      </c>
      <c r="I8" s="190"/>
      <c r="J8" s="191"/>
      <c r="K8" s="192"/>
      <c r="L8" s="192"/>
      <c r="M8" s="192"/>
      <c r="N8" s="193"/>
      <c r="O8" s="193"/>
      <c r="P8" s="194"/>
      <c r="Q8" s="192"/>
      <c r="R8" s="195"/>
      <c r="S8" s="195"/>
      <c r="T8" s="195"/>
      <c r="U8" s="195"/>
      <c r="V8" s="196"/>
      <c r="W8" s="195"/>
      <c r="X8" s="197"/>
      <c r="Y8" s="198"/>
      <c r="Z8" s="183"/>
      <c r="AA8" s="199"/>
      <c r="AB8" s="200"/>
      <c r="AC8" s="184"/>
      <c r="AD8" s="332"/>
      <c r="AE8"/>
      <c r="AF8"/>
      <c r="AG8"/>
      <c r="AM8" s="327"/>
      <c r="AN8" s="328"/>
      <c r="AO8" s="327"/>
    </row>
    <row r="9" spans="2:46" s="182" customFormat="1" ht="13.95" hidden="1" customHeight="1" x14ac:dyDescent="0.3">
      <c r="B9" s="185"/>
      <c r="C9" s="186"/>
      <c r="D9" s="187"/>
      <c r="E9" s="188"/>
      <c r="F9" s="189"/>
      <c r="G9" s="11"/>
      <c r="H9" s="10" t="str">
        <f>IF(ISNUMBER(F9),COS(((F9+F8)/2)*(PI()/180))*(E9-E8)+H8,"")</f>
        <v/>
      </c>
      <c r="I9" s="190"/>
      <c r="J9" s="191"/>
      <c r="K9" s="192"/>
      <c r="L9" s="192"/>
      <c r="M9" s="192"/>
      <c r="N9" s="193"/>
      <c r="O9" s="193"/>
      <c r="P9" s="194"/>
      <c r="Q9" s="192"/>
      <c r="R9" s="195"/>
      <c r="S9" s="195"/>
      <c r="T9" s="195"/>
      <c r="U9" s="195"/>
      <c r="V9" s="196"/>
      <c r="W9" s="195"/>
      <c r="X9" s="197"/>
      <c r="Y9" s="198"/>
      <c r="Z9" s="183"/>
      <c r="AA9" s="199"/>
      <c r="AB9" s="200"/>
      <c r="AC9" s="184"/>
      <c r="AD9" s="332"/>
      <c r="AE9"/>
      <c r="AF9"/>
      <c r="AG9"/>
      <c r="AM9" s="327"/>
      <c r="AN9" s="328"/>
      <c r="AO9" s="327"/>
    </row>
    <row r="10" spans="2:46" s="182" customFormat="1" ht="13.95" hidden="1" customHeight="1" x14ac:dyDescent="0.3">
      <c r="B10" s="185"/>
      <c r="C10" s="186"/>
      <c r="D10" s="187"/>
      <c r="E10" s="188"/>
      <c r="F10" s="189"/>
      <c r="G10" s="11"/>
      <c r="H10" s="10" t="str">
        <f>IF(ISNUMBER(F10),COS(((F10+F9)/2)*(PI()/180))*(E10-E9)+H9,"")</f>
        <v/>
      </c>
      <c r="I10" s="190"/>
      <c r="J10" s="191"/>
      <c r="K10" s="192"/>
      <c r="L10" s="192"/>
      <c r="M10" s="201"/>
      <c r="N10" s="193"/>
      <c r="O10" s="193"/>
      <c r="P10" s="194"/>
      <c r="Q10" s="192"/>
      <c r="R10" s="195"/>
      <c r="S10" s="195"/>
      <c r="T10" s="195"/>
      <c r="U10" s="195"/>
      <c r="V10" s="196"/>
      <c r="W10" s="195"/>
      <c r="X10" s="197"/>
      <c r="Y10" s="198"/>
      <c r="Z10" s="183"/>
      <c r="AA10" s="199"/>
      <c r="AB10" s="202"/>
      <c r="AC10" s="184"/>
      <c r="AD10" s="332"/>
      <c r="AE10"/>
      <c r="AF10"/>
      <c r="AG10"/>
      <c r="AM10" s="327"/>
      <c r="AN10" s="328"/>
      <c r="AO10" s="327"/>
    </row>
    <row r="11" spans="2:46" s="182" customFormat="1" ht="13.95" hidden="1" customHeight="1" thickBot="1" x14ac:dyDescent="0.35">
      <c r="B11" s="185"/>
      <c r="C11" s="186"/>
      <c r="D11" s="187"/>
      <c r="E11" s="188"/>
      <c r="F11" s="189"/>
      <c r="G11" s="11"/>
      <c r="H11" s="10" t="str">
        <f>IF(ISNUMBER(F11),COS(((F11+F10)/2)*(PI()/180))*(E11-E10)+H10,"")</f>
        <v/>
      </c>
      <c r="I11" s="190"/>
      <c r="J11" s="191"/>
      <c r="K11" s="192"/>
      <c r="L11" s="192"/>
      <c r="M11" s="201"/>
      <c r="N11" s="193"/>
      <c r="O11" s="193"/>
      <c r="P11" s="194"/>
      <c r="Q11" s="192"/>
      <c r="R11" s="195"/>
      <c r="S11" s="195"/>
      <c r="T11" s="195"/>
      <c r="U11" s="195"/>
      <c r="V11" s="196"/>
      <c r="W11" s="195"/>
      <c r="X11" s="197"/>
      <c r="Y11" s="198"/>
      <c r="Z11" s="183"/>
      <c r="AA11" s="199"/>
      <c r="AB11" s="511"/>
      <c r="AC11" s="184"/>
      <c r="AD11" s="332"/>
      <c r="AE11"/>
      <c r="AF11"/>
      <c r="AG11"/>
      <c r="AM11" s="327"/>
      <c r="AN11" s="328"/>
      <c r="AO11" s="327"/>
    </row>
    <row r="12" spans="2:46" s="207" customFormat="1" ht="13.95" customHeight="1" x14ac:dyDescent="0.3">
      <c r="B12" s="222">
        <v>22</v>
      </c>
      <c r="C12" s="178"/>
      <c r="D12" s="33">
        <v>5.14</v>
      </c>
      <c r="E12" s="34"/>
      <c r="F12" s="167"/>
      <c r="G12" s="34"/>
      <c r="H12" s="34"/>
      <c r="I12" s="34"/>
      <c r="J12" s="35"/>
      <c r="K12" s="36"/>
      <c r="L12" s="36"/>
      <c r="M12" s="36"/>
      <c r="N12" s="203"/>
      <c r="O12" s="204"/>
      <c r="P12" s="205"/>
      <c r="Q12" s="14"/>
      <c r="R12" s="10" t="str">
        <f t="shared" ref="R12:R74" si="0">IF(T12="", "", D12)</f>
        <v/>
      </c>
      <c r="S12" s="10" t="str">
        <f t="shared" ref="S12:S74" si="1">IF(T12="","",SUM(R12+T12))</f>
        <v/>
      </c>
      <c r="T12" s="12"/>
      <c r="U12" s="8"/>
      <c r="V12" s="453"/>
      <c r="W12" s="344"/>
      <c r="X12" s="454"/>
      <c r="Y12" s="223" t="s">
        <v>5</v>
      </c>
      <c r="Z12" s="527"/>
      <c r="AA12" s="528" t="s">
        <v>704</v>
      </c>
      <c r="AB12" s="529" t="s">
        <v>813</v>
      </c>
      <c r="AC12" s="632" t="s">
        <v>701</v>
      </c>
      <c r="AD12" s="633"/>
      <c r="AE12" s="634"/>
      <c r="AF12"/>
      <c r="AG12"/>
      <c r="AM12" s="329"/>
      <c r="AN12" s="330"/>
      <c r="AO12" s="329"/>
    </row>
    <row r="13" spans="2:46" s="207" customFormat="1" ht="13.95" customHeight="1" thickBot="1" x14ac:dyDescent="0.35">
      <c r="B13" s="208">
        <f t="shared" ref="B13:B36" si="2">IF(ISBLANK(D13),"",B12)</f>
        <v>22</v>
      </c>
      <c r="C13" s="335">
        <f>IF(ISBLANK(D13),"",D13-D12)</f>
        <v>66.650000000000006</v>
      </c>
      <c r="D13" s="27">
        <v>71.790000000000006</v>
      </c>
      <c r="E13" s="336">
        <f>IF(D13="","",(ROUND(SUM(D13-B13),2)))</f>
        <v>49.79</v>
      </c>
      <c r="F13" s="13">
        <v>1.1499999999999999</v>
      </c>
      <c r="G13" s="7">
        <v>172.21</v>
      </c>
      <c r="H13" s="337">
        <f t="shared" ref="H13:H75" si="3">IF(ISNUMBER(F13),COS(((F13+F12)/2)*(PI()/180))*(E13-E12)+H12,"")</f>
        <v>49.787492742666814</v>
      </c>
      <c r="I13" s="337">
        <f>IF(ISBLANK(F13),"  ",H13-$R$4)</f>
        <v>-722.46250725733319</v>
      </c>
      <c r="J13" s="338">
        <f>IF(AND(ISNUMBER(E13),ISNUMBER(F13),ISNUMBER(G13)),ACOS(SIN(F12*PI()/180)*SIN(F13*PI()/180)*COS((G13*PI()/180)-(G12*PI()/180))+COS(F12*PI()/180)*COS(F13*PI()/180))*30/(E13-E12)*180/PI(),"")</f>
        <v>0.69291022293638149</v>
      </c>
      <c r="K13" s="339">
        <f>IF(F13=0," ",SUM(F13-F12)/SUM(E13-E12)*30)</f>
        <v>0.69291022293633253</v>
      </c>
      <c r="L13" s="339">
        <f>IF(J13="","",IF(G12&lt;180,IF(AND(G13&gt;G12,G13&lt;SUM(G12+180)),SUM(((G13-G12)/SUM(E13-E12)*30)),IF(G13&lt;G12,SUM(((G13-G12)/SUM(E13-E12)*30)),SUM(((G12+(360-G13))*(-1))/SUM(E13-E12)*30))),IF(G13&gt;G12,SUM(((G13-G12)/SUM(E13-E12)*30)),IF(G13&gt;SUM(G12-180),SUM(((G13-G12)/SUM(E13-E12)*30)),SUM(((360-G12+G13)/SUM(E13-E12)*30))))))</f>
        <v>103.7617995581442</v>
      </c>
      <c r="M13" s="339" t="str">
        <f t="shared" ref="M13:M75" si="4">IF(T12="",IF(T11="",IF(T10="",IF(T9="","",IF(E13&lt;R9,"",IF(E13&lt;S9,IF(E12&lt;R9,SUM(E13-R9),IF(E12&lt;S9,IF(E12&lt;E13,SUM(E13-E12),""),"")),IF(E12&lt;R9,T9,IF(E12&lt;S9,SUM(S9-E12),""))))),IF(T9="",IF(E13&lt;R10,"",IF(E13&lt;S10,IF(E12&lt;R10,SUM(E13-R10),IF(E12&lt;S10,IF(E12&lt;E13,SUM(E13-E12),""),"")),IF(E12&lt;R10,T10,IF(E12&lt;S10,SUM(S10-E12),""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12&lt;R9,SUM(T9+T10),IF(E12&lt;S9,SUM(S9-E12+T10),IF(E12&lt;R10,T10,IF(E12&lt;S10,SUM(S10-E12),"")))))))))),IF(T10="",IF(T9="",IF(E13&lt;R11,"",IF(E13&lt;S11,IF(E12&lt;R11,SUM(E13-R11),IF(E12&lt;S11,IF(E12&lt;E13,SUM(E13-E12),""),"")),IF(E12&lt;R11,T11,IF(E12&lt;S11,SUM(S11-E12),""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12&lt;R9,SUM(T9+T11),IF(E12&lt;S9,SUM(S9-E12+T11),IF(E12&lt;R11,T11,IF(E12&lt;S11,SUM(S11-E12),""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12&lt;R10,SUM(T10+T11),IF(E12&lt;S10,SUM(S10-E12+T11),IF(E12&lt;R11,T11,IF(E12&lt;S11,SUM(S11-E12),""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12&lt;R9,SUM(T9+T10+T11),IF(E12&lt;S9,SUM(S9-E12+T10+T11),IF(E12&lt;R10,SUM(T10+T11),IF(E12&lt;S10,SUM(S10-E12+T11),IF(E12&lt;R11,T11,IF(E12&lt;S11,SUM(S11-E12),""))))))))))))))),IF(T11="",IF(T10="",IF(T9="",IF(E13&lt;R12,"",IF(E13&lt;S12,SUM(E13-R12),T12)),IF(E13&lt;R9,"",IF(E13&lt;S9,IF(E12&lt;R9,SUM(E13-R9),IF(E12&lt;S9,IF(E12&lt;E13,SUM(E13-E12),""),"")),IF(E13&lt;R12,IF(E12&lt;R9,T9,IF(E12&lt;S9,SUM(S9-E12),"")),IF(E13&lt;S12,IF(E12&lt;R9,SUM(T9+E13-R12),IF(E12&lt;S9,SUM(S9-E12+E13-R12),SUM(E13-R12))),IF(E12&lt;R9,SUM(T9+T12),IF(E12&lt;S9,SUM(S9-E12+T12),T12))))))),IF(T9="",IF(E13&lt;R10,"",IF(E13&lt;S10,IF(E12&lt;R10,SUM(E13-R10),IF(E12&lt;S10,IF(E12&lt;E13,SUM(E13-E12),""),"")),IF(E13&lt;R12,IF(E12&lt;R10,T10,IF(E12&lt;S10,SUM(S10-E12),"")),IF(E13&lt;S12,IF(E12&lt;R10,SUM(T10+E13-R12),IF(E12&lt;S10,SUM(S10-E12+E13-R12),SUM(E13-R12))),IF(E12&lt;R10,SUM(T10+T12),IF(E12&lt;S10,SUM(S10-E12+T12),T12)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12,IF(E12&lt;R9,SUM(T9+T10),IF(E12&lt;S9,SUM(S9-E12+T10),IF(E12&lt;R10,T10,IF(E12&lt;S10,SUM(S10-E12),"")))),IF(E13&lt;S12,IF(E12&lt;R9,SUM(T9+T10+E13-R12),IF(E12&lt;S9,SUM(S9-E12+T10+E13-R12),IF(E12&lt;R10,SUM(T10+E13-R12),IF(E12&lt;S10,SUM(S10-E12+E13-R12),SUM(E13-R12))))),IF(E12&lt;R9,SUM(T9+T10+T12),IF(E12&lt;S9,SUM(S9-E12+T10+T12),IF(E12&lt;R10,SUM(T10+T12),IF(E12&lt;S10,SUM(S10-E12+T12),T12)))))))))))),IF(T10="",IF(T9="",IF(E13&lt;R11,"",IF(E13&lt;S11,IF(E12&lt;R11,SUM(E13-R11),IF(E12&lt;S11,IF(E12&lt;E13,SUM(E13-E12),""),"")),IF(E13&lt;R12,IF(E12&lt;R11,T11,IF(E12&lt;S11,SUM(S11-E12),"")),IF(E13&lt;S12,IF(E12&lt;R11,SUM(T11+E13-R12),IF(E12&lt;S11,SUM(S11-E12+E13-R12),SUM(E13-R12))),IF(E12&lt;R11,SUM(T11+T12),IF(E12&lt;S11,SUM(S11-E12+T12),T12))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13&lt;R12,IF(E12&lt;R9,SUM(T9+T11),IF(E12&lt;S9,SUM(S9-E12+T11),IF(E12&lt;R11,T11,IF(E12&lt;S11,SUM(S11-E12),"")))),IF(E13&lt;S12,IF(E12&lt;R9,SUM(T9+T11+E13-R12),IF(E12&lt;S9,SUM(S9-E12+T11+E13-R12),IF(E12&lt;R11,SUM(T11+E13-R12),IF(E12&lt;S11,SUM(S11-E12+E13-R12),SUM(E13-R12))))),IF(E12&lt;R9,SUM(T9+T11+T12),IF(E12&lt;S9,SUM(S9-E12+T11+T12),IF(E12&lt;R11,SUM(T11+T12),IF(E12&lt;S11,SUM(S11-E12+T12),T12))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13&lt;R12,IF(E12&lt;R10,SUM(T10+T11),IF(E12&lt;S10,SUM(S10-E12+T11),IF(E12&lt;R11,T11,IF(E12&lt;S11,SUM(S11-E12),"")))),IF(E13&lt;S12,IF(E12&lt;R10,SUM(T10+T11+E13-R12),IF(E12&lt;S10,SUM(S10-E12+T11+E13-R12),IF(E12&lt;R11,SUM(T11+E13-R12),IF(E12&lt;S11,SUM(S11-E12+E13-R12),SUM(E13-R12))))),IF(E12&lt;R10,SUM(T10+T11+T12),IF(E12&lt;S10,SUM(S10-E12+T11+T12),IF(E12&lt;R11,SUM(T11+T12),IF(E12&lt;S11,SUM(S11-E12+T12),T12))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13&lt;R12,IF(E12&lt;R9,SUM(T9+T10+T11),IF(E12&lt;S9,SUM(S9-E12+T10+T11),IF(E12&lt;R10,SUM(T10+T11),IF(E12&lt;S10,SUM(S10-E12+T11),IF(E12&lt;R11,T11,IF(E12&lt;S11,SUM(S11-E12),"")))))),IF(E13&lt;S12,IF(E12&lt;R9,SUM(T9+T10+T11+E13-R12),IF(E12&lt;S9,SUM(S9-E12+T10+T11+E13-R12),IF(E12&lt;R10,SUM(T10+T11+E13-R12),IF(E12&lt;S10,SUM(S10-E12+T11+E13-R12),IF(E12&lt;R11,SUM(T11+E13-R12),IF(E12&lt;S11,SUM(S11-E12+E13-R12),SUM(E13-R12))))))),IF(E12&lt;R9,SUM(T9+T10+T11+T12),IF(E12&lt;S9,SUM(S9-E12+T10+T11+T12),IF(E12&lt;R10,SUM(T10+T11+T12),IF(E12&lt;S10,SUM(S10-E12+T11+T12),IF(E12&lt;R11,SUM(T11+T12),IF(E12&lt;S11,SUM(S11-E12+T12),T12))))))))))))))))))</f>
        <v/>
      </c>
      <c r="N13" s="340">
        <f t="shared" ref="N13:N75" si="5">IF(J13=0,"",IF(AND(ISNUMBER(F13),ISNUMBER(J13)),(IF(AND(F13&gt;F12,G13=G12),0,IF(AND(F13&lt;F12,G13=G12),180,IF(AND(G12=0,G13&gt;0),G13,ACOS((C13*K13/30)/(C13*J13/30))*180/PI())))),""))</f>
        <v>172.21</v>
      </c>
      <c r="O13" s="341" t="str">
        <f t="shared" ref="O13:O75" si="6">IF(F13="","",IF(N13="","",IF(F13&lt;5,"Mag",IF(L13&lt;0,"L",IF(N13=0,"HS",IF(N13=360,"HS",IF(N13=180,"LS","R")))))))</f>
        <v>Mag</v>
      </c>
      <c r="P13" s="342" t="str">
        <f t="shared" ref="P13:P75" si="7">IF(F13="","",IF(M13="","",SUM((F13-F12)/M13)))</f>
        <v/>
      </c>
      <c r="Q13" s="343" t="str">
        <f t="shared" ref="Q13:Q75" si="8">IF(ISBLANK(F13),"",IF(J13="", "", IF(M13="","",SUM(C13*J13/M13))))</f>
        <v/>
      </c>
      <c r="R13" s="10" t="str">
        <f t="shared" si="0"/>
        <v/>
      </c>
      <c r="S13" s="337" t="str">
        <f t="shared" si="1"/>
        <v/>
      </c>
      <c r="T13" s="12"/>
      <c r="U13" s="8"/>
      <c r="V13" s="202" t="str">
        <f>IF(OR(E13="",E13&lt;$U$2),"",ProjTvdAtBit(E13,F13,G13,H13,D13,W13,X13))</f>
        <v/>
      </c>
      <c r="W13" s="344" t="str">
        <f>IF(OR(E13="",E13&lt;$U$2),"",ProjIncAtBit(F13,J13,C13,M13,AJ13,IF(AK13="",0,AK13)))</f>
        <v/>
      </c>
      <c r="X13" s="455" t="str">
        <f>IF(OR(E13="",E13&lt;$U$2),"",ProjAzmAtBit(F13,G13,J13,C13,M13,AJ13,IF(AK13="",0,AK13)))</f>
        <v/>
      </c>
      <c r="Y13" s="461"/>
      <c r="Z13" s="527"/>
      <c r="AA13" s="534" t="s">
        <v>868</v>
      </c>
      <c r="AB13" s="535" t="s">
        <v>814</v>
      </c>
      <c r="AC13" s="530" t="s">
        <v>197</v>
      </c>
      <c r="AD13" s="531" t="s">
        <v>181</v>
      </c>
      <c r="AE13" s="532" t="s">
        <v>702</v>
      </c>
      <c r="AF13"/>
      <c r="AG13"/>
      <c r="AJ13" s="452">
        <f>IF(OR(E13="",D13=""),0,ProjSlideMetersBetween(E13,D13,$R$13:$R$305,$S$13:$S$305))</f>
        <v>0</v>
      </c>
      <c r="AK13" s="452" t="str">
        <f>IF(U13="","",ProjParseTF(U13))</f>
        <v/>
      </c>
      <c r="AL13" s="452">
        <f>IF(E13="","",ProjCumN(0,E12,F12,G12,E13,F13,G13,TRUE))</f>
        <v>0</v>
      </c>
      <c r="AM13" s="330">
        <f>IF(E13="","",ProjCumE(0,E12,F12,G12,E13,F13,G13,TRUE))</f>
        <v>0</v>
      </c>
      <c r="AN13" s="330" t="str">
        <f>IF(X13="","",X13)</f>
        <v/>
      </c>
      <c r="AO13" s="330" t="str">
        <f>IF(OR(E13="",E13&lt;$U$2),"",ProjActiveTargetMdEx(D13,W13,V13,ProjTargets_MD,ProjTargets_INC,ProjTargets_AZM,ProjTargets_TVD,F13,H13))</f>
        <v/>
      </c>
      <c r="AP13" s="207" t="str">
        <f>IF(OR(E13="",E13&lt;$U$2),"",ProjBitN(E13,F13,G13,AL13,D13,W13,X13))</f>
        <v/>
      </c>
      <c r="AQ13" s="207" t="str">
        <f>IF(OR(E13="",E13&lt;$U$2),"",ProjBitE(E13,F13,G13,AM13,D13,W13,X13))</f>
        <v/>
      </c>
      <c r="AR13" s="207" t="str">
        <f>IF(OR(E13="",E13&lt;$U$2,AO13=""),"",ProjBurr(D13,W13,X13,Q13,C13,ProjTargets_MD,ProjTargets_INC,ProjTargets_AZM,ProjTargets_TVD,V13))</f>
        <v/>
      </c>
      <c r="AS13" s="207" t="str">
        <f>IF(OR(E13="",E13&lt;$U$2,AO13=""),"",ProjMetersToSlide(D13,W13,X13,Q13,C13,ProjTargets_MD,ProjTargets_INC,ProjTargets_AZM,ProjTargets_TVD,V13))</f>
        <v/>
      </c>
      <c r="AT13" s="207" t="str">
        <f>IF(OR(E13="",E13&lt;$U$2,AO13=""),"",ProjRequiredTf(D13,W13,X13,ProjTargets_MD,ProjTargets_INC,ProjTargets_AZM,ProjTargets_TVD,5,V13))</f>
        <v/>
      </c>
    </row>
    <row r="14" spans="2:46" s="209" customFormat="1" ht="13.95" customHeight="1" x14ac:dyDescent="0.3">
      <c r="B14" s="208">
        <f t="shared" si="2"/>
        <v>22</v>
      </c>
      <c r="C14" s="335">
        <f t="shared" ref="C14:C76" si="9">IF(ISBLANK(D14),"",D14-D13)</f>
        <v>28.03</v>
      </c>
      <c r="D14" s="27">
        <v>99.820000000000007</v>
      </c>
      <c r="E14" s="336">
        <f t="shared" ref="E14:E76" si="10">IF(D14="","",(ROUND(SUM(D14-B14),2)))</f>
        <v>77.819999999999993</v>
      </c>
      <c r="F14" s="13">
        <v>1.21</v>
      </c>
      <c r="G14" s="7">
        <v>176.29</v>
      </c>
      <c r="H14" s="337">
        <f t="shared" si="3"/>
        <v>77.811548500401329</v>
      </c>
      <c r="I14" s="337">
        <f t="shared" ref="I14:I77" si="11">IF(ISBLANK(F14),"  ",H14-$R$4)</f>
        <v>-694.43845149959861</v>
      </c>
      <c r="J14" s="338">
        <f t="shared" ref="J14:J76" si="12">IF(AND(ISNUMBER(E14),ISNUMBER(F14),ISNUMBER(G14)),ACOS(SIN(F13*PI()/180)*SIN(F14*PI()/180)*COS((G14*PI()/180)-(G13*PI()/180))+COS(F13*PI()/180)*COS(F14*PI()/180))*30/(E14-E13)*180/PI(),"")</f>
        <v>0.11046230949683684</v>
      </c>
      <c r="K14" s="339">
        <f t="shared" ref="K14:K76" si="13">IF(F14=0," ",SUM(F14-F13)/SUM(E14-E13)*30)</f>
        <v>6.4216910453086057E-2</v>
      </c>
      <c r="L14" s="339">
        <f t="shared" ref="L14:L76" si="14">IF(J14="","",IF(G13&lt;180,IF(AND(G14&gt;G13,G14&lt;SUM(G13+180)),SUM(((G14-G13)/SUM(E14-E13)*30)),IF(G14&lt;G13,SUM(((G14-G13)/SUM(E14-E13)*30)),SUM(((G13+(360-G14))*(-1))/SUM(E14-E13)*30))),IF(G14&gt;G13,SUM(((G14-G13)/SUM(E14-E13)*30)),IF(G14&gt;SUM(G13-180),SUM(((G14-G13)/SUM(E14-E13)*30)),SUM(((360-G13+G14)/SUM(E14-E13)*30))))))</f>
        <v>4.3667499108098298</v>
      </c>
      <c r="M14" s="339" t="str">
        <f t="shared" si="4"/>
        <v/>
      </c>
      <c r="N14" s="340">
        <f t="shared" si="5"/>
        <v>54.454674572289015</v>
      </c>
      <c r="O14" s="341" t="str">
        <f t="shared" si="6"/>
        <v>Mag</v>
      </c>
      <c r="P14" s="342" t="str">
        <f t="shared" si="7"/>
        <v/>
      </c>
      <c r="Q14" s="343" t="str">
        <f t="shared" si="8"/>
        <v/>
      </c>
      <c r="R14" s="10" t="str">
        <f t="shared" si="0"/>
        <v/>
      </c>
      <c r="S14" s="337" t="str">
        <f t="shared" si="1"/>
        <v/>
      </c>
      <c r="T14" s="12"/>
      <c r="U14" s="8"/>
      <c r="V14" s="202" t="str">
        <f>IF(OR(E14="",E14&lt;$U$2),"",ProjTvdAtBit(E14,F14,G14,H14,D14,W14,X14))</f>
        <v/>
      </c>
      <c r="W14" s="344" t="str">
        <f>IF(OR(E14="",E14&lt;$U$2),"",ProjIncAtBit(F14,J14,C14,M14,AJ14,IF(AK14="",0,AK14)))</f>
        <v/>
      </c>
      <c r="X14" s="455" t="str">
        <f>IF(OR(E14="",E14&lt;$U$2),"",ProjAzmAtBit(F14,G14,J14,C14,M14,AJ14,IF(AK14="",0,AK14)))</f>
        <v/>
      </c>
      <c r="Y14" s="461"/>
      <c r="Z14" s="527"/>
      <c r="AA14" s="556">
        <v>15</v>
      </c>
      <c r="AB14" s="557">
        <v>2</v>
      </c>
      <c r="AC14" s="533">
        <v>3248</v>
      </c>
      <c r="AD14" s="513">
        <v>3086</v>
      </c>
      <c r="AE14" s="536"/>
      <c r="AF14"/>
      <c r="AG14"/>
      <c r="AJ14" s="452">
        <f>IF(OR(E14="",D14=""),0,ProjSlideMetersBetween(E14,D14,$R$13:$R$305,$S$13:$S$305))</f>
        <v>0</v>
      </c>
      <c r="AK14" s="452" t="str">
        <f>IF(U14="","",ProjParseTF(U14))</f>
        <v/>
      </c>
      <c r="AL14" s="219">
        <f>IF(E14="","",ProjCumN(AL13,E13,F13,G13,E14,F14,G14,FALSE))</f>
        <v>-0.57401789110944035</v>
      </c>
      <c r="AM14" s="331">
        <f>IF(E14="","",ProjCumE(AM13,E13,F13,G13,E14,F14,G14,FALSE))</f>
        <v>5.7275590314483378E-2</v>
      </c>
      <c r="AN14" s="330" t="str">
        <f t="shared" ref="AN14:AN77" si="15">IF(X14="","",X14)</f>
        <v/>
      </c>
      <c r="AO14" s="330" t="str">
        <f>IF(OR(E14="",E14&lt;$U$2),"",ProjActiveTargetMdEx(D14,W14,V14,ProjTargets_MD,ProjTargets_INC,ProjTargets_AZM,ProjTargets_TVD,F14,H14))</f>
        <v/>
      </c>
      <c r="AP14" s="207" t="str">
        <f>IF(OR(E14="",E14&lt;$U$2),"",ProjBitN(E14,F14,G14,AL14,D14,W14,X14))</f>
        <v/>
      </c>
      <c r="AQ14" s="207" t="str">
        <f>IF(OR(E14="",E14&lt;$U$2),"",ProjBitE(E14,F14,G14,AM14,D14,W14,X14))</f>
        <v/>
      </c>
      <c r="AR14" s="207" t="str">
        <f>IF(OR(E14="",E14&lt;$U$2,AO14=""),"",ProjBurr(D14,W14,X14,Q14,C14,ProjTargets_MD,ProjTargets_INC,ProjTargets_AZM,ProjTargets_TVD,V14))</f>
        <v/>
      </c>
      <c r="AS14" s="207" t="str">
        <f>IF(OR(E14="",E14&lt;$U$2,AO14=""),"",ProjMetersToSlide(D14,W14,X14,Q14,C14,ProjTargets_MD,ProjTargets_INC,ProjTargets_AZM,ProjTargets_TVD,V14))</f>
        <v/>
      </c>
      <c r="AT14" s="207" t="str">
        <f>IF(OR(E14="",E14&lt;$U$2,AO14=""),"",ProjRequiredTf(D14,W14,X14,ProjTargets_MD,ProjTargets_INC,ProjTargets_AZM,ProjTargets_TVD,5,V14))</f>
        <v/>
      </c>
    </row>
    <row r="15" spans="2:46" s="209" customFormat="1" ht="13.95" customHeight="1" x14ac:dyDescent="0.3">
      <c r="B15" s="208">
        <f t="shared" si="2"/>
        <v>22</v>
      </c>
      <c r="C15" s="335">
        <f t="shared" si="9"/>
        <v>27.990000000000009</v>
      </c>
      <c r="D15" s="27">
        <v>127.81000000000002</v>
      </c>
      <c r="E15" s="336">
        <f t="shared" si="10"/>
        <v>105.81</v>
      </c>
      <c r="F15" s="13">
        <v>1.25</v>
      </c>
      <c r="G15" s="7">
        <v>178.32</v>
      </c>
      <c r="H15" s="337">
        <f t="shared" si="3"/>
        <v>105.79509907265194</v>
      </c>
      <c r="I15" s="337">
        <f t="shared" si="11"/>
        <v>-666.45490092734804</v>
      </c>
      <c r="J15" s="338">
        <f t="shared" si="12"/>
        <v>6.3392437292266166E-2</v>
      </c>
      <c r="K15" s="339">
        <f t="shared" si="13"/>
        <v>4.2872454448017169E-2</v>
      </c>
      <c r="L15" s="339">
        <f t="shared" si="14"/>
        <v>2.1757770632368709</v>
      </c>
      <c r="M15" s="339" t="str">
        <f t="shared" si="4"/>
        <v/>
      </c>
      <c r="N15" s="340">
        <f t="shared" si="5"/>
        <v>47.444632836788692</v>
      </c>
      <c r="O15" s="341" t="str">
        <f t="shared" si="6"/>
        <v>Mag</v>
      </c>
      <c r="P15" s="342" t="str">
        <f t="shared" si="7"/>
        <v/>
      </c>
      <c r="Q15" s="343" t="str">
        <f t="shared" si="8"/>
        <v/>
      </c>
      <c r="R15" s="10" t="str">
        <f t="shared" si="0"/>
        <v/>
      </c>
      <c r="S15" s="337" t="str">
        <f t="shared" si="1"/>
        <v/>
      </c>
      <c r="T15" s="12"/>
      <c r="U15" s="8"/>
      <c r="V15" s="202" t="str">
        <f>IF(OR(E15="",E15&lt;$U$2),"",ProjTvdAtBit(E15,F15,G15,H15,D15,W15,X15))</f>
        <v/>
      </c>
      <c r="W15" s="344" t="str">
        <f>IF(OR(E15="",E15&lt;$U$2),"",ProjIncAtBit(F15,J15,C15,M15,AJ15,IF(AK15="",0,AK15)))</f>
        <v/>
      </c>
      <c r="X15" s="455" t="str">
        <f>IF(OR(E15="",E15&lt;$U$2),"",ProjAzmAtBit(F15,G15,J15,C15,M15,AJ15,IF(AK15="",0,AK15)))</f>
        <v/>
      </c>
      <c r="Y15" s="461"/>
      <c r="Z15" s="206"/>
      <c r="AA15" s="554"/>
      <c r="AB15" s="555"/>
      <c r="AC15" s="524">
        <v>3500</v>
      </c>
      <c r="AD15" s="514">
        <v>3084.5</v>
      </c>
      <c r="AE15" s="537">
        <f t="shared" ref="AE15:AE33" si="16">IF(AC15="","",DEGREES(ACOS((AD15-AD14)/(AC15-AC14))))</f>
        <v>90.341048320583724</v>
      </c>
      <c r="AF15"/>
      <c r="AG15"/>
      <c r="AJ15" s="452">
        <f>IF(OR(E15="",D15=""),0,ProjSlideMetersBetween(E15,D15,$R$13:$R$305,$S$13:$S$305))</f>
        <v>0</v>
      </c>
      <c r="AK15" s="452" t="str">
        <f>IF(U15="","",ProjParseTF(U15))</f>
        <v/>
      </c>
      <c r="AL15" s="219">
        <f>IF(E15="","",ProjCumN(AL14,E14,F14,G14,E15,F15,G15,FALSE))</f>
        <v>-1.1740979104300595</v>
      </c>
      <c r="AM15" s="331">
        <f>IF(E15="","",ProjCumE(AM14,E14,F14,G14,E15,F15,G15,FALSE))</f>
        <v>8.5348937176150858E-2</v>
      </c>
      <c r="AN15" s="330" t="str">
        <f t="shared" si="15"/>
        <v/>
      </c>
      <c r="AO15" s="330" t="str">
        <f>IF(OR(E15="",E15&lt;$U$2),"",ProjActiveTargetMdEx(D15,W15,V15,ProjTargets_MD,ProjTargets_INC,ProjTargets_AZM,ProjTargets_TVD,F15,H15))</f>
        <v/>
      </c>
      <c r="AP15" s="207" t="str">
        <f>IF(OR(E15="",E15&lt;$U$2),"",ProjBitN(E15,F15,G15,AL15,D15,W15,X15))</f>
        <v/>
      </c>
      <c r="AQ15" s="207" t="str">
        <f>IF(OR(E15="",E15&lt;$U$2),"",ProjBitE(E15,F15,G15,AM15,D15,W15,X15))</f>
        <v/>
      </c>
      <c r="AR15" s="207" t="str">
        <f>IF(OR(E15="",E15&lt;$U$2,AO15=""),"",ProjBurr(D15,W15,X15,Q15,C15,ProjTargets_MD,ProjTargets_INC,ProjTargets_AZM,ProjTargets_TVD,V15))</f>
        <v/>
      </c>
      <c r="AS15" s="207" t="str">
        <f>IF(OR(E15="",E15&lt;$U$2,AO15=""),"",ProjMetersToSlide(D15,W15,X15,Q15,C15,ProjTargets_MD,ProjTargets_INC,ProjTargets_AZM,ProjTargets_TVD,V15))</f>
        <v/>
      </c>
      <c r="AT15" s="207" t="str">
        <f>IF(OR(E15="",E15&lt;$U$2,AO15=""),"",ProjRequiredTf(D15,W15,X15,ProjTargets_MD,ProjTargets_INC,ProjTargets_AZM,ProjTargets_TVD,5,V15))</f>
        <v/>
      </c>
    </row>
    <row r="16" spans="2:46" s="209" customFormat="1" ht="13.95" customHeight="1" x14ac:dyDescent="0.3">
      <c r="B16" s="208">
        <f t="shared" si="2"/>
        <v>22</v>
      </c>
      <c r="C16" s="335">
        <f t="shared" si="9"/>
        <v>28.100000000000009</v>
      </c>
      <c r="D16" s="27">
        <v>155.91000000000003</v>
      </c>
      <c r="E16" s="336">
        <f t="shared" si="10"/>
        <v>133.91</v>
      </c>
      <c r="F16" s="13">
        <v>1.34</v>
      </c>
      <c r="G16" s="7">
        <v>180.21</v>
      </c>
      <c r="H16" s="337">
        <f t="shared" si="3"/>
        <v>133.88792192124839</v>
      </c>
      <c r="I16" s="337">
        <f t="shared" si="11"/>
        <v>-638.36207807875167</v>
      </c>
      <c r="J16" s="338">
        <f t="shared" si="12"/>
        <v>0.10634509011407781</v>
      </c>
      <c r="K16" s="339">
        <f t="shared" si="13"/>
        <v>9.6085409252669146E-2</v>
      </c>
      <c r="L16" s="339">
        <f t="shared" si="14"/>
        <v>2.0177935943060659</v>
      </c>
      <c r="M16" s="339" t="str">
        <f t="shared" si="4"/>
        <v/>
      </c>
      <c r="N16" s="340">
        <f t="shared" si="5"/>
        <v>25.374695858874748</v>
      </c>
      <c r="O16" s="341" t="str">
        <f t="shared" si="6"/>
        <v>Mag</v>
      </c>
      <c r="P16" s="342" t="str">
        <f t="shared" si="7"/>
        <v/>
      </c>
      <c r="Q16" s="343" t="str">
        <f t="shared" si="8"/>
        <v/>
      </c>
      <c r="R16" s="10">
        <f t="shared" si="0"/>
        <v>155.91000000000003</v>
      </c>
      <c r="S16" s="337">
        <f t="shared" si="1"/>
        <v>161.91000000000003</v>
      </c>
      <c r="T16" s="12">
        <v>6</v>
      </c>
      <c r="U16" s="8" t="s">
        <v>462</v>
      </c>
      <c r="V16" s="202" t="str">
        <f>IF(OR(E16="",E16&lt;$U$2),"",ProjTvdAtBit(E16,F16,G16,H16,D16,W16,X16))</f>
        <v/>
      </c>
      <c r="W16" s="344" t="str">
        <f>IF(OR(E16="",E16&lt;$U$2),"",ProjIncAtBit(F16,J16,C16,M16,AJ16,IF(AK16="",0,AK16)))</f>
        <v/>
      </c>
      <c r="X16" s="455" t="str">
        <f>IF(OR(E16="",E16&lt;$U$2),"",ProjAzmAtBit(F16,G16,J16,C16,M16,AJ16,IF(AK16="",0,AK16)))</f>
        <v/>
      </c>
      <c r="Y16" s="461"/>
      <c r="Z16" s="206"/>
      <c r="AA16" s="512" t="str">
        <f t="shared" ref="AA16:AA79" si="17">IFERROR(IF(D16="","",IF(COUNT($AC$14:$AC$33)=0,"",IF(D16&lt;_xlfn.AGGREGATE(5,6,$AC$14:$AC$33),"",INDEX($AE$15:$AE$33,MATCH(D16,$AC$14:$AC$33,1))))),"")</f>
        <v/>
      </c>
      <c r="AB16" s="520" t="str">
        <f t="shared" ref="AB16:AB79" si="18">IF(OR(D16="",H16=""),"",IF(COUNT($AC$14:$AC$33)&lt;2,"",IF(OR(D16&lt;_xlfn.AGGREGATE(5,6,$AC$14:$AC$33),D16&gt;_xlfn.AGGREGATE(4,6,$AC$14:$AC$33)),"",IFERROR((INDEX($AD$14:$AD$33,MATCH(D16,$AC$14:$AC$33,1))+(D16-INDEX($AC$14:$AC$33,MATCH(D16,$AC$14:$AC$33,1)))*(INDEX($AD$14:$AD$33,MATCH(D16,$AC$14:$AC$33,1)+1)-INDEX($AD$14:$AD$33,MATCH(D16,$AC$14:$AC$33,1)))/(INDEX($AC$14:$AC$33,MATCH(D16,$AC$14:$AC$33,1)+1)-INDEX($AC$14:$AC$33,MATCH(D16,$AC$14:$AC$33,1))))-H16,""))))</f>
        <v/>
      </c>
      <c r="AC16" s="524">
        <v>3700</v>
      </c>
      <c r="AD16" s="514">
        <v>3083</v>
      </c>
      <c r="AE16" s="537">
        <f t="shared" si="16"/>
        <v>90.429722375059583</v>
      </c>
      <c r="AF16"/>
      <c r="AG16"/>
      <c r="AJ16" s="452">
        <f>IF(OR(E16="",D16=""),0,ProjSlideMetersBetween(E16,D16,$R$13:$R$305,$S$13:$S$305))</f>
        <v>0</v>
      </c>
      <c r="AK16" s="452">
        <f>IF(U16="","",ProjParseTF(U16))</f>
        <v>320</v>
      </c>
      <c r="AL16" s="219">
        <f>IF(E16="","",ProjCumN(AL15,E15,F15,G15,E16,F16,G16,FALSE))</f>
        <v>-1.8090264349136684</v>
      </c>
      <c r="AM16" s="331">
        <f>IF(E16="","",ProjCumE(AM15,E15,F15,G15,E16,F16,G16,FALSE))</f>
        <v>9.3130431166501937E-2</v>
      </c>
      <c r="AN16" s="330" t="str">
        <f t="shared" si="15"/>
        <v/>
      </c>
      <c r="AO16" s="330" t="str">
        <f>IF(OR(E16="",E16&lt;$U$2),"",ProjActiveTargetMdEx(D16,W16,V16,ProjTargets_MD,ProjTargets_INC,ProjTargets_AZM,ProjTargets_TVD,F16,H16))</f>
        <v/>
      </c>
      <c r="AP16" s="207" t="str">
        <f>IF(OR(E16="",E16&lt;$U$2),"",ProjBitN(E16,F16,G16,AL16,D16,W16,X16))</f>
        <v/>
      </c>
      <c r="AQ16" s="207" t="str">
        <f>IF(OR(E16="",E16&lt;$U$2),"",ProjBitE(E16,F16,G16,AM16,D16,W16,X16))</f>
        <v/>
      </c>
      <c r="AR16" s="207" t="str">
        <f>IF(OR(E16="",E16&lt;$U$2,AO16=""),"",ProjBurr(D16,W16,X16,Q16,C16,ProjTargets_MD,ProjTargets_INC,ProjTargets_AZM,ProjTargets_TVD,V16))</f>
        <v/>
      </c>
      <c r="AS16" s="207" t="str">
        <f>IF(OR(E16="",E16&lt;$U$2,AO16=""),"",ProjMetersToSlide(D16,W16,X16,Q16,C16,ProjTargets_MD,ProjTargets_INC,ProjTargets_AZM,ProjTargets_TVD,V16))</f>
        <v/>
      </c>
      <c r="AT16" s="207" t="str">
        <f>IF(OR(E16="",E16&lt;$U$2,AO16=""),"",ProjRequiredTf(D16,W16,X16,ProjTargets_MD,ProjTargets_INC,ProjTargets_AZM,ProjTargets_TVD,5,V16))</f>
        <v/>
      </c>
    </row>
    <row r="17" spans="2:46" s="209" customFormat="1" ht="13.95" customHeight="1" x14ac:dyDescent="0.3">
      <c r="B17" s="208">
        <f t="shared" si="2"/>
        <v>22</v>
      </c>
      <c r="C17" s="335">
        <f t="shared" si="9"/>
        <v>28.090000000000003</v>
      </c>
      <c r="D17" s="27">
        <v>184.00000000000003</v>
      </c>
      <c r="E17" s="336">
        <f t="shared" si="10"/>
        <v>162</v>
      </c>
      <c r="F17" s="13">
        <v>0.39</v>
      </c>
      <c r="G17" s="7">
        <v>194.71</v>
      </c>
      <c r="H17" s="337">
        <f t="shared" si="3"/>
        <v>161.97472081237797</v>
      </c>
      <c r="I17" s="337">
        <f t="shared" si="11"/>
        <v>-610.275279187622</v>
      </c>
      <c r="J17" s="338">
        <f t="shared" si="12"/>
        <v>1.0331390954907544</v>
      </c>
      <c r="K17" s="339">
        <f t="shared" si="13"/>
        <v>-1.0145959416162336</v>
      </c>
      <c r="L17" s="339">
        <f>IF(J17="","",IF(G16&lt;180,IF(AND(G17&gt;G16,G17&lt;SUM(G16+180)),SUM(((G17-G16)/SUM(E17-E16)*30)),IF(G17&lt;G16,SUM(((G17-G16)/SUM(E17-E16)*30)),SUM(((G16+(360-G17))*(-1))/SUM(E17-E16)*30))),IF(G17&gt;G16,SUM(((G17-G16)/SUM(E17-E16)*30)),IF(G17&gt;SUM(G16-180),SUM(((G17-G16)/SUM(E17-E16)*30)),SUM(((360-G16+G17)/SUM(E17-E16)*30))))))</f>
        <v>15.485938056247772</v>
      </c>
      <c r="M17" s="339">
        <f t="shared" si="4"/>
        <v>6</v>
      </c>
      <c r="N17" s="340">
        <f t="shared" si="5"/>
        <v>169.12819249626415</v>
      </c>
      <c r="O17" s="341" t="str">
        <f t="shared" si="6"/>
        <v>Mag</v>
      </c>
      <c r="P17" s="342">
        <f t="shared" si="7"/>
        <v>-0.15833333333333335</v>
      </c>
      <c r="Q17" s="343">
        <f t="shared" si="8"/>
        <v>4.8368128653892155</v>
      </c>
      <c r="R17" s="10">
        <f t="shared" si="0"/>
        <v>184.00000000000003</v>
      </c>
      <c r="S17" s="337">
        <f t="shared" si="1"/>
        <v>189.00000000000003</v>
      </c>
      <c r="T17" s="12">
        <v>5</v>
      </c>
      <c r="U17" s="8" t="s">
        <v>463</v>
      </c>
      <c r="V17" s="202" t="str">
        <f>IF(OR(E17="",E17&lt;$U$2),"",ProjTvdAtBit(E17,F17,G17,H17,D17,W17,X17))</f>
        <v/>
      </c>
      <c r="W17" s="344" t="str">
        <f>IF(OR(E17="",E17&lt;$U$2),"",ProjIncAtBit(F17,J17,C17,M17,AJ17,IF(AK17="",0,AK17)))</f>
        <v/>
      </c>
      <c r="X17" s="455" t="str">
        <f>IF(OR(E17="",E17&lt;$U$2),"",ProjAzmAtBit(F17,G17,J17,C17,M17,AJ17,IF(AK17="",0,AK17)))</f>
        <v/>
      </c>
      <c r="Y17" s="461"/>
      <c r="Z17" s="206"/>
      <c r="AA17" s="512" t="str">
        <f t="shared" si="17"/>
        <v/>
      </c>
      <c r="AB17" s="520" t="str">
        <f t="shared" si="18"/>
        <v/>
      </c>
      <c r="AC17" s="524">
        <v>3900</v>
      </c>
      <c r="AD17" s="514">
        <v>3077.5</v>
      </c>
      <c r="AE17" s="537">
        <f t="shared" si="16"/>
        <v>91.575832599752175</v>
      </c>
      <c r="AF17"/>
      <c r="AG17"/>
      <c r="AJ17" s="452">
        <f>IF(OR(E17="",D17=""),0,ProjSlideMetersBetween(E17,D17,$R$13:$R$305,$S$13:$S$305))</f>
        <v>0</v>
      </c>
      <c r="AK17" s="452">
        <f>IF(U17="","",ProjParseTF(U17))</f>
        <v>340</v>
      </c>
      <c r="AL17" s="219">
        <f>IF(E17="","",ProjCumN(AL16,E16,F16,G16,E17,F17,G17,FALSE))</f>
        <v>-2.2299475733878431</v>
      </c>
      <c r="AM17" s="331">
        <f>IF(E17="","",ProjCumE(AM16,E16,F16,G16,E17,F17,G17,FALSE))</f>
        <v>6.7650473658593877E-2</v>
      </c>
      <c r="AN17" s="330" t="str">
        <f t="shared" si="15"/>
        <v/>
      </c>
      <c r="AO17" s="330" t="str">
        <f>IF(OR(E17="",E17&lt;$U$2),"",ProjActiveTargetMdEx(D17,W17,V17,ProjTargets_MD,ProjTargets_INC,ProjTargets_AZM,ProjTargets_TVD,F17,H17))</f>
        <v/>
      </c>
      <c r="AP17" s="207" t="str">
        <f>IF(OR(E17="",E17&lt;$U$2),"",ProjBitN(E17,F17,G17,AL17,D17,W17,X17))</f>
        <v/>
      </c>
      <c r="AQ17" s="207" t="str">
        <f>IF(OR(E17="",E17&lt;$U$2),"",ProjBitE(E17,F17,G17,AM17,D17,W17,X17))</f>
        <v/>
      </c>
      <c r="AR17" s="207" t="str">
        <f>IF(OR(E17="",E17&lt;$U$2,AO17=""),"",ProjBurr(D17,W17,X17,Q17,C17,ProjTargets_MD,ProjTargets_INC,ProjTargets_AZM,ProjTargets_TVD,V17))</f>
        <v/>
      </c>
      <c r="AS17" s="207" t="str">
        <f>IF(OR(E17="",E17&lt;$U$2,AO17=""),"",ProjMetersToSlide(D17,W17,X17,Q17,C17,ProjTargets_MD,ProjTargets_INC,ProjTargets_AZM,ProjTargets_TVD,V17))</f>
        <v/>
      </c>
      <c r="AT17" s="207" t="str">
        <f>IF(OR(E17="",E17&lt;$U$2,AO17=""),"",ProjRequiredTf(D17,W17,X17,ProjTargets_MD,ProjTargets_INC,ProjTargets_AZM,ProjTargets_TVD,5,V17))</f>
        <v/>
      </c>
    </row>
    <row r="18" spans="2:46" s="209" customFormat="1" ht="13.95" customHeight="1" x14ac:dyDescent="0.3">
      <c r="B18" s="208">
        <f t="shared" si="2"/>
        <v>22</v>
      </c>
      <c r="C18" s="335">
        <f t="shared" si="9"/>
        <v>28.090000000000003</v>
      </c>
      <c r="D18" s="27">
        <v>212.09000000000003</v>
      </c>
      <c r="E18" s="336">
        <f t="shared" si="10"/>
        <v>190.09</v>
      </c>
      <c r="F18" s="13">
        <v>1.22</v>
      </c>
      <c r="G18" s="7">
        <v>12.4</v>
      </c>
      <c r="H18" s="337">
        <f>IF(ISNUMBER(F18),COS(((F18+F17)/2)*(PI()/180))*(E18-E17)+H17,"")</f>
        <v>190.06194837914981</v>
      </c>
      <c r="I18" s="337">
        <f t="shared" si="11"/>
        <v>-582.18805162085016</v>
      </c>
      <c r="J18" s="338">
        <f>IF(AND(ISNUMBER(E18),ISNUMBER(F18),ISNUMBER(G18)),ACOS(SIN(F17*PI()/180)*SIN(F18*PI()/180)*COS((G18*PI()/180)-(G17*PI()/180))+COS(F17*PI()/180)*COS(F18*PI()/180))*30/(E18-E17)*180/PI(),"")</f>
        <v>1.7192166079629989</v>
      </c>
      <c r="K18" s="339">
        <f>IF(F18=0," ",SUM(F18-F17)/SUM(E18-E17)*30)</f>
        <v>0.88643645425418283</v>
      </c>
      <c r="L18" s="339">
        <f t="shared" si="14"/>
        <v>189.77216091135634</v>
      </c>
      <c r="M18" s="339">
        <f t="shared" si="4"/>
        <v>5</v>
      </c>
      <c r="N18" s="340">
        <f>IF(J18=0,"",IF(AND(ISNUMBER(F18),ISNUMBER(J18)),(IF(AND(F18&gt;F17,G18=G17),0,IF(AND(F18&lt;F17,G18=G17),180,IF(AND(G17=0,G18&gt;0),G18,ACOS((C18*K18/30)/(C18*J18/30))*180/PI())))),""))</f>
        <v>58.962106141662929</v>
      </c>
      <c r="O18" s="341" t="str">
        <f>IF(F18="","",IF(N18="","",IF(F18&lt;5,"Mag",IF(L18&lt;0,"L",IF(N18=0,"HS",IF(N18=360,"HS",IF(N18=180,"LS","R")))))))</f>
        <v>Mag</v>
      </c>
      <c r="P18" s="342">
        <f>IF(F18="","",IF(M18="","",SUM((F18-F17)/M18)))</f>
        <v>0.16599999999999998</v>
      </c>
      <c r="Q18" s="343">
        <f>IF(ISBLANK(F18),"",IF(J18="", "", IF(M18="","",SUM(C18*J18/M18))))</f>
        <v>9.6585589035361288</v>
      </c>
      <c r="R18" s="10" t="str">
        <f t="shared" si="0"/>
        <v/>
      </c>
      <c r="S18" s="337" t="str">
        <f t="shared" si="1"/>
        <v/>
      </c>
      <c r="T18" s="12"/>
      <c r="U18" s="8"/>
      <c r="V18" s="202" t="str">
        <f>IF(OR(E18="",E18&lt;$U$2),"",ProjTvdAtBit(E18,F18,G18,H18,D18,W18,X18))</f>
        <v/>
      </c>
      <c r="W18" s="344" t="str">
        <f>IF(OR(E18="",E18&lt;$U$2),"",ProjIncAtBit(F18,J18,C18,M18,AJ18,IF(AK18="",0,AK18)))</f>
        <v/>
      </c>
      <c r="X18" s="455" t="str">
        <f>IF(OR(E18="",E18&lt;$U$2),"",ProjAzmAtBit(F18,G18,J18,C18,M18,AJ18,IF(AK18="",0,AK18)))</f>
        <v/>
      </c>
      <c r="Y18" s="461"/>
      <c r="Z18" s="206"/>
      <c r="AA18" s="512" t="str">
        <f t="shared" si="17"/>
        <v/>
      </c>
      <c r="AB18" s="520" t="str">
        <f t="shared" si="18"/>
        <v/>
      </c>
      <c r="AC18" s="524">
        <v>4100</v>
      </c>
      <c r="AD18" s="514">
        <v>3076</v>
      </c>
      <c r="AE18" s="537">
        <f t="shared" si="16"/>
        <v>90.429722375059583</v>
      </c>
      <c r="AF18"/>
      <c r="AG18"/>
      <c r="AJ18" s="452">
        <f>IF(OR(E18="",D18=""),0,ProjSlideMetersBetween(E18,D18,$R$13:$R$305,$S$13:$S$305))</f>
        <v>0</v>
      </c>
      <c r="AK18" s="452" t="str">
        <f>IF(U18="","",ProjParseTF(U18))</f>
        <v/>
      </c>
      <c r="AL18" s="219">
        <f>IF(E18="","",ProjCumN(AL17,E17,F17,G17,E18,F18,G18,FALSE))</f>
        <v>-2.0303395782733711</v>
      </c>
      <c r="AM18" s="331">
        <f>IF(E18="","",ProjCumE(AM17,E17,F17,G17,E18,F18,G18,FALSE))</f>
        <v>0.10759154945487298</v>
      </c>
      <c r="AN18" s="330" t="str">
        <f t="shared" si="15"/>
        <v/>
      </c>
      <c r="AO18" s="330" t="str">
        <f>IF(OR(E18="",E18&lt;$U$2),"",ProjActiveTargetMdEx(D18,W18,V18,ProjTargets_MD,ProjTargets_INC,ProjTargets_AZM,ProjTargets_TVD,F18,H18))</f>
        <v/>
      </c>
      <c r="AP18" s="207" t="str">
        <f>IF(OR(E18="",E18&lt;$U$2),"",ProjBitN(E18,F18,G18,AL18,D18,W18,X18))</f>
        <v/>
      </c>
      <c r="AQ18" s="207" t="str">
        <f>IF(OR(E18="",E18&lt;$U$2),"",ProjBitE(E18,F18,G18,AM18,D18,W18,X18))</f>
        <v/>
      </c>
      <c r="AR18" s="207" t="str">
        <f>IF(OR(E18="",E18&lt;$U$2,AO18=""),"",ProjBurr(D18,W18,X18,Q18,C18,ProjTargets_MD,ProjTargets_INC,ProjTargets_AZM,ProjTargets_TVD,V18))</f>
        <v/>
      </c>
      <c r="AS18" s="207" t="str">
        <f>IF(OR(E18="",E18&lt;$U$2,AO18=""),"",ProjMetersToSlide(D18,W18,X18,Q18,C18,ProjTargets_MD,ProjTargets_INC,ProjTargets_AZM,ProjTargets_TVD,V18))</f>
        <v/>
      </c>
      <c r="AT18" s="207" t="str">
        <f>IF(OR(E18="",E18&lt;$U$2,AO18=""),"",ProjRequiredTf(D18,W18,X18,ProjTargets_MD,ProjTargets_INC,ProjTargets_AZM,ProjTargets_TVD,5,V18))</f>
        <v/>
      </c>
    </row>
    <row r="19" spans="2:46" s="209" customFormat="1" ht="13.95" customHeight="1" x14ac:dyDescent="0.3">
      <c r="B19" s="208">
        <f t="shared" si="2"/>
        <v>22</v>
      </c>
      <c r="C19" s="335">
        <f t="shared" si="9"/>
        <v>28.060000000000002</v>
      </c>
      <c r="D19" s="27">
        <v>240.15000000000003</v>
      </c>
      <c r="E19" s="336">
        <f t="shared" si="10"/>
        <v>218.15</v>
      </c>
      <c r="F19" s="13">
        <v>1.61</v>
      </c>
      <c r="G19" s="7">
        <v>11.61</v>
      </c>
      <c r="H19" s="337">
        <f>IF(ISNUMBER(F19),COS(((F19+F18)/2)*(PI()/180))*(E19-E18)+H18,"")</f>
        <v>218.11339174009819</v>
      </c>
      <c r="I19" s="337">
        <f t="shared" si="11"/>
        <v>-554.13660825990178</v>
      </c>
      <c r="J19" s="338">
        <f>IF(AND(ISNUMBER(E19),ISNUMBER(F19),ISNUMBER(G19)),ACOS(SIN(F18*PI()/180)*SIN(F19*PI()/180)*COS((G19*PI()/180)-(G18*PI()/180))+COS(F18*PI()/180)*COS(F19*PI()/180))*30/(E19-E18)*180/PI(),"")</f>
        <v>0.41747506479187291</v>
      </c>
      <c r="K19" s="339">
        <f>IF(F19=0," ",SUM(F19-F18)/SUM(E19-E18)*30)</f>
        <v>0.4169636493228796</v>
      </c>
      <c r="L19" s="339">
        <f t="shared" si="14"/>
        <v>-0.84461867426942361</v>
      </c>
      <c r="M19" s="339" t="str">
        <f t="shared" si="4"/>
        <v/>
      </c>
      <c r="N19" s="340">
        <f>IF(J19=0,"",IF(AND(ISNUMBER(F19),ISNUMBER(J19)),(IF(AND(F19&gt;F18,G19=G18),0,IF(AND(F19&lt;F18,G19=G18),180,IF(AND(G18=0,G19&gt;0),G19,ACOS((C19*K19/30)/(C19*J19/30))*180/PI())))),""))</f>
        <v>2.8363095996515759</v>
      </c>
      <c r="O19" s="341" t="str">
        <f>IF(F19="","",IF(N19="","",IF(F19&lt;5,"Mag",IF(L19&lt;0,"L",IF(N19=0,"HS",IF(N19=360,"HS",IF(N19=180,"LS","R")))))))</f>
        <v>Mag</v>
      </c>
      <c r="P19" s="342" t="str">
        <f>IF(F19="","",IF(M19="","",SUM((F19-F18)/M19)))</f>
        <v/>
      </c>
      <c r="Q19" s="343" t="str">
        <f>IF(ISBLANK(F19),"",IF(J19="", "", IF(M19="","",SUM(C19*J19/M19))))</f>
        <v/>
      </c>
      <c r="R19" s="10" t="str">
        <f t="shared" si="0"/>
        <v/>
      </c>
      <c r="S19" s="337" t="str">
        <f t="shared" si="1"/>
        <v/>
      </c>
      <c r="T19" s="12"/>
      <c r="U19" s="8"/>
      <c r="V19" s="202" t="str">
        <f>IF(OR(E19="",E19&lt;$U$2),"",ProjTvdAtBit(E19,F19,G19,H19,D19,W19,X19))</f>
        <v/>
      </c>
      <c r="W19" s="344" t="str">
        <f>IF(OR(E19="",E19&lt;$U$2),"",ProjIncAtBit(F19,J19,C19,M19,AJ19,IF(AK19="",0,AK19)))</f>
        <v/>
      </c>
      <c r="X19" s="455" t="str">
        <f>IF(OR(E19="",E19&lt;$U$2),"",ProjAzmAtBit(F19,G19,J19,C19,M19,AJ19,IF(AK19="",0,AK19)))</f>
        <v/>
      </c>
      <c r="Y19" s="461"/>
      <c r="Z19" s="206"/>
      <c r="AA19" s="512" t="str">
        <f t="shared" si="17"/>
        <v/>
      </c>
      <c r="AB19" s="520" t="str">
        <f t="shared" si="18"/>
        <v/>
      </c>
      <c r="AC19" s="524">
        <v>4300</v>
      </c>
      <c r="AD19" s="514">
        <v>3074.5</v>
      </c>
      <c r="AE19" s="537">
        <f t="shared" si="16"/>
        <v>90.429722375059583</v>
      </c>
      <c r="AF19"/>
      <c r="AG19"/>
      <c r="AJ19" s="452">
        <f>IF(OR(E19="",D19=""),0,ProjSlideMetersBetween(E19,D19,$R$13:$R$305,$S$13:$S$305))</f>
        <v>0</v>
      </c>
      <c r="AK19" s="452" t="str">
        <f>IF(U19="","",ProjParseTF(U19))</f>
        <v/>
      </c>
      <c r="AL19" s="219">
        <f>IF(E19="","",ProjCumN(AL18,E18,F18,G18,E19,F19,G19,FALSE))</f>
        <v>-1.3524636331750379</v>
      </c>
      <c r="AM19" s="331">
        <f>IF(E19="","",ProjCumE(AM18,E18,F18,G18,E19,F19,G19,FALSE))</f>
        <v>0.25106747134213026</v>
      </c>
      <c r="AN19" s="330" t="str">
        <f t="shared" si="15"/>
        <v/>
      </c>
      <c r="AO19" s="330" t="str">
        <f>IF(OR(E19="",E19&lt;$U$2),"",ProjActiveTargetMdEx(D19,W19,V19,ProjTargets_MD,ProjTargets_INC,ProjTargets_AZM,ProjTargets_TVD,F19,H19))</f>
        <v/>
      </c>
      <c r="AP19" s="207" t="str">
        <f>IF(OR(E19="",E19&lt;$U$2),"",ProjBitN(E19,F19,G19,AL19,D19,W19,X19))</f>
        <v/>
      </c>
      <c r="AQ19" s="207" t="str">
        <f>IF(OR(E19="",E19&lt;$U$2),"",ProjBitE(E19,F19,G19,AM19,D19,W19,X19))</f>
        <v/>
      </c>
      <c r="AR19" s="207" t="str">
        <f>IF(OR(E19="",E19&lt;$U$2,AO19=""),"",ProjBurr(D19,W19,X19,Q19,C19,ProjTargets_MD,ProjTargets_INC,ProjTargets_AZM,ProjTargets_TVD,V19))</f>
        <v/>
      </c>
      <c r="AS19" s="207" t="str">
        <f>IF(OR(E19="",E19&lt;$U$2,AO19=""),"",ProjMetersToSlide(D19,W19,X19,Q19,C19,ProjTargets_MD,ProjTargets_INC,ProjTargets_AZM,ProjTargets_TVD,V19))</f>
        <v/>
      </c>
      <c r="AT19" s="207" t="str">
        <f>IF(OR(E19="",E19&lt;$U$2,AO19=""),"",ProjRequiredTf(D19,W19,X19,ProjTargets_MD,ProjTargets_INC,ProjTargets_AZM,ProjTargets_TVD,5,V19))</f>
        <v/>
      </c>
    </row>
    <row r="20" spans="2:46" s="209" customFormat="1" ht="13.95" customHeight="1" x14ac:dyDescent="0.3">
      <c r="B20" s="208">
        <f t="shared" si="2"/>
        <v>22</v>
      </c>
      <c r="C20" s="335">
        <f t="shared" si="9"/>
        <v>28.04000000000002</v>
      </c>
      <c r="D20" s="27">
        <v>268.19000000000005</v>
      </c>
      <c r="E20" s="336">
        <f t="shared" si="10"/>
        <v>246.19</v>
      </c>
      <c r="F20" s="13">
        <v>1.76</v>
      </c>
      <c r="G20" s="7">
        <v>10.86</v>
      </c>
      <c r="H20" s="337">
        <f>IF(ISNUMBER(F20),COS(((F20+F19)/2)*(PI()/180))*(E20-E19)+H19,"")</f>
        <v>246.14126703294181</v>
      </c>
      <c r="I20" s="337">
        <f t="shared" si="11"/>
        <v>-526.10873296705813</v>
      </c>
      <c r="J20" s="338">
        <f>IF(AND(ISNUMBER(E20),ISNUMBER(F20),ISNUMBER(G20)),ACOS(SIN(F19*PI()/180)*SIN(F20*PI()/180)*COS((G20*PI()/180)-(G19*PI()/180))+COS(F19*PI()/180)*COS(F20*PI()/180))*30/(E20-E19)*180/PI(),"")</f>
        <v>0.16220682317368995</v>
      </c>
      <c r="K20" s="339">
        <f>IF(F20=0," ",SUM(F20-F19)/SUM(E20-E19)*30)</f>
        <v>0.1604850213980028</v>
      </c>
      <c r="L20" s="339">
        <f t="shared" si="14"/>
        <v>-0.80242510699001446</v>
      </c>
      <c r="M20" s="339" t="str">
        <f t="shared" si="4"/>
        <v/>
      </c>
      <c r="N20" s="340">
        <f>IF(J20=0,"",IF(AND(ISNUMBER(F20),ISNUMBER(J20)),(IF(AND(F20&gt;F19,G20=G19),0,IF(AND(F20&lt;F19,G20=G19),180,IF(AND(G19=0,G20&gt;0),G20,ACOS((C20*K20/30)/(C20*J20/30))*180/PI())))),""))</f>
        <v>8.3556369308932776</v>
      </c>
      <c r="O20" s="341" t="str">
        <f t="shared" si="6"/>
        <v>Mag</v>
      </c>
      <c r="P20" s="342" t="str">
        <f>IF(F20="","",IF(M20="","",SUM((F20-F19)/M20)))</f>
        <v/>
      </c>
      <c r="Q20" s="343" t="str">
        <f t="shared" si="8"/>
        <v/>
      </c>
      <c r="R20" s="10">
        <f t="shared" si="0"/>
        <v>268.19000000000005</v>
      </c>
      <c r="S20" s="337">
        <f t="shared" si="1"/>
        <v>273.19000000000005</v>
      </c>
      <c r="T20" s="12">
        <v>5</v>
      </c>
      <c r="U20" s="8" t="s">
        <v>464</v>
      </c>
      <c r="V20" s="202" t="str">
        <f>IF(OR(E20="",E20&lt;$U$2),"",ProjTvdAtBit(E20,F20,G20,H20,D20,W20,X20))</f>
        <v/>
      </c>
      <c r="W20" s="344" t="str">
        <f>IF(OR(E20="",E20&lt;$U$2),"",ProjIncAtBit(F20,J20,C20,M20,AJ20,IF(AK20="",0,AK20)))</f>
        <v/>
      </c>
      <c r="X20" s="455" t="str">
        <f>IF(OR(E20="",E20&lt;$U$2),"",ProjAzmAtBit(F20,G20,J20,C20,M20,AJ20,IF(AK20="",0,AK20)))</f>
        <v/>
      </c>
      <c r="Y20" s="461"/>
      <c r="Z20" s="206"/>
      <c r="AA20" s="512" t="str">
        <f t="shared" si="17"/>
        <v/>
      </c>
      <c r="AB20" s="520" t="str">
        <f t="shared" si="18"/>
        <v/>
      </c>
      <c r="AC20" s="524">
        <v>4500</v>
      </c>
      <c r="AD20" s="514">
        <v>3072.5</v>
      </c>
      <c r="AE20" s="537">
        <f t="shared" si="16"/>
        <v>90.572967344857148</v>
      </c>
      <c r="AF20"/>
      <c r="AG20"/>
      <c r="AJ20" s="452">
        <f>IF(OR(E20="",D20=""),0,ProjSlideMetersBetween(E20,D20,$R$13:$R$305,$S$13:$S$305))</f>
        <v>0</v>
      </c>
      <c r="AK20" s="452">
        <f>IF(U20="","",ProjParseTF(U20))</f>
        <v>190</v>
      </c>
      <c r="AL20" s="219">
        <f>IF(E20="","",ProjCumN(AL19,E19,F19,G19,E20,F20,G20,FALSE))</f>
        <v>-0.54373108575467544</v>
      </c>
      <c r="AM20" s="331">
        <f>IF(E20="","",ProjCumE(AM19,E19,F19,G19,E20,F20,G20,FALSE))</f>
        <v>0.41146947058290173</v>
      </c>
      <c r="AN20" s="330" t="str">
        <f t="shared" si="15"/>
        <v/>
      </c>
      <c r="AO20" s="330" t="str">
        <f>IF(OR(E20="",E20&lt;$U$2),"",ProjActiveTargetMdEx(D20,W20,V20,ProjTargets_MD,ProjTargets_INC,ProjTargets_AZM,ProjTargets_TVD,F20,H20))</f>
        <v/>
      </c>
      <c r="AP20" s="207" t="str">
        <f>IF(OR(E20="",E20&lt;$U$2),"",ProjBitN(E20,F20,G20,AL20,D20,W20,X20))</f>
        <v/>
      </c>
      <c r="AQ20" s="207" t="str">
        <f>IF(OR(E20="",E20&lt;$U$2),"",ProjBitE(E20,F20,G20,AM20,D20,W20,X20))</f>
        <v/>
      </c>
      <c r="AR20" s="207" t="str">
        <f>IF(OR(E20="",E20&lt;$U$2,AO20=""),"",ProjBurr(D20,W20,X20,Q20,C20,ProjTargets_MD,ProjTargets_INC,ProjTargets_AZM,ProjTargets_TVD,V20))</f>
        <v/>
      </c>
      <c r="AS20" s="207" t="str">
        <f>IF(OR(E20="",E20&lt;$U$2,AO20=""),"",ProjMetersToSlide(D20,W20,X20,Q20,C20,ProjTargets_MD,ProjTargets_INC,ProjTargets_AZM,ProjTargets_TVD,V20))</f>
        <v/>
      </c>
      <c r="AT20" s="207" t="str">
        <f>IF(OR(E20="",E20&lt;$U$2,AO20=""),"",ProjRequiredTf(D20,W20,X20,ProjTargets_MD,ProjTargets_INC,ProjTargets_AZM,ProjTargets_TVD,5,V20))</f>
        <v/>
      </c>
    </row>
    <row r="21" spans="2:46" s="209" customFormat="1" ht="13.95" customHeight="1" x14ac:dyDescent="0.3">
      <c r="B21" s="208">
        <f t="shared" si="2"/>
        <v>22</v>
      </c>
      <c r="C21" s="335">
        <f t="shared" si="9"/>
        <v>28.110000000000014</v>
      </c>
      <c r="D21" s="27">
        <v>296.30000000000007</v>
      </c>
      <c r="E21" s="336">
        <f t="shared" si="10"/>
        <v>274.3</v>
      </c>
      <c r="F21" s="13">
        <v>0.83</v>
      </c>
      <c r="G21" s="7">
        <v>10.51</v>
      </c>
      <c r="H21" s="337">
        <f t="shared" si="3"/>
        <v>274.24408732739187</v>
      </c>
      <c r="I21" s="337">
        <f t="shared" si="11"/>
        <v>-498.00591267260813</v>
      </c>
      <c r="J21" s="338">
        <f t="shared" si="12"/>
        <v>0.99256062104229115</v>
      </c>
      <c r="K21" s="339">
        <f t="shared" si="13"/>
        <v>-0.99252934898612555</v>
      </c>
      <c r="L21" s="339">
        <f t="shared" si="14"/>
        <v>-0.37353255069370278</v>
      </c>
      <c r="M21" s="339">
        <f t="shared" si="4"/>
        <v>5</v>
      </c>
      <c r="N21" s="340">
        <f t="shared" si="5"/>
        <v>179.54518113639963</v>
      </c>
      <c r="O21" s="341" t="str">
        <f t="shared" si="6"/>
        <v>Mag</v>
      </c>
      <c r="P21" s="342">
        <f t="shared" si="7"/>
        <v>-0.186</v>
      </c>
      <c r="Q21" s="343">
        <f t="shared" si="8"/>
        <v>5.580175811499763</v>
      </c>
      <c r="R21" s="10" t="str">
        <f t="shared" si="0"/>
        <v/>
      </c>
      <c r="S21" s="337" t="str">
        <f t="shared" si="1"/>
        <v/>
      </c>
      <c r="T21" s="12"/>
      <c r="U21" s="8"/>
      <c r="V21" s="202" t="str">
        <f>IF(OR(E21="",E21&lt;$U$2),"",ProjTvdAtBit(E21,F21,G21,H21,D21,W21,X21))</f>
        <v/>
      </c>
      <c r="W21" s="344" t="str">
        <f>IF(OR(E21="",E21&lt;$U$2),"",ProjIncAtBit(F21,J21,C21,M21,AJ21,IF(AK21="",0,AK21)))</f>
        <v/>
      </c>
      <c r="X21" s="455" t="str">
        <f>IF(OR(E21="",E21&lt;$U$2),"",ProjAzmAtBit(F21,G21,J21,C21,M21,AJ21,IF(AK21="",0,AK21)))</f>
        <v/>
      </c>
      <c r="Y21" s="461"/>
      <c r="Z21" s="206"/>
      <c r="AA21" s="512" t="str">
        <f t="shared" si="17"/>
        <v/>
      </c>
      <c r="AB21" s="520" t="str">
        <f t="shared" si="18"/>
        <v/>
      </c>
      <c r="AC21" s="524">
        <v>4700</v>
      </c>
      <c r="AD21" s="514">
        <v>3071</v>
      </c>
      <c r="AE21" s="537">
        <f t="shared" si="16"/>
        <v>90.429722375059583</v>
      </c>
      <c r="AF21"/>
      <c r="AG21"/>
      <c r="AJ21" s="452">
        <f>IF(OR(E21="",D21=""),0,ProjSlideMetersBetween(E21,D21,$R$13:$R$305,$S$13:$S$305))</f>
        <v>0</v>
      </c>
      <c r="AK21" s="452" t="str">
        <f>IF(U21="","",ProjParseTF(U21))</f>
        <v/>
      </c>
      <c r="AL21" s="219">
        <f>IF(E21="","",ProjCumN(AL20,E20,F20,G20,E21,F21,G21,FALSE))</f>
        <v>8.0403472315582758E-2</v>
      </c>
      <c r="AM21" s="331">
        <f>IF(E21="","",ProjCumE(AM20,E20,F20,G20,E21,F21,G21,FALSE))</f>
        <v>0.52994061392360692</v>
      </c>
      <c r="AN21" s="330" t="str">
        <f t="shared" si="15"/>
        <v/>
      </c>
      <c r="AO21" s="330" t="str">
        <f>IF(OR(E21="",E21&lt;$U$2),"",ProjActiveTargetMdEx(D21,W21,V21,ProjTargets_MD,ProjTargets_INC,ProjTargets_AZM,ProjTargets_TVD,F21,H21))</f>
        <v/>
      </c>
      <c r="AP21" s="207" t="str">
        <f>IF(OR(E21="",E21&lt;$U$2),"",ProjBitN(E21,F21,G21,AL21,D21,W21,X21))</f>
        <v/>
      </c>
      <c r="AQ21" s="207" t="str">
        <f>IF(OR(E21="",E21&lt;$U$2),"",ProjBitE(E21,F21,G21,AM21,D21,W21,X21))</f>
        <v/>
      </c>
      <c r="AR21" s="207" t="str">
        <f>IF(OR(E21="",E21&lt;$U$2,AO21=""),"",ProjBurr(D21,W21,X21,Q21,C21,ProjTargets_MD,ProjTargets_INC,ProjTargets_AZM,ProjTargets_TVD,V21))</f>
        <v/>
      </c>
      <c r="AS21" s="207" t="str">
        <f>IF(OR(E21="",E21&lt;$U$2,AO21=""),"",ProjMetersToSlide(D21,W21,X21,Q21,C21,ProjTargets_MD,ProjTargets_INC,ProjTargets_AZM,ProjTargets_TVD,V21))</f>
        <v/>
      </c>
      <c r="AT21" s="207" t="str">
        <f>IF(OR(E21="",E21&lt;$U$2,AO21=""),"",ProjRequiredTf(D21,W21,X21,ProjTargets_MD,ProjTargets_INC,ProjTargets_AZM,ProjTargets_TVD,5,V21))</f>
        <v/>
      </c>
    </row>
    <row r="22" spans="2:46" s="209" customFormat="1" ht="13.95" customHeight="1" x14ac:dyDescent="0.3">
      <c r="B22" s="208">
        <f t="shared" si="2"/>
        <v>22</v>
      </c>
      <c r="C22" s="335">
        <f t="shared" si="9"/>
        <v>28.080000000000041</v>
      </c>
      <c r="D22" s="27">
        <v>324.38000000000011</v>
      </c>
      <c r="E22" s="336">
        <f t="shared" si="10"/>
        <v>302.38</v>
      </c>
      <c r="F22" s="13">
        <v>0.44</v>
      </c>
      <c r="G22" s="7">
        <v>352.93</v>
      </c>
      <c r="H22" s="337">
        <f>IF(ISNUMBER(F22),COS(((F22+F21)/2)*(PI()/180))*(E22-E21)+H21,"")</f>
        <v>302.32236282084193</v>
      </c>
      <c r="I22" s="337">
        <f t="shared" si="11"/>
        <v>-469.92763717915807</v>
      </c>
      <c r="J22" s="338">
        <f t="shared" si="12"/>
        <v>0.46102779663788185</v>
      </c>
      <c r="K22" s="339">
        <f t="shared" si="13"/>
        <v>-0.41666666666666685</v>
      </c>
      <c r="L22" s="339">
        <f t="shared" si="14"/>
        <v>-18.782051282051281</v>
      </c>
      <c r="M22" s="339" t="str">
        <f t="shared" si="4"/>
        <v/>
      </c>
      <c r="N22" s="340">
        <f t="shared" si="5"/>
        <v>154.65916691341792</v>
      </c>
      <c r="O22" s="341" t="str">
        <f t="shared" si="6"/>
        <v>Mag</v>
      </c>
      <c r="P22" s="342" t="str">
        <f t="shared" si="7"/>
        <v/>
      </c>
      <c r="Q22" s="343" t="str">
        <f t="shared" si="8"/>
        <v/>
      </c>
      <c r="R22" s="10" t="str">
        <f t="shared" si="0"/>
        <v/>
      </c>
      <c r="S22" s="337" t="str">
        <f t="shared" si="1"/>
        <v/>
      </c>
      <c r="T22" s="12"/>
      <c r="U22" s="8"/>
      <c r="V22" s="202" t="str">
        <f>IF(OR(E22="",E22&lt;$U$2),"",ProjTvdAtBit(E22,F22,G22,H22,D22,W22,X22))</f>
        <v/>
      </c>
      <c r="W22" s="344" t="str">
        <f>IF(OR(E22="",E22&lt;$U$2),"",ProjIncAtBit(F22,J22,C22,M22,AJ22,IF(AK22="",0,AK22)))</f>
        <v/>
      </c>
      <c r="X22" s="455" t="str">
        <f>IF(OR(E22="",E22&lt;$U$2),"",ProjAzmAtBit(F22,G22,J22,C22,M22,AJ22,IF(AK22="",0,AK22)))</f>
        <v/>
      </c>
      <c r="Y22" s="461"/>
      <c r="Z22" s="206"/>
      <c r="AA22" s="512" t="str">
        <f t="shared" si="17"/>
        <v/>
      </c>
      <c r="AB22" s="520" t="str">
        <f t="shared" si="18"/>
        <v/>
      </c>
      <c r="AC22" s="524">
        <v>4900</v>
      </c>
      <c r="AD22" s="514">
        <v>3068.5</v>
      </c>
      <c r="AE22" s="537">
        <f t="shared" si="16"/>
        <v>90.716215896194939</v>
      </c>
      <c r="AF22"/>
      <c r="AG22"/>
      <c r="AJ22" s="452">
        <f>IF(OR(E22="",D22=""),0,ProjSlideMetersBetween(E22,D22,$R$13:$R$305,$S$13:$S$305))</f>
        <v>0</v>
      </c>
      <c r="AK22" s="452" t="str">
        <f>IF(U22="","",ProjParseTF(U22))</f>
        <v/>
      </c>
      <c r="AL22" s="219">
        <f>IF(E22="","",ProjCumN(AL21,E21,F21,G21,E22,F22,G22,FALSE))</f>
        <v>0.3873710414515138</v>
      </c>
      <c r="AM22" s="331">
        <f>IF(E22="","",ProjCumE(AM21,E21,F21,G21,E22,F22,G22,FALSE))</f>
        <v>0.5537681244438053</v>
      </c>
      <c r="AN22" s="330" t="str">
        <f t="shared" si="15"/>
        <v/>
      </c>
      <c r="AO22" s="330" t="str">
        <f>IF(OR(E22="",E22&lt;$U$2),"",ProjActiveTargetMdEx(D22,W22,V22,ProjTargets_MD,ProjTargets_INC,ProjTargets_AZM,ProjTargets_TVD,F22,H22))</f>
        <v/>
      </c>
      <c r="AP22" s="207" t="str">
        <f>IF(OR(E22="",E22&lt;$U$2),"",ProjBitN(E22,F22,G22,AL22,D22,W22,X22))</f>
        <v/>
      </c>
      <c r="AQ22" s="207" t="str">
        <f>IF(OR(E22="",E22&lt;$U$2),"",ProjBitE(E22,F22,G22,AM22,D22,W22,X22))</f>
        <v/>
      </c>
      <c r="AR22" s="207" t="str">
        <f>IF(OR(E22="",E22&lt;$U$2,AO22=""),"",ProjBurr(D22,W22,X22,Q22,C22,ProjTargets_MD,ProjTargets_INC,ProjTargets_AZM,ProjTargets_TVD,V22))</f>
        <v/>
      </c>
      <c r="AS22" s="207" t="str">
        <f>IF(OR(E22="",E22&lt;$U$2,AO22=""),"",ProjMetersToSlide(D22,W22,X22,Q22,C22,ProjTargets_MD,ProjTargets_INC,ProjTargets_AZM,ProjTargets_TVD,V22))</f>
        <v/>
      </c>
      <c r="AT22" s="207" t="str">
        <f>IF(OR(E22="",E22&lt;$U$2,AO22=""),"",ProjRequiredTf(D22,W22,X22,ProjTargets_MD,ProjTargets_INC,ProjTargets_AZM,ProjTargets_TVD,5,V22))</f>
        <v/>
      </c>
    </row>
    <row r="23" spans="2:46" s="209" customFormat="1" ht="13.95" customHeight="1" x14ac:dyDescent="0.3">
      <c r="B23" s="208">
        <f t="shared" si="2"/>
        <v>22</v>
      </c>
      <c r="C23" s="335">
        <f t="shared" si="9"/>
        <v>28.039999999999964</v>
      </c>
      <c r="D23" s="27">
        <v>352.42000000000007</v>
      </c>
      <c r="E23" s="336">
        <f t="shared" si="10"/>
        <v>330.42</v>
      </c>
      <c r="F23" s="13">
        <v>0.63</v>
      </c>
      <c r="G23" s="7">
        <v>359.22</v>
      </c>
      <c r="H23" s="337">
        <f t="shared" si="3"/>
        <v>330.36114043824739</v>
      </c>
      <c r="I23" s="337">
        <f t="shared" si="11"/>
        <v>-441.88885956175261</v>
      </c>
      <c r="J23" s="338">
        <f t="shared" si="12"/>
        <v>0.21246973166258207</v>
      </c>
      <c r="K23" s="339">
        <f t="shared" si="13"/>
        <v>0.20328102710413679</v>
      </c>
      <c r="L23" s="339">
        <f t="shared" si="14"/>
        <v>6.7296718972896032</v>
      </c>
      <c r="M23" s="339" t="str">
        <f t="shared" si="4"/>
        <v/>
      </c>
      <c r="N23" s="340">
        <f t="shared" si="5"/>
        <v>16.911960856941512</v>
      </c>
      <c r="O23" s="341" t="str">
        <f t="shared" si="6"/>
        <v>Mag</v>
      </c>
      <c r="P23" s="342" t="str">
        <f t="shared" si="7"/>
        <v/>
      </c>
      <c r="Q23" s="343" t="str">
        <f t="shared" si="8"/>
        <v/>
      </c>
      <c r="R23" s="10" t="str">
        <f t="shared" si="0"/>
        <v/>
      </c>
      <c r="S23" s="337" t="str">
        <f t="shared" si="1"/>
        <v/>
      </c>
      <c r="T23" s="12"/>
      <c r="U23" s="8"/>
      <c r="V23" s="202" t="str">
        <f>IF(OR(E23="",E23&lt;$U$2),"",ProjTvdAtBit(E23,F23,G23,H23,D23,W23,X23))</f>
        <v/>
      </c>
      <c r="W23" s="344" t="str">
        <f>IF(OR(E23="",E23&lt;$U$2),"",ProjIncAtBit(F23,J23,C23,M23,AJ23,IF(AK23="",0,AK23)))</f>
        <v/>
      </c>
      <c r="X23" s="455" t="str">
        <f>IF(OR(E23="",E23&lt;$U$2),"",ProjAzmAtBit(F23,G23,J23,C23,M23,AJ23,IF(AK23="",0,AK23)))</f>
        <v/>
      </c>
      <c r="Y23" s="461"/>
      <c r="Z23" s="206"/>
      <c r="AA23" s="512" t="str">
        <f t="shared" si="17"/>
        <v/>
      </c>
      <c r="AB23" s="520" t="str">
        <f t="shared" si="18"/>
        <v/>
      </c>
      <c r="AC23" s="524">
        <v>5100</v>
      </c>
      <c r="AD23" s="514">
        <v>3067</v>
      </c>
      <c r="AE23" s="537">
        <f t="shared" si="16"/>
        <v>90.429722375059583</v>
      </c>
      <c r="AF23"/>
      <c r="AG23"/>
      <c r="AJ23" s="452">
        <f>IF(OR(E23="",D23=""),0,ProjSlideMetersBetween(E23,D23,$R$13:$R$305,$S$13:$S$305))</f>
        <v>0</v>
      </c>
      <c r="AK23" s="452" t="str">
        <f>IF(U23="","",ProjParseTF(U23))</f>
        <v/>
      </c>
      <c r="AL23" s="219">
        <f>IF(E23="","",ProjCumN(AL22,E22,F22,G22,E23,F23,G23,FALSE))</f>
        <v>0.64835804877125081</v>
      </c>
      <c r="AM23" s="331">
        <f>IF(E23="","",ProjCumE(AM22,E22,F22,G22,E23,F23,G23,FALSE))</f>
        <v>0.53841798928086526</v>
      </c>
      <c r="AN23" s="330" t="str">
        <f t="shared" si="15"/>
        <v/>
      </c>
      <c r="AO23" s="330" t="str">
        <f>IF(OR(E23="",E23&lt;$U$2),"",ProjActiveTargetMdEx(D23,W23,V23,ProjTargets_MD,ProjTargets_INC,ProjTargets_AZM,ProjTargets_TVD,F23,H23))</f>
        <v/>
      </c>
      <c r="AP23" s="207" t="str">
        <f>IF(OR(E23="",E23&lt;$U$2),"",ProjBitN(E23,F23,G23,AL23,D23,W23,X23))</f>
        <v/>
      </c>
      <c r="AQ23" s="207" t="str">
        <f>IF(OR(E23="",E23&lt;$U$2),"",ProjBitE(E23,F23,G23,AM23,D23,W23,X23))</f>
        <v/>
      </c>
      <c r="AR23" s="207" t="str">
        <f>IF(OR(E23="",E23&lt;$U$2,AO23=""),"",ProjBurr(D23,W23,X23,Q23,C23,ProjTargets_MD,ProjTargets_INC,ProjTargets_AZM,ProjTargets_TVD,V23))</f>
        <v/>
      </c>
      <c r="AS23" s="207" t="str">
        <f>IF(OR(E23="",E23&lt;$U$2,AO23=""),"",ProjMetersToSlide(D23,W23,X23,Q23,C23,ProjTargets_MD,ProjTargets_INC,ProjTargets_AZM,ProjTargets_TVD,V23))</f>
        <v/>
      </c>
      <c r="AT23" s="207" t="str">
        <f>IF(OR(E23="",E23&lt;$U$2,AO23=""),"",ProjRequiredTf(D23,W23,X23,ProjTargets_MD,ProjTargets_INC,ProjTargets_AZM,ProjTargets_TVD,5,V23))</f>
        <v/>
      </c>
    </row>
    <row r="24" spans="2:46" s="209" customFormat="1" ht="13.95" customHeight="1" x14ac:dyDescent="0.3">
      <c r="B24" s="208">
        <f t="shared" si="2"/>
        <v>22</v>
      </c>
      <c r="C24" s="335">
        <f t="shared" si="9"/>
        <v>28.060000000000002</v>
      </c>
      <c r="D24" s="27">
        <v>380.48000000000008</v>
      </c>
      <c r="E24" s="336">
        <f t="shared" si="10"/>
        <v>358.48</v>
      </c>
      <c r="F24" s="13">
        <v>0.71</v>
      </c>
      <c r="G24" s="7">
        <v>0.4</v>
      </c>
      <c r="H24" s="337">
        <f t="shared" si="3"/>
        <v>358.41922195918988</v>
      </c>
      <c r="I24" s="337">
        <f t="shared" si="11"/>
        <v>-413.83077804081012</v>
      </c>
      <c r="J24" s="338">
        <f t="shared" si="12"/>
        <v>8.678938865364548E-2</v>
      </c>
      <c r="K24" s="339">
        <f t="shared" si="13"/>
        <v>8.5531004989308573E-2</v>
      </c>
      <c r="L24" s="339">
        <f t="shared" si="14"/>
        <v>1.2615823235922727</v>
      </c>
      <c r="M24" s="339" t="str">
        <f t="shared" si="4"/>
        <v/>
      </c>
      <c r="N24" s="340">
        <f t="shared" si="5"/>
        <v>9.7687050841171441</v>
      </c>
      <c r="O24" s="341" t="str">
        <f t="shared" si="6"/>
        <v>Mag</v>
      </c>
      <c r="P24" s="342" t="str">
        <f t="shared" si="7"/>
        <v/>
      </c>
      <c r="Q24" s="343" t="str">
        <f t="shared" si="8"/>
        <v/>
      </c>
      <c r="R24" s="10" t="str">
        <f t="shared" si="0"/>
        <v/>
      </c>
      <c r="S24" s="337" t="str">
        <f t="shared" si="1"/>
        <v/>
      </c>
      <c r="T24" s="12"/>
      <c r="U24" s="8"/>
      <c r="V24" s="202" t="str">
        <f>IF(OR(E24="",E24&lt;$U$2),"",ProjTvdAtBit(E24,F24,G24,H24,D24,W24,X24))</f>
        <v/>
      </c>
      <c r="W24" s="344" t="str">
        <f>IF(OR(E24="",E24&lt;$U$2),"",ProjIncAtBit(F24,J24,C24,M24,AJ24,IF(AK24="",0,AK24)))</f>
        <v/>
      </c>
      <c r="X24" s="455" t="str">
        <f>IF(OR(E24="",E24&lt;$U$2),"",ProjAzmAtBit(F24,G24,J24,C24,M24,AJ24,IF(AK24="",0,AK24)))</f>
        <v/>
      </c>
      <c r="Y24" s="461"/>
      <c r="Z24" s="206"/>
      <c r="AA24" s="512" t="str">
        <f t="shared" si="17"/>
        <v/>
      </c>
      <c r="AB24" s="520" t="str">
        <f t="shared" si="18"/>
        <v/>
      </c>
      <c r="AC24" s="524">
        <v>5300</v>
      </c>
      <c r="AD24" s="514">
        <v>3069.5</v>
      </c>
      <c r="AE24" s="537">
        <f t="shared" si="16"/>
        <v>89.283784103805061</v>
      </c>
      <c r="AF24"/>
      <c r="AG24"/>
      <c r="AJ24" s="452">
        <f>IF(OR(E24="",D24=""),0,ProjSlideMetersBetween(E24,D24,$R$13:$R$305,$S$13:$S$305))</f>
        <v>0</v>
      </c>
      <c r="AK24" s="452" t="str">
        <f>IF(U24="","",ProjParseTF(U24))</f>
        <v/>
      </c>
      <c r="AL24" s="219">
        <f>IF(E24="","",ProjCumN(AL23,E23,F23,G23,E24,F24,G24,FALSE))</f>
        <v>0.97645740430698413</v>
      </c>
      <c r="AM24" s="331">
        <f>IF(E24="","",ProjCumE(AM23,E23,F23,G23,E24,F24,G24,FALSE))</f>
        <v>0.53753167292638948</v>
      </c>
      <c r="AN24" s="330" t="str">
        <f t="shared" si="15"/>
        <v/>
      </c>
      <c r="AO24" s="330" t="str">
        <f>IF(OR(E24="",E24&lt;$U$2),"",ProjActiveTargetMdEx(D24,W24,V24,ProjTargets_MD,ProjTargets_INC,ProjTargets_AZM,ProjTargets_TVD,F24,H24))</f>
        <v/>
      </c>
      <c r="AP24" s="207" t="str">
        <f>IF(OR(E24="",E24&lt;$U$2),"",ProjBitN(E24,F24,G24,AL24,D24,W24,X24))</f>
        <v/>
      </c>
      <c r="AQ24" s="207" t="str">
        <f>IF(OR(E24="",E24&lt;$U$2),"",ProjBitE(E24,F24,G24,AM24,D24,W24,X24))</f>
        <v/>
      </c>
      <c r="AR24" s="207" t="str">
        <f>IF(OR(E24="",E24&lt;$U$2,AO24=""),"",ProjBurr(D24,W24,X24,Q24,C24,ProjTargets_MD,ProjTargets_INC,ProjTargets_AZM,ProjTargets_TVD,V24))</f>
        <v/>
      </c>
      <c r="AS24" s="207" t="str">
        <f>IF(OR(E24="",E24&lt;$U$2,AO24=""),"",ProjMetersToSlide(D24,W24,X24,Q24,C24,ProjTargets_MD,ProjTargets_INC,ProjTargets_AZM,ProjTargets_TVD,V24))</f>
        <v/>
      </c>
      <c r="AT24" s="207" t="str">
        <f>IF(OR(E24="",E24&lt;$U$2,AO24=""),"",ProjRequiredTf(D24,W24,X24,ProjTargets_MD,ProjTargets_INC,ProjTargets_AZM,ProjTargets_TVD,5,V24))</f>
        <v/>
      </c>
    </row>
    <row r="25" spans="2:46" s="209" customFormat="1" ht="15" customHeight="1" x14ac:dyDescent="0.3">
      <c r="B25" s="208">
        <f t="shared" si="2"/>
        <v>22</v>
      </c>
      <c r="C25" s="335">
        <f t="shared" si="9"/>
        <v>28.03000000000003</v>
      </c>
      <c r="D25" s="27">
        <v>408.5100000000001</v>
      </c>
      <c r="E25" s="336">
        <f t="shared" si="10"/>
        <v>386.51</v>
      </c>
      <c r="F25" s="13">
        <v>0.67</v>
      </c>
      <c r="G25" s="7">
        <v>4.53</v>
      </c>
      <c r="H25" s="337">
        <f t="shared" si="3"/>
        <v>386.44718941137967</v>
      </c>
      <c r="I25" s="337">
        <f t="shared" si="11"/>
        <v>-385.80281058862033</v>
      </c>
      <c r="J25" s="338">
        <f t="shared" si="12"/>
        <v>6.828420463252112E-2</v>
      </c>
      <c r="K25" s="339">
        <f t="shared" si="13"/>
        <v>-4.2811273635390612E-2</v>
      </c>
      <c r="L25" s="339">
        <f t="shared" si="14"/>
        <v>4.4202640028540889</v>
      </c>
      <c r="M25" s="339" t="str">
        <f t="shared" si="4"/>
        <v/>
      </c>
      <c r="N25" s="340">
        <f t="shared" si="5"/>
        <v>128.82598523736351</v>
      </c>
      <c r="O25" s="341" t="str">
        <f t="shared" si="6"/>
        <v>Mag</v>
      </c>
      <c r="P25" s="342" t="str">
        <f t="shared" si="7"/>
        <v/>
      </c>
      <c r="Q25" s="343" t="str">
        <f t="shared" si="8"/>
        <v/>
      </c>
      <c r="R25" s="10" t="str">
        <f t="shared" si="0"/>
        <v/>
      </c>
      <c r="S25" s="337" t="str">
        <f t="shared" si="1"/>
        <v/>
      </c>
      <c r="T25" s="12"/>
      <c r="U25" s="8"/>
      <c r="V25" s="202" t="str">
        <f>IF(OR(E25="",E25&lt;$U$2),"",ProjTvdAtBit(E25,F25,G25,H25,D25,W25,X25))</f>
        <v/>
      </c>
      <c r="W25" s="344" t="str">
        <f>IF(OR(E25="",E25&lt;$U$2),"",ProjIncAtBit(F25,J25,C25,M25,AJ25,IF(AK25="",0,AK25)))</f>
        <v/>
      </c>
      <c r="X25" s="455" t="str">
        <f>IF(OR(E25="",E25&lt;$U$2),"",ProjAzmAtBit(F25,G25,J25,C25,M25,AJ25,IF(AK25="",0,AK25)))</f>
        <v/>
      </c>
      <c r="Y25" s="461"/>
      <c r="Z25" s="206"/>
      <c r="AA25" s="512" t="str">
        <f t="shared" si="17"/>
        <v/>
      </c>
      <c r="AB25" s="520" t="str">
        <f t="shared" si="18"/>
        <v/>
      </c>
      <c r="AC25" s="524">
        <v>5500</v>
      </c>
      <c r="AD25" s="514">
        <v>3069</v>
      </c>
      <c r="AE25" s="537">
        <f t="shared" si="16"/>
        <v>90.143239597990885</v>
      </c>
      <c r="AF25"/>
      <c r="AG25"/>
      <c r="AJ25" s="452">
        <f>IF(OR(E25="",D25=""),0,ProjSlideMetersBetween(E25,D25,$R$13:$R$305,$S$13:$S$305))</f>
        <v>0</v>
      </c>
      <c r="AK25" s="452" t="str">
        <f>IF(U25="","",ProjParseTF(U25))</f>
        <v/>
      </c>
      <c r="AL25" s="219">
        <f>IF(E25="","",ProjCumN(AL24,E24,F24,G24,E25,F25,G25,FALSE))</f>
        <v>1.3134919686377706</v>
      </c>
      <c r="AM25" s="331">
        <f>IF(E25="","",ProjCumE(AM24,E24,F24,G24,E25,F25,G25,FALSE))</f>
        <v>0.55168778846413036</v>
      </c>
      <c r="AN25" s="330" t="str">
        <f t="shared" si="15"/>
        <v/>
      </c>
      <c r="AO25" s="330" t="str">
        <f>IF(OR(E25="",E25&lt;$U$2),"",ProjActiveTargetMdEx(D25,W25,V25,ProjTargets_MD,ProjTargets_INC,ProjTargets_AZM,ProjTargets_TVD,F25,H25))</f>
        <v/>
      </c>
      <c r="AP25" s="207" t="str">
        <f>IF(OR(E25="",E25&lt;$U$2),"",ProjBitN(E25,F25,G25,AL25,D25,W25,X25))</f>
        <v/>
      </c>
      <c r="AQ25" s="207" t="str">
        <f>IF(OR(E25="",E25&lt;$U$2),"",ProjBitE(E25,F25,G25,AM25,D25,W25,X25))</f>
        <v/>
      </c>
      <c r="AR25" s="207" t="str">
        <f>IF(OR(E25="",E25&lt;$U$2,AO25=""),"",ProjBurr(D25,W25,X25,Q25,C25,ProjTargets_MD,ProjTargets_INC,ProjTargets_AZM,ProjTargets_TVD,V25))</f>
        <v/>
      </c>
      <c r="AS25" s="207" t="str">
        <f>IF(OR(E25="",E25&lt;$U$2,AO25=""),"",ProjMetersToSlide(D25,W25,X25,Q25,C25,ProjTargets_MD,ProjTargets_INC,ProjTargets_AZM,ProjTargets_TVD,V25))</f>
        <v/>
      </c>
      <c r="AT25" s="207" t="str">
        <f>IF(OR(E25="",E25&lt;$U$2,AO25=""),"",ProjRequiredTf(D25,W25,X25,ProjTargets_MD,ProjTargets_INC,ProjTargets_AZM,ProjTargets_TVD,5,V25))</f>
        <v/>
      </c>
    </row>
    <row r="26" spans="2:46" s="209" customFormat="1" ht="15" customHeight="1" x14ac:dyDescent="0.3">
      <c r="B26" s="208">
        <f t="shared" si="2"/>
        <v>22</v>
      </c>
      <c r="C26" s="335">
        <f t="shared" si="9"/>
        <v>28.03000000000003</v>
      </c>
      <c r="D26" s="27">
        <v>436.54000000000013</v>
      </c>
      <c r="E26" s="336">
        <f t="shared" si="10"/>
        <v>414.54</v>
      </c>
      <c r="F26" s="13">
        <v>0.7</v>
      </c>
      <c r="G26" s="7">
        <v>3.74</v>
      </c>
      <c r="H26" s="337">
        <f t="shared" si="3"/>
        <v>414.47518621370546</v>
      </c>
      <c r="I26" s="337">
        <f t="shared" si="11"/>
        <v>-357.77481378629454</v>
      </c>
      <c r="J26" s="338">
        <f t="shared" si="12"/>
        <v>3.3661286872345007E-2</v>
      </c>
      <c r="K26" s="339">
        <f t="shared" si="13"/>
        <v>3.2108455226542862E-2</v>
      </c>
      <c r="L26" s="339">
        <f t="shared" si="14"/>
        <v>-0.84552265429896445</v>
      </c>
      <c r="M26" s="339" t="str">
        <f t="shared" si="4"/>
        <v/>
      </c>
      <c r="N26" s="340">
        <f t="shared" si="5"/>
        <v>17.471021616700163</v>
      </c>
      <c r="O26" s="341" t="str">
        <f t="shared" si="6"/>
        <v>Mag</v>
      </c>
      <c r="P26" s="342" t="str">
        <f t="shared" si="7"/>
        <v/>
      </c>
      <c r="Q26" s="343" t="str">
        <f t="shared" si="8"/>
        <v/>
      </c>
      <c r="R26" s="10" t="str">
        <f t="shared" si="0"/>
        <v/>
      </c>
      <c r="S26" s="337" t="str">
        <f t="shared" si="1"/>
        <v/>
      </c>
      <c r="T26" s="12"/>
      <c r="U26" s="8"/>
      <c r="V26" s="202" t="str">
        <f>IF(OR(E26="",E26&lt;$U$2),"",ProjTvdAtBit(E26,F26,G26,H26,D26,W26,X26))</f>
        <v/>
      </c>
      <c r="W26" s="344" t="str">
        <f>IF(OR(E26="",E26&lt;$U$2),"",ProjIncAtBit(F26,J26,C26,M26,AJ26,IF(AK26="",0,AK26)))</f>
        <v/>
      </c>
      <c r="X26" s="455" t="str">
        <f>IF(OR(E26="",E26&lt;$U$2),"",ProjAzmAtBit(F26,G26,J26,C26,M26,AJ26,IF(AK26="",0,AK26)))</f>
        <v/>
      </c>
      <c r="Y26" s="461"/>
      <c r="Z26" s="206"/>
      <c r="AA26" s="512" t="str">
        <f t="shared" si="17"/>
        <v/>
      </c>
      <c r="AB26" s="520" t="str">
        <f t="shared" si="18"/>
        <v/>
      </c>
      <c r="AC26" s="524">
        <v>5700</v>
      </c>
      <c r="AD26" s="514">
        <v>3070.5</v>
      </c>
      <c r="AE26" s="537">
        <f t="shared" si="16"/>
        <v>89.570277624940417</v>
      </c>
      <c r="AF26"/>
      <c r="AG26"/>
      <c r="AJ26" s="452">
        <f>IF(OR(E26="",D26=""),0,ProjSlideMetersBetween(E26,D26,$R$13:$R$305,$S$13:$S$305))</f>
        <v>0</v>
      </c>
      <c r="AK26" s="452" t="str">
        <f>IF(U26="","",ProjParseTF(U26))</f>
        <v/>
      </c>
      <c r="AL26" s="219">
        <f>IF(E26="","",ProjCumN(AL25,E25,F25,G25,E26,F26,G26,FALSE))</f>
        <v>1.6477201989204779</v>
      </c>
      <c r="AM26" s="331">
        <f>IF(E26="","",ProjCumE(AM25,E25,F25,G25,E26,F26,G26,FALSE))</f>
        <v>0.57580007418984935</v>
      </c>
      <c r="AN26" s="330" t="str">
        <f t="shared" si="15"/>
        <v/>
      </c>
      <c r="AO26" s="330" t="str">
        <f>IF(OR(E26="",E26&lt;$U$2),"",ProjActiveTargetMdEx(D26,W26,V26,ProjTargets_MD,ProjTargets_INC,ProjTargets_AZM,ProjTargets_TVD,F26,H26))</f>
        <v/>
      </c>
      <c r="AP26" s="207" t="str">
        <f>IF(OR(E26="",E26&lt;$U$2),"",ProjBitN(E26,F26,G26,AL26,D26,W26,X26))</f>
        <v/>
      </c>
      <c r="AQ26" s="207" t="str">
        <f>IF(OR(E26="",E26&lt;$U$2),"",ProjBitE(E26,F26,G26,AM26,D26,W26,X26))</f>
        <v/>
      </c>
      <c r="AR26" s="207" t="str">
        <f>IF(OR(E26="",E26&lt;$U$2,AO26=""),"",ProjBurr(D26,W26,X26,Q26,C26,ProjTargets_MD,ProjTargets_INC,ProjTargets_AZM,ProjTargets_TVD,V26))</f>
        <v/>
      </c>
      <c r="AS26" s="207" t="str">
        <f>IF(OR(E26="",E26&lt;$U$2,AO26=""),"",ProjMetersToSlide(D26,W26,X26,Q26,C26,ProjTargets_MD,ProjTargets_INC,ProjTargets_AZM,ProjTargets_TVD,V26))</f>
        <v/>
      </c>
      <c r="AT26" s="207" t="str">
        <f>IF(OR(E26="",E26&lt;$U$2,AO26=""),"",ProjRequiredTf(D26,W26,X26,ProjTargets_MD,ProjTargets_INC,ProjTargets_AZM,ProjTargets_TVD,5,V26))</f>
        <v/>
      </c>
    </row>
    <row r="27" spans="2:46" s="209" customFormat="1" ht="15" customHeight="1" x14ac:dyDescent="0.3">
      <c r="B27" s="208">
        <f t="shared" si="2"/>
        <v>22</v>
      </c>
      <c r="C27" s="335">
        <f t="shared" si="9"/>
        <v>28.050000000000011</v>
      </c>
      <c r="D27" s="27">
        <v>464.59000000000015</v>
      </c>
      <c r="E27" s="336">
        <f t="shared" si="10"/>
        <v>442.59</v>
      </c>
      <c r="F27" s="13">
        <v>0.73</v>
      </c>
      <c r="G27" s="7">
        <v>352.71</v>
      </c>
      <c r="H27" s="337">
        <f t="shared" si="3"/>
        <v>442.52300215628185</v>
      </c>
      <c r="I27" s="337">
        <f t="shared" si="11"/>
        <v>-329.72699784371815</v>
      </c>
      <c r="J27" s="338">
        <f t="shared" si="12"/>
        <v>0.15041209785065965</v>
      </c>
      <c r="K27" s="339">
        <f t="shared" si="13"/>
        <v>3.2085561497326283E-2</v>
      </c>
      <c r="L27" s="339">
        <f t="shared" si="14"/>
        <v>-11.796791443850308</v>
      </c>
      <c r="M27" s="339" t="str">
        <f t="shared" si="4"/>
        <v/>
      </c>
      <c r="N27" s="340">
        <f t="shared" si="5"/>
        <v>77.683151340018938</v>
      </c>
      <c r="O27" s="341" t="str">
        <f t="shared" si="6"/>
        <v>Mag</v>
      </c>
      <c r="P27" s="342" t="str">
        <f t="shared" si="7"/>
        <v/>
      </c>
      <c r="Q27" s="343" t="str">
        <f t="shared" si="8"/>
        <v/>
      </c>
      <c r="R27" s="10" t="str">
        <f t="shared" si="0"/>
        <v/>
      </c>
      <c r="S27" s="337" t="str">
        <f t="shared" si="1"/>
        <v/>
      </c>
      <c r="T27" s="12"/>
      <c r="U27" s="8"/>
      <c r="V27" s="202" t="str">
        <f>IF(OR(E27="",E27&lt;$U$2),"",ProjTvdAtBit(E27,F27,G27,H27,D27,W27,X27))</f>
        <v/>
      </c>
      <c r="W27" s="344" t="str">
        <f>IF(OR(E27="",E27&lt;$U$2),"",ProjIncAtBit(F27,J27,C27,M27,AJ27,IF(AK27="",0,AK27)))</f>
        <v/>
      </c>
      <c r="X27" s="455" t="str">
        <f>IF(OR(E27="",E27&lt;$U$2),"",ProjAzmAtBit(F27,G27,J27,C27,M27,AJ27,IF(AK27="",0,AK27)))</f>
        <v/>
      </c>
      <c r="Y27" s="461"/>
      <c r="Z27" s="206"/>
      <c r="AA27" s="512" t="str">
        <f t="shared" si="17"/>
        <v/>
      </c>
      <c r="AB27" s="520" t="str">
        <f t="shared" si="18"/>
        <v/>
      </c>
      <c r="AC27" s="524">
        <v>5900</v>
      </c>
      <c r="AD27" s="514">
        <v>3071.5</v>
      </c>
      <c r="AE27" s="537">
        <f t="shared" si="16"/>
        <v>89.713519908759096</v>
      </c>
      <c r="AF27"/>
      <c r="AG27"/>
      <c r="AJ27" s="452">
        <f>IF(OR(E27="",D27=""),0,ProjSlideMetersBetween(E27,D27,$R$13:$R$305,$S$13:$S$305))</f>
        <v>0</v>
      </c>
      <c r="AK27" s="452" t="str">
        <f>IF(U27="","",ProjParseTF(U27))</f>
        <v/>
      </c>
      <c r="AL27" s="219">
        <f>IF(E27="","",ProjCumN(AL26,E26,F26,G26,E27,F27,G27,FALSE))</f>
        <v>1.9959408496205118</v>
      </c>
      <c r="AM27" s="331">
        <f>IF(E27="","",ProjCumE(AM26,E26,F26,G26,E27,F27,G27,FALSE))</f>
        <v>0.56430284878974191</v>
      </c>
      <c r="AN27" s="330" t="str">
        <f t="shared" si="15"/>
        <v/>
      </c>
      <c r="AO27" s="330" t="str">
        <f>IF(OR(E27="",E27&lt;$U$2),"",ProjActiveTargetMdEx(D27,W27,V27,ProjTargets_MD,ProjTargets_INC,ProjTargets_AZM,ProjTargets_TVD,F27,H27))</f>
        <v/>
      </c>
      <c r="AP27" s="207" t="str">
        <f>IF(OR(E27="",E27&lt;$U$2),"",ProjBitN(E27,F27,G27,AL27,D27,W27,X27))</f>
        <v/>
      </c>
      <c r="AQ27" s="207" t="str">
        <f>IF(OR(E27="",E27&lt;$U$2),"",ProjBitE(E27,F27,G27,AM27,D27,W27,X27))</f>
        <v/>
      </c>
      <c r="AR27" s="207" t="str">
        <f>IF(OR(E27="",E27&lt;$U$2,AO27=""),"",ProjBurr(D27,W27,X27,Q27,C27,ProjTargets_MD,ProjTargets_INC,ProjTargets_AZM,ProjTargets_TVD,V27))</f>
        <v/>
      </c>
      <c r="AS27" s="207" t="str">
        <f>IF(OR(E27="",E27&lt;$U$2,AO27=""),"",ProjMetersToSlide(D27,W27,X27,Q27,C27,ProjTargets_MD,ProjTargets_INC,ProjTargets_AZM,ProjTargets_TVD,V27))</f>
        <v/>
      </c>
      <c r="AT27" s="207" t="str">
        <f>IF(OR(E27="",E27&lt;$U$2,AO27=""),"",ProjRequiredTf(D27,W27,X27,ProjTargets_MD,ProjTargets_INC,ProjTargets_AZM,ProjTargets_TVD,5,V27))</f>
        <v/>
      </c>
    </row>
    <row r="28" spans="2:46" s="209" customFormat="1" ht="15" customHeight="1" x14ac:dyDescent="0.3">
      <c r="B28" s="208">
        <f t="shared" si="2"/>
        <v>22</v>
      </c>
      <c r="C28" s="335">
        <f t="shared" si="9"/>
        <v>28.089999999999861</v>
      </c>
      <c r="D28" s="27">
        <v>492.68</v>
      </c>
      <c r="E28" s="336">
        <f t="shared" si="10"/>
        <v>470.68</v>
      </c>
      <c r="F28" s="13">
        <v>0.83</v>
      </c>
      <c r="G28" s="7">
        <v>346.6</v>
      </c>
      <c r="H28" s="337">
        <f t="shared" si="3"/>
        <v>470.61039924733137</v>
      </c>
      <c r="I28" s="337">
        <f t="shared" si="11"/>
        <v>-301.63960075266863</v>
      </c>
      <c r="J28" s="338">
        <f t="shared" si="12"/>
        <v>0.13877103540310343</v>
      </c>
      <c r="K28" s="339">
        <f t="shared" si="13"/>
        <v>0.10679957280170864</v>
      </c>
      <c r="L28" s="339">
        <f t="shared" si="14"/>
        <v>-6.5254538981843542</v>
      </c>
      <c r="M28" s="339" t="str">
        <f t="shared" si="4"/>
        <v/>
      </c>
      <c r="N28" s="340">
        <f t="shared" si="5"/>
        <v>39.681122326529085</v>
      </c>
      <c r="O28" s="341" t="str">
        <f t="shared" si="6"/>
        <v>Mag</v>
      </c>
      <c r="P28" s="342" t="str">
        <f t="shared" si="7"/>
        <v/>
      </c>
      <c r="Q28" s="343" t="str">
        <f t="shared" si="8"/>
        <v/>
      </c>
      <c r="R28" s="10">
        <f t="shared" si="0"/>
        <v>492.68</v>
      </c>
      <c r="S28" s="337">
        <f t="shared" si="1"/>
        <v>497.68</v>
      </c>
      <c r="T28" s="12">
        <v>5</v>
      </c>
      <c r="U28" s="8" t="s">
        <v>261</v>
      </c>
      <c r="V28" s="202" t="str">
        <f>IF(OR(E28="",E28&lt;$U$2),"",ProjTvdAtBit(E28,F28,G28,H28,D28,W28,X28))</f>
        <v/>
      </c>
      <c r="W28" s="344" t="str">
        <f>IF(OR(E28="",E28&lt;$U$2),"",ProjIncAtBit(F28,J28,C28,M28,AJ28,IF(AK28="",0,AK28)))</f>
        <v/>
      </c>
      <c r="X28" s="455" t="str">
        <f>IF(OR(E28="",E28&lt;$U$2),"",ProjAzmAtBit(F28,G28,J28,C28,M28,AJ28,IF(AK28="",0,AK28)))</f>
        <v/>
      </c>
      <c r="Y28" s="461"/>
      <c r="Z28" s="206"/>
      <c r="AA28" s="512" t="str">
        <f t="shared" si="17"/>
        <v/>
      </c>
      <c r="AB28" s="520" t="str">
        <f t="shared" si="18"/>
        <v/>
      </c>
      <c r="AC28" s="524">
        <v>6100</v>
      </c>
      <c r="AD28" s="514">
        <v>3071.5</v>
      </c>
      <c r="AE28" s="537">
        <f t="shared" si="16"/>
        <v>90</v>
      </c>
      <c r="AF28"/>
      <c r="AG28"/>
      <c r="AJ28" s="452">
        <f>IF(OR(E28="",D28=""),0,ProjSlideMetersBetween(E28,D28,$R$13:$R$305,$S$13:$S$305))</f>
        <v>0</v>
      </c>
      <c r="AK28" s="452">
        <f>IF(U28="","",ProjParseTF(U28))</f>
        <v>210</v>
      </c>
      <c r="AL28" s="219">
        <f>IF(E28="","",ProjCumN(AL27,E27,F27,G27,E28,F28,G28,FALSE))</f>
        <v>2.3713489282222335</v>
      </c>
      <c r="AM28" s="331">
        <f>IF(E28="","",ProjCumE(AM27,E27,F27,G27,E28,F28,G28,FALSE))</f>
        <v>0.49444713019747238</v>
      </c>
      <c r="AN28" s="330" t="str">
        <f t="shared" si="15"/>
        <v/>
      </c>
      <c r="AO28" s="330" t="str">
        <f>IF(OR(E28="",E28&lt;$U$2),"",ProjActiveTargetMdEx(D28,W28,V28,ProjTargets_MD,ProjTargets_INC,ProjTargets_AZM,ProjTargets_TVD,F28,H28))</f>
        <v/>
      </c>
      <c r="AP28" s="207" t="str">
        <f>IF(OR(E28="",E28&lt;$U$2),"",ProjBitN(E28,F28,G28,AL28,D28,W28,X28))</f>
        <v/>
      </c>
      <c r="AQ28" s="207" t="str">
        <f>IF(OR(E28="",E28&lt;$U$2),"",ProjBitE(E28,F28,G28,AM28,D28,W28,X28))</f>
        <v/>
      </c>
      <c r="AR28" s="207" t="str">
        <f>IF(OR(E28="",E28&lt;$U$2,AO28=""),"",ProjBurr(D28,W28,X28,Q28,C28,ProjTargets_MD,ProjTargets_INC,ProjTargets_AZM,ProjTargets_TVD,V28))</f>
        <v/>
      </c>
      <c r="AS28" s="207" t="str">
        <f>IF(OR(E28="",E28&lt;$U$2,AO28=""),"",ProjMetersToSlide(D28,W28,X28,Q28,C28,ProjTargets_MD,ProjTargets_INC,ProjTargets_AZM,ProjTargets_TVD,V28))</f>
        <v/>
      </c>
      <c r="AT28" s="207" t="str">
        <f>IF(OR(E28="",E28&lt;$U$2,AO28=""),"",ProjRequiredTf(D28,W28,X28,ProjTargets_MD,ProjTargets_INC,ProjTargets_AZM,ProjTargets_TVD,5,V28))</f>
        <v/>
      </c>
    </row>
    <row r="29" spans="2:46" s="209" customFormat="1" ht="15" customHeight="1" x14ac:dyDescent="0.3">
      <c r="B29" s="208">
        <f t="shared" si="2"/>
        <v>22</v>
      </c>
      <c r="C29" s="335">
        <f t="shared" si="9"/>
        <v>28.050000000000011</v>
      </c>
      <c r="D29" s="27">
        <v>520.73</v>
      </c>
      <c r="E29" s="336">
        <f t="shared" si="10"/>
        <v>498.73</v>
      </c>
      <c r="F29" s="13">
        <v>0.67</v>
      </c>
      <c r="G29" s="7">
        <v>328.93</v>
      </c>
      <c r="H29" s="337">
        <f t="shared" si="3"/>
        <v>498.6579961357823</v>
      </c>
      <c r="I29" s="337">
        <f t="shared" si="11"/>
        <v>-273.5920038642177</v>
      </c>
      <c r="J29" s="338">
        <f t="shared" si="12"/>
        <v>0.29883451571783204</v>
      </c>
      <c r="K29" s="339">
        <f t="shared" si="13"/>
        <v>-0.17112299465240627</v>
      </c>
      <c r="L29" s="339">
        <f t="shared" si="14"/>
        <v>-18.898395721925141</v>
      </c>
      <c r="M29" s="339">
        <f t="shared" si="4"/>
        <v>5</v>
      </c>
      <c r="N29" s="340">
        <f t="shared" si="5"/>
        <v>124.93415215808301</v>
      </c>
      <c r="O29" s="341" t="str">
        <f t="shared" si="6"/>
        <v>Mag</v>
      </c>
      <c r="P29" s="342">
        <f t="shared" si="7"/>
        <v>-3.1999999999999987E-2</v>
      </c>
      <c r="Q29" s="343">
        <f t="shared" si="8"/>
        <v>1.6764616331770383</v>
      </c>
      <c r="R29" s="10">
        <f t="shared" si="0"/>
        <v>520.73</v>
      </c>
      <c r="S29" s="337">
        <f t="shared" si="1"/>
        <v>525.73</v>
      </c>
      <c r="T29" s="12">
        <v>5</v>
      </c>
      <c r="U29" s="8" t="s">
        <v>260</v>
      </c>
      <c r="V29" s="202" t="str">
        <f>IF(OR(E29="",E29&lt;$U$2),"",ProjTvdAtBit(E29,F29,G29,H29,D29,W29,X29))</f>
        <v/>
      </c>
      <c r="W29" s="344" t="str">
        <f>IF(OR(E29="",E29&lt;$U$2),"",ProjIncAtBit(F29,J29,C29,M29,AJ29,IF(AK29="",0,AK29)))</f>
        <v/>
      </c>
      <c r="X29" s="455" t="str">
        <f>IF(OR(E29="",E29&lt;$U$2),"",ProjAzmAtBit(F29,G29,J29,C29,M29,AJ29,IF(AK29="",0,AK29)))</f>
        <v/>
      </c>
      <c r="Y29" s="461"/>
      <c r="Z29" s="206"/>
      <c r="AA29" s="512" t="str">
        <f t="shared" si="17"/>
        <v/>
      </c>
      <c r="AB29" s="520" t="str">
        <f t="shared" si="18"/>
        <v/>
      </c>
      <c r="AC29" s="524"/>
      <c r="AD29" s="514"/>
      <c r="AE29" s="537" t="str">
        <f t="shared" si="16"/>
        <v/>
      </c>
      <c r="AF29"/>
      <c r="AG29"/>
      <c r="AJ29" s="452">
        <f>IF(OR(E29="",D29=""),0,ProjSlideMetersBetween(E29,D29,$R$13:$R$305,$S$13:$S$305))</f>
        <v>0</v>
      </c>
      <c r="AK29" s="452">
        <f>IF(U29="","",ProjParseTF(U29))</f>
        <v>200</v>
      </c>
      <c r="AL29" s="219">
        <f>IF(E29="","",ProjCumN(AL28,E28,F28,G28,E29,F29,G29,FALSE))</f>
        <v>2.7094535480252748</v>
      </c>
      <c r="AM29" s="331">
        <f>IF(E29="","",ProjCumE(AM28,E28,F28,G28,E29,F29,G29,FALSE))</f>
        <v>0.362726251199747</v>
      </c>
      <c r="AN29" s="330" t="str">
        <f t="shared" si="15"/>
        <v/>
      </c>
      <c r="AO29" s="330" t="str">
        <f>IF(OR(E29="",E29&lt;$U$2),"",ProjActiveTargetMdEx(D29,W29,V29,ProjTargets_MD,ProjTargets_INC,ProjTargets_AZM,ProjTargets_TVD,F29,H29))</f>
        <v/>
      </c>
      <c r="AP29" s="207" t="str">
        <f>IF(OR(E29="",E29&lt;$U$2),"",ProjBitN(E29,F29,G29,AL29,D29,W29,X29))</f>
        <v/>
      </c>
      <c r="AQ29" s="207" t="str">
        <f>IF(OR(E29="",E29&lt;$U$2),"",ProjBitE(E29,F29,G29,AM29,D29,W29,X29))</f>
        <v/>
      </c>
      <c r="AR29" s="207" t="str">
        <f>IF(OR(E29="",E29&lt;$U$2,AO29=""),"",ProjBurr(D29,W29,X29,Q29,C29,ProjTargets_MD,ProjTargets_INC,ProjTargets_AZM,ProjTargets_TVD,V29))</f>
        <v/>
      </c>
      <c r="AS29" s="207" t="str">
        <f>IF(OR(E29="",E29&lt;$U$2,AO29=""),"",ProjMetersToSlide(D29,W29,X29,Q29,C29,ProjTargets_MD,ProjTargets_INC,ProjTargets_AZM,ProjTargets_TVD,V29))</f>
        <v/>
      </c>
      <c r="AT29" s="207" t="str">
        <f>IF(OR(E29="",E29&lt;$U$2,AO29=""),"",ProjRequiredTf(D29,W29,X29,ProjTargets_MD,ProjTargets_INC,ProjTargets_AZM,ProjTargets_TVD,5,V29))</f>
        <v/>
      </c>
    </row>
    <row r="30" spans="2:46" s="209" customFormat="1" ht="15" customHeight="1" x14ac:dyDescent="0.3">
      <c r="B30" s="208">
        <f t="shared" si="2"/>
        <v>22</v>
      </c>
      <c r="C30" s="335">
        <f t="shared" si="9"/>
        <v>28.079999999999927</v>
      </c>
      <c r="D30" s="27">
        <v>548.80999999999995</v>
      </c>
      <c r="E30" s="336">
        <f t="shared" si="10"/>
        <v>526.80999999999995</v>
      </c>
      <c r="F30" s="13">
        <v>0.71</v>
      </c>
      <c r="G30" s="7">
        <v>310.26</v>
      </c>
      <c r="H30" s="337">
        <f t="shared" si="3"/>
        <v>526.73595996230699</v>
      </c>
      <c r="I30" s="337">
        <f t="shared" si="11"/>
        <v>-245.51404003769301</v>
      </c>
      <c r="J30" s="338">
        <f t="shared" si="12"/>
        <v>0.24283461068925036</v>
      </c>
      <c r="K30" s="339">
        <f t="shared" si="13"/>
        <v>4.2735042735042764E-2</v>
      </c>
      <c r="L30" s="339">
        <f t="shared" si="14"/>
        <v>-19.946581196581267</v>
      </c>
      <c r="M30" s="339">
        <f t="shared" si="4"/>
        <v>5</v>
      </c>
      <c r="N30" s="340">
        <f t="shared" si="5"/>
        <v>79.864065321154158</v>
      </c>
      <c r="O30" s="341" t="str">
        <f t="shared" si="6"/>
        <v>Mag</v>
      </c>
      <c r="P30" s="342">
        <f t="shared" si="7"/>
        <v>7.9999999999999846E-3</v>
      </c>
      <c r="Q30" s="343">
        <f t="shared" si="8"/>
        <v>1.3637591736308265</v>
      </c>
      <c r="R30" s="10">
        <f t="shared" si="0"/>
        <v>548.80999999999995</v>
      </c>
      <c r="S30" s="337">
        <f t="shared" si="1"/>
        <v>554.80999999999995</v>
      </c>
      <c r="T30" s="12">
        <v>6</v>
      </c>
      <c r="U30" s="8" t="s">
        <v>465</v>
      </c>
      <c r="V30" s="202" t="str">
        <f>IF(OR(E30="",E30&lt;$U$2),"",ProjTvdAtBit(E30,F30,G30,H30,D30,W30,X30))</f>
        <v/>
      </c>
      <c r="W30" s="344" t="str">
        <f>IF(OR(E30="",E30&lt;$U$2),"",ProjIncAtBit(F30,J30,C30,M30,AJ30,IF(AK30="",0,AK30)))</f>
        <v/>
      </c>
      <c r="X30" s="455" t="str">
        <f>IF(OR(E30="",E30&lt;$U$2),"",ProjAzmAtBit(F30,G30,J30,C30,M30,AJ30,IF(AK30="",0,AK30)))</f>
        <v/>
      </c>
      <c r="Y30" s="461"/>
      <c r="Z30" s="206"/>
      <c r="AA30" s="512" t="str">
        <f t="shared" si="17"/>
        <v/>
      </c>
      <c r="AB30" s="520" t="str">
        <f t="shared" si="18"/>
        <v/>
      </c>
      <c r="AC30" s="524"/>
      <c r="AD30" s="514"/>
      <c r="AE30" s="537" t="str">
        <f t="shared" si="16"/>
        <v/>
      </c>
      <c r="AF30"/>
      <c r="AG30"/>
      <c r="AJ30" s="452">
        <f>IF(OR(E30="",D30=""),0,ProjSlideMetersBetween(E30,D30,$R$13:$R$305,$S$13:$S$305))</f>
        <v>0</v>
      </c>
      <c r="AK30" s="452">
        <f>IF(U30="","",ProjParseTF(U30))</f>
        <v>180</v>
      </c>
      <c r="AL30" s="219">
        <f>IF(E30="","",ProjCumN(AL29,E29,F29,G29,E30,F30,G30,FALSE))</f>
        <v>2.9625105259667839</v>
      </c>
      <c r="AM30" s="331">
        <f>IF(E30="","",ProjCumE(AM29,E29,F29,G29,E30,F30,G30,FALSE))</f>
        <v>0.14523203040374894</v>
      </c>
      <c r="AN30" s="330" t="str">
        <f t="shared" si="15"/>
        <v/>
      </c>
      <c r="AO30" s="330" t="str">
        <f>IF(OR(E30="",E30&lt;$U$2),"",ProjActiveTargetMdEx(D30,W30,V30,ProjTargets_MD,ProjTargets_INC,ProjTargets_AZM,ProjTargets_TVD,F30,H30))</f>
        <v/>
      </c>
      <c r="AP30" s="207" t="str">
        <f>IF(OR(E30="",E30&lt;$U$2),"",ProjBitN(E30,F30,G30,AL30,D30,W30,X30))</f>
        <v/>
      </c>
      <c r="AQ30" s="207" t="str">
        <f>IF(OR(E30="",E30&lt;$U$2),"",ProjBitE(E30,F30,G30,AM30,D30,W30,X30))</f>
        <v/>
      </c>
      <c r="AR30" s="207" t="str">
        <f>IF(OR(E30="",E30&lt;$U$2,AO30=""),"",ProjBurr(D30,W30,X30,Q30,C30,ProjTargets_MD,ProjTargets_INC,ProjTargets_AZM,ProjTargets_TVD,V30))</f>
        <v/>
      </c>
      <c r="AS30" s="207" t="str">
        <f>IF(OR(E30="",E30&lt;$U$2,AO30=""),"",ProjMetersToSlide(D30,W30,X30,Q30,C30,ProjTargets_MD,ProjTargets_INC,ProjTargets_AZM,ProjTargets_TVD,V30))</f>
        <v/>
      </c>
      <c r="AT30" s="207" t="str">
        <f>IF(OR(E30="",E30&lt;$U$2,AO30=""),"",ProjRequiredTf(D30,W30,X30,ProjTargets_MD,ProjTargets_INC,ProjTargets_AZM,ProjTargets_TVD,5,V30))</f>
        <v/>
      </c>
    </row>
    <row r="31" spans="2:46" s="209" customFormat="1" ht="15" customHeight="1" x14ac:dyDescent="0.3">
      <c r="B31" s="208">
        <f t="shared" si="2"/>
        <v>22</v>
      </c>
      <c r="C31" s="335">
        <f t="shared" si="9"/>
        <v>28.100000000000023</v>
      </c>
      <c r="D31" s="27">
        <v>576.91</v>
      </c>
      <c r="E31" s="336">
        <f t="shared" si="10"/>
        <v>554.91</v>
      </c>
      <c r="F31" s="13">
        <v>0.97</v>
      </c>
      <c r="G31" s="7">
        <v>252.94</v>
      </c>
      <c r="H31" s="337">
        <f t="shared" si="3"/>
        <v>554.83294013677505</v>
      </c>
      <c r="I31" s="337">
        <f t="shared" si="11"/>
        <v>-217.41705986322495</v>
      </c>
      <c r="J31" s="338">
        <f t="shared" si="12"/>
        <v>0.89402437972981963</v>
      </c>
      <c r="K31" s="339">
        <f t="shared" si="13"/>
        <v>0.277580071174377</v>
      </c>
      <c r="L31" s="339">
        <f t="shared" si="14"/>
        <v>-61.195729537366489</v>
      </c>
      <c r="M31" s="339">
        <f t="shared" si="4"/>
        <v>6</v>
      </c>
      <c r="N31" s="340">
        <f t="shared" si="5"/>
        <v>71.91161211192545</v>
      </c>
      <c r="O31" s="341" t="str">
        <f t="shared" si="6"/>
        <v>Mag</v>
      </c>
      <c r="P31" s="342">
        <f t="shared" si="7"/>
        <v>4.3333333333333335E-2</v>
      </c>
      <c r="Q31" s="343">
        <f t="shared" si="8"/>
        <v>4.1870141784013253</v>
      </c>
      <c r="R31" s="10" t="str">
        <f t="shared" si="0"/>
        <v/>
      </c>
      <c r="S31" s="337" t="str">
        <f t="shared" si="1"/>
        <v/>
      </c>
      <c r="T31" s="12"/>
      <c r="U31" s="8"/>
      <c r="V31" s="202" t="str">
        <f>IF(OR(E31="",E31&lt;$U$2),"",ProjTvdAtBit(E31,F31,G31,H31,D31,W31,X31))</f>
        <v/>
      </c>
      <c r="W31" s="344" t="str">
        <f>IF(OR(E31="",E31&lt;$U$2),"",ProjIncAtBit(F31,J31,C31,M31,AJ31,IF(AK31="",0,AK31)))</f>
        <v/>
      </c>
      <c r="X31" s="455" t="str">
        <f>IF(OR(E31="",E31&lt;$U$2),"",ProjAzmAtBit(F31,G31,J31,C31,M31,AJ31,IF(AK31="",0,AK31)))</f>
        <v/>
      </c>
      <c r="Y31" s="461"/>
      <c r="Z31" s="206"/>
      <c r="AA31" s="512" t="str">
        <f t="shared" si="17"/>
        <v/>
      </c>
      <c r="AB31" s="520" t="str">
        <f t="shared" si="18"/>
        <v/>
      </c>
      <c r="AC31" s="524"/>
      <c r="AD31" s="514"/>
      <c r="AE31" s="537" t="str">
        <f t="shared" si="16"/>
        <v/>
      </c>
      <c r="AF31"/>
      <c r="AG31"/>
      <c r="AJ31" s="452">
        <f>IF(OR(E31="",D31=""),0,ProjSlideMetersBetween(E31,D31,$R$13:$R$305,$S$13:$S$305))</f>
        <v>0</v>
      </c>
      <c r="AK31" s="452" t="str">
        <f>IF(U31="","",ProjParseTF(U31))</f>
        <v/>
      </c>
      <c r="AL31" s="219">
        <f>IF(E31="","",ProjCumN(AL30,E30,F30,G30,E31,F31,G31,FALSE))</f>
        <v>3.0052462105299877</v>
      </c>
      <c r="AM31" s="331">
        <f>IF(E31="","",ProjCumE(AM30,E30,F30,G30,E31,F31,G31,FALSE))</f>
        <v>-0.2150191160727451</v>
      </c>
      <c r="AN31" s="330" t="str">
        <f t="shared" si="15"/>
        <v/>
      </c>
      <c r="AO31" s="330" t="str">
        <f>IF(OR(E31="",E31&lt;$U$2),"",ProjActiveTargetMdEx(D31,W31,V31,ProjTargets_MD,ProjTargets_INC,ProjTargets_AZM,ProjTargets_TVD,F31,H31))</f>
        <v/>
      </c>
      <c r="AP31" s="207" t="str">
        <f>IF(OR(E31="",E31&lt;$U$2),"",ProjBitN(E31,F31,G31,AL31,D31,W31,X31))</f>
        <v/>
      </c>
      <c r="AQ31" s="207" t="str">
        <f>IF(OR(E31="",E31&lt;$U$2),"",ProjBitE(E31,F31,G31,AM31,D31,W31,X31))</f>
        <v/>
      </c>
      <c r="AR31" s="207" t="str">
        <f>IF(OR(E31="",E31&lt;$U$2,AO31=""),"",ProjBurr(D31,W31,X31,Q31,C31,ProjTargets_MD,ProjTargets_INC,ProjTargets_AZM,ProjTargets_TVD,V31))</f>
        <v/>
      </c>
      <c r="AS31" s="207" t="str">
        <f>IF(OR(E31="",E31&lt;$U$2,AO31=""),"",ProjMetersToSlide(D31,W31,X31,Q31,C31,ProjTargets_MD,ProjTargets_INC,ProjTargets_AZM,ProjTargets_TVD,V31))</f>
        <v/>
      </c>
      <c r="AT31" s="207" t="str">
        <f>IF(OR(E31="",E31&lt;$U$2,AO31=""),"",ProjRequiredTf(D31,W31,X31,ProjTargets_MD,ProjTargets_INC,ProjTargets_AZM,ProjTargets_TVD,5,V31))</f>
        <v/>
      </c>
    </row>
    <row r="32" spans="2:46" s="209" customFormat="1" ht="15" customHeight="1" x14ac:dyDescent="0.3">
      <c r="B32" s="208">
        <f t="shared" si="2"/>
        <v>22</v>
      </c>
      <c r="C32" s="335">
        <f t="shared" si="9"/>
        <v>14.090000000000032</v>
      </c>
      <c r="D32" s="27">
        <v>591</v>
      </c>
      <c r="E32" s="336">
        <f t="shared" si="10"/>
        <v>569</v>
      </c>
      <c r="F32" s="13">
        <v>1.18</v>
      </c>
      <c r="G32" s="7">
        <v>246.04</v>
      </c>
      <c r="H32" s="337">
        <f t="shared" si="3"/>
        <v>568.92046020392797</v>
      </c>
      <c r="I32" s="337">
        <f t="shared" si="11"/>
        <v>-203.32953979607203</v>
      </c>
      <c r="J32" s="338">
        <f t="shared" si="12"/>
        <v>0.52447621015956081</v>
      </c>
      <c r="K32" s="339">
        <f t="shared" si="13"/>
        <v>0.44712562100780584</v>
      </c>
      <c r="L32" s="339">
        <f t="shared" si="14"/>
        <v>-14.691270404542209</v>
      </c>
      <c r="M32" s="339" t="str">
        <f t="shared" si="4"/>
        <v/>
      </c>
      <c r="N32" s="340">
        <f t="shared" si="5"/>
        <v>31.513349501693686</v>
      </c>
      <c r="O32" s="341" t="str">
        <f t="shared" si="6"/>
        <v>Mag</v>
      </c>
      <c r="P32" s="342" t="str">
        <f t="shared" si="7"/>
        <v/>
      </c>
      <c r="Q32" s="343" t="str">
        <f t="shared" si="8"/>
        <v/>
      </c>
      <c r="R32" s="10" t="str">
        <f t="shared" si="0"/>
        <v/>
      </c>
      <c r="S32" s="337" t="str">
        <f t="shared" si="1"/>
        <v/>
      </c>
      <c r="T32" s="12"/>
      <c r="U32" s="8"/>
      <c r="V32" s="202" t="str">
        <f>IF(OR(E32="",E32&lt;$U$2),"",ProjTvdAtBit(E32,F32,G32,H32,D32,W32,X32))</f>
        <v/>
      </c>
      <c r="W32" s="344" t="str">
        <f>IF(OR(E32="",E32&lt;$U$2),"",ProjIncAtBit(F32,J32,C32,M32,AJ32,IF(AK32="",0,AK32)))</f>
        <v/>
      </c>
      <c r="X32" s="455" t="str">
        <f>IF(OR(E32="",E32&lt;$U$2),"",ProjAzmAtBit(F32,G32,J32,C32,M32,AJ32,IF(AK32="",0,AK32)))</f>
        <v/>
      </c>
      <c r="Y32" s="461"/>
      <c r="Z32" s="206"/>
      <c r="AA32" s="512" t="str">
        <f t="shared" si="17"/>
        <v/>
      </c>
      <c r="AB32" s="520" t="str">
        <f t="shared" si="18"/>
        <v/>
      </c>
      <c r="AC32" s="524"/>
      <c r="AD32" s="514"/>
      <c r="AE32" s="537" t="str">
        <f t="shared" si="16"/>
        <v/>
      </c>
      <c r="AF32"/>
      <c r="AG32"/>
      <c r="AJ32" s="452">
        <f>IF(OR(E32="",D32=""),0,ProjSlideMetersBetween(E32,D32,$R$13:$R$305,$S$13:$S$305))</f>
        <v>0</v>
      </c>
      <c r="AK32" s="452" t="str">
        <f>IF(U32="","",ProjParseTF(U32))</f>
        <v/>
      </c>
      <c r="AL32" s="219">
        <f>IF(E32="","",ProjCumN(AL31,E31,F31,G31,E32,F32,G32,FALSE))</f>
        <v>2.9113401341787535</v>
      </c>
      <c r="AM32" s="331">
        <f>IF(E32="","",ProjCumE(AM31,E31,F31,G31,E32,F32,G32,FALSE))</f>
        <v>-0.46161463134883257</v>
      </c>
      <c r="AN32" s="330" t="str">
        <f t="shared" si="15"/>
        <v/>
      </c>
      <c r="AO32" s="330" t="str">
        <f>IF(OR(E32="",E32&lt;$U$2),"",ProjActiveTargetMdEx(D32,W32,V32,ProjTargets_MD,ProjTargets_INC,ProjTargets_AZM,ProjTargets_TVD,F32,H32))</f>
        <v/>
      </c>
      <c r="AP32" s="207" t="str">
        <f>IF(OR(E32="",E32&lt;$U$2),"",ProjBitN(E32,F32,G32,AL32,D32,W32,X32))</f>
        <v/>
      </c>
      <c r="AQ32" s="207" t="str">
        <f>IF(OR(E32="",E32&lt;$U$2),"",ProjBitE(E32,F32,G32,AM32,D32,W32,X32))</f>
        <v/>
      </c>
      <c r="AR32" s="207" t="str">
        <f>IF(OR(E32="",E32&lt;$U$2,AO32=""),"",ProjBurr(D32,W32,X32,Q32,C32,ProjTargets_MD,ProjTargets_INC,ProjTargets_AZM,ProjTargets_TVD,V32))</f>
        <v/>
      </c>
      <c r="AS32" s="207" t="str">
        <f>IF(OR(E32="",E32&lt;$U$2,AO32=""),"",ProjMetersToSlide(D32,W32,X32,Q32,C32,ProjTargets_MD,ProjTargets_INC,ProjTargets_AZM,ProjTargets_TVD,V32))</f>
        <v/>
      </c>
      <c r="AT32" s="207" t="str">
        <f>IF(OR(E32="",E32&lt;$U$2,AO32=""),"",ProjRequiredTf(D32,W32,X32,ProjTargets_MD,ProjTargets_INC,ProjTargets_AZM,ProjTargets_TVD,5,V32))</f>
        <v/>
      </c>
    </row>
    <row r="33" spans="2:46" s="209" customFormat="1" ht="15" customHeight="1" thickBot="1" x14ac:dyDescent="0.35">
      <c r="B33" s="208">
        <v>17</v>
      </c>
      <c r="C33" s="335">
        <f t="shared" si="9"/>
        <v>66.389999999999986</v>
      </c>
      <c r="D33" s="27">
        <v>657.39</v>
      </c>
      <c r="E33" s="336">
        <f t="shared" si="10"/>
        <v>640.39</v>
      </c>
      <c r="F33" s="13">
        <v>1.26</v>
      </c>
      <c r="G33" s="7">
        <v>236.46</v>
      </c>
      <c r="H33" s="337">
        <f t="shared" si="3"/>
        <v>640.29427696768755</v>
      </c>
      <c r="I33" s="337">
        <f t="shared" si="11"/>
        <v>-131.95572303231245</v>
      </c>
      <c r="J33" s="338">
        <f t="shared" si="12"/>
        <v>9.1935666140974912E-2</v>
      </c>
      <c r="K33" s="339">
        <f t="shared" si="13"/>
        <v>3.3618153803053684E-2</v>
      </c>
      <c r="L33" s="339">
        <f>IF(J33="","",IF(G32&lt;180,IF(AND(G33&gt;G32,G33&lt;SUM(G32+180)),SUM(((G33-G32)/SUM(E33-E32)*30)),IF(G33&lt;G32,SUM(((G33-G32)/SUM(E33-E32)*30)),SUM(((G32+(360-G33))*(-1))/SUM(E33-E32)*30))),IF(G33&gt;G32,SUM(((G33-G32)/SUM(E33-E32)*30)),IF(G33&gt;SUM(G32-180),SUM(((G33-G32)/SUM(E33-E32)*30)),SUM(((360-G32+G33)/SUM(E33-E32)*30))))))</f>
        <v>-4.0257739179156689</v>
      </c>
      <c r="M33" s="339" t="str">
        <f t="shared" si="4"/>
        <v/>
      </c>
      <c r="N33" s="340">
        <f t="shared" si="5"/>
        <v>68.551152582708326</v>
      </c>
      <c r="O33" s="341" t="str">
        <f t="shared" si="6"/>
        <v>Mag</v>
      </c>
      <c r="P33" s="342" t="str">
        <f t="shared" si="7"/>
        <v/>
      </c>
      <c r="Q33" s="343" t="str">
        <f t="shared" si="8"/>
        <v/>
      </c>
      <c r="R33" s="10" t="str">
        <f t="shared" si="0"/>
        <v/>
      </c>
      <c r="S33" s="337" t="str">
        <f t="shared" si="1"/>
        <v/>
      </c>
      <c r="T33" s="12"/>
      <c r="U33" s="8"/>
      <c r="V33" s="202" t="str">
        <f>IF(OR(E33="",E33&lt;$U$2),"",ProjTvdAtBit(E33,F33,G33,H33,D33,W33,X33))</f>
        <v/>
      </c>
      <c r="W33" s="344" t="str">
        <f>IF(OR(E33="",E33&lt;$U$2),"",ProjIncAtBit(F33,J33,C33,M33,AJ33,IF(AK33="",0,AK33)))</f>
        <v/>
      </c>
      <c r="X33" s="455" t="str">
        <f>IF(OR(E33="",E33&lt;$U$2),"",ProjAzmAtBit(F33,G33,J33,C33,M33,AJ33,IF(AK33="",0,AK33)))</f>
        <v/>
      </c>
      <c r="Y33" s="461"/>
      <c r="Z33" s="206"/>
      <c r="AA33" s="512" t="str">
        <f t="shared" si="17"/>
        <v/>
      </c>
      <c r="AB33" s="520" t="str">
        <f t="shared" si="18"/>
        <v/>
      </c>
      <c r="AC33" s="525"/>
      <c r="AD33" s="526"/>
      <c r="AE33" s="538" t="str">
        <f t="shared" si="16"/>
        <v/>
      </c>
      <c r="AF33"/>
      <c r="AG33"/>
      <c r="AJ33" s="452">
        <f>IF(OR(E33="",D33=""),0,ProjSlideMetersBetween(E33,D33,$R$13:$R$305,$S$13:$S$305))</f>
        <v>0</v>
      </c>
      <c r="AK33" s="452" t="str">
        <f>IF(U33="","",ProjParseTF(U33))</f>
        <v/>
      </c>
      <c r="AL33" s="219">
        <f>IF(E33="","",ProjCumN(AL32,E32,F32,G32,E33,F33,G33,FALSE))</f>
        <v>2.1791450334818334</v>
      </c>
      <c r="AM33" s="331">
        <f>IF(E33="","",ProjCumE(AM32,E32,F32,G32,E33,F33,G33,FALSE))</f>
        <v>-1.7875794172705484</v>
      </c>
      <c r="AN33" s="330" t="str">
        <f t="shared" si="15"/>
        <v/>
      </c>
      <c r="AO33" s="330" t="str">
        <f>IF(OR(E33="",E33&lt;$U$2),"",ProjActiveTargetMdEx(D33,W33,V33,ProjTargets_MD,ProjTargets_INC,ProjTargets_AZM,ProjTargets_TVD,F33,H33))</f>
        <v/>
      </c>
      <c r="AP33" s="207" t="str">
        <f>IF(OR(E33="",E33&lt;$U$2),"",ProjBitN(E33,F33,G33,AL33,D33,W33,X33))</f>
        <v/>
      </c>
      <c r="AQ33" s="207" t="str">
        <f>IF(OR(E33="",E33&lt;$U$2),"",ProjBitE(E33,F33,G33,AM33,D33,W33,X33))</f>
        <v/>
      </c>
      <c r="AR33" s="207" t="str">
        <f>IF(OR(E33="",E33&lt;$U$2,AO33=""),"",ProjBurr(D33,W33,X33,Q33,C33,ProjTargets_MD,ProjTargets_INC,ProjTargets_AZM,ProjTargets_TVD,V33))</f>
        <v/>
      </c>
      <c r="AS33" s="207" t="str">
        <f>IF(OR(E33="",E33&lt;$U$2,AO33=""),"",ProjMetersToSlide(D33,W33,X33,Q33,C33,ProjTargets_MD,ProjTargets_INC,ProjTargets_AZM,ProjTargets_TVD,V33))</f>
        <v/>
      </c>
      <c r="AT33" s="207" t="str">
        <f>IF(OR(E33="",E33&lt;$U$2,AO33=""),"",ProjRequiredTf(D33,W33,X33,ProjTargets_MD,ProjTargets_INC,ProjTargets_AZM,ProjTargets_TVD,5,V33))</f>
        <v/>
      </c>
    </row>
    <row r="34" spans="2:46" s="209" customFormat="1" ht="15" customHeight="1" x14ac:dyDescent="0.3">
      <c r="B34" s="208">
        <f t="shared" si="2"/>
        <v>17</v>
      </c>
      <c r="C34" s="335">
        <f t="shared" si="9"/>
        <v>28.689999999999941</v>
      </c>
      <c r="D34" s="27">
        <v>686.07999999999993</v>
      </c>
      <c r="E34" s="336">
        <f t="shared" si="10"/>
        <v>669.08</v>
      </c>
      <c r="F34" s="13">
        <v>1.1299999999999999</v>
      </c>
      <c r="G34" s="7">
        <v>228.6</v>
      </c>
      <c r="H34" s="337">
        <f t="shared" si="3"/>
        <v>668.97803710037056</v>
      </c>
      <c r="I34" s="337">
        <f t="shared" si="11"/>
        <v>-103.27196289962944</v>
      </c>
      <c r="J34" s="338">
        <f t="shared" si="12"/>
        <v>0.21846260784477944</v>
      </c>
      <c r="K34" s="339">
        <f t="shared" si="13"/>
        <v>-0.13593586615545472</v>
      </c>
      <c r="L34" s="339">
        <f t="shared" si="14"/>
        <v>-8.2188915998605783</v>
      </c>
      <c r="M34" s="339" t="str">
        <f t="shared" si="4"/>
        <v/>
      </c>
      <c r="N34" s="340">
        <f t="shared" si="5"/>
        <v>128.47979345666619</v>
      </c>
      <c r="O34" s="341" t="str">
        <f t="shared" si="6"/>
        <v>Mag</v>
      </c>
      <c r="P34" s="342" t="str">
        <f t="shared" si="7"/>
        <v/>
      </c>
      <c r="Q34" s="343" t="str">
        <f t="shared" si="8"/>
        <v/>
      </c>
      <c r="R34" s="10" t="str">
        <f t="shared" si="0"/>
        <v/>
      </c>
      <c r="S34" s="337" t="str">
        <f t="shared" si="1"/>
        <v/>
      </c>
      <c r="T34" s="12"/>
      <c r="U34" s="8"/>
      <c r="V34" s="202" t="str">
        <f>IF(OR(E34="",E34&lt;$U$2),"",ProjTvdAtBit(E34,F34,G34,H34,D34,W34,X34))</f>
        <v/>
      </c>
      <c r="W34" s="344" t="str">
        <f>IF(OR(E34="",E34&lt;$U$2),"",ProjIncAtBit(F34,J34,C34,M34,AJ34,IF(AK34="",0,AK34)))</f>
        <v/>
      </c>
      <c r="X34" s="455" t="str">
        <f>IF(OR(E34="",E34&lt;$U$2),"",ProjAzmAtBit(F34,G34,J34,C34,M34,AJ34,IF(AK34="",0,AK34)))</f>
        <v/>
      </c>
      <c r="Y34" s="461"/>
      <c r="Z34" s="206"/>
      <c r="AA34" s="512" t="str">
        <f t="shared" si="17"/>
        <v/>
      </c>
      <c r="AB34" s="520" t="str">
        <f t="shared" si="18"/>
        <v/>
      </c>
      <c r="AC34" s="510"/>
      <c r="AD34" s="515"/>
      <c r="AE34" s="516"/>
      <c r="AJ34" s="452">
        <f>IF(OR(E34="",D34=""),0,ProjSlideMetersBetween(E34,D34,$R$13:$R$305,$S$13:$S$305))</f>
        <v>0</v>
      </c>
      <c r="AK34" s="452" t="str">
        <f>IF(U34="","",ProjParseTF(U34))</f>
        <v/>
      </c>
      <c r="AL34" s="219">
        <f>IF(E34="","",ProjCumN(AL33,E33,F33,G33,E34,F34,G34,FALSE))</f>
        <v>1.8177762761942462</v>
      </c>
      <c r="AM34" s="331">
        <f>IF(E34="","",ProjCumE(AM33,E33,F33,G33,E34,F34,G34,FALSE))</f>
        <v>-2.2627013824358126</v>
      </c>
      <c r="AN34" s="330" t="str">
        <f t="shared" si="15"/>
        <v/>
      </c>
      <c r="AO34" s="330" t="str">
        <f>IF(OR(E34="",E34&lt;$U$2),"",ProjActiveTargetMdEx(D34,W34,V34,ProjTargets_MD,ProjTargets_INC,ProjTargets_AZM,ProjTargets_TVD,F34,H34))</f>
        <v/>
      </c>
      <c r="AP34" s="207" t="str">
        <f>IF(OR(E34="",E34&lt;$U$2),"",ProjBitN(E34,F34,G34,AL34,D34,W34,X34))</f>
        <v/>
      </c>
      <c r="AQ34" s="207" t="str">
        <f>IF(OR(E34="",E34&lt;$U$2),"",ProjBitE(E34,F34,G34,AM34,D34,W34,X34))</f>
        <v/>
      </c>
      <c r="AR34" s="207" t="str">
        <f>IF(OR(E34="",E34&lt;$U$2,AO34=""),"",ProjBurr(D34,W34,X34,Q34,C34,ProjTargets_MD,ProjTargets_INC,ProjTargets_AZM,ProjTargets_TVD,V34))</f>
        <v/>
      </c>
      <c r="AS34" s="207" t="str">
        <f>IF(OR(E34="",E34&lt;$U$2,AO34=""),"",ProjMetersToSlide(D34,W34,X34,Q34,C34,ProjTargets_MD,ProjTargets_INC,ProjTargets_AZM,ProjTargets_TVD,V34))</f>
        <v/>
      </c>
      <c r="AT34" s="207" t="str">
        <f>IF(OR(E34="",E34&lt;$U$2,AO34=""),"",ProjRequiredTf(D34,W34,X34,ProjTargets_MD,ProjTargets_INC,ProjTargets_AZM,ProjTargets_TVD,5,V34))</f>
        <v/>
      </c>
    </row>
    <row r="35" spans="2:46" s="209" customFormat="1" ht="15" customHeight="1" x14ac:dyDescent="0.3">
      <c r="B35" s="208">
        <f t="shared" si="2"/>
        <v>17</v>
      </c>
      <c r="C35" s="335">
        <f t="shared" si="9"/>
        <v>28.790000000000077</v>
      </c>
      <c r="D35" s="27">
        <v>714.87</v>
      </c>
      <c r="E35" s="336">
        <f t="shared" si="10"/>
        <v>697.87</v>
      </c>
      <c r="F35" s="13">
        <v>1.1399999999999999</v>
      </c>
      <c r="G35" s="7">
        <v>212.86</v>
      </c>
      <c r="H35" s="337">
        <f t="shared" si="3"/>
        <v>697.76238846000228</v>
      </c>
      <c r="I35" s="337">
        <f t="shared" si="11"/>
        <v>-74.487611539997715</v>
      </c>
      <c r="J35" s="338">
        <f t="shared" si="12"/>
        <v>0.32402882183824894</v>
      </c>
      <c r="K35" s="339">
        <f t="shared" si="13"/>
        <v>1.0420284821118467E-2</v>
      </c>
      <c r="L35" s="339">
        <f t="shared" si="14"/>
        <v>-16.40152830844043</v>
      </c>
      <c r="M35" s="339" t="str">
        <f t="shared" si="4"/>
        <v/>
      </c>
      <c r="N35" s="340">
        <f t="shared" si="5"/>
        <v>88.157135243029231</v>
      </c>
      <c r="O35" s="341" t="str">
        <f t="shared" si="6"/>
        <v>Mag</v>
      </c>
      <c r="P35" s="342" t="str">
        <f t="shared" si="7"/>
        <v/>
      </c>
      <c r="Q35" s="343" t="str">
        <f t="shared" si="8"/>
        <v/>
      </c>
      <c r="R35" s="10" t="str">
        <f t="shared" si="0"/>
        <v/>
      </c>
      <c r="S35" s="337" t="str">
        <f t="shared" si="1"/>
        <v/>
      </c>
      <c r="T35" s="12"/>
      <c r="U35" s="8"/>
      <c r="V35" s="202" t="str">
        <f>IF(OR(E35="",E35&lt;$U$2),"",ProjTvdAtBit(E35,F35,G35,H35,D35,W35,X35))</f>
        <v/>
      </c>
      <c r="W35" s="344" t="str">
        <f>IF(OR(E35="",E35&lt;$U$2),"",ProjIncAtBit(F35,J35,C35,M35,AJ35,IF(AK35="",0,AK35)))</f>
        <v/>
      </c>
      <c r="X35" s="455" t="str">
        <f>IF(OR(E35="",E35&lt;$U$2),"",ProjAzmAtBit(F35,G35,J35,C35,M35,AJ35,IF(AK35="",0,AK35)))</f>
        <v/>
      </c>
      <c r="Y35" s="461"/>
      <c r="Z35" s="206"/>
      <c r="AA35" s="512" t="str">
        <f t="shared" si="17"/>
        <v/>
      </c>
      <c r="AB35" s="520" t="str">
        <f t="shared" si="18"/>
        <v/>
      </c>
      <c r="AC35" s="510"/>
      <c r="AD35" s="515"/>
      <c r="AE35" s="516"/>
      <c r="AJ35" s="452">
        <f>IF(OR(E35="",D35=""),0,ProjSlideMetersBetween(E35,D35,$R$13:$R$305,$S$13:$S$305))</f>
        <v>0</v>
      </c>
      <c r="AK35" s="452" t="str">
        <f>IF(U35="","",ProjParseTF(U35))</f>
        <v/>
      </c>
      <c r="AL35" s="219">
        <f>IF(E35="","",ProjCumN(AL34,E34,F34,G34,E35,F35,G35,FALSE))</f>
        <v>1.3894686892138102</v>
      </c>
      <c r="AM35" s="331">
        <f>IF(E35="","",ProjCumE(AM34,E34,F34,G34,E35,F35,G35,FALSE))</f>
        <v>-2.6310405005180217</v>
      </c>
      <c r="AN35" s="330" t="str">
        <f t="shared" si="15"/>
        <v/>
      </c>
      <c r="AO35" s="330" t="str">
        <f>IF(OR(E35="",E35&lt;$U$2),"",ProjActiveTargetMdEx(D35,W35,V35,ProjTargets_MD,ProjTargets_INC,ProjTargets_AZM,ProjTargets_TVD,F35,H35))</f>
        <v/>
      </c>
      <c r="AP35" s="207" t="str">
        <f>IF(OR(E35="",E35&lt;$U$2),"",ProjBitN(E35,F35,G35,AL35,D35,W35,X35))</f>
        <v/>
      </c>
      <c r="AQ35" s="207" t="str">
        <f>IF(OR(E35="",E35&lt;$U$2),"",ProjBitE(E35,F35,G35,AM35,D35,W35,X35))</f>
        <v/>
      </c>
      <c r="AR35" s="207" t="str">
        <f>IF(OR(E35="",E35&lt;$U$2,AO35=""),"",ProjBurr(D35,W35,X35,Q35,C35,ProjTargets_MD,ProjTargets_INC,ProjTargets_AZM,ProjTargets_TVD,V35))</f>
        <v/>
      </c>
      <c r="AS35" s="207" t="str">
        <f>IF(OR(E35="",E35&lt;$U$2,AO35=""),"",ProjMetersToSlide(D35,W35,X35,Q35,C35,ProjTargets_MD,ProjTargets_INC,ProjTargets_AZM,ProjTargets_TVD,V35))</f>
        <v/>
      </c>
      <c r="AT35" s="207" t="str">
        <f>IF(OR(E35="",E35&lt;$U$2,AO35=""),"",ProjRequiredTf(D35,W35,X35,ProjTargets_MD,ProjTargets_INC,ProjTargets_AZM,ProjTargets_TVD,5,V35))</f>
        <v/>
      </c>
    </row>
    <row r="36" spans="2:46" s="209" customFormat="1" ht="15" customHeight="1" x14ac:dyDescent="0.3">
      <c r="B36" s="208">
        <f t="shared" si="2"/>
        <v>17</v>
      </c>
      <c r="C36" s="335">
        <f t="shared" si="9"/>
        <v>28.889999999999986</v>
      </c>
      <c r="D36" s="27">
        <v>743.76</v>
      </c>
      <c r="E36" s="336">
        <f t="shared" si="10"/>
        <v>726.76</v>
      </c>
      <c r="F36" s="13">
        <v>0.93</v>
      </c>
      <c r="G36" s="7">
        <v>217.78</v>
      </c>
      <c r="H36" s="337">
        <f t="shared" si="3"/>
        <v>726.64767498540084</v>
      </c>
      <c r="I36" s="337">
        <f t="shared" si="11"/>
        <v>-45.60232501459916</v>
      </c>
      <c r="J36" s="338">
        <f t="shared" si="12"/>
        <v>0.23659598187367278</v>
      </c>
      <c r="K36" s="339">
        <f t="shared" si="13"/>
        <v>-0.21806853582554514</v>
      </c>
      <c r="L36" s="339">
        <f t="shared" si="14"/>
        <v>5.1090342679127616</v>
      </c>
      <c r="M36" s="339" t="str">
        <f t="shared" si="4"/>
        <v/>
      </c>
      <c r="N36" s="340">
        <f t="shared" si="5"/>
        <v>157.17465293738854</v>
      </c>
      <c r="O36" s="341" t="str">
        <f t="shared" si="6"/>
        <v>Mag</v>
      </c>
      <c r="P36" s="342" t="str">
        <f t="shared" si="7"/>
        <v/>
      </c>
      <c r="Q36" s="343" t="str">
        <f t="shared" si="8"/>
        <v/>
      </c>
      <c r="R36" s="10">
        <f t="shared" si="0"/>
        <v>743.76</v>
      </c>
      <c r="S36" s="337">
        <f t="shared" si="1"/>
        <v>748.76</v>
      </c>
      <c r="T36" s="12">
        <v>5</v>
      </c>
      <c r="U36" s="8" t="s">
        <v>471</v>
      </c>
      <c r="V36" s="202" t="str">
        <f>IF(OR(E36="",E36&lt;$U$2),"",ProjTvdAtBit(E36,F36,G36,H36,D36,W36,X36))</f>
        <v/>
      </c>
      <c r="W36" s="344" t="str">
        <f>IF(OR(E36="",E36&lt;$U$2),"",ProjIncAtBit(F36,J36,C36,M36,AJ36,IF(AK36="",0,AK36)))</f>
        <v/>
      </c>
      <c r="X36" s="455" t="str">
        <f>IF(OR(E36="",E36&lt;$U$2),"",ProjAzmAtBit(F36,G36,J36,C36,M36,AJ36,IF(AK36="",0,AK36)))</f>
        <v/>
      </c>
      <c r="Y36" s="461"/>
      <c r="Z36" s="206"/>
      <c r="AA36" s="512" t="str">
        <f t="shared" si="17"/>
        <v/>
      </c>
      <c r="AB36" s="520" t="str">
        <f t="shared" si="18"/>
        <v/>
      </c>
      <c r="AC36" s="510"/>
      <c r="AD36" s="515"/>
      <c r="AE36" s="516"/>
      <c r="AJ36" s="452">
        <f>IF(OR(E36="",D36=""),0,ProjSlideMetersBetween(E36,D36,$R$13:$R$305,$S$13:$S$305))</f>
        <v>0</v>
      </c>
      <c r="AK36" s="452">
        <f>IF(U36="","",ProjParseTF(U36))</f>
        <v>120</v>
      </c>
      <c r="AL36" s="219">
        <f>IF(E36="","",ProjCumN(AL35,E35,F35,G35,E36,F36,G36,FALSE))</f>
        <v>0.9627555130334996</v>
      </c>
      <c r="AM36" s="331">
        <f>IF(E36="","",ProjCumE(AM35,E35,F35,G35,E36,F36,G36,FALSE))</f>
        <v>-2.9306093238587456</v>
      </c>
      <c r="AN36" s="330" t="str">
        <f t="shared" si="15"/>
        <v/>
      </c>
      <c r="AO36" s="330" t="str">
        <f>IF(OR(E36="",E36&lt;$U$2),"",ProjActiveTargetMdEx(D36,W36,V36,ProjTargets_MD,ProjTargets_INC,ProjTargets_AZM,ProjTargets_TVD,F36,H36))</f>
        <v/>
      </c>
      <c r="AP36" s="207" t="str">
        <f>IF(OR(E36="",E36&lt;$U$2),"",ProjBitN(E36,F36,G36,AL36,D36,W36,X36))</f>
        <v/>
      </c>
      <c r="AQ36" s="207" t="str">
        <f>IF(OR(E36="",E36&lt;$U$2),"",ProjBitE(E36,F36,G36,AM36,D36,W36,X36))</f>
        <v/>
      </c>
      <c r="AR36" s="207" t="str">
        <f>IF(OR(E36="",E36&lt;$U$2,AO36=""),"",ProjBurr(D36,W36,X36,Q36,C36,ProjTargets_MD,ProjTargets_INC,ProjTargets_AZM,ProjTargets_TVD,V36))</f>
        <v/>
      </c>
      <c r="AS36" s="207" t="str">
        <f>IF(OR(E36="",E36&lt;$U$2,AO36=""),"",ProjMetersToSlide(D36,W36,X36,Q36,C36,ProjTargets_MD,ProjTargets_INC,ProjTargets_AZM,ProjTargets_TVD,V36))</f>
        <v/>
      </c>
      <c r="AT36" s="207" t="str">
        <f>IF(OR(E36="",E36&lt;$U$2,AO36=""),"",ProjRequiredTf(D36,W36,X36,ProjTargets_MD,ProjTargets_INC,ProjTargets_AZM,ProjTargets_TVD,5,V36))</f>
        <v/>
      </c>
    </row>
    <row r="37" spans="2:46" s="209" customFormat="1" ht="15" customHeight="1" x14ac:dyDescent="0.3">
      <c r="B37" s="208">
        <f>IF(ISBLANK(D37),"",B36)</f>
        <v>17</v>
      </c>
      <c r="C37" s="335">
        <f t="shared" si="9"/>
        <v>28.75</v>
      </c>
      <c r="D37" s="27">
        <v>772.51</v>
      </c>
      <c r="E37" s="336">
        <f t="shared" si="10"/>
        <v>755.51</v>
      </c>
      <c r="F37" s="13">
        <v>1.91</v>
      </c>
      <c r="G37" s="7">
        <v>154.85</v>
      </c>
      <c r="H37" s="337">
        <f t="shared" si="3"/>
        <v>755.38884587296502</v>
      </c>
      <c r="I37" s="337">
        <f t="shared" si="11"/>
        <v>-16.861154127034979</v>
      </c>
      <c r="J37" s="338">
        <f t="shared" si="12"/>
        <v>1.7757637194443621</v>
      </c>
      <c r="K37" s="339">
        <f t="shared" si="13"/>
        <v>1.0226086956521738</v>
      </c>
      <c r="L37" s="339">
        <f t="shared" si="14"/>
        <v>-65.666086956521752</v>
      </c>
      <c r="M37" s="339">
        <f t="shared" si="4"/>
        <v>5</v>
      </c>
      <c r="N37" s="340">
        <f t="shared" si="5"/>
        <v>54.83943248972804</v>
      </c>
      <c r="O37" s="341" t="str">
        <f t="shared" si="6"/>
        <v>Mag</v>
      </c>
      <c r="P37" s="342">
        <f t="shared" si="7"/>
        <v>0.19599999999999998</v>
      </c>
      <c r="Q37" s="343">
        <f t="shared" si="8"/>
        <v>10.210641386805083</v>
      </c>
      <c r="R37" s="10" t="str">
        <f t="shared" si="0"/>
        <v/>
      </c>
      <c r="S37" s="337" t="str">
        <f t="shared" si="1"/>
        <v/>
      </c>
      <c r="T37" s="12"/>
      <c r="U37" s="8"/>
      <c r="V37" s="202" t="str">
        <f>IF(OR(E37="",E37&lt;$U$2),"",ProjTvdAtBit(E37,F37,G37,H37,D37,W37,X37))</f>
        <v/>
      </c>
      <c r="W37" s="344" t="str">
        <f>IF(OR(E37="",E37&lt;$U$2),"",ProjIncAtBit(F37,J37,C37,M37,AJ37,IF(AK37="",0,AK37)))</f>
        <v/>
      </c>
      <c r="X37" s="455" t="str">
        <f>IF(OR(E37="",E37&lt;$U$2),"",ProjAzmAtBit(F37,G37,J37,C37,M37,AJ37,IF(AK37="",0,AK37)))</f>
        <v/>
      </c>
      <c r="Y37" s="461"/>
      <c r="Z37" s="206"/>
      <c r="AA37" s="512" t="str">
        <f t="shared" si="17"/>
        <v/>
      </c>
      <c r="AB37" s="520" t="str">
        <f t="shared" si="18"/>
        <v/>
      </c>
      <c r="AC37" s="510"/>
      <c r="AD37" s="515"/>
      <c r="AE37" s="516"/>
      <c r="AJ37" s="452">
        <f>IF(OR(E37="",D37=""),0,ProjSlideMetersBetween(E37,D37,$R$13:$R$305,$S$13:$S$305))</f>
        <v>0</v>
      </c>
      <c r="AK37" s="452" t="str">
        <f>IF(U37="","",ProjParseTF(U37))</f>
        <v/>
      </c>
      <c r="AL37" s="219">
        <f>IF(E37="","",ProjCumN(AL36,E36,F36,G36,E37,F37,G37,FALSE))</f>
        <v>0.34460996123522969</v>
      </c>
      <c r="AM37" s="331">
        <f>IF(E37="","",ProjCumE(AM36,E36,F36,G36,E37,F37,G37,FALSE))</f>
        <v>-2.8699249359318859</v>
      </c>
      <c r="AN37" s="330" t="str">
        <f t="shared" si="15"/>
        <v/>
      </c>
      <c r="AO37" s="330" t="str">
        <f>IF(OR(E37="",E37&lt;$U$2),"",ProjActiveTargetMdEx(D37,W37,V37,ProjTargets_MD,ProjTargets_INC,ProjTargets_AZM,ProjTargets_TVD,F37,H37))</f>
        <v/>
      </c>
      <c r="AP37" s="207" t="str">
        <f>IF(OR(E37="",E37&lt;$U$2),"",ProjBitN(E37,F37,G37,AL37,D37,W37,X37))</f>
        <v/>
      </c>
      <c r="AQ37" s="207" t="str">
        <f>IF(OR(E37="",E37&lt;$U$2),"",ProjBitE(E37,F37,G37,AM37,D37,W37,X37))</f>
        <v/>
      </c>
      <c r="AR37" s="207" t="str">
        <f>IF(OR(E37="",E37&lt;$U$2,AO37=""),"",ProjBurr(D37,W37,X37,Q37,C37,ProjTargets_MD,ProjTargets_INC,ProjTargets_AZM,ProjTargets_TVD,V37))</f>
        <v/>
      </c>
      <c r="AS37" s="207" t="str">
        <f>IF(OR(E37="",E37&lt;$U$2,AO37=""),"",ProjMetersToSlide(D37,W37,X37,Q37,C37,ProjTargets_MD,ProjTargets_INC,ProjTargets_AZM,ProjTargets_TVD,V37))</f>
        <v/>
      </c>
      <c r="AT37" s="207" t="str">
        <f>IF(OR(E37="",E37&lt;$U$2,AO37=""),"",ProjRequiredTf(D37,W37,X37,ProjTargets_MD,ProjTargets_INC,ProjTargets_AZM,ProjTargets_TVD,5,V37))</f>
        <v/>
      </c>
    </row>
    <row r="38" spans="2:46" s="209" customFormat="1" ht="15" customHeight="1" x14ac:dyDescent="0.3">
      <c r="B38" s="208">
        <f>IF(ISBLANK(D38),"",B37)</f>
        <v>17</v>
      </c>
      <c r="C38" s="335">
        <f t="shared" si="9"/>
        <v>28.67999999999995</v>
      </c>
      <c r="D38" s="27">
        <v>801.18999999999994</v>
      </c>
      <c r="E38" s="336">
        <f t="shared" si="10"/>
        <v>784.19</v>
      </c>
      <c r="F38" s="13">
        <v>1.79</v>
      </c>
      <c r="G38" s="7">
        <v>148.94999999999999</v>
      </c>
      <c r="H38" s="337">
        <f t="shared" si="3"/>
        <v>784.05389696005614</v>
      </c>
      <c r="I38" s="337">
        <f t="shared" si="11"/>
        <v>11.803896960056136</v>
      </c>
      <c r="J38" s="338">
        <f t="shared" si="12"/>
        <v>0.23531737930319663</v>
      </c>
      <c r="K38" s="339">
        <f t="shared" si="13"/>
        <v>-0.12552301255230086</v>
      </c>
      <c r="L38" s="339">
        <f t="shared" si="14"/>
        <v>-6.1715481171548037</v>
      </c>
      <c r="M38" s="339" t="str">
        <f t="shared" si="4"/>
        <v/>
      </c>
      <c r="N38" s="340">
        <f t="shared" si="5"/>
        <v>122.23682765711527</v>
      </c>
      <c r="O38" s="341" t="str">
        <f t="shared" si="6"/>
        <v>Mag</v>
      </c>
      <c r="P38" s="342" t="str">
        <f t="shared" si="7"/>
        <v/>
      </c>
      <c r="Q38" s="343" t="str">
        <f t="shared" si="8"/>
        <v/>
      </c>
      <c r="R38" s="10">
        <f t="shared" si="0"/>
        <v>801.18999999999994</v>
      </c>
      <c r="S38" s="337">
        <f t="shared" si="1"/>
        <v>803.18999999999994</v>
      </c>
      <c r="T38" s="12">
        <v>2</v>
      </c>
      <c r="U38" s="8" t="s">
        <v>472</v>
      </c>
      <c r="V38" s="202" t="str">
        <f>IF(OR(E38="",E38&lt;$U$2),"",ProjTvdAtBit(E38,F38,G38,H38,D38,W38,X38))</f>
        <v/>
      </c>
      <c r="W38" s="344" t="str">
        <f>IF(OR(E38="",E38&lt;$U$2),"",ProjIncAtBit(F38,J38,C38,M38,AJ38,IF(AK38="",0,AK38)))</f>
        <v/>
      </c>
      <c r="X38" s="455" t="str">
        <f>IF(OR(E38="",E38&lt;$U$2),"",ProjAzmAtBit(F38,G38,J38,C38,M38,AJ38,IF(AK38="",0,AK38)))</f>
        <v/>
      </c>
      <c r="Y38" s="461"/>
      <c r="Z38" s="206"/>
      <c r="AA38" s="512" t="str">
        <f t="shared" si="17"/>
        <v/>
      </c>
      <c r="AB38" s="520" t="str">
        <f t="shared" si="18"/>
        <v/>
      </c>
      <c r="AC38" s="510"/>
      <c r="AD38" s="515"/>
      <c r="AE38" s="516"/>
      <c r="AJ38" s="452">
        <f>IF(OR(E38="",D38=""),0,ProjSlideMetersBetween(E38,D38,$R$13:$R$305,$S$13:$S$305))</f>
        <v>0</v>
      </c>
      <c r="AK38" s="452">
        <f>IF(U38="","",ProjParseTF(U38))</f>
        <v>300</v>
      </c>
      <c r="AL38" s="219">
        <f>IF(E38="","",ProjCumN(AL37,E37,F37,G37,E38,F38,G38,FALSE))</f>
        <v>-0.47177596698003399</v>
      </c>
      <c r="AM38" s="331">
        <f>IF(E38="","",ProjCumE(AM37,E37,F37,G37,E38,F38,G38,FALSE))</f>
        <v>-2.435766737168322</v>
      </c>
      <c r="AN38" s="330" t="str">
        <f t="shared" si="15"/>
        <v/>
      </c>
      <c r="AO38" s="330" t="str">
        <f>IF(OR(E38="",E38&lt;$U$2),"",ProjActiveTargetMdEx(D38,W38,V38,ProjTargets_MD,ProjTargets_INC,ProjTargets_AZM,ProjTargets_TVD,F38,H38))</f>
        <v/>
      </c>
      <c r="AP38" s="207" t="str">
        <f>IF(OR(E38="",E38&lt;$U$2),"",ProjBitN(E38,F38,G38,AL38,D38,W38,X38))</f>
        <v/>
      </c>
      <c r="AQ38" s="207" t="str">
        <f>IF(OR(E38="",E38&lt;$U$2),"",ProjBitE(E38,F38,G38,AM38,D38,W38,X38))</f>
        <v/>
      </c>
      <c r="AR38" s="207" t="str">
        <f>IF(OR(E38="",E38&lt;$U$2,AO38=""),"",ProjBurr(D38,W38,X38,Q38,C38,ProjTargets_MD,ProjTargets_INC,ProjTargets_AZM,ProjTargets_TVD,V38))</f>
        <v/>
      </c>
      <c r="AS38" s="207" t="str">
        <f>IF(OR(E38="",E38&lt;$U$2,AO38=""),"",ProjMetersToSlide(D38,W38,X38,Q38,C38,ProjTargets_MD,ProjTargets_INC,ProjTargets_AZM,ProjTargets_TVD,V38))</f>
        <v/>
      </c>
      <c r="AT38" s="207" t="str">
        <f>IF(OR(E38="",E38&lt;$U$2,AO38=""),"",ProjRequiredTf(D38,W38,X38,ProjTargets_MD,ProjTargets_INC,ProjTargets_AZM,ProjTargets_TVD,5,V38))</f>
        <v/>
      </c>
    </row>
    <row r="39" spans="2:46" s="209" customFormat="1" ht="15" customHeight="1" x14ac:dyDescent="0.3">
      <c r="B39" s="208">
        <f>IF(ISBLANK(D39),"",B38)</f>
        <v>17</v>
      </c>
      <c r="C39" s="335">
        <f t="shared" si="9"/>
        <v>28.82000000000005</v>
      </c>
      <c r="D39" s="27">
        <v>830.01</v>
      </c>
      <c r="E39" s="336">
        <f t="shared" si="10"/>
        <v>813.01</v>
      </c>
      <c r="F39" s="13">
        <v>1.04</v>
      </c>
      <c r="G39" s="7">
        <v>156.63</v>
      </c>
      <c r="H39" s="337">
        <f t="shared" si="3"/>
        <v>812.86510856599091</v>
      </c>
      <c r="I39" s="337">
        <f t="shared" si="11"/>
        <v>40.615108565990909</v>
      </c>
      <c r="J39" s="338">
        <f t="shared" si="12"/>
        <v>0.80354600940479903</v>
      </c>
      <c r="K39" s="339">
        <f t="shared" si="13"/>
        <v>-0.78070784177654584</v>
      </c>
      <c r="L39" s="339">
        <f t="shared" si="14"/>
        <v>7.994448299791836</v>
      </c>
      <c r="M39" s="339">
        <f t="shared" si="4"/>
        <v>2</v>
      </c>
      <c r="N39" s="340">
        <f t="shared" si="5"/>
        <v>166.30705376503653</v>
      </c>
      <c r="O39" s="341" t="str">
        <f t="shared" si="6"/>
        <v>Mag</v>
      </c>
      <c r="P39" s="342">
        <f t="shared" si="7"/>
        <v>-0.375</v>
      </c>
      <c r="Q39" s="343">
        <f t="shared" si="8"/>
        <v>11.579097995523174</v>
      </c>
      <c r="R39" s="10" t="str">
        <f t="shared" si="0"/>
        <v/>
      </c>
      <c r="S39" s="337" t="str">
        <f t="shared" si="1"/>
        <v/>
      </c>
      <c r="T39" s="12"/>
      <c r="U39" s="8"/>
      <c r="V39" s="202" t="str">
        <f>IF(OR(E39="",E39&lt;$U$2),"",ProjTvdAtBit(E39,F39,G39,H39,D39,W39,X39))</f>
        <v/>
      </c>
      <c r="W39" s="344" t="str">
        <f>IF(OR(E39="",E39&lt;$U$2),"",ProjIncAtBit(F39,J39,C39,M39,AJ39,IF(AK39="",0,AK39)))</f>
        <v/>
      </c>
      <c r="X39" s="455" t="str">
        <f>IF(OR(E39="",E39&lt;$U$2),"",ProjAzmAtBit(F39,G39,J39,C39,M39,AJ39,IF(AK39="",0,AK39)))</f>
        <v/>
      </c>
      <c r="Y39" s="461"/>
      <c r="Z39" s="206"/>
      <c r="AA39" s="512" t="str">
        <f t="shared" si="17"/>
        <v/>
      </c>
      <c r="AB39" s="520" t="str">
        <f t="shared" si="18"/>
        <v/>
      </c>
      <c r="AC39" s="510"/>
      <c r="AD39" s="515"/>
      <c r="AE39" s="516"/>
      <c r="AJ39" s="452">
        <f>IF(OR(E39="",D39=""),0,ProjSlideMetersBetween(E39,D39,$R$13:$R$305,$S$13:$S$305))</f>
        <v>0</v>
      </c>
      <c r="AK39" s="452" t="str">
        <f>IF(U39="","",ProjParseTF(U39))</f>
        <v/>
      </c>
      <c r="AL39" s="219">
        <f>IF(E39="","",ProjCumN(AL38,E38,F38,G38,E39,F39,G39,FALSE))</f>
        <v>-1.0974979847533413</v>
      </c>
      <c r="AM39" s="331">
        <f>IF(E39="","",ProjCumE(AM38,E38,F38,G38,E39,F39,G39,FALSE))</f>
        <v>-2.0998511513199603</v>
      </c>
      <c r="AN39" s="330" t="str">
        <f t="shared" si="15"/>
        <v/>
      </c>
      <c r="AO39" s="330" t="str">
        <f>IF(OR(E39="",E39&lt;$U$2),"",ProjActiveTargetMdEx(D39,W39,V39,ProjTargets_MD,ProjTargets_INC,ProjTargets_AZM,ProjTargets_TVD,F39,H39))</f>
        <v/>
      </c>
      <c r="AP39" s="207" t="str">
        <f>IF(OR(E39="",E39&lt;$U$2),"",ProjBitN(E39,F39,G39,AL39,D39,W39,X39))</f>
        <v/>
      </c>
      <c r="AQ39" s="207" t="str">
        <f>IF(OR(E39="",E39&lt;$U$2),"",ProjBitE(E39,F39,G39,AM39,D39,W39,X39))</f>
        <v/>
      </c>
      <c r="AR39" s="207" t="str">
        <f>IF(OR(E39="",E39&lt;$U$2,AO39=""),"",ProjBurr(D39,W39,X39,Q39,C39,ProjTargets_MD,ProjTargets_INC,ProjTargets_AZM,ProjTargets_TVD,V39))</f>
        <v/>
      </c>
      <c r="AS39" s="207" t="str">
        <f>IF(OR(E39="",E39&lt;$U$2,AO39=""),"",ProjMetersToSlide(D39,W39,X39,Q39,C39,ProjTargets_MD,ProjTargets_INC,ProjTargets_AZM,ProjTargets_TVD,V39))</f>
        <v/>
      </c>
      <c r="AT39" s="207" t="str">
        <f>IF(OR(E39="",E39&lt;$U$2,AO39=""),"",ProjRequiredTf(D39,W39,X39,ProjTargets_MD,ProjTargets_INC,ProjTargets_AZM,ProjTargets_TVD,5,V39))</f>
        <v/>
      </c>
    </row>
    <row r="40" spans="2:46" s="209" customFormat="1" ht="15" customHeight="1" x14ac:dyDescent="0.3">
      <c r="B40" s="208">
        <f t="shared" ref="B40:B75" si="19">IF(ISBLANK(D40),"",B39)</f>
        <v>17</v>
      </c>
      <c r="C40" s="335">
        <f t="shared" si="9"/>
        <v>28.700000000000045</v>
      </c>
      <c r="D40" s="27">
        <v>858.71</v>
      </c>
      <c r="E40" s="336">
        <f t="shared" si="10"/>
        <v>841.71</v>
      </c>
      <c r="F40" s="13">
        <v>0.75</v>
      </c>
      <c r="G40" s="7">
        <v>155.06</v>
      </c>
      <c r="H40" s="337">
        <f t="shared" si="3"/>
        <v>841.56160714866849</v>
      </c>
      <c r="I40" s="337">
        <f t="shared" si="11"/>
        <v>69.311607148668486</v>
      </c>
      <c r="J40" s="338">
        <f t="shared" si="12"/>
        <v>0.30418941246963738</v>
      </c>
      <c r="K40" s="339">
        <f t="shared" si="13"/>
        <v>-0.30313588850174172</v>
      </c>
      <c r="L40" s="339">
        <f t="shared" si="14"/>
        <v>-1.6411149825783875</v>
      </c>
      <c r="M40" s="339" t="str">
        <f t="shared" si="4"/>
        <v/>
      </c>
      <c r="N40" s="340">
        <f t="shared" si="5"/>
        <v>175.23005669596168</v>
      </c>
      <c r="O40" s="341" t="str">
        <f t="shared" si="6"/>
        <v>Mag</v>
      </c>
      <c r="P40" s="342" t="str">
        <f t="shared" si="7"/>
        <v/>
      </c>
      <c r="Q40" s="343" t="str">
        <f t="shared" si="8"/>
        <v/>
      </c>
      <c r="R40" s="10" t="str">
        <f t="shared" si="0"/>
        <v/>
      </c>
      <c r="S40" s="337" t="str">
        <f t="shared" si="1"/>
        <v/>
      </c>
      <c r="T40" s="9"/>
      <c r="U40" s="8"/>
      <c r="V40" s="202" t="str">
        <f>IF(OR(E40="",E40&lt;$U$2),"",ProjTvdAtBit(E40,F40,G40,H40,D40,W40,X40))</f>
        <v/>
      </c>
      <c r="W40" s="344" t="str">
        <f>IF(OR(E40="",E40&lt;$U$2),"",ProjIncAtBit(F40,J40,C40,M40,AJ40,IF(AK40="",0,AK40)))</f>
        <v/>
      </c>
      <c r="X40" s="455" t="str">
        <f>IF(OR(E40="",E40&lt;$U$2),"",ProjAzmAtBit(F40,G40,J40,C40,M40,AJ40,IF(AK40="",0,AK40)))</f>
        <v/>
      </c>
      <c r="Y40" s="461"/>
      <c r="Z40" s="206"/>
      <c r="AA40" s="512" t="str">
        <f t="shared" si="17"/>
        <v/>
      </c>
      <c r="AB40" s="520" t="str">
        <f t="shared" si="18"/>
        <v/>
      </c>
      <c r="AC40" s="510"/>
      <c r="AD40" s="515"/>
      <c r="AE40" s="516"/>
      <c r="AJ40" s="452">
        <f>IF(OR(E40="",D40=""),0,ProjSlideMetersBetween(E40,D40,$R$13:$R$305,$S$13:$S$305))</f>
        <v>0</v>
      </c>
      <c r="AK40" s="452" t="str">
        <f>IF(U40="","",ProjParseTF(U40))</f>
        <v/>
      </c>
      <c r="AL40" s="219">
        <f>IF(E40="","",ProjCumN(AL39,E39,F39,G39,E40,F40,G40,FALSE))</f>
        <v>-1.506910100684046</v>
      </c>
      <c r="AM40" s="331">
        <f>IF(E40="","",ProjCumE(AM39,E39,F39,G39,E40,F40,G40,FALSE))</f>
        <v>-1.917330855020178</v>
      </c>
      <c r="AN40" s="330" t="str">
        <f t="shared" si="15"/>
        <v/>
      </c>
      <c r="AO40" s="330" t="str">
        <f>IF(OR(E40="",E40&lt;$U$2),"",ProjActiveTargetMdEx(D40,W40,V40,ProjTargets_MD,ProjTargets_INC,ProjTargets_AZM,ProjTargets_TVD,F40,H40))</f>
        <v/>
      </c>
      <c r="AP40" s="207" t="str">
        <f>IF(OR(E40="",E40&lt;$U$2),"",ProjBitN(E40,F40,G40,AL40,D40,W40,X40))</f>
        <v/>
      </c>
      <c r="AQ40" s="207" t="str">
        <f>IF(OR(E40="",E40&lt;$U$2),"",ProjBitE(E40,F40,G40,AM40,D40,W40,X40))</f>
        <v/>
      </c>
      <c r="AR40" s="207" t="str">
        <f>IF(OR(E40="",E40&lt;$U$2,AO40=""),"",ProjBurr(D40,W40,X40,Q40,C40,ProjTargets_MD,ProjTargets_INC,ProjTargets_AZM,ProjTargets_TVD,V40))</f>
        <v/>
      </c>
      <c r="AS40" s="207" t="str">
        <f>IF(OR(E40="",E40&lt;$U$2,AO40=""),"",ProjMetersToSlide(D40,W40,X40,Q40,C40,ProjTargets_MD,ProjTargets_INC,ProjTargets_AZM,ProjTargets_TVD,V40))</f>
        <v/>
      </c>
      <c r="AT40" s="207" t="str">
        <f>IF(OR(E40="",E40&lt;$U$2,AO40=""),"",ProjRequiredTf(D40,W40,X40,ProjTargets_MD,ProjTargets_INC,ProjTargets_AZM,ProjTargets_TVD,5,V40))</f>
        <v/>
      </c>
    </row>
    <row r="41" spans="2:46" s="209" customFormat="1" ht="15" customHeight="1" x14ac:dyDescent="0.3">
      <c r="B41" s="208">
        <f t="shared" si="19"/>
        <v>17</v>
      </c>
      <c r="C41" s="335">
        <f t="shared" si="9"/>
        <v>28.719999999999914</v>
      </c>
      <c r="D41" s="27">
        <v>887.43</v>
      </c>
      <c r="E41" s="336">
        <f t="shared" si="10"/>
        <v>870.43</v>
      </c>
      <c r="F41" s="13">
        <v>0.51</v>
      </c>
      <c r="G41" s="7">
        <v>146.35</v>
      </c>
      <c r="H41" s="337">
        <f t="shared" si="3"/>
        <v>870.27987100405039</v>
      </c>
      <c r="I41" s="337">
        <f t="shared" si="11"/>
        <v>98.029871004050392</v>
      </c>
      <c r="J41" s="338">
        <f t="shared" si="12"/>
        <v>0.26921108308856245</v>
      </c>
      <c r="K41" s="339">
        <f t="shared" si="13"/>
        <v>-0.25069637883008433</v>
      </c>
      <c r="L41" s="339">
        <f t="shared" si="14"/>
        <v>-9.0981894150418192</v>
      </c>
      <c r="M41" s="339" t="str">
        <f t="shared" si="4"/>
        <v/>
      </c>
      <c r="N41" s="340">
        <f t="shared" si="5"/>
        <v>158.62675051555908</v>
      </c>
      <c r="O41" s="341" t="str">
        <f t="shared" si="6"/>
        <v>Mag</v>
      </c>
      <c r="P41" s="342" t="str">
        <f t="shared" si="7"/>
        <v/>
      </c>
      <c r="Q41" s="343" t="str">
        <f t="shared" si="8"/>
        <v/>
      </c>
      <c r="R41" s="10" t="str">
        <f t="shared" si="0"/>
        <v/>
      </c>
      <c r="S41" s="337" t="str">
        <f t="shared" si="1"/>
        <v/>
      </c>
      <c r="T41" s="9"/>
      <c r="U41" s="8"/>
      <c r="V41" s="202" t="str">
        <f>IF(OR(E41="",E41&lt;$U$2),"",ProjTvdAtBit(E41,F41,G41,H41,D41,W41,X41))</f>
        <v/>
      </c>
      <c r="W41" s="344" t="str">
        <f>IF(OR(E41="",E41&lt;$U$2),"",ProjIncAtBit(F41,J41,C41,M41,AJ41,IF(AK41="",0,AK41)))</f>
        <v/>
      </c>
      <c r="X41" s="455" t="str">
        <f>IF(OR(E41="",E41&lt;$U$2),"",ProjAzmAtBit(F41,G41,J41,C41,M41,AJ41,IF(AK41="",0,AK41)))</f>
        <v/>
      </c>
      <c r="Y41" s="461"/>
      <c r="Z41" s="206"/>
      <c r="AA41" s="512" t="str">
        <f t="shared" si="17"/>
        <v/>
      </c>
      <c r="AB41" s="520" t="str">
        <f t="shared" si="18"/>
        <v/>
      </c>
      <c r="AC41" s="510"/>
      <c r="AD41" s="515"/>
      <c r="AE41" s="516"/>
      <c r="AJ41" s="452">
        <f>IF(OR(E41="",D41=""),0,ProjSlideMetersBetween(E41,D41,$R$13:$R$305,$S$13:$S$305))</f>
        <v>0</v>
      </c>
      <c r="AK41" s="452" t="str">
        <f>IF(U41="","",ProjParseTF(U41))</f>
        <v/>
      </c>
      <c r="AL41" s="219">
        <f>IF(E41="","",ProjCumN(AL40,E40,F40,G40,E41,F41,G41,FALSE))</f>
        <v>-1.783750844480398</v>
      </c>
      <c r="AM41" s="331">
        <f>IF(E41="","",ProjCumE(AM40,E40,F40,G40,E41,F41,G41,FALSE))</f>
        <v>-1.7672439568908842</v>
      </c>
      <c r="AN41" s="330" t="str">
        <f t="shared" si="15"/>
        <v/>
      </c>
      <c r="AO41" s="330" t="str">
        <f>IF(OR(E41="",E41&lt;$U$2),"",ProjActiveTargetMdEx(D41,W41,V41,ProjTargets_MD,ProjTargets_INC,ProjTargets_AZM,ProjTargets_TVD,F41,H41))</f>
        <v/>
      </c>
      <c r="AP41" s="207" t="str">
        <f>IF(OR(E41="",E41&lt;$U$2),"",ProjBitN(E41,F41,G41,AL41,D41,W41,X41))</f>
        <v/>
      </c>
      <c r="AQ41" s="207" t="str">
        <f>IF(OR(E41="",E41&lt;$U$2),"",ProjBitE(E41,F41,G41,AM41,D41,W41,X41))</f>
        <v/>
      </c>
      <c r="AR41" s="207" t="str">
        <f>IF(OR(E41="",E41&lt;$U$2,AO41=""),"",ProjBurr(D41,W41,X41,Q41,C41,ProjTargets_MD,ProjTargets_INC,ProjTargets_AZM,ProjTargets_TVD,V41))</f>
        <v/>
      </c>
      <c r="AS41" s="207" t="str">
        <f>IF(OR(E41="",E41&lt;$U$2,AO41=""),"",ProjMetersToSlide(D41,W41,X41,Q41,C41,ProjTargets_MD,ProjTargets_INC,ProjTargets_AZM,ProjTargets_TVD,V41))</f>
        <v/>
      </c>
      <c r="AT41" s="207" t="str">
        <f>IF(OR(E41="",E41&lt;$U$2,AO41=""),"",ProjRequiredTf(D41,W41,X41,ProjTargets_MD,ProjTargets_INC,ProjTargets_AZM,ProjTargets_TVD,5,V41))</f>
        <v/>
      </c>
    </row>
    <row r="42" spans="2:46" s="209" customFormat="1" ht="15" customHeight="1" x14ac:dyDescent="0.3">
      <c r="B42" s="208">
        <f t="shared" si="19"/>
        <v>17</v>
      </c>
      <c r="C42" s="335">
        <f t="shared" si="9"/>
        <v>28.800000000000068</v>
      </c>
      <c r="D42" s="27">
        <v>916.23</v>
      </c>
      <c r="E42" s="336">
        <f t="shared" si="10"/>
        <v>899.23</v>
      </c>
      <c r="F42" s="13">
        <v>0.47</v>
      </c>
      <c r="G42" s="7">
        <v>122.09</v>
      </c>
      <c r="H42" s="337">
        <f t="shared" si="3"/>
        <v>899.07881781401773</v>
      </c>
      <c r="I42" s="337">
        <f t="shared" si="11"/>
        <v>126.82881781401773</v>
      </c>
      <c r="J42" s="338">
        <f t="shared" si="12"/>
        <v>0.2183395538223378</v>
      </c>
      <c r="K42" s="339">
        <f t="shared" si="13"/>
        <v>-4.1666666666666602E-2</v>
      </c>
      <c r="L42" s="339">
        <f t="shared" si="14"/>
        <v>-25.270833333333265</v>
      </c>
      <c r="M42" s="339" t="str">
        <f t="shared" si="4"/>
        <v/>
      </c>
      <c r="N42" s="340">
        <f t="shared" si="5"/>
        <v>101.00147451557879</v>
      </c>
      <c r="O42" s="341" t="str">
        <f t="shared" si="6"/>
        <v>Mag</v>
      </c>
      <c r="P42" s="342" t="str">
        <f t="shared" si="7"/>
        <v/>
      </c>
      <c r="Q42" s="343" t="str">
        <f t="shared" si="8"/>
        <v/>
      </c>
      <c r="R42" s="10" t="str">
        <f t="shared" si="0"/>
        <v/>
      </c>
      <c r="S42" s="337" t="str">
        <f t="shared" si="1"/>
        <v/>
      </c>
      <c r="T42" s="9"/>
      <c r="U42" s="8"/>
      <c r="V42" s="202" t="str">
        <f>IF(OR(E42="",E42&lt;$U$2),"",ProjTvdAtBit(E42,F42,G42,H42,D42,W42,X42))</f>
        <v/>
      </c>
      <c r="W42" s="344" t="str">
        <f>IF(OR(E42="",E42&lt;$U$2),"",ProjIncAtBit(F42,J42,C42,M42,AJ42,IF(AK42="",0,AK42)))</f>
        <v/>
      </c>
      <c r="X42" s="455" t="str">
        <f>IF(OR(E42="",E42&lt;$U$2),"",ProjAzmAtBit(F42,G42,J42,C42,M42,AJ42,IF(AK42="",0,AK42)))</f>
        <v/>
      </c>
      <c r="Y42" s="461"/>
      <c r="Z42" s="206"/>
      <c r="AA42" s="512" t="str">
        <f t="shared" si="17"/>
        <v/>
      </c>
      <c r="AB42" s="520" t="str">
        <f t="shared" si="18"/>
        <v/>
      </c>
      <c r="AC42" s="510"/>
      <c r="AD42" s="515"/>
      <c r="AE42" s="516"/>
      <c r="AJ42" s="452">
        <f>IF(OR(E42="",D42=""),0,ProjSlideMetersBetween(E42,D42,$R$13:$R$305,$S$13:$S$305))</f>
        <v>0</v>
      </c>
      <c r="AK42" s="452" t="str">
        <f>IF(U42="","",ProjParseTF(U42))</f>
        <v/>
      </c>
      <c r="AL42" s="219">
        <f>IF(E42="","",ProjCumN(AL41,E41,F41,G41,E42,F42,G42,FALSE))</f>
        <v>-1.9532017079967008</v>
      </c>
      <c r="AM42" s="331">
        <f>IF(E42="","",ProjCumE(AM41,E41,F41,G41,E42,F42,G42,FALSE))</f>
        <v>-1.5961443433707245</v>
      </c>
      <c r="AN42" s="330" t="str">
        <f t="shared" si="15"/>
        <v/>
      </c>
      <c r="AO42" s="330" t="str">
        <f>IF(OR(E42="",E42&lt;$U$2),"",ProjActiveTargetMdEx(D42,W42,V42,ProjTargets_MD,ProjTargets_INC,ProjTargets_AZM,ProjTargets_TVD,F42,H42))</f>
        <v/>
      </c>
      <c r="AP42" s="207" t="str">
        <f>IF(OR(E42="",E42&lt;$U$2),"",ProjBitN(E42,F42,G42,AL42,D42,W42,X42))</f>
        <v/>
      </c>
      <c r="AQ42" s="207" t="str">
        <f>IF(OR(E42="",E42&lt;$U$2),"",ProjBitE(E42,F42,G42,AM42,D42,W42,X42))</f>
        <v/>
      </c>
      <c r="AR42" s="207" t="str">
        <f>IF(OR(E42="",E42&lt;$U$2,AO42=""),"",ProjBurr(D42,W42,X42,Q42,C42,ProjTargets_MD,ProjTargets_INC,ProjTargets_AZM,ProjTargets_TVD,V42))</f>
        <v/>
      </c>
      <c r="AS42" s="207" t="str">
        <f>IF(OR(E42="",E42&lt;$U$2,AO42=""),"",ProjMetersToSlide(D42,W42,X42,Q42,C42,ProjTargets_MD,ProjTargets_INC,ProjTargets_AZM,ProjTargets_TVD,V42))</f>
        <v/>
      </c>
      <c r="AT42" s="207" t="str">
        <f>IF(OR(E42="",E42&lt;$U$2,AO42=""),"",ProjRequiredTf(D42,W42,X42,ProjTargets_MD,ProjTargets_INC,ProjTargets_AZM,ProjTargets_TVD,5,V42))</f>
        <v/>
      </c>
    </row>
    <row r="43" spans="2:46" s="209" customFormat="1" ht="15" customHeight="1" x14ac:dyDescent="0.3">
      <c r="B43" s="208">
        <f t="shared" si="19"/>
        <v>17</v>
      </c>
      <c r="C43" s="335">
        <f t="shared" si="9"/>
        <v>28.799999999999955</v>
      </c>
      <c r="D43" s="27">
        <v>945.03</v>
      </c>
      <c r="E43" s="336">
        <f t="shared" si="10"/>
        <v>928.03</v>
      </c>
      <c r="F43" s="13">
        <v>0.42</v>
      </c>
      <c r="G43" s="7">
        <v>111.12</v>
      </c>
      <c r="H43" s="337">
        <f t="shared" si="3"/>
        <v>927.87794918353461</v>
      </c>
      <c r="I43" s="337">
        <f t="shared" si="11"/>
        <v>155.62794918353461</v>
      </c>
      <c r="J43" s="338">
        <f t="shared" si="12"/>
        <v>0.10266656519650272</v>
      </c>
      <c r="K43" s="339">
        <f t="shared" si="13"/>
        <v>-5.2083333333333405E-2</v>
      </c>
      <c r="L43" s="339">
        <f t="shared" si="14"/>
        <v>-11.427083333333352</v>
      </c>
      <c r="M43" s="339" t="str">
        <f t="shared" si="4"/>
        <v/>
      </c>
      <c r="N43" s="340">
        <f t="shared" si="5"/>
        <v>120.48452958158957</v>
      </c>
      <c r="O43" s="341" t="str">
        <f t="shared" si="6"/>
        <v>Mag</v>
      </c>
      <c r="P43" s="342" t="str">
        <f t="shared" si="7"/>
        <v/>
      </c>
      <c r="Q43" s="343" t="str">
        <f t="shared" si="8"/>
        <v/>
      </c>
      <c r="R43" s="10">
        <f t="shared" si="0"/>
        <v>945.03</v>
      </c>
      <c r="S43" s="337">
        <f t="shared" si="1"/>
        <v>947.03</v>
      </c>
      <c r="T43" s="9">
        <v>2</v>
      </c>
      <c r="U43" s="8" t="s">
        <v>473</v>
      </c>
      <c r="V43" s="202" t="str">
        <f>IF(OR(E43="",E43&lt;$U$2),"",ProjTvdAtBit(E43,F43,G43,H43,D43,W43,X43))</f>
        <v/>
      </c>
      <c r="W43" s="344" t="str">
        <f>IF(OR(E43="",E43&lt;$U$2),"",ProjIncAtBit(F43,J43,C43,M43,AJ43,IF(AK43="",0,AK43)))</f>
        <v/>
      </c>
      <c r="X43" s="455" t="str">
        <f>IF(OR(E43="",E43&lt;$U$2),"",ProjAzmAtBit(F43,G43,J43,C43,M43,AJ43,IF(AK43="",0,AK43)))</f>
        <v/>
      </c>
      <c r="Y43" s="461"/>
      <c r="Z43" s="206"/>
      <c r="AA43" s="512" t="str">
        <f t="shared" si="17"/>
        <v/>
      </c>
      <c r="AB43" s="520" t="str">
        <f t="shared" si="18"/>
        <v/>
      </c>
      <c r="AC43" s="510"/>
      <c r="AD43" s="515"/>
      <c r="AE43" s="516"/>
      <c r="AJ43" s="452">
        <f>IF(OR(E43="",D43=""),0,ProjSlideMetersBetween(E43,D43,$R$13:$R$305,$S$13:$S$305))</f>
        <v>0</v>
      </c>
      <c r="AK43" s="452">
        <f>IF(U43="","",ProjParseTF(U43))</f>
        <v>30</v>
      </c>
      <c r="AL43" s="219">
        <f>IF(E43="","",ProjCumN(AL42,E42,F42,G42,E43,F43,G43,FALSE))</f>
        <v>-2.0539888284273289</v>
      </c>
      <c r="AM43" s="331">
        <f>IF(E43="","",ProjCumE(AM42,E42,F42,G42,E43,F43,G43,FALSE))</f>
        <v>-1.3976030287643355</v>
      </c>
      <c r="AN43" s="330" t="str">
        <f t="shared" si="15"/>
        <v/>
      </c>
      <c r="AO43" s="330" t="str">
        <f>IF(OR(E43="",E43&lt;$U$2),"",ProjActiveTargetMdEx(D43,W43,V43,ProjTargets_MD,ProjTargets_INC,ProjTargets_AZM,ProjTargets_TVD,F43,H43))</f>
        <v/>
      </c>
      <c r="AP43" s="207" t="str">
        <f>IF(OR(E43="",E43&lt;$U$2),"",ProjBitN(E43,F43,G43,AL43,D43,W43,X43))</f>
        <v/>
      </c>
      <c r="AQ43" s="207" t="str">
        <f>IF(OR(E43="",E43&lt;$U$2),"",ProjBitE(E43,F43,G43,AM43,D43,W43,X43))</f>
        <v/>
      </c>
      <c r="AR43" s="207" t="str">
        <f>IF(OR(E43="",E43&lt;$U$2,AO43=""),"",ProjBurr(D43,W43,X43,Q43,C43,ProjTargets_MD,ProjTargets_INC,ProjTargets_AZM,ProjTargets_TVD,V43))</f>
        <v/>
      </c>
      <c r="AS43" s="207" t="str">
        <f>IF(OR(E43="",E43&lt;$U$2,AO43=""),"",ProjMetersToSlide(D43,W43,X43,Q43,C43,ProjTargets_MD,ProjTargets_INC,ProjTargets_AZM,ProjTargets_TVD,V43))</f>
        <v/>
      </c>
      <c r="AT43" s="207" t="str">
        <f>IF(OR(E43="",E43&lt;$U$2,AO43=""),"",ProjRequiredTf(D43,W43,X43,ProjTargets_MD,ProjTargets_INC,ProjTargets_AZM,ProjTargets_TVD,5,V43))</f>
        <v/>
      </c>
    </row>
    <row r="44" spans="2:46" s="209" customFormat="1" ht="15" customHeight="1" x14ac:dyDescent="0.3">
      <c r="B44" s="208">
        <f t="shared" si="19"/>
        <v>17</v>
      </c>
      <c r="C44" s="335">
        <f t="shared" si="9"/>
        <v>28.799999999999955</v>
      </c>
      <c r="D44" s="27">
        <v>973.82999999999993</v>
      </c>
      <c r="E44" s="336">
        <f t="shared" si="10"/>
        <v>956.83</v>
      </c>
      <c r="F44" s="13">
        <v>0.59</v>
      </c>
      <c r="G44" s="7">
        <v>53.01</v>
      </c>
      <c r="H44" s="337">
        <f t="shared" si="3"/>
        <v>956.67683052594884</v>
      </c>
      <c r="I44" s="337">
        <f t="shared" si="11"/>
        <v>184.42683052594884</v>
      </c>
      <c r="J44" s="338">
        <f t="shared" si="12"/>
        <v>0.53387312489208194</v>
      </c>
      <c r="K44" s="339">
        <f t="shared" si="13"/>
        <v>0.1770833333333329</v>
      </c>
      <c r="L44" s="339">
        <f t="shared" si="14"/>
        <v>-60.531249999999865</v>
      </c>
      <c r="M44" s="339">
        <f t="shared" si="4"/>
        <v>2</v>
      </c>
      <c r="N44" s="340">
        <f t="shared" si="5"/>
        <v>70.62827991108999</v>
      </c>
      <c r="O44" s="341" t="str">
        <f t="shared" si="6"/>
        <v>Mag</v>
      </c>
      <c r="P44" s="342">
        <f t="shared" si="7"/>
        <v>8.4999999999999992E-2</v>
      </c>
      <c r="Q44" s="343">
        <f t="shared" si="8"/>
        <v>7.6877729984459675</v>
      </c>
      <c r="R44" s="10" t="str">
        <f t="shared" si="0"/>
        <v/>
      </c>
      <c r="S44" s="337" t="str">
        <f t="shared" si="1"/>
        <v/>
      </c>
      <c r="T44" s="9"/>
      <c r="U44" s="8"/>
      <c r="V44" s="202" t="str">
        <f>IF(OR(E44="",E44&lt;$U$2),"",ProjTvdAtBit(E44,F44,G44,H44,D44,W44,X44))</f>
        <v/>
      </c>
      <c r="W44" s="344" t="str">
        <f>IF(OR(E44="",E44&lt;$U$2),"",ProjIncAtBit(F44,J44,C44,M44,AJ44,IF(AK44="",0,AK44)))</f>
        <v/>
      </c>
      <c r="X44" s="455" t="str">
        <f>IF(OR(E44="",E44&lt;$U$2),"",ProjAzmAtBit(F44,G44,J44,C44,M44,AJ44,IF(AK44="",0,AK44)))</f>
        <v/>
      </c>
      <c r="Y44" s="461"/>
      <c r="Z44" s="206"/>
      <c r="AA44" s="512" t="str">
        <f t="shared" si="17"/>
        <v/>
      </c>
      <c r="AB44" s="520" t="str">
        <f t="shared" si="18"/>
        <v/>
      </c>
      <c r="AC44" s="510"/>
      <c r="AD44" s="515"/>
      <c r="AE44" s="516"/>
      <c r="AJ44" s="452">
        <f>IF(OR(E44="",D44=""),0,ProjSlideMetersBetween(E44,D44,$R$13:$R$305,$S$13:$S$305))</f>
        <v>0</v>
      </c>
      <c r="AK44" s="452" t="str">
        <f>IF(U44="","",ProjParseTF(U44))</f>
        <v/>
      </c>
      <c r="AL44" s="219">
        <f>IF(E44="","",ProjCumN(AL43,E43,F43,G43,E44,F44,G44,FALSE))</f>
        <v>-2.0028060937815844</v>
      </c>
      <c r="AM44" s="331">
        <f>IF(E44="","",ProjCumE(AM43,E43,F43,G43,E44,F44,G44,FALSE))</f>
        <v>-1.1806977920083148</v>
      </c>
      <c r="AN44" s="330" t="str">
        <f t="shared" si="15"/>
        <v/>
      </c>
      <c r="AO44" s="330" t="str">
        <f>IF(OR(E44="",E44&lt;$U$2),"",ProjActiveTargetMdEx(D44,W44,V44,ProjTargets_MD,ProjTargets_INC,ProjTargets_AZM,ProjTargets_TVD,F44,H44))</f>
        <v/>
      </c>
      <c r="AP44" s="207" t="str">
        <f>IF(OR(E44="",E44&lt;$U$2),"",ProjBitN(E44,F44,G44,AL44,D44,W44,X44))</f>
        <v/>
      </c>
      <c r="AQ44" s="207" t="str">
        <f>IF(OR(E44="",E44&lt;$U$2),"",ProjBitE(E44,F44,G44,AM44,D44,W44,X44))</f>
        <v/>
      </c>
      <c r="AR44" s="207" t="str">
        <f>IF(OR(E44="",E44&lt;$U$2,AO44=""),"",ProjBurr(D44,W44,X44,Q44,C44,ProjTargets_MD,ProjTargets_INC,ProjTargets_AZM,ProjTargets_TVD,V44))</f>
        <v/>
      </c>
      <c r="AS44" s="207" t="str">
        <f>IF(OR(E44="",E44&lt;$U$2,AO44=""),"",ProjMetersToSlide(D44,W44,X44,Q44,C44,ProjTargets_MD,ProjTargets_INC,ProjTargets_AZM,ProjTargets_TVD,V44))</f>
        <v/>
      </c>
      <c r="AT44" s="207" t="str">
        <f>IF(OR(E44="",E44&lt;$U$2,AO44=""),"",ProjRequiredTf(D44,W44,X44,ProjTargets_MD,ProjTargets_INC,ProjTargets_AZM,ProjTargets_TVD,5,V44))</f>
        <v/>
      </c>
    </row>
    <row r="45" spans="2:46" s="209" customFormat="1" ht="15" customHeight="1" x14ac:dyDescent="0.3">
      <c r="B45" s="208">
        <f t="shared" si="19"/>
        <v>17</v>
      </c>
      <c r="C45" s="335">
        <f t="shared" si="9"/>
        <v>28.740000000000009</v>
      </c>
      <c r="D45" s="27">
        <v>1002.5699999999999</v>
      </c>
      <c r="E45" s="336">
        <f t="shared" si="10"/>
        <v>985.57</v>
      </c>
      <c r="F45" s="13">
        <v>0.71</v>
      </c>
      <c r="G45" s="7">
        <v>19.55</v>
      </c>
      <c r="H45" s="337">
        <f t="shared" si="3"/>
        <v>985.41498111442786</v>
      </c>
      <c r="I45" s="337">
        <f t="shared" si="11"/>
        <v>213.16498111442786</v>
      </c>
      <c r="J45" s="338">
        <f t="shared" si="12"/>
        <v>0.40862407000281253</v>
      </c>
      <c r="K45" s="339">
        <f t="shared" si="13"/>
        <v>0.1252609603340292</v>
      </c>
      <c r="L45" s="339">
        <f t="shared" si="14"/>
        <v>-34.926931106471798</v>
      </c>
      <c r="M45" s="339" t="str">
        <f t="shared" si="4"/>
        <v/>
      </c>
      <c r="N45" s="340">
        <f t="shared" si="5"/>
        <v>72.148964906205109</v>
      </c>
      <c r="O45" s="341" t="str">
        <f t="shared" si="6"/>
        <v>Mag</v>
      </c>
      <c r="P45" s="342" t="str">
        <f t="shared" si="7"/>
        <v/>
      </c>
      <c r="Q45" s="343" t="str">
        <f t="shared" si="8"/>
        <v/>
      </c>
      <c r="R45" s="10" t="str">
        <f t="shared" si="0"/>
        <v/>
      </c>
      <c r="S45" s="337" t="str">
        <f t="shared" si="1"/>
        <v/>
      </c>
      <c r="T45" s="9"/>
      <c r="U45" s="8"/>
      <c r="V45" s="202" t="str">
        <f>IF(OR(E45="",E45&lt;$U$2),"",ProjTvdAtBit(E45,F45,G45,H45,D45,W45,X45))</f>
        <v/>
      </c>
      <c r="W45" s="344" t="str">
        <f>IF(OR(E45="",E45&lt;$U$2),"",ProjIncAtBit(F45,J45,C45,M45,AJ45,IF(AK45="",0,AK45)))</f>
        <v/>
      </c>
      <c r="X45" s="455" t="str">
        <f>IF(OR(E45="",E45&lt;$U$2),"",ProjAzmAtBit(F45,G45,J45,C45,M45,AJ45,IF(AK45="",0,AK45)))</f>
        <v/>
      </c>
      <c r="Y45" s="461"/>
      <c r="Z45" s="206"/>
      <c r="AA45" s="512" t="str">
        <f t="shared" si="17"/>
        <v/>
      </c>
      <c r="AB45" s="520" t="str">
        <f t="shared" si="18"/>
        <v/>
      </c>
      <c r="AC45" s="510"/>
      <c r="AD45" s="515"/>
      <c r="AE45" s="516"/>
      <c r="AJ45" s="452">
        <f>IF(OR(E45="",D45=""),0,ProjSlideMetersBetween(E45,D45,$R$13:$R$305,$S$13:$S$305))</f>
        <v>0</v>
      </c>
      <c r="AK45" s="452" t="str">
        <f>IF(U45="","",ProjParseTF(U45))</f>
        <v/>
      </c>
      <c r="AL45" s="219">
        <f>IF(E45="","",ProjCumN(AL44,E44,F44,G44,E45,F45,G45,FALSE))</f>
        <v>-1.7459735621195382</v>
      </c>
      <c r="AM45" s="331">
        <f>IF(E45="","",ProjCumE(AM44,E44,F44,G44,E45,F45,G45,FALSE))</f>
        <v>-1.0029199990630207</v>
      </c>
      <c r="AN45" s="330" t="str">
        <f t="shared" si="15"/>
        <v/>
      </c>
      <c r="AO45" s="330" t="str">
        <f>IF(OR(E45="",E45&lt;$U$2),"",ProjActiveTargetMdEx(D45,W45,V45,ProjTargets_MD,ProjTargets_INC,ProjTargets_AZM,ProjTargets_TVD,F45,H45))</f>
        <v/>
      </c>
      <c r="AP45" s="207" t="str">
        <f>IF(OR(E45="",E45&lt;$U$2),"",ProjBitN(E45,F45,G45,AL45,D45,W45,X45))</f>
        <v/>
      </c>
      <c r="AQ45" s="207" t="str">
        <f>IF(OR(E45="",E45&lt;$U$2),"",ProjBitE(E45,F45,G45,AM45,D45,W45,X45))</f>
        <v/>
      </c>
      <c r="AR45" s="207" t="str">
        <f>IF(OR(E45="",E45&lt;$U$2,AO45=""),"",ProjBurr(D45,W45,X45,Q45,C45,ProjTargets_MD,ProjTargets_INC,ProjTargets_AZM,ProjTargets_TVD,V45))</f>
        <v/>
      </c>
      <c r="AS45" s="207" t="str">
        <f>IF(OR(E45="",E45&lt;$U$2,AO45=""),"",ProjMetersToSlide(D45,W45,X45,Q45,C45,ProjTargets_MD,ProjTargets_INC,ProjTargets_AZM,ProjTargets_TVD,V45))</f>
        <v/>
      </c>
      <c r="AT45" s="207" t="str">
        <f>IF(OR(E45="",E45&lt;$U$2,AO45=""),"",ProjRequiredTf(D45,W45,X45,ProjTargets_MD,ProjTargets_INC,ProjTargets_AZM,ProjTargets_TVD,5,V45))</f>
        <v/>
      </c>
    </row>
    <row r="46" spans="2:46" s="209" customFormat="1" ht="15" customHeight="1" x14ac:dyDescent="0.3">
      <c r="B46" s="208">
        <f t="shared" si="19"/>
        <v>17</v>
      </c>
      <c r="C46" s="335">
        <f t="shared" si="9"/>
        <v>28.810000000000173</v>
      </c>
      <c r="D46" s="27">
        <v>1031.3800000000001</v>
      </c>
      <c r="E46" s="336">
        <f t="shared" si="10"/>
        <v>1014.38</v>
      </c>
      <c r="F46" s="13">
        <v>0.98</v>
      </c>
      <c r="G46" s="7">
        <v>0.31</v>
      </c>
      <c r="H46" s="337">
        <f t="shared" si="3"/>
        <v>1014.2218480195692</v>
      </c>
      <c r="I46" s="337">
        <f t="shared" si="11"/>
        <v>241.97184801956917</v>
      </c>
      <c r="J46" s="338">
        <f t="shared" si="12"/>
        <v>0.40412878776835304</v>
      </c>
      <c r="K46" s="339">
        <f t="shared" si="13"/>
        <v>0.28115237764665102</v>
      </c>
      <c r="L46" s="339">
        <f t="shared" si="14"/>
        <v>-20.034710170079876</v>
      </c>
      <c r="M46" s="339" t="str">
        <f t="shared" si="4"/>
        <v/>
      </c>
      <c r="N46" s="340">
        <f t="shared" si="5"/>
        <v>45.916979509099079</v>
      </c>
      <c r="O46" s="341" t="str">
        <f t="shared" si="6"/>
        <v>Mag</v>
      </c>
      <c r="P46" s="342" t="str">
        <f t="shared" si="7"/>
        <v/>
      </c>
      <c r="Q46" s="343" t="str">
        <f t="shared" si="8"/>
        <v/>
      </c>
      <c r="R46" s="10" t="str">
        <f t="shared" si="0"/>
        <v/>
      </c>
      <c r="S46" s="337" t="str">
        <f t="shared" si="1"/>
        <v/>
      </c>
      <c r="T46" s="9"/>
      <c r="U46" s="8"/>
      <c r="V46" s="202" t="str">
        <f>IF(OR(E46="",E46&lt;$U$2),"",ProjTvdAtBit(E46,F46,G46,H46,D46,W46,X46))</f>
        <v/>
      </c>
      <c r="W46" s="344" t="str">
        <f>IF(OR(E46="",E46&lt;$U$2),"",ProjIncAtBit(F46,J46,C46,M46,AJ46,IF(AK46="",0,AK46)))</f>
        <v/>
      </c>
      <c r="X46" s="455" t="str">
        <f>IF(OR(E46="",E46&lt;$U$2),"",ProjAzmAtBit(F46,G46,J46,C46,M46,AJ46,IF(AK46="",0,AK46)))</f>
        <v/>
      </c>
      <c r="Y46" s="461"/>
      <c r="Z46" s="206"/>
      <c r="AA46" s="512" t="str">
        <f t="shared" si="17"/>
        <v/>
      </c>
      <c r="AB46" s="520" t="str">
        <f t="shared" si="18"/>
        <v/>
      </c>
      <c r="AC46" s="510"/>
      <c r="AD46" s="515"/>
      <c r="AE46" s="516"/>
      <c r="AJ46" s="452">
        <f>IF(OR(E46="",D46=""),0,ProjSlideMetersBetween(E46,D46,$R$13:$R$305,$S$13:$S$305))</f>
        <v>0</v>
      </c>
      <c r="AK46" s="452" t="str">
        <f>IF(U46="","",ProjParseTF(U46))</f>
        <v/>
      </c>
      <c r="AL46" s="219">
        <f>IF(E46="","",ProjCumN(AL45,E45,F45,G45,E46,F46,G46,FALSE))</f>
        <v>-1.3313919046156597</v>
      </c>
      <c r="AM46" s="331">
        <f>IF(E46="","",ProjCumE(AM45,E45,F45,G45,E46,F46,G46,FALSE))</f>
        <v>-0.94185546994892388</v>
      </c>
      <c r="AN46" s="330" t="str">
        <f t="shared" si="15"/>
        <v/>
      </c>
      <c r="AO46" s="330" t="str">
        <f>IF(OR(E46="",E46&lt;$U$2),"",ProjActiveTargetMdEx(D46,W46,V46,ProjTargets_MD,ProjTargets_INC,ProjTargets_AZM,ProjTargets_TVD,F46,H46))</f>
        <v/>
      </c>
      <c r="AP46" s="207" t="str">
        <f>IF(OR(E46="",E46&lt;$U$2),"",ProjBitN(E46,F46,G46,AL46,D46,W46,X46))</f>
        <v/>
      </c>
      <c r="AQ46" s="207" t="str">
        <f>IF(OR(E46="",E46&lt;$U$2),"",ProjBitE(E46,F46,G46,AM46,D46,W46,X46))</f>
        <v/>
      </c>
      <c r="AR46" s="207" t="str">
        <f>IF(OR(E46="",E46&lt;$U$2,AO46=""),"",ProjBurr(D46,W46,X46,Q46,C46,ProjTargets_MD,ProjTargets_INC,ProjTargets_AZM,ProjTargets_TVD,V46))</f>
        <v/>
      </c>
      <c r="AS46" s="207" t="str">
        <f>IF(OR(E46="",E46&lt;$U$2,AO46=""),"",ProjMetersToSlide(D46,W46,X46,Q46,C46,ProjTargets_MD,ProjTargets_INC,ProjTargets_AZM,ProjTargets_TVD,V46))</f>
        <v/>
      </c>
      <c r="AT46" s="207" t="str">
        <f>IF(OR(E46="",E46&lt;$U$2,AO46=""),"",ProjRequiredTf(D46,W46,X46,ProjTargets_MD,ProjTargets_INC,ProjTargets_AZM,ProjTargets_TVD,5,V46))</f>
        <v/>
      </c>
    </row>
    <row r="47" spans="2:46" s="209" customFormat="1" ht="15" customHeight="1" x14ac:dyDescent="0.3">
      <c r="B47" s="208">
        <f t="shared" si="19"/>
        <v>17</v>
      </c>
      <c r="C47" s="335">
        <f t="shared" si="9"/>
        <v>28.6099999999999</v>
      </c>
      <c r="D47" s="27">
        <v>1059.99</v>
      </c>
      <c r="E47" s="336">
        <f t="shared" si="10"/>
        <v>1042.99</v>
      </c>
      <c r="F47" s="13">
        <v>0.95</v>
      </c>
      <c r="G47" s="7">
        <v>359.83</v>
      </c>
      <c r="H47" s="337">
        <f t="shared" si="3"/>
        <v>1042.8277902539537</v>
      </c>
      <c r="I47" s="337">
        <f t="shared" si="11"/>
        <v>270.57779025395371</v>
      </c>
      <c r="J47" s="338">
        <f t="shared" si="12"/>
        <v>3.2579343994251407E-2</v>
      </c>
      <c r="K47" s="339">
        <f t="shared" si="13"/>
        <v>-3.1457532331352692E-2</v>
      </c>
      <c r="L47" s="339">
        <f t="shared" si="14"/>
        <v>-0.50332051730165928</v>
      </c>
      <c r="M47" s="339" t="str">
        <f t="shared" si="4"/>
        <v/>
      </c>
      <c r="N47" s="340">
        <f t="shared" si="5"/>
        <v>164.92072157655073</v>
      </c>
      <c r="O47" s="341" t="str">
        <f t="shared" si="6"/>
        <v>Mag</v>
      </c>
      <c r="P47" s="342" t="str">
        <f t="shared" si="7"/>
        <v/>
      </c>
      <c r="Q47" s="343" t="str">
        <f t="shared" si="8"/>
        <v/>
      </c>
      <c r="R47" s="10" t="str">
        <f t="shared" si="0"/>
        <v/>
      </c>
      <c r="S47" s="337" t="str">
        <f t="shared" si="1"/>
        <v/>
      </c>
      <c r="T47" s="9"/>
      <c r="U47" s="8"/>
      <c r="V47" s="202" t="str">
        <f>IF(OR(E47="",E47&lt;$U$2),"",ProjTvdAtBit(E47,F47,G47,H47,D47,W47,X47))</f>
        <v/>
      </c>
      <c r="W47" s="344" t="str">
        <f>IF(OR(E47="",E47&lt;$U$2),"",ProjIncAtBit(F47,J47,C47,M47,AJ47,IF(AK47="",0,AK47)))</f>
        <v/>
      </c>
      <c r="X47" s="455" t="str">
        <f>IF(OR(E47="",E47&lt;$U$2),"",ProjAzmAtBit(F47,G47,J47,C47,M47,AJ47,IF(AK47="",0,AK47)))</f>
        <v/>
      </c>
      <c r="Y47" s="461"/>
      <c r="Z47" s="206"/>
      <c r="AA47" s="512" t="str">
        <f t="shared" si="17"/>
        <v/>
      </c>
      <c r="AB47" s="520" t="str">
        <f t="shared" si="18"/>
        <v/>
      </c>
      <c r="AC47" s="510"/>
      <c r="AD47" s="515"/>
      <c r="AE47" s="516"/>
      <c r="AJ47" s="452">
        <f>IF(OR(E47="",D47=""),0,ProjSlideMetersBetween(E47,D47,$R$13:$R$305,$S$13:$S$305))</f>
        <v>0</v>
      </c>
      <c r="AK47" s="452" t="str">
        <f>IF(U47="","",ProjParseTF(U47))</f>
        <v/>
      </c>
      <c r="AL47" s="219">
        <f>IF(E47="","",ProjCumN(AL46,E46,F46,G46,E47,F47,G47,FALSE))</f>
        <v>-0.84955747096335821</v>
      </c>
      <c r="AM47" s="331">
        <f>IF(E47="","",ProjCumE(AM46,E46,F46,G46,E47,F47,G47,FALSE))</f>
        <v>-0.94123542798584992</v>
      </c>
      <c r="AN47" s="330" t="str">
        <f t="shared" si="15"/>
        <v/>
      </c>
      <c r="AO47" s="330" t="str">
        <f>IF(OR(E47="",E47&lt;$U$2),"",ProjActiveTargetMdEx(D47,W47,V47,ProjTargets_MD,ProjTargets_INC,ProjTargets_AZM,ProjTargets_TVD,F47,H47))</f>
        <v/>
      </c>
      <c r="AP47" s="207" t="str">
        <f>IF(OR(E47="",E47&lt;$U$2),"",ProjBitN(E47,F47,G47,AL47,D47,W47,X47))</f>
        <v/>
      </c>
      <c r="AQ47" s="207" t="str">
        <f>IF(OR(E47="",E47&lt;$U$2),"",ProjBitE(E47,F47,G47,AM47,D47,W47,X47))</f>
        <v/>
      </c>
      <c r="AR47" s="207" t="str">
        <f>IF(OR(E47="",E47&lt;$U$2,AO47=""),"",ProjBurr(D47,W47,X47,Q47,C47,ProjTargets_MD,ProjTargets_INC,ProjTargets_AZM,ProjTargets_TVD,V47))</f>
        <v/>
      </c>
      <c r="AS47" s="207" t="str">
        <f>IF(OR(E47="",E47&lt;$U$2,AO47=""),"",ProjMetersToSlide(D47,W47,X47,Q47,C47,ProjTargets_MD,ProjTargets_INC,ProjTargets_AZM,ProjTargets_TVD,V47))</f>
        <v/>
      </c>
      <c r="AT47" s="207" t="str">
        <f>IF(OR(E47="",E47&lt;$U$2,AO47=""),"",ProjRequiredTf(D47,W47,X47,ProjTargets_MD,ProjTargets_INC,ProjTargets_AZM,ProjTargets_TVD,5,V47))</f>
        <v/>
      </c>
    </row>
    <row r="48" spans="2:46" s="209" customFormat="1" ht="15" customHeight="1" x14ac:dyDescent="0.3">
      <c r="B48" s="208">
        <f t="shared" si="19"/>
        <v>17</v>
      </c>
      <c r="C48" s="335">
        <f t="shared" si="9"/>
        <v>28.769999999999982</v>
      </c>
      <c r="D48" s="27">
        <v>1088.76</v>
      </c>
      <c r="E48" s="336">
        <f t="shared" si="10"/>
        <v>1071.76</v>
      </c>
      <c r="F48" s="13">
        <v>0.96</v>
      </c>
      <c r="G48" s="7">
        <v>344.4</v>
      </c>
      <c r="H48" s="337">
        <f t="shared" si="3"/>
        <v>1071.5937939244438</v>
      </c>
      <c r="I48" s="337">
        <f t="shared" si="11"/>
        <v>299.34379392444384</v>
      </c>
      <c r="J48" s="338">
        <f t="shared" si="12"/>
        <v>0.26755881072848281</v>
      </c>
      <c r="K48" s="339">
        <f t="shared" si="13"/>
        <v>1.0427528675703875E-2</v>
      </c>
      <c r="L48" s="339">
        <f t="shared" si="14"/>
        <v>-16.089676746611069</v>
      </c>
      <c r="M48" s="339" t="str">
        <f t="shared" si="4"/>
        <v/>
      </c>
      <c r="N48" s="340">
        <f t="shared" si="5"/>
        <v>87.766454674676382</v>
      </c>
      <c r="O48" s="341" t="str">
        <f t="shared" si="6"/>
        <v>Mag</v>
      </c>
      <c r="P48" s="342" t="str">
        <f t="shared" si="7"/>
        <v/>
      </c>
      <c r="Q48" s="343" t="str">
        <f t="shared" si="8"/>
        <v/>
      </c>
      <c r="R48" s="10" t="str">
        <f t="shared" si="0"/>
        <v/>
      </c>
      <c r="S48" s="337" t="str">
        <f t="shared" si="1"/>
        <v/>
      </c>
      <c r="T48" s="9"/>
      <c r="U48" s="8"/>
      <c r="V48" s="202" t="str">
        <f>IF(OR(E48="",E48&lt;$U$2),"",ProjTvdAtBit(E48,F48,G48,H48,D48,W48,X48))</f>
        <v/>
      </c>
      <c r="W48" s="344" t="str">
        <f>IF(OR(E48="",E48&lt;$U$2),"",ProjIncAtBit(F48,J48,C48,M48,AJ48,IF(AK48="",0,AK48)))</f>
        <v/>
      </c>
      <c r="X48" s="455" t="str">
        <f>IF(OR(E48="",E48&lt;$U$2),"",ProjAzmAtBit(F48,G48,J48,C48,M48,AJ48,IF(AK48="",0,AK48)))</f>
        <v/>
      </c>
      <c r="Y48" s="461"/>
      <c r="Z48" s="206"/>
      <c r="AA48" s="512" t="str">
        <f t="shared" si="17"/>
        <v/>
      </c>
      <c r="AB48" s="520" t="str">
        <f t="shared" si="18"/>
        <v/>
      </c>
      <c r="AC48" s="510"/>
      <c r="AD48" s="515"/>
      <c r="AE48" s="516"/>
      <c r="AJ48" s="452">
        <f>IF(OR(E48="",D48=""),0,ProjSlideMetersBetween(E48,D48,$R$13:$R$305,$S$13:$S$305))</f>
        <v>0</v>
      </c>
      <c r="AK48" s="452" t="str">
        <f>IF(U48="","",ProjParseTF(U48))</f>
        <v/>
      </c>
      <c r="AL48" s="219">
        <f>IF(E48="","",ProjCumN(AL47,E47,F47,G47,E48,F48,G48,FALSE))</f>
        <v>-0.37892287189114771</v>
      </c>
      <c r="AM48" s="331">
        <f>IF(E48="","",ProjCumE(AM47,E47,F47,G47,E48,F48,G48,FALSE))</f>
        <v>-1.0067560105197542</v>
      </c>
      <c r="AN48" s="330" t="str">
        <f t="shared" si="15"/>
        <v/>
      </c>
      <c r="AO48" s="330" t="str">
        <f>IF(OR(E48="",E48&lt;$U$2),"",ProjActiveTargetMdEx(D48,W48,V48,ProjTargets_MD,ProjTargets_INC,ProjTargets_AZM,ProjTargets_TVD,F48,H48))</f>
        <v/>
      </c>
      <c r="AP48" s="207" t="str">
        <f>IF(OR(E48="",E48&lt;$U$2),"",ProjBitN(E48,F48,G48,AL48,D48,W48,X48))</f>
        <v/>
      </c>
      <c r="AQ48" s="207" t="str">
        <f>IF(OR(E48="",E48&lt;$U$2),"",ProjBitE(E48,F48,G48,AM48,D48,W48,X48))</f>
        <v/>
      </c>
      <c r="AR48" s="207" t="str">
        <f>IF(OR(E48="",E48&lt;$U$2,AO48=""),"",ProjBurr(D48,W48,X48,Q48,C48,ProjTargets_MD,ProjTargets_INC,ProjTargets_AZM,ProjTargets_TVD,V48))</f>
        <v/>
      </c>
      <c r="AS48" s="207" t="str">
        <f>IF(OR(E48="",E48&lt;$U$2,AO48=""),"",ProjMetersToSlide(D48,W48,X48,Q48,C48,ProjTargets_MD,ProjTargets_INC,ProjTargets_AZM,ProjTargets_TVD,V48))</f>
        <v/>
      </c>
      <c r="AT48" s="207" t="str">
        <f>IF(OR(E48="",E48&lt;$U$2,AO48=""),"",ProjRequiredTf(D48,W48,X48,ProjTargets_MD,ProjTargets_INC,ProjTargets_AZM,ProjTargets_TVD,5,V48))</f>
        <v/>
      </c>
    </row>
    <row r="49" spans="2:46" s="209" customFormat="1" ht="15" customHeight="1" x14ac:dyDescent="0.3">
      <c r="B49" s="208">
        <f t="shared" si="19"/>
        <v>17</v>
      </c>
      <c r="C49" s="335">
        <f t="shared" si="9"/>
        <v>28.700000000000045</v>
      </c>
      <c r="D49" s="27">
        <v>1117.46</v>
      </c>
      <c r="E49" s="336">
        <f t="shared" si="10"/>
        <v>1100.46</v>
      </c>
      <c r="F49" s="13">
        <v>1.1499999999999999</v>
      </c>
      <c r="G49" s="7">
        <v>337.36</v>
      </c>
      <c r="H49" s="337">
        <f t="shared" si="3"/>
        <v>1100.2889287402741</v>
      </c>
      <c r="I49" s="337">
        <f t="shared" si="11"/>
        <v>328.03892874027406</v>
      </c>
      <c r="J49" s="338">
        <f t="shared" si="12"/>
        <v>0.24006480053422588</v>
      </c>
      <c r="K49" s="339">
        <f t="shared" si="13"/>
        <v>0.1986062717770031</v>
      </c>
      <c r="L49" s="339">
        <f t="shared" si="14"/>
        <v>-7.358885017421553</v>
      </c>
      <c r="M49" s="339" t="str">
        <f t="shared" si="4"/>
        <v/>
      </c>
      <c r="N49" s="340">
        <f t="shared" si="5"/>
        <v>34.177345102443049</v>
      </c>
      <c r="O49" s="341" t="str">
        <f t="shared" si="6"/>
        <v>Mag</v>
      </c>
      <c r="P49" s="342" t="str">
        <f t="shared" si="7"/>
        <v/>
      </c>
      <c r="Q49" s="343" t="str">
        <f t="shared" si="8"/>
        <v/>
      </c>
      <c r="R49" s="10" t="str">
        <f t="shared" si="0"/>
        <v/>
      </c>
      <c r="S49" s="337" t="str">
        <f t="shared" si="1"/>
        <v/>
      </c>
      <c r="T49" s="9"/>
      <c r="U49" s="8"/>
      <c r="V49" s="202" t="str">
        <f>IF(OR(E49="",E49&lt;$U$2),"",ProjTvdAtBit(E49,F49,G49,H49,D49,W49,X49))</f>
        <v/>
      </c>
      <c r="W49" s="344" t="str">
        <f>IF(OR(E49="",E49&lt;$U$2),"",ProjIncAtBit(F49,J49,C49,M49,AJ49,IF(AK49="",0,AK49)))</f>
        <v/>
      </c>
      <c r="X49" s="455" t="str">
        <f>IF(OR(E49="",E49&lt;$U$2),"",ProjAzmAtBit(F49,G49,J49,C49,M49,AJ49,IF(AK49="",0,AK49)))</f>
        <v/>
      </c>
      <c r="Y49" s="461"/>
      <c r="Z49" s="206"/>
      <c r="AA49" s="512" t="str">
        <f t="shared" si="17"/>
        <v/>
      </c>
      <c r="AB49" s="520" t="str">
        <f t="shared" si="18"/>
        <v/>
      </c>
      <c r="AC49" s="510"/>
      <c r="AD49" s="515"/>
      <c r="AE49" s="516"/>
      <c r="AJ49" s="452">
        <f>IF(OR(E49="",D49=""),0,ProjSlideMetersBetween(E49,D49,$R$13:$R$305,$S$13:$S$305))</f>
        <v>0</v>
      </c>
      <c r="AK49" s="452" t="str">
        <f>IF(U49="","",ProjParseTF(U49))</f>
        <v/>
      </c>
      <c r="AL49" s="219">
        <f>IF(E49="","",ProjCumN(AL48,E48,F48,G48,E49,F49,G49,FALSE))</f>
        <v>0.118457003955799</v>
      </c>
      <c r="AM49" s="331">
        <f>IF(E49="","",ProjCumE(AM48,E48,F48,G48,E49,F49,G49,FALSE))</f>
        <v>-1.1822754186861799</v>
      </c>
      <c r="AN49" s="330" t="str">
        <f t="shared" si="15"/>
        <v/>
      </c>
      <c r="AO49" s="330" t="str">
        <f>IF(OR(E49="",E49&lt;$U$2),"",ProjActiveTargetMdEx(D49,W49,V49,ProjTargets_MD,ProjTargets_INC,ProjTargets_AZM,ProjTargets_TVD,F49,H49))</f>
        <v/>
      </c>
      <c r="AP49" s="207" t="str">
        <f>IF(OR(E49="",E49&lt;$U$2),"",ProjBitN(E49,F49,G49,AL49,D49,W49,X49))</f>
        <v/>
      </c>
      <c r="AQ49" s="207" t="str">
        <f>IF(OR(E49="",E49&lt;$U$2),"",ProjBitE(E49,F49,G49,AM49,D49,W49,X49))</f>
        <v/>
      </c>
      <c r="AR49" s="207" t="str">
        <f>IF(OR(E49="",E49&lt;$U$2,AO49=""),"",ProjBurr(D49,W49,X49,Q49,C49,ProjTargets_MD,ProjTargets_INC,ProjTargets_AZM,ProjTargets_TVD,V49))</f>
        <v/>
      </c>
      <c r="AS49" s="207" t="str">
        <f>IF(OR(E49="",E49&lt;$U$2,AO49=""),"",ProjMetersToSlide(D49,W49,X49,Q49,C49,ProjTargets_MD,ProjTargets_INC,ProjTargets_AZM,ProjTargets_TVD,V49))</f>
        <v/>
      </c>
      <c r="AT49" s="207" t="str">
        <f>IF(OR(E49="",E49&lt;$U$2,AO49=""),"",ProjRequiredTf(D49,W49,X49,ProjTargets_MD,ProjTargets_INC,ProjTargets_AZM,ProjTargets_TVD,5,V49))</f>
        <v/>
      </c>
    </row>
    <row r="50" spans="2:46" s="209" customFormat="1" ht="15" customHeight="1" x14ac:dyDescent="0.3">
      <c r="B50" s="208">
        <f t="shared" si="19"/>
        <v>17</v>
      </c>
      <c r="C50" s="335">
        <f t="shared" si="9"/>
        <v>28.660000000000082</v>
      </c>
      <c r="D50" s="27">
        <v>1146.1200000000001</v>
      </c>
      <c r="E50" s="336">
        <f t="shared" si="10"/>
        <v>1129.1199999999999</v>
      </c>
      <c r="F50" s="13">
        <v>1.02</v>
      </c>
      <c r="G50" s="7">
        <v>338.58</v>
      </c>
      <c r="H50" s="337">
        <f t="shared" si="3"/>
        <v>1128.9437901093795</v>
      </c>
      <c r="I50" s="337">
        <f t="shared" si="11"/>
        <v>356.69379010937951</v>
      </c>
      <c r="J50" s="338">
        <f t="shared" si="12"/>
        <v>0.13820237739072302</v>
      </c>
      <c r="K50" s="339">
        <f t="shared" si="13"/>
        <v>-0.13607815771109619</v>
      </c>
      <c r="L50" s="339">
        <f t="shared" si="14"/>
        <v>1.2770411723656419</v>
      </c>
      <c r="M50" s="339" t="str">
        <f t="shared" si="4"/>
        <v/>
      </c>
      <c r="N50" s="340">
        <f t="shared" si="5"/>
        <v>169.94140242583404</v>
      </c>
      <c r="O50" s="341" t="str">
        <f t="shared" si="6"/>
        <v>Mag</v>
      </c>
      <c r="P50" s="342" t="str">
        <f t="shared" si="7"/>
        <v/>
      </c>
      <c r="Q50" s="343" t="str">
        <f t="shared" si="8"/>
        <v/>
      </c>
      <c r="R50" s="10" t="str">
        <f t="shared" si="0"/>
        <v/>
      </c>
      <c r="S50" s="337" t="str">
        <f t="shared" si="1"/>
        <v/>
      </c>
      <c r="T50" s="9"/>
      <c r="U50" s="8"/>
      <c r="V50" s="202" t="str">
        <f>IF(OR(E50="",E50&lt;$U$2),"",ProjTvdAtBit(E50,F50,G50,H50,D50,W50,X50))</f>
        <v/>
      </c>
      <c r="W50" s="344" t="str">
        <f>IF(OR(E50="",E50&lt;$U$2),"",ProjIncAtBit(F50,J50,C50,M50,AJ50,IF(AK50="",0,AK50)))</f>
        <v/>
      </c>
      <c r="X50" s="455" t="str">
        <f>IF(OR(E50="",E50&lt;$U$2),"",ProjAzmAtBit(F50,G50,J50,C50,M50,AJ50,IF(AK50="",0,AK50)))</f>
        <v/>
      </c>
      <c r="Y50" s="461"/>
      <c r="Z50" s="206"/>
      <c r="AA50" s="512" t="str">
        <f t="shared" si="17"/>
        <v/>
      </c>
      <c r="AB50" s="520" t="str">
        <f t="shared" si="18"/>
        <v/>
      </c>
      <c r="AC50" s="510"/>
      <c r="AD50" s="515"/>
      <c r="AE50" s="516"/>
      <c r="AJ50" s="452">
        <f>IF(OR(E50="",D50=""),0,ProjSlideMetersBetween(E50,D50,$R$13:$R$305,$S$13:$S$305))</f>
        <v>0</v>
      </c>
      <c r="AK50" s="452" t="str">
        <f>IF(U50="","",ProjParseTF(U50))</f>
        <v/>
      </c>
      <c r="AL50" s="219">
        <f>IF(E50="","",ProjCumN(AL49,E49,F49,G49,E50,F50,G50,FALSE))</f>
        <v>0.62137185794293925</v>
      </c>
      <c r="AM50" s="331">
        <f>IF(E50="","",ProjCumE(AM49,E49,F49,G49,E50,F50,G50,FALSE))</f>
        <v>-1.3861459323657419</v>
      </c>
      <c r="AN50" s="330" t="str">
        <f t="shared" si="15"/>
        <v/>
      </c>
      <c r="AO50" s="330" t="str">
        <f>IF(OR(E50="",E50&lt;$U$2),"",ProjActiveTargetMdEx(D50,W50,V50,ProjTargets_MD,ProjTargets_INC,ProjTargets_AZM,ProjTargets_TVD,F50,H50))</f>
        <v/>
      </c>
      <c r="AP50" s="207" t="str">
        <f>IF(OR(E50="",E50&lt;$U$2),"",ProjBitN(E50,F50,G50,AL50,D50,W50,X50))</f>
        <v/>
      </c>
      <c r="AQ50" s="207" t="str">
        <f>IF(OR(E50="",E50&lt;$U$2),"",ProjBitE(E50,F50,G50,AM50,D50,W50,X50))</f>
        <v/>
      </c>
      <c r="AR50" s="207" t="str">
        <f>IF(OR(E50="",E50&lt;$U$2,AO50=""),"",ProjBurr(D50,W50,X50,Q50,C50,ProjTargets_MD,ProjTargets_INC,ProjTargets_AZM,ProjTargets_TVD,V50))</f>
        <v/>
      </c>
      <c r="AS50" s="207" t="str">
        <f>IF(OR(E50="",E50&lt;$U$2,AO50=""),"",ProjMetersToSlide(D50,W50,X50,Q50,C50,ProjTargets_MD,ProjTargets_INC,ProjTargets_AZM,ProjTargets_TVD,V50))</f>
        <v/>
      </c>
      <c r="AT50" s="207" t="str">
        <f>IF(OR(E50="",E50&lt;$U$2,AO50=""),"",ProjRequiredTf(D50,W50,X50,ProjTargets_MD,ProjTargets_INC,ProjTargets_AZM,ProjTargets_TVD,5,V50))</f>
        <v/>
      </c>
    </row>
    <row r="51" spans="2:46" s="209" customFormat="1" ht="15" customHeight="1" x14ac:dyDescent="0.3">
      <c r="B51" s="208">
        <f t="shared" si="19"/>
        <v>17</v>
      </c>
      <c r="C51" s="335">
        <f t="shared" si="9"/>
        <v>28.779999999999973</v>
      </c>
      <c r="D51" s="27">
        <v>1174.9000000000001</v>
      </c>
      <c r="E51" s="336">
        <f t="shared" si="10"/>
        <v>1157.9000000000001</v>
      </c>
      <c r="F51" s="13">
        <v>0.88</v>
      </c>
      <c r="G51" s="7">
        <v>339.69</v>
      </c>
      <c r="H51" s="337">
        <f t="shared" si="3"/>
        <v>1157.7198341411959</v>
      </c>
      <c r="I51" s="337">
        <f t="shared" si="11"/>
        <v>385.46983414119586</v>
      </c>
      <c r="J51" s="338">
        <f t="shared" si="12"/>
        <v>0.14718335001980218</v>
      </c>
      <c r="K51" s="339">
        <f>IF(F51=0," ",SUM(F51-F50)/SUM(E51-E50)*30)</f>
        <v>-0.1459346768589288</v>
      </c>
      <c r="L51" s="339">
        <f t="shared" si="14"/>
        <v>1.1570535093815211</v>
      </c>
      <c r="M51" s="339" t="str">
        <f t="shared" si="4"/>
        <v/>
      </c>
      <c r="N51" s="340">
        <f t="shared" si="5"/>
        <v>172.53138290524072</v>
      </c>
      <c r="O51" s="341" t="str">
        <f t="shared" si="6"/>
        <v>Mag</v>
      </c>
      <c r="P51" s="342" t="str">
        <f t="shared" si="7"/>
        <v/>
      </c>
      <c r="Q51" s="343" t="str">
        <f t="shared" si="8"/>
        <v/>
      </c>
      <c r="R51" s="10" t="str">
        <f t="shared" si="0"/>
        <v/>
      </c>
      <c r="S51" s="337" t="str">
        <f t="shared" si="1"/>
        <v/>
      </c>
      <c r="T51" s="9"/>
      <c r="U51" s="8"/>
      <c r="V51" s="202" t="str">
        <f>IF(OR(E51="",E51&lt;$U$2),"",ProjTvdAtBit(E51,F51,G51,H51,D51,W51,X51))</f>
        <v/>
      </c>
      <c r="W51" s="344" t="str">
        <f>IF(OR(E51="",E51&lt;$U$2),"",ProjIncAtBit(F51,J51,C51,M51,AJ51,IF(AK51="",0,AK51)))</f>
        <v/>
      </c>
      <c r="X51" s="455" t="str">
        <f>IF(OR(E51="",E51&lt;$U$2),"",ProjAzmAtBit(F51,G51,J51,C51,M51,AJ51,IF(AK51="",0,AK51)))</f>
        <v/>
      </c>
      <c r="Y51" s="461"/>
      <c r="Z51" s="206"/>
      <c r="AA51" s="512" t="str">
        <f t="shared" si="17"/>
        <v/>
      </c>
      <c r="AB51" s="520" t="str">
        <f t="shared" si="18"/>
        <v/>
      </c>
      <c r="AC51" s="510"/>
      <c r="AD51" s="515"/>
      <c r="AE51" s="516"/>
      <c r="AJ51" s="452">
        <f>IF(OR(E51="",D51=""),0,ProjSlideMetersBetween(E51,D51,$R$13:$R$305,$S$13:$S$305))</f>
        <v>0</v>
      </c>
      <c r="AK51" s="452" t="str">
        <f>IF(U51="","",ProjParseTF(U51))</f>
        <v/>
      </c>
      <c r="AL51" s="219">
        <f>IF(E51="","",ProjCumN(AL50,E50,F50,G50,E51,F51,G51,FALSE))</f>
        <v>1.0671064909637069</v>
      </c>
      <c r="AM51" s="331">
        <f>IF(E51="","",ProjCumE(AM50,E50,F50,G50,E51,F51,G51,FALSE))</f>
        <v>-1.5564079629651215</v>
      </c>
      <c r="AN51" s="330" t="str">
        <f t="shared" si="15"/>
        <v/>
      </c>
      <c r="AO51" s="330" t="str">
        <f>IF(OR(E51="",E51&lt;$U$2),"",ProjActiveTargetMdEx(D51,W51,V51,ProjTargets_MD,ProjTargets_INC,ProjTargets_AZM,ProjTargets_TVD,F51,H51))</f>
        <v/>
      </c>
      <c r="AP51" s="207" t="str">
        <f>IF(OR(E51="",E51&lt;$U$2),"",ProjBitN(E51,F51,G51,AL51,D51,W51,X51))</f>
        <v/>
      </c>
      <c r="AQ51" s="207" t="str">
        <f>IF(OR(E51="",E51&lt;$U$2),"",ProjBitE(E51,F51,G51,AM51,D51,W51,X51))</f>
        <v/>
      </c>
      <c r="AR51" s="207" t="str">
        <f>IF(OR(E51="",E51&lt;$U$2,AO51=""),"",ProjBurr(D51,W51,X51,Q51,C51,ProjTargets_MD,ProjTargets_INC,ProjTargets_AZM,ProjTargets_TVD,V51))</f>
        <v/>
      </c>
      <c r="AS51" s="207" t="str">
        <f>IF(OR(E51="",E51&lt;$U$2,AO51=""),"",ProjMetersToSlide(D51,W51,X51,Q51,C51,ProjTargets_MD,ProjTargets_INC,ProjTargets_AZM,ProjTargets_TVD,V51))</f>
        <v/>
      </c>
      <c r="AT51" s="207" t="str">
        <f>IF(OR(E51="",E51&lt;$U$2,AO51=""),"",ProjRequiredTf(D51,W51,X51,ProjTargets_MD,ProjTargets_INC,ProjTargets_AZM,ProjTargets_TVD,5,V51))</f>
        <v/>
      </c>
    </row>
    <row r="52" spans="2:46" s="209" customFormat="1" ht="15" customHeight="1" x14ac:dyDescent="0.3">
      <c r="B52" s="208">
        <f t="shared" si="19"/>
        <v>17</v>
      </c>
      <c r="C52" s="335">
        <f t="shared" si="9"/>
        <v>28.740000000000009</v>
      </c>
      <c r="D52" s="27">
        <v>1203.6400000000001</v>
      </c>
      <c r="E52" s="336">
        <f t="shared" si="10"/>
        <v>1186.6400000000001</v>
      </c>
      <c r="F52" s="13">
        <v>0.9</v>
      </c>
      <c r="G52" s="7">
        <v>333.09</v>
      </c>
      <c r="H52" s="337">
        <f t="shared" si="3"/>
        <v>1186.4563669101387</v>
      </c>
      <c r="I52" s="337">
        <f t="shared" si="11"/>
        <v>414.20636691013874</v>
      </c>
      <c r="J52" s="338">
        <f t="shared" si="12"/>
        <v>0.10896372625647679</v>
      </c>
      <c r="K52" s="339">
        <f t="shared" si="13"/>
        <v>2.0876826722338215E-2</v>
      </c>
      <c r="L52" s="339">
        <f t="shared" si="14"/>
        <v>-6.8893528183716288</v>
      </c>
      <c r="M52" s="339" t="str">
        <f t="shared" si="4"/>
        <v/>
      </c>
      <c r="N52" s="340">
        <f t="shared" si="5"/>
        <v>78.954160783028343</v>
      </c>
      <c r="O52" s="341" t="str">
        <f t="shared" si="6"/>
        <v>Mag</v>
      </c>
      <c r="P52" s="342" t="str">
        <f t="shared" si="7"/>
        <v/>
      </c>
      <c r="Q52" s="343" t="str">
        <f t="shared" si="8"/>
        <v/>
      </c>
      <c r="R52" s="10" t="str">
        <f t="shared" si="0"/>
        <v/>
      </c>
      <c r="S52" s="337" t="str">
        <f t="shared" si="1"/>
        <v/>
      </c>
      <c r="T52" s="9"/>
      <c r="U52" s="8"/>
      <c r="V52" s="202" t="str">
        <f>IF(OR(E52="",E52&lt;$U$2),"",ProjTvdAtBit(E52,F52,G52,H52,D52,W52,X52))</f>
        <v/>
      </c>
      <c r="W52" s="344" t="str">
        <f>IF(OR(E52="",E52&lt;$U$2),"",ProjIncAtBit(F52,J52,C52,M52,AJ52,IF(AK52="",0,AK52)))</f>
        <v/>
      </c>
      <c r="X52" s="455" t="str">
        <f>IF(OR(E52="",E52&lt;$U$2),"",ProjAzmAtBit(F52,G52,J52,C52,M52,AJ52,IF(AK52="",0,AK52)))</f>
        <v/>
      </c>
      <c r="Y52" s="461"/>
      <c r="Z52" s="206"/>
      <c r="AA52" s="512" t="str">
        <f t="shared" si="17"/>
        <v/>
      </c>
      <c r="AB52" s="520" t="str">
        <f t="shared" si="18"/>
        <v/>
      </c>
      <c r="AC52" s="510"/>
      <c r="AD52" s="515"/>
      <c r="AE52" s="516"/>
      <c r="AJ52" s="452">
        <f>IF(OR(E52="",D52=""),0,ProjSlideMetersBetween(E52,D52,$R$13:$R$305,$S$13:$S$305))</f>
        <v>0</v>
      </c>
      <c r="AK52" s="452" t="str">
        <f>IF(U52="","",ProjParseTF(U52))</f>
        <v/>
      </c>
      <c r="AL52" s="219">
        <f>IF(E52="","",ProjCumN(AL51,E51,F51,G51,E52,F52,G52,FALSE))</f>
        <v>1.4753575803034158</v>
      </c>
      <c r="AM52" s="331">
        <f>IF(E52="","",ProjCumE(AM51,E51,F51,G51,E52,F52,G52,FALSE))</f>
        <v>-1.7351684239971503</v>
      </c>
      <c r="AN52" s="330" t="str">
        <f t="shared" si="15"/>
        <v/>
      </c>
      <c r="AO52" s="330" t="str">
        <f>IF(OR(E52="",E52&lt;$U$2),"",ProjActiveTargetMdEx(D52,W52,V52,ProjTargets_MD,ProjTargets_INC,ProjTargets_AZM,ProjTargets_TVD,F52,H52))</f>
        <v/>
      </c>
      <c r="AP52" s="207" t="str">
        <f>IF(OR(E52="",E52&lt;$U$2),"",ProjBitN(E52,F52,G52,AL52,D52,W52,X52))</f>
        <v/>
      </c>
      <c r="AQ52" s="207" t="str">
        <f>IF(OR(E52="",E52&lt;$U$2),"",ProjBitE(E52,F52,G52,AM52,D52,W52,X52))</f>
        <v/>
      </c>
      <c r="AR52" s="207" t="str">
        <f>IF(OR(E52="",E52&lt;$U$2,AO52=""),"",ProjBurr(D52,W52,X52,Q52,C52,ProjTargets_MD,ProjTargets_INC,ProjTargets_AZM,ProjTargets_TVD,V52))</f>
        <v/>
      </c>
      <c r="AS52" s="207" t="str">
        <f>IF(OR(E52="",E52&lt;$U$2,AO52=""),"",ProjMetersToSlide(D52,W52,X52,Q52,C52,ProjTargets_MD,ProjTargets_INC,ProjTargets_AZM,ProjTargets_TVD,V52))</f>
        <v/>
      </c>
      <c r="AT52" s="207" t="str">
        <f>IF(OR(E52="",E52&lt;$U$2,AO52=""),"",ProjRequiredTf(D52,W52,X52,ProjTargets_MD,ProjTargets_INC,ProjTargets_AZM,ProjTargets_TVD,5,V52))</f>
        <v/>
      </c>
    </row>
    <row r="53" spans="2:46" s="209" customFormat="1" ht="15" customHeight="1" x14ac:dyDescent="0.3">
      <c r="B53" s="208">
        <f t="shared" si="19"/>
        <v>17</v>
      </c>
      <c r="C53" s="335">
        <f t="shared" si="9"/>
        <v>28.720000000000027</v>
      </c>
      <c r="D53" s="27">
        <v>1232.3600000000001</v>
      </c>
      <c r="E53" s="336">
        <f t="shared" si="10"/>
        <v>1215.3599999999999</v>
      </c>
      <c r="F53" s="13">
        <v>0.98</v>
      </c>
      <c r="G53" s="9">
        <v>336.18</v>
      </c>
      <c r="H53" s="337">
        <f t="shared" si="3"/>
        <v>1215.1725018599202</v>
      </c>
      <c r="I53" s="337">
        <f t="shared" si="11"/>
        <v>442.9225018599202</v>
      </c>
      <c r="J53" s="338">
        <f t="shared" si="12"/>
        <v>9.8900597917050706E-2</v>
      </c>
      <c r="K53" s="339">
        <f t="shared" si="13"/>
        <v>8.3565459610028398E-2</v>
      </c>
      <c r="L53" s="339">
        <f t="shared" si="14"/>
        <v>3.2277158774373818</v>
      </c>
      <c r="M53" s="339" t="str">
        <f t="shared" si="4"/>
        <v/>
      </c>
      <c r="N53" s="340">
        <f t="shared" si="5"/>
        <v>32.334071356714809</v>
      </c>
      <c r="O53" s="341" t="str">
        <f t="shared" si="6"/>
        <v>Mag</v>
      </c>
      <c r="P53" s="342" t="str">
        <f t="shared" si="7"/>
        <v/>
      </c>
      <c r="Q53" s="343" t="str">
        <f t="shared" si="8"/>
        <v/>
      </c>
      <c r="R53" s="10" t="str">
        <f t="shared" si="0"/>
        <v/>
      </c>
      <c r="S53" s="337" t="str">
        <f t="shared" si="1"/>
        <v/>
      </c>
      <c r="T53" s="9"/>
      <c r="U53" s="8"/>
      <c r="V53" s="202" t="str">
        <f>IF(OR(E53="",E53&lt;$U$2),"",ProjTvdAtBit(E53,F53,G53,H53,D53,W53,X53))</f>
        <v/>
      </c>
      <c r="W53" s="344" t="str">
        <f>IF(OR(E53="",E53&lt;$U$2),"",ProjIncAtBit(F53,J53,C53,M53,AJ53,IF(AK53="",0,AK53)))</f>
        <v/>
      </c>
      <c r="X53" s="455" t="str">
        <f>IF(OR(E53="",E53&lt;$U$2),"",ProjAzmAtBit(F53,G53,J53,C53,M53,AJ53,IF(AK53="",0,AK53)))</f>
        <v/>
      </c>
      <c r="Y53" s="461"/>
      <c r="Z53" s="206"/>
      <c r="AA53" s="512" t="str">
        <f t="shared" si="17"/>
        <v/>
      </c>
      <c r="AB53" s="520" t="str">
        <f t="shared" si="18"/>
        <v/>
      </c>
      <c r="AC53" s="510"/>
      <c r="AD53" s="515"/>
      <c r="AE53" s="516"/>
      <c r="AJ53" s="452">
        <f>IF(OR(E53="",D53=""),0,ProjSlideMetersBetween(E53,D53,$R$13:$R$305,$S$13:$S$305))</f>
        <v>0</v>
      </c>
      <c r="AK53" s="452" t="str">
        <f>IF(U53="","",ProjParseTF(U53))</f>
        <v/>
      </c>
      <c r="AL53" s="219">
        <f>IF(E53="","",ProjCumN(AL52,E52,F52,G52,E53,F53,G53,FALSE))</f>
        <v>1.9011749084629987</v>
      </c>
      <c r="AM53" s="331">
        <f>IF(E53="","",ProjCumE(AM52,E52,F52,G52,E53,F53,G53,FALSE))</f>
        <v>-1.9364444907832929</v>
      </c>
      <c r="AN53" s="330" t="str">
        <f t="shared" si="15"/>
        <v/>
      </c>
      <c r="AO53" s="330" t="str">
        <f>IF(OR(E53="",E53&lt;$U$2),"",ProjActiveTargetMdEx(D53,W53,V53,ProjTargets_MD,ProjTargets_INC,ProjTargets_AZM,ProjTargets_TVD,F53,H53))</f>
        <v/>
      </c>
      <c r="AP53" s="207" t="str">
        <f>IF(OR(E53="",E53&lt;$U$2),"",ProjBitN(E53,F53,G53,AL53,D53,W53,X53))</f>
        <v/>
      </c>
      <c r="AQ53" s="207" t="str">
        <f>IF(OR(E53="",E53&lt;$U$2),"",ProjBitE(E53,F53,G53,AM53,D53,W53,X53))</f>
        <v/>
      </c>
      <c r="AR53" s="207" t="str">
        <f>IF(OR(E53="",E53&lt;$U$2,AO53=""),"",ProjBurr(D53,W53,X53,Q53,C53,ProjTargets_MD,ProjTargets_INC,ProjTargets_AZM,ProjTargets_TVD,V53))</f>
        <v/>
      </c>
      <c r="AS53" s="207" t="str">
        <f>IF(OR(E53="",E53&lt;$U$2,AO53=""),"",ProjMetersToSlide(D53,W53,X53,Q53,C53,ProjTargets_MD,ProjTargets_INC,ProjTargets_AZM,ProjTargets_TVD,V53))</f>
        <v/>
      </c>
      <c r="AT53" s="207" t="str">
        <f>IF(OR(E53="",E53&lt;$U$2,AO53=""),"",ProjRequiredTf(D53,W53,X53,ProjTargets_MD,ProjTargets_INC,ProjTargets_AZM,ProjTargets_TVD,5,V53))</f>
        <v/>
      </c>
    </row>
    <row r="54" spans="2:46" s="209" customFormat="1" ht="15" customHeight="1" x14ac:dyDescent="0.3">
      <c r="B54" s="208">
        <f t="shared" si="19"/>
        <v>17</v>
      </c>
      <c r="C54" s="335">
        <f t="shared" si="9"/>
        <v>28.809999999999945</v>
      </c>
      <c r="D54" s="27">
        <v>1261.17</v>
      </c>
      <c r="E54" s="336">
        <f t="shared" si="10"/>
        <v>1244.17</v>
      </c>
      <c r="F54" s="13">
        <v>0.95</v>
      </c>
      <c r="G54" s="9">
        <v>340.51</v>
      </c>
      <c r="H54" s="337">
        <f t="shared" si="3"/>
        <v>1243.9784157282397</v>
      </c>
      <c r="I54" s="337">
        <f t="shared" si="11"/>
        <v>471.72841572823972</v>
      </c>
      <c r="J54" s="338">
        <f t="shared" si="12"/>
        <v>8.208585104236342E-2</v>
      </c>
      <c r="K54" s="339">
        <f t="shared" si="13"/>
        <v>-3.1239153071849889E-2</v>
      </c>
      <c r="L54" s="339">
        <f t="shared" si="14"/>
        <v>4.5088510933703141</v>
      </c>
      <c r="M54" s="339" t="str">
        <f t="shared" si="4"/>
        <v/>
      </c>
      <c r="N54" s="340">
        <f t="shared" si="5"/>
        <v>112.36879854703064</v>
      </c>
      <c r="O54" s="341" t="str">
        <f t="shared" si="6"/>
        <v>Mag</v>
      </c>
      <c r="P54" s="342" t="str">
        <f t="shared" si="7"/>
        <v/>
      </c>
      <c r="Q54" s="343" t="str">
        <f t="shared" si="8"/>
        <v/>
      </c>
      <c r="R54" s="10">
        <f t="shared" si="0"/>
        <v>1261.17</v>
      </c>
      <c r="S54" s="337">
        <f t="shared" si="1"/>
        <v>1266.17</v>
      </c>
      <c r="T54" s="9">
        <v>5</v>
      </c>
      <c r="U54" s="8" t="s">
        <v>474</v>
      </c>
      <c r="V54" s="202" t="str">
        <f>IF(OR(E54="",E54&lt;$U$2),"",ProjTvdAtBit(E54,F54,G54,H54,D54,W54,X54))</f>
        <v/>
      </c>
      <c r="W54" s="344" t="str">
        <f>IF(OR(E54="",E54&lt;$U$2),"",ProjIncAtBit(F54,J54,C54,M54,AJ54,IF(AK54="",0,AK54)))</f>
        <v/>
      </c>
      <c r="X54" s="455" t="str">
        <f>IF(OR(E54="",E54&lt;$U$2),"",ProjAzmAtBit(F54,G54,J54,C54,M54,AJ54,IF(AK54="",0,AK54)))</f>
        <v/>
      </c>
      <c r="Y54" s="461"/>
      <c r="Z54" s="206"/>
      <c r="AA54" s="512" t="str">
        <f t="shared" si="17"/>
        <v/>
      </c>
      <c r="AB54" s="520" t="str">
        <f t="shared" si="18"/>
        <v/>
      </c>
      <c r="AC54" s="510"/>
      <c r="AD54" s="515"/>
      <c r="AE54" s="516"/>
      <c r="AJ54" s="452">
        <f>IF(OR(E54="",D54=""),0,ProjSlideMetersBetween(E54,D54,$R$13:$R$305,$S$13:$S$305))</f>
        <v>0</v>
      </c>
      <c r="AK54" s="452">
        <f>IF(U54="","",ProjParseTF(U54))</f>
        <v>160</v>
      </c>
      <c r="AL54" s="219">
        <f>IF(E54="","",ProjCumN(AL53,E53,F53,G53,E54,F54,G54,FALSE))</f>
        <v>2.3517106813784556</v>
      </c>
      <c r="AM54" s="331">
        <f>IF(E54="","",ProjCumE(AM53,E53,F53,G53,E54,F54,G54,FALSE))</f>
        <v>-2.1156312187323425</v>
      </c>
      <c r="AN54" s="330" t="str">
        <f t="shared" si="15"/>
        <v/>
      </c>
      <c r="AO54" s="330" t="str">
        <f>IF(OR(E54="",E54&lt;$U$2),"",ProjActiveTargetMdEx(D54,W54,V54,ProjTargets_MD,ProjTargets_INC,ProjTargets_AZM,ProjTargets_TVD,F54,H54))</f>
        <v/>
      </c>
      <c r="AP54" s="207" t="str">
        <f>IF(OR(E54="",E54&lt;$U$2),"",ProjBitN(E54,F54,G54,AL54,D54,W54,X54))</f>
        <v/>
      </c>
      <c r="AQ54" s="207" t="str">
        <f>IF(OR(E54="",E54&lt;$U$2),"",ProjBitE(E54,F54,G54,AM54,D54,W54,X54))</f>
        <v/>
      </c>
      <c r="AR54" s="207" t="str">
        <f>IF(OR(E54="",E54&lt;$U$2,AO54=""),"",ProjBurr(D54,W54,X54,Q54,C54,ProjTargets_MD,ProjTargets_INC,ProjTargets_AZM,ProjTargets_TVD,V54))</f>
        <v/>
      </c>
      <c r="AS54" s="207" t="str">
        <f>IF(OR(E54="",E54&lt;$U$2,AO54=""),"",ProjMetersToSlide(D54,W54,X54,Q54,C54,ProjTargets_MD,ProjTargets_INC,ProjTargets_AZM,ProjTargets_TVD,V54))</f>
        <v/>
      </c>
      <c r="AT54" s="207" t="str">
        <f>IF(OR(E54="",E54&lt;$U$2,AO54=""),"",ProjRequiredTf(D54,W54,X54,ProjTargets_MD,ProjTargets_INC,ProjTargets_AZM,ProjTargets_TVD,5,V54))</f>
        <v/>
      </c>
    </row>
    <row r="55" spans="2:46" s="209" customFormat="1" ht="15" customHeight="1" x14ac:dyDescent="0.3">
      <c r="B55" s="208">
        <f t="shared" si="19"/>
        <v>17</v>
      </c>
      <c r="C55" s="335">
        <f t="shared" si="9"/>
        <v>28.7800000000002</v>
      </c>
      <c r="D55" s="27">
        <v>1289.9500000000003</v>
      </c>
      <c r="E55" s="336">
        <f t="shared" si="10"/>
        <v>1272.95</v>
      </c>
      <c r="F55" s="13">
        <v>0.24</v>
      </c>
      <c r="G55" s="9">
        <v>220.05</v>
      </c>
      <c r="H55" s="337">
        <f t="shared" si="3"/>
        <v>1272.7568638931864</v>
      </c>
      <c r="I55" s="337">
        <f t="shared" si="11"/>
        <v>500.50686389318639</v>
      </c>
      <c r="J55" s="338">
        <f t="shared" si="12"/>
        <v>1.1377153093241623</v>
      </c>
      <c r="K55" s="339">
        <f t="shared" si="13"/>
        <v>-0.74009728978457323</v>
      </c>
      <c r="L55" s="339">
        <f t="shared" si="14"/>
        <v>-125.56636553161928</v>
      </c>
      <c r="M55" s="339">
        <f t="shared" si="4"/>
        <v>5</v>
      </c>
      <c r="N55" s="340">
        <f t="shared" si="5"/>
        <v>130.58020423679054</v>
      </c>
      <c r="O55" s="341" t="str">
        <f t="shared" si="6"/>
        <v>Mag</v>
      </c>
      <c r="P55" s="342">
        <f t="shared" si="7"/>
        <v>-0.14199999999999999</v>
      </c>
      <c r="Q55" s="343">
        <f t="shared" si="8"/>
        <v>6.5486893204699239</v>
      </c>
      <c r="R55" s="10" t="str">
        <f t="shared" si="0"/>
        <v/>
      </c>
      <c r="S55" s="337" t="str">
        <f t="shared" si="1"/>
        <v/>
      </c>
      <c r="T55" s="9"/>
      <c r="U55" s="8"/>
      <c r="V55" s="202" t="str">
        <f>IF(OR(E55="",E55&lt;$U$2),"",ProjTvdAtBit(E55,F55,G55,H55,D55,W55,X55))</f>
        <v/>
      </c>
      <c r="W55" s="344" t="str">
        <f>IF(OR(E55="",E55&lt;$U$2),"",ProjIncAtBit(F55,J55,C55,M55,AJ55,IF(AK55="",0,AK55)))</f>
        <v/>
      </c>
      <c r="X55" s="455" t="str">
        <f>IF(OR(E55="",E55&lt;$U$2),"",ProjAzmAtBit(F55,G55,J55,C55,M55,AJ55,IF(AK55="",0,AK55)))</f>
        <v/>
      </c>
      <c r="Y55" s="461"/>
      <c r="Z55" s="206"/>
      <c r="AA55" s="512" t="str">
        <f t="shared" si="17"/>
        <v/>
      </c>
      <c r="AB55" s="520" t="str">
        <f t="shared" si="18"/>
        <v/>
      </c>
      <c r="AC55" s="510"/>
      <c r="AD55" s="515"/>
      <c r="AE55" s="516"/>
      <c r="AJ55" s="452">
        <f>IF(OR(E55="",D55=""),0,ProjSlideMetersBetween(E55,D55,$R$13:$R$305,$S$13:$S$305))</f>
        <v>0</v>
      </c>
      <c r="AK55" s="452" t="str">
        <f>IF(U55="","",ProjParseTF(U55))</f>
        <v/>
      </c>
      <c r="AL55" s="219">
        <f>IF(E55="","",ProjCumN(AL54,E54,F54,G54,E55,F55,G55,FALSE))</f>
        <v>2.5304887873092916</v>
      </c>
      <c r="AM55" s="331">
        <f>IF(E55="","",ProjCumE(AM54,E54,F54,G54,E55,F55,G55,FALSE))</f>
        <v>-2.2340218991579266</v>
      </c>
      <c r="AN55" s="330" t="str">
        <f t="shared" si="15"/>
        <v/>
      </c>
      <c r="AO55" s="330" t="str">
        <f>IF(OR(E55="",E55&lt;$U$2),"",ProjActiveTargetMdEx(D55,W55,V55,ProjTargets_MD,ProjTargets_INC,ProjTargets_AZM,ProjTargets_TVD,F55,H55))</f>
        <v/>
      </c>
      <c r="AP55" s="207" t="str">
        <f>IF(OR(E55="",E55&lt;$U$2),"",ProjBitN(E55,F55,G55,AL55,D55,W55,X55))</f>
        <v/>
      </c>
      <c r="AQ55" s="207" t="str">
        <f>IF(OR(E55="",E55&lt;$U$2),"",ProjBitE(E55,F55,G55,AM55,D55,W55,X55))</f>
        <v/>
      </c>
      <c r="AR55" s="207" t="str">
        <f>IF(OR(E55="",E55&lt;$U$2,AO55=""),"",ProjBurr(D55,W55,X55,Q55,C55,ProjTargets_MD,ProjTargets_INC,ProjTargets_AZM,ProjTargets_TVD,V55))</f>
        <v/>
      </c>
      <c r="AS55" s="207" t="str">
        <f>IF(OR(E55="",E55&lt;$U$2,AO55=""),"",ProjMetersToSlide(D55,W55,X55,Q55,C55,ProjTargets_MD,ProjTargets_INC,ProjTargets_AZM,ProjTargets_TVD,V55))</f>
        <v/>
      </c>
      <c r="AT55" s="207" t="str">
        <f>IF(OR(E55="",E55&lt;$U$2,AO55=""),"",ProjRequiredTf(D55,W55,X55,ProjTargets_MD,ProjTargets_INC,ProjTargets_AZM,ProjTargets_TVD,5,V55))</f>
        <v/>
      </c>
    </row>
    <row r="56" spans="2:46" s="209" customFormat="1" ht="15" customHeight="1" x14ac:dyDescent="0.3">
      <c r="B56" s="208">
        <f t="shared" si="19"/>
        <v>17</v>
      </c>
      <c r="C56" s="335">
        <f t="shared" si="9"/>
        <v>28.649999999999636</v>
      </c>
      <c r="D56" s="27">
        <v>1318.6</v>
      </c>
      <c r="E56" s="336">
        <f t="shared" si="10"/>
        <v>1301.5999999999999</v>
      </c>
      <c r="F56" s="13">
        <v>0.2</v>
      </c>
      <c r="G56" s="9">
        <v>258.38</v>
      </c>
      <c r="H56" s="337">
        <f t="shared" si="3"/>
        <v>1301.4066526930501</v>
      </c>
      <c r="I56" s="337">
        <f t="shared" si="11"/>
        <v>529.15665269305009</v>
      </c>
      <c r="J56" s="338">
        <f t="shared" si="12"/>
        <v>0.15634227517462645</v>
      </c>
      <c r="K56" s="339">
        <f t="shared" si="13"/>
        <v>-4.1884816753926878E-2</v>
      </c>
      <c r="L56" s="339">
        <f t="shared" si="14"/>
        <v>40.136125654450431</v>
      </c>
      <c r="M56" s="339" t="str">
        <f t="shared" si="4"/>
        <v/>
      </c>
      <c r="N56" s="340">
        <f t="shared" si="5"/>
        <v>105.53961709294678</v>
      </c>
      <c r="O56" s="341" t="str">
        <f t="shared" si="6"/>
        <v>Mag</v>
      </c>
      <c r="P56" s="342" t="str">
        <f t="shared" si="7"/>
        <v/>
      </c>
      <c r="Q56" s="343" t="str">
        <f t="shared" si="8"/>
        <v/>
      </c>
      <c r="R56" s="10" t="str">
        <f t="shared" si="0"/>
        <v/>
      </c>
      <c r="S56" s="337" t="str">
        <f t="shared" si="1"/>
        <v/>
      </c>
      <c r="T56" s="9"/>
      <c r="U56" s="8"/>
      <c r="V56" s="202" t="str">
        <f>IF(OR(E56="",E56&lt;$U$2),"",ProjTvdAtBit(E56,F56,G56,H56,D56,W56,X56))</f>
        <v/>
      </c>
      <c r="W56" s="344" t="str">
        <f>IF(OR(E56="",E56&lt;$U$2),"",ProjIncAtBit(F56,J56,C56,M56,AJ56,IF(AK56="",0,AK56)))</f>
        <v/>
      </c>
      <c r="X56" s="455" t="str">
        <f>IF(OR(E56="",E56&lt;$U$2),"",ProjAzmAtBit(F56,G56,J56,C56,M56,AJ56,IF(AK56="",0,AK56)))</f>
        <v/>
      </c>
      <c r="Y56" s="461"/>
      <c r="Z56" s="206"/>
      <c r="AA56" s="512" t="str">
        <f t="shared" si="17"/>
        <v/>
      </c>
      <c r="AB56" s="520" t="str">
        <f t="shared" si="18"/>
        <v/>
      </c>
      <c r="AC56" s="510"/>
      <c r="AD56" s="515"/>
      <c r="AE56" s="516"/>
      <c r="AJ56" s="452">
        <f>IF(OR(E56="",D56=""),0,ProjSlideMetersBetween(E56,D56,$R$13:$R$305,$S$13:$S$305))</f>
        <v>0</v>
      </c>
      <c r="AK56" s="452" t="str">
        <f>IF(U56="","",ProjParseTF(U56))</f>
        <v/>
      </c>
      <c r="AL56" s="219">
        <f>IF(E56="","",ProjCumN(AL55,E55,F55,G55,E56,F56,G56,FALSE))</f>
        <v>2.4744848002874971</v>
      </c>
      <c r="AM56" s="331">
        <f>IF(E56="","",ProjCumE(AM55,E55,F55,G55,E56,F56,G56,FALSE))</f>
        <v>-2.3216107897143905</v>
      </c>
      <c r="AN56" s="330" t="str">
        <f t="shared" si="15"/>
        <v/>
      </c>
      <c r="AO56" s="330" t="str">
        <f>IF(OR(E56="",E56&lt;$U$2),"",ProjActiveTargetMdEx(D56,W56,V56,ProjTargets_MD,ProjTargets_INC,ProjTargets_AZM,ProjTargets_TVD,F56,H56))</f>
        <v/>
      </c>
      <c r="AP56" s="207" t="str">
        <f>IF(OR(E56="",E56&lt;$U$2),"",ProjBitN(E56,F56,G56,AL56,D56,W56,X56))</f>
        <v/>
      </c>
      <c r="AQ56" s="207" t="str">
        <f>IF(OR(E56="",E56&lt;$U$2),"",ProjBitE(E56,F56,G56,AM56,D56,W56,X56))</f>
        <v/>
      </c>
      <c r="AR56" s="207" t="str">
        <f>IF(OR(E56="",E56&lt;$U$2,AO56=""),"",ProjBurr(D56,W56,X56,Q56,C56,ProjTargets_MD,ProjTargets_INC,ProjTargets_AZM,ProjTargets_TVD,V56))</f>
        <v/>
      </c>
      <c r="AS56" s="207" t="str">
        <f>IF(OR(E56="",E56&lt;$U$2,AO56=""),"",ProjMetersToSlide(D56,W56,X56,Q56,C56,ProjTargets_MD,ProjTargets_INC,ProjTargets_AZM,ProjTargets_TVD,V56))</f>
        <v/>
      </c>
      <c r="AT56" s="207" t="str">
        <f>IF(OR(E56="",E56&lt;$U$2,AO56=""),"",ProjRequiredTf(D56,W56,X56,ProjTargets_MD,ProjTargets_INC,ProjTargets_AZM,ProjTargets_TVD,5,V56))</f>
        <v/>
      </c>
    </row>
    <row r="57" spans="2:46" s="209" customFormat="1" ht="15" customHeight="1" x14ac:dyDescent="0.3">
      <c r="B57" s="208">
        <f t="shared" si="19"/>
        <v>17</v>
      </c>
      <c r="C57" s="335">
        <f t="shared" si="9"/>
        <v>28.840000000000146</v>
      </c>
      <c r="D57" s="27">
        <v>1347.44</v>
      </c>
      <c r="E57" s="336">
        <f t="shared" si="10"/>
        <v>1330.44</v>
      </c>
      <c r="F57" s="13">
        <v>0.22</v>
      </c>
      <c r="G57" s="9">
        <v>281.24</v>
      </c>
      <c r="H57" s="337">
        <f t="shared" si="3"/>
        <v>1330.2464589803483</v>
      </c>
      <c r="I57" s="337">
        <f t="shared" si="11"/>
        <v>557.99645898034828</v>
      </c>
      <c r="J57" s="338">
        <f t="shared" si="12"/>
        <v>8.894820949328372E-2</v>
      </c>
      <c r="K57" s="339">
        <f t="shared" si="13"/>
        <v>2.0804438280166319E-2</v>
      </c>
      <c r="L57" s="339">
        <f t="shared" si="14"/>
        <v>23.77947295423013</v>
      </c>
      <c r="M57" s="339" t="str">
        <f t="shared" si="4"/>
        <v/>
      </c>
      <c r="N57" s="340">
        <f t="shared" si="5"/>
        <v>76.473572594279631</v>
      </c>
      <c r="O57" s="341" t="str">
        <f t="shared" si="6"/>
        <v>Mag</v>
      </c>
      <c r="P57" s="342" t="str">
        <f t="shared" si="7"/>
        <v/>
      </c>
      <c r="Q57" s="343" t="str">
        <f t="shared" si="8"/>
        <v/>
      </c>
      <c r="R57" s="10" t="str">
        <f t="shared" si="0"/>
        <v/>
      </c>
      <c r="S57" s="337" t="str">
        <f t="shared" si="1"/>
        <v/>
      </c>
      <c r="T57" s="9"/>
      <c r="U57" s="8"/>
      <c r="V57" s="202" t="str">
        <f>IF(OR(E57="",E57&lt;$U$2),"",ProjTvdAtBit(E57,F57,G57,H57,D57,W57,X57))</f>
        <v/>
      </c>
      <c r="W57" s="344" t="str">
        <f>IF(OR(E57="",E57&lt;$U$2),"",ProjIncAtBit(F57,J57,C57,M57,AJ57,IF(AK57="",0,AK57)))</f>
        <v/>
      </c>
      <c r="X57" s="455" t="str">
        <f>IF(OR(E57="",E57&lt;$U$2),"",ProjAzmAtBit(F57,G57,J57,C57,M57,AJ57,IF(AK57="",0,AK57)))</f>
        <v/>
      </c>
      <c r="Y57" s="461"/>
      <c r="Z57" s="206"/>
      <c r="AA57" s="512" t="str">
        <f t="shared" si="17"/>
        <v/>
      </c>
      <c r="AB57" s="520" t="str">
        <f t="shared" si="18"/>
        <v/>
      </c>
      <c r="AC57" s="510"/>
      <c r="AD57" s="515"/>
      <c r="AE57" s="516"/>
      <c r="AJ57" s="452">
        <f>IF(OR(E57="",D57=""),0,ProjSlideMetersBetween(E57,D57,$R$13:$R$305,$S$13:$S$305))</f>
        <v>0</v>
      </c>
      <c r="AK57" s="452" t="str">
        <f>IF(U57="","",ProjParseTF(U57))</f>
        <v/>
      </c>
      <c r="AL57" s="219">
        <f>IF(E57="","",ProjCumN(AL56,E56,F56,G56,E57,F57,G57,FALSE))</f>
        <v>2.4751387108006182</v>
      </c>
      <c r="AM57" s="331">
        <f>IF(E57="","",ProjCumE(AM56,E56,F56,G56,E57,F57,G57,FALSE))</f>
        <v>-2.4252210623469406</v>
      </c>
      <c r="AN57" s="330" t="str">
        <f t="shared" si="15"/>
        <v/>
      </c>
      <c r="AO57" s="330" t="str">
        <f>IF(OR(E57="",E57&lt;$U$2),"",ProjActiveTargetMdEx(D57,W57,V57,ProjTargets_MD,ProjTargets_INC,ProjTargets_AZM,ProjTargets_TVD,F57,H57))</f>
        <v/>
      </c>
      <c r="AP57" s="207" t="str">
        <f>IF(OR(E57="",E57&lt;$U$2),"",ProjBitN(E57,F57,G57,AL57,D57,W57,X57))</f>
        <v/>
      </c>
      <c r="AQ57" s="207" t="str">
        <f>IF(OR(E57="",E57&lt;$U$2),"",ProjBitE(E57,F57,G57,AM57,D57,W57,X57))</f>
        <v/>
      </c>
      <c r="AR57" s="207" t="str">
        <f>IF(OR(E57="",E57&lt;$U$2,AO57=""),"",ProjBurr(D57,W57,X57,Q57,C57,ProjTargets_MD,ProjTargets_INC,ProjTargets_AZM,ProjTargets_TVD,V57))</f>
        <v/>
      </c>
      <c r="AS57" s="207" t="str">
        <f>IF(OR(E57="",E57&lt;$U$2,AO57=""),"",ProjMetersToSlide(D57,W57,X57,Q57,C57,ProjTargets_MD,ProjTargets_INC,ProjTargets_AZM,ProjTargets_TVD,V57))</f>
        <v/>
      </c>
      <c r="AT57" s="207" t="str">
        <f>IF(OR(E57="",E57&lt;$U$2,AO57=""),"",ProjRequiredTf(D57,W57,X57,ProjTargets_MD,ProjTargets_INC,ProjTargets_AZM,ProjTargets_TVD,5,V57))</f>
        <v/>
      </c>
    </row>
    <row r="58" spans="2:46" s="209" customFormat="1" ht="15" customHeight="1" x14ac:dyDescent="0.3">
      <c r="B58" s="208">
        <f t="shared" si="19"/>
        <v>17</v>
      </c>
      <c r="C58" s="335">
        <f t="shared" si="9"/>
        <v>28.759999999999991</v>
      </c>
      <c r="D58" s="27">
        <v>1376.2</v>
      </c>
      <c r="E58" s="336">
        <f t="shared" si="10"/>
        <v>1359.2</v>
      </c>
      <c r="F58" s="13">
        <v>0.18</v>
      </c>
      <c r="G58" s="9">
        <v>266.62</v>
      </c>
      <c r="H58" s="337">
        <f t="shared" si="3"/>
        <v>1359.0062837645862</v>
      </c>
      <c r="I58" s="337">
        <f t="shared" si="11"/>
        <v>586.75628376458621</v>
      </c>
      <c r="J58" s="338">
        <f t="shared" si="12"/>
        <v>6.7314470220177072E-2</v>
      </c>
      <c r="K58" s="339">
        <f t="shared" si="13"/>
        <v>-4.1724617524339383E-2</v>
      </c>
      <c r="L58" s="339">
        <f t="shared" si="14"/>
        <v>-15.250347705146044</v>
      </c>
      <c r="M58" s="339" t="str">
        <f t="shared" si="4"/>
        <v/>
      </c>
      <c r="N58" s="340">
        <f t="shared" si="5"/>
        <v>128.3049029175022</v>
      </c>
      <c r="O58" s="341" t="str">
        <f t="shared" si="6"/>
        <v>Mag</v>
      </c>
      <c r="P58" s="342" t="str">
        <f t="shared" si="7"/>
        <v/>
      </c>
      <c r="Q58" s="343" t="str">
        <f t="shared" si="8"/>
        <v/>
      </c>
      <c r="R58" s="10" t="str">
        <f t="shared" si="0"/>
        <v/>
      </c>
      <c r="S58" s="337" t="str">
        <f t="shared" si="1"/>
        <v/>
      </c>
      <c r="T58" s="9"/>
      <c r="U58" s="8"/>
      <c r="V58" s="202" t="str">
        <f>IF(OR(E58="",E58&lt;$U$2),"",ProjTvdAtBit(E58,F58,G58,H58,D58,W58,X58))</f>
        <v/>
      </c>
      <c r="W58" s="344" t="str">
        <f>IF(OR(E58="",E58&lt;$U$2),"",ProjIncAtBit(F58,J58,C58,M58,AJ58,IF(AK58="",0,AK58)))</f>
        <v/>
      </c>
      <c r="X58" s="455" t="str">
        <f>IF(OR(E58="",E58&lt;$U$2),"",ProjAzmAtBit(F58,G58,J58,C58,M58,AJ58,IF(AK58="",0,AK58)))</f>
        <v/>
      </c>
      <c r="Y58" s="461"/>
      <c r="Z58" s="206"/>
      <c r="AA58" s="512" t="str">
        <f t="shared" si="17"/>
        <v/>
      </c>
      <c r="AB58" s="520" t="str">
        <f t="shared" si="18"/>
        <v/>
      </c>
      <c r="AC58" s="510"/>
      <c r="AD58" s="515"/>
      <c r="AE58" s="516"/>
      <c r="AJ58" s="452">
        <f>IF(OR(E58="",D58=""),0,ProjSlideMetersBetween(E58,D58,$R$13:$R$305,$S$13:$S$305))</f>
        <v>0</v>
      </c>
      <c r="AK58" s="452" t="str">
        <f>IF(U58="","",ProjParseTF(U58))</f>
        <v/>
      </c>
      <c r="AL58" s="219">
        <f>IF(E58="","",ProjCumN(AL57,E57,F57,G57,E58,F58,G58,FALSE))</f>
        <v>2.4832377069720821</v>
      </c>
      <c r="AM58" s="331">
        <f>IF(E58="","",ProjCumE(AM57,E57,F57,G57,E58,F58,G58,FALSE))</f>
        <v>-2.5244745528783898</v>
      </c>
      <c r="AN58" s="330" t="str">
        <f t="shared" si="15"/>
        <v/>
      </c>
      <c r="AO58" s="330" t="str">
        <f>IF(OR(E58="",E58&lt;$U$2),"",ProjActiveTargetMdEx(D58,W58,V58,ProjTargets_MD,ProjTargets_INC,ProjTargets_AZM,ProjTargets_TVD,F58,H58))</f>
        <v/>
      </c>
      <c r="AP58" s="207" t="str">
        <f>IF(OR(E58="",E58&lt;$U$2),"",ProjBitN(E58,F58,G58,AL58,D58,W58,X58))</f>
        <v/>
      </c>
      <c r="AQ58" s="207" t="str">
        <f>IF(OR(E58="",E58&lt;$U$2),"",ProjBitE(E58,F58,G58,AM58,D58,W58,X58))</f>
        <v/>
      </c>
      <c r="AR58" s="207" t="str">
        <f>IF(OR(E58="",E58&lt;$U$2,AO58=""),"",ProjBurr(D58,W58,X58,Q58,C58,ProjTargets_MD,ProjTargets_INC,ProjTargets_AZM,ProjTargets_TVD,V58))</f>
        <v/>
      </c>
      <c r="AS58" s="207" t="str">
        <f>IF(OR(E58="",E58&lt;$U$2,AO58=""),"",ProjMetersToSlide(D58,W58,X58,Q58,C58,ProjTargets_MD,ProjTargets_INC,ProjTargets_AZM,ProjTargets_TVD,V58))</f>
        <v/>
      </c>
      <c r="AT58" s="207" t="str">
        <f>IF(OR(E58="",E58&lt;$U$2,AO58=""),"",ProjRequiredTf(D58,W58,X58,ProjTargets_MD,ProjTargets_INC,ProjTargets_AZM,ProjTargets_TVD,5,V58))</f>
        <v/>
      </c>
    </row>
    <row r="59" spans="2:46" s="209" customFormat="1" ht="15" customHeight="1" x14ac:dyDescent="0.3">
      <c r="B59" s="208">
        <f t="shared" si="19"/>
        <v>17</v>
      </c>
      <c r="C59" s="335">
        <f t="shared" si="9"/>
        <v>28.799999999999955</v>
      </c>
      <c r="D59" s="27">
        <v>1405</v>
      </c>
      <c r="E59" s="336">
        <f t="shared" si="10"/>
        <v>1388</v>
      </c>
      <c r="F59" s="13">
        <v>0.22</v>
      </c>
      <c r="G59" s="9">
        <v>327.36</v>
      </c>
      <c r="H59" s="337">
        <f t="shared" si="3"/>
        <v>1387.8061083051305</v>
      </c>
      <c r="I59" s="337">
        <f t="shared" si="11"/>
        <v>615.55610830513046</v>
      </c>
      <c r="J59" s="338">
        <f t="shared" si="12"/>
        <v>0.21370424845979216</v>
      </c>
      <c r="K59" s="339">
        <f t="shared" si="13"/>
        <v>4.1666666666666741E-2</v>
      </c>
      <c r="L59" s="339">
        <f t="shared" si="14"/>
        <v>63.270833333333442</v>
      </c>
      <c r="M59" s="339" t="str">
        <f t="shared" si="4"/>
        <v/>
      </c>
      <c r="N59" s="340">
        <f t="shared" si="5"/>
        <v>78.756824082158658</v>
      </c>
      <c r="O59" s="341" t="str">
        <f t="shared" si="6"/>
        <v>Mag</v>
      </c>
      <c r="P59" s="342" t="str">
        <f t="shared" si="7"/>
        <v/>
      </c>
      <c r="Q59" s="343" t="str">
        <f t="shared" si="8"/>
        <v/>
      </c>
      <c r="R59" s="10">
        <f t="shared" si="0"/>
        <v>1405</v>
      </c>
      <c r="S59" s="337">
        <f t="shared" si="1"/>
        <v>1409</v>
      </c>
      <c r="T59" s="9">
        <v>4</v>
      </c>
      <c r="U59" s="8" t="s">
        <v>474</v>
      </c>
      <c r="V59" s="202" t="str">
        <f>IF(OR(E59="",E59&lt;$U$2),"",ProjTvdAtBit(E59,F59,G59,H59,D59,W59,X59))</f>
        <v/>
      </c>
      <c r="W59" s="344" t="str">
        <f>IF(OR(E59="",E59&lt;$U$2),"",ProjIncAtBit(F59,J59,C59,M59,AJ59,IF(AK59="",0,AK59)))</f>
        <v/>
      </c>
      <c r="X59" s="455" t="str">
        <f>IF(OR(E59="",E59&lt;$U$2),"",ProjAzmAtBit(F59,G59,J59,C59,M59,AJ59,IF(AK59="",0,AK59)))</f>
        <v/>
      </c>
      <c r="Y59" s="461"/>
      <c r="Z59" s="206"/>
      <c r="AA59" s="512" t="str">
        <f t="shared" si="17"/>
        <v/>
      </c>
      <c r="AB59" s="520" t="str">
        <f t="shared" si="18"/>
        <v/>
      </c>
      <c r="AC59" s="510"/>
      <c r="AD59" s="515"/>
      <c r="AE59" s="516"/>
      <c r="AJ59" s="452">
        <f>IF(OR(E59="",D59=""),0,ProjSlideMetersBetween(E59,D59,$R$13:$R$305,$S$13:$S$305))</f>
        <v>0</v>
      </c>
      <c r="AK59" s="452">
        <f>IF(U59="","",ProjParseTF(U59))</f>
        <v>160</v>
      </c>
      <c r="AL59" s="219">
        <f>IF(E59="","",ProjCumN(AL58,E58,F58,G58,E59,F59,G59,FALSE))</f>
        <v>2.5271305457440718</v>
      </c>
      <c r="AM59" s="331">
        <f>IF(E59="","",ProjCumE(AM58,E58,F58,G58,E59,F59,G59,FALSE))</f>
        <v>-2.5994569682353381</v>
      </c>
      <c r="AN59" s="330" t="str">
        <f t="shared" si="15"/>
        <v/>
      </c>
      <c r="AO59" s="330" t="str">
        <f>IF(OR(E59="",E59&lt;$U$2),"",ProjActiveTargetMdEx(D59,W59,V59,ProjTargets_MD,ProjTargets_INC,ProjTargets_AZM,ProjTargets_TVD,F59,H59))</f>
        <v/>
      </c>
      <c r="AP59" s="207" t="str">
        <f>IF(OR(E59="",E59&lt;$U$2),"",ProjBitN(E59,F59,G59,AL59,D59,W59,X59))</f>
        <v/>
      </c>
      <c r="AQ59" s="207" t="str">
        <f>IF(OR(E59="",E59&lt;$U$2),"",ProjBitE(E59,F59,G59,AM59,D59,W59,X59))</f>
        <v/>
      </c>
      <c r="AR59" s="207" t="str">
        <f>IF(OR(E59="",E59&lt;$U$2,AO59=""),"",ProjBurr(D59,W59,X59,Q59,C59,ProjTargets_MD,ProjTargets_INC,ProjTargets_AZM,ProjTargets_TVD,V59))</f>
        <v/>
      </c>
      <c r="AS59" s="207" t="str">
        <f>IF(OR(E59="",E59&lt;$U$2,AO59=""),"",ProjMetersToSlide(D59,W59,X59,Q59,C59,ProjTargets_MD,ProjTargets_INC,ProjTargets_AZM,ProjTargets_TVD,V59))</f>
        <v/>
      </c>
      <c r="AT59" s="207" t="str">
        <f>IF(OR(E59="",E59&lt;$U$2,AO59=""),"",ProjRequiredTf(D59,W59,X59,ProjTargets_MD,ProjTargets_INC,ProjTargets_AZM,ProjTargets_TVD,5,V59))</f>
        <v/>
      </c>
    </row>
    <row r="60" spans="2:46" s="209" customFormat="1" ht="15" customHeight="1" x14ac:dyDescent="0.3">
      <c r="B60" s="208">
        <f t="shared" si="19"/>
        <v>17</v>
      </c>
      <c r="C60" s="335">
        <f t="shared" si="9"/>
        <v>28.740000000000236</v>
      </c>
      <c r="D60" s="27">
        <v>1433.7400000000002</v>
      </c>
      <c r="E60" s="336">
        <f t="shared" si="10"/>
        <v>1416.74</v>
      </c>
      <c r="F60" s="13">
        <v>0.7</v>
      </c>
      <c r="G60" s="9">
        <v>40.22</v>
      </c>
      <c r="H60" s="337">
        <f t="shared" si="3"/>
        <v>1416.5451820623543</v>
      </c>
      <c r="I60" s="337">
        <f t="shared" si="11"/>
        <v>644.29518206235434</v>
      </c>
      <c r="J60" s="338">
        <f t="shared" si="12"/>
        <v>0.69838203147439315</v>
      </c>
      <c r="K60" s="339">
        <f t="shared" si="13"/>
        <v>0.50104384133611679</v>
      </c>
      <c r="L60" s="339">
        <f t="shared" si="14"/>
        <v>76.054279749478042</v>
      </c>
      <c r="M60" s="339">
        <f t="shared" si="4"/>
        <v>4</v>
      </c>
      <c r="N60" s="340">
        <f t="shared" si="5"/>
        <v>44.156871539662312</v>
      </c>
      <c r="O60" s="341" t="str">
        <f t="shared" si="6"/>
        <v>Mag</v>
      </c>
      <c r="P60" s="342">
        <f t="shared" si="7"/>
        <v>0.12</v>
      </c>
      <c r="Q60" s="343">
        <f t="shared" si="8"/>
        <v>5.0178748961435558</v>
      </c>
      <c r="R60" s="10" t="str">
        <f t="shared" si="0"/>
        <v/>
      </c>
      <c r="S60" s="337" t="str">
        <f t="shared" si="1"/>
        <v/>
      </c>
      <c r="T60" s="9"/>
      <c r="U60" s="8"/>
      <c r="V60" s="202" t="str">
        <f>IF(OR(E60="",E60&lt;$U$2),"",ProjTvdAtBit(E60,F60,G60,H60,D60,W60,X60))</f>
        <v/>
      </c>
      <c r="W60" s="344" t="str">
        <f>IF(OR(E60="",E60&lt;$U$2),"",ProjIncAtBit(F60,J60,C60,M60,AJ60,IF(AK60="",0,AK60)))</f>
        <v/>
      </c>
      <c r="X60" s="455" t="str">
        <f>IF(OR(E60="",E60&lt;$U$2),"",ProjAzmAtBit(F60,G60,J60,C60,M60,AJ60,IF(AK60="",0,AK60)))</f>
        <v/>
      </c>
      <c r="Y60" s="461"/>
      <c r="Z60" s="206"/>
      <c r="AA60" s="512" t="str">
        <f t="shared" si="17"/>
        <v/>
      </c>
      <c r="AB60" s="520" t="str">
        <f t="shared" si="18"/>
        <v/>
      </c>
      <c r="AC60" s="510"/>
      <c r="AD60" s="515"/>
      <c r="AE60" s="516"/>
      <c r="AJ60" s="452">
        <f>IF(OR(E60="",D60=""),0,ProjSlideMetersBetween(E60,D60,$R$13:$R$305,$S$13:$S$305))</f>
        <v>0</v>
      </c>
      <c r="AK60" s="452" t="str">
        <f>IF(U60="","",ProjParseTF(U60))</f>
        <v/>
      </c>
      <c r="AL60" s="219">
        <f>IF(E60="","",ProjCumN(AL59,E59,F59,G59,E60,F60,G60,FALSE))</f>
        <v>2.7076467490083815</v>
      </c>
      <c r="AM60" s="331">
        <f>IF(E60="","",ProjCumE(AM59,E59,F59,G59,E60,F60,G60,FALSE))</f>
        <v>-2.5158538033216979</v>
      </c>
      <c r="AN60" s="330" t="str">
        <f t="shared" si="15"/>
        <v/>
      </c>
      <c r="AO60" s="330" t="str">
        <f>IF(OR(E60="",E60&lt;$U$2),"",ProjActiveTargetMdEx(D60,W60,V60,ProjTargets_MD,ProjTargets_INC,ProjTargets_AZM,ProjTargets_TVD,F60,H60))</f>
        <v/>
      </c>
      <c r="AP60" s="207" t="str">
        <f>IF(OR(E60="",E60&lt;$U$2),"",ProjBitN(E60,F60,G60,AL60,D60,W60,X60))</f>
        <v/>
      </c>
      <c r="AQ60" s="207" t="str">
        <f>IF(OR(E60="",E60&lt;$U$2),"",ProjBitE(E60,F60,G60,AM60,D60,W60,X60))</f>
        <v/>
      </c>
      <c r="AR60" s="207" t="str">
        <f>IF(OR(E60="",E60&lt;$U$2,AO60=""),"",ProjBurr(D60,W60,X60,Q60,C60,ProjTargets_MD,ProjTargets_INC,ProjTargets_AZM,ProjTargets_TVD,V60))</f>
        <v/>
      </c>
      <c r="AS60" s="207" t="str">
        <f>IF(OR(E60="",E60&lt;$U$2,AO60=""),"",ProjMetersToSlide(D60,W60,X60,Q60,C60,ProjTargets_MD,ProjTargets_INC,ProjTargets_AZM,ProjTargets_TVD,V60))</f>
        <v/>
      </c>
      <c r="AT60" s="207" t="str">
        <f>IF(OR(E60="",E60&lt;$U$2,AO60=""),"",ProjRequiredTf(D60,W60,X60,ProjTargets_MD,ProjTargets_INC,ProjTargets_AZM,ProjTargets_TVD,5,V60))</f>
        <v/>
      </c>
    </row>
    <row r="61" spans="2:46" s="209" customFormat="1" ht="15" customHeight="1" x14ac:dyDescent="0.3">
      <c r="B61" s="208">
        <f t="shared" si="19"/>
        <v>17</v>
      </c>
      <c r="C61" s="335">
        <f t="shared" si="9"/>
        <v>28.8599999999999</v>
      </c>
      <c r="D61" s="27">
        <v>1462.6000000000001</v>
      </c>
      <c r="E61" s="336">
        <f t="shared" si="10"/>
        <v>1445.6</v>
      </c>
      <c r="F61" s="13">
        <v>0.87</v>
      </c>
      <c r="G61" s="9">
        <v>31.07</v>
      </c>
      <c r="H61" s="337">
        <f t="shared" si="3"/>
        <v>1445.4024734080185</v>
      </c>
      <c r="I61" s="337">
        <f t="shared" si="11"/>
        <v>673.15247340801852</v>
      </c>
      <c r="J61" s="338">
        <f t="shared" si="12"/>
        <v>0.2190305309839844</v>
      </c>
      <c r="K61" s="339">
        <f t="shared" si="13"/>
        <v>0.17671517671517736</v>
      </c>
      <c r="L61" s="339">
        <f t="shared" si="14"/>
        <v>-9.5114345114345422</v>
      </c>
      <c r="M61" s="339" t="str">
        <f t="shared" si="4"/>
        <v/>
      </c>
      <c r="N61" s="340">
        <f t="shared" si="5"/>
        <v>36.214954101603887</v>
      </c>
      <c r="O61" s="341" t="str">
        <f t="shared" si="6"/>
        <v>Mag</v>
      </c>
      <c r="P61" s="342" t="str">
        <f t="shared" si="7"/>
        <v/>
      </c>
      <c r="Q61" s="343" t="str">
        <f t="shared" si="8"/>
        <v/>
      </c>
      <c r="R61" s="10" t="str">
        <f t="shared" si="0"/>
        <v/>
      </c>
      <c r="S61" s="337" t="str">
        <f t="shared" si="1"/>
        <v/>
      </c>
      <c r="T61" s="9"/>
      <c r="U61" s="8"/>
      <c r="V61" s="202" t="str">
        <f>IF(OR(E61="",E61&lt;$U$2),"",ProjTvdAtBit(E61,F61,G61,H61,D61,W61,X61))</f>
        <v/>
      </c>
      <c r="W61" s="344" t="str">
        <f>IF(OR(E61="",E61&lt;$U$2),"",ProjIncAtBit(F61,J61,C61,M61,AJ61,IF(AK61="",0,AK61)))</f>
        <v/>
      </c>
      <c r="X61" s="455" t="str">
        <f>IF(OR(E61="",E61&lt;$U$2),"",ProjAzmAtBit(F61,G61,J61,C61,M61,AJ61,IF(AK61="",0,AK61)))</f>
        <v/>
      </c>
      <c r="Y61" s="461"/>
      <c r="Z61" s="206"/>
      <c r="AA61" s="512" t="str">
        <f t="shared" si="17"/>
        <v/>
      </c>
      <c r="AB61" s="520" t="str">
        <f t="shared" si="18"/>
        <v/>
      </c>
      <c r="AC61" s="510"/>
      <c r="AD61" s="515"/>
      <c r="AE61" s="516"/>
      <c r="AJ61" s="452">
        <f>IF(OR(E61="",D61=""),0,ProjSlideMetersBetween(E61,D61,$R$13:$R$305,$S$13:$S$305))</f>
        <v>0</v>
      </c>
      <c r="AK61" s="452" t="str">
        <f>IF(U61="","",ProjParseTF(U61))</f>
        <v/>
      </c>
      <c r="AL61" s="219">
        <f>IF(E61="","",ProjCumN(AL60,E60,F60,G60,E61,F61,G61,FALSE))</f>
        <v>3.0299270241467204</v>
      </c>
      <c r="AM61" s="331">
        <f>IF(E61="","",ProjCumE(AM60,E60,F60,G60,E61,F61,G61,FALSE))</f>
        <v>-2.288942746573686</v>
      </c>
      <c r="AN61" s="330" t="str">
        <f t="shared" si="15"/>
        <v/>
      </c>
      <c r="AO61" s="330" t="str">
        <f>IF(OR(E61="",E61&lt;$U$2),"",ProjActiveTargetMdEx(D61,W61,V61,ProjTargets_MD,ProjTargets_INC,ProjTargets_AZM,ProjTargets_TVD,F61,H61))</f>
        <v/>
      </c>
      <c r="AP61" s="207" t="str">
        <f>IF(OR(E61="",E61&lt;$U$2),"",ProjBitN(E61,F61,G61,AL61,D61,W61,X61))</f>
        <v/>
      </c>
      <c r="AQ61" s="207" t="str">
        <f>IF(OR(E61="",E61&lt;$U$2),"",ProjBitE(E61,F61,G61,AM61,D61,W61,X61))</f>
        <v/>
      </c>
      <c r="AR61" s="207" t="str">
        <f>IF(OR(E61="",E61&lt;$U$2,AO61=""),"",ProjBurr(D61,W61,X61,Q61,C61,ProjTargets_MD,ProjTargets_INC,ProjTargets_AZM,ProjTargets_TVD,V61))</f>
        <v/>
      </c>
      <c r="AS61" s="207" t="str">
        <f>IF(OR(E61="",E61&lt;$U$2,AO61=""),"",ProjMetersToSlide(D61,W61,X61,Q61,C61,ProjTargets_MD,ProjTargets_INC,ProjTargets_AZM,ProjTargets_TVD,V61))</f>
        <v/>
      </c>
      <c r="AT61" s="207" t="str">
        <f>IF(OR(E61="",E61&lt;$U$2,AO61=""),"",ProjRequiredTf(D61,W61,X61,ProjTargets_MD,ProjTargets_INC,ProjTargets_AZM,ProjTargets_TVD,5,V61))</f>
        <v/>
      </c>
    </row>
    <row r="62" spans="2:46" s="209" customFormat="1" ht="15" customHeight="1" x14ac:dyDescent="0.3">
      <c r="B62" s="208">
        <f t="shared" si="19"/>
        <v>17</v>
      </c>
      <c r="C62" s="335">
        <f t="shared" si="9"/>
        <v>28.830000000000155</v>
      </c>
      <c r="D62" s="27">
        <v>1491.4300000000003</v>
      </c>
      <c r="E62" s="336">
        <f t="shared" si="10"/>
        <v>1474.43</v>
      </c>
      <c r="F62" s="13">
        <v>1.0900000000000001</v>
      </c>
      <c r="G62" s="9">
        <v>93.45</v>
      </c>
      <c r="H62" s="337">
        <f t="shared" si="3"/>
        <v>1474.2282563367044</v>
      </c>
      <c r="I62" s="337">
        <f t="shared" si="11"/>
        <v>701.97825633670436</v>
      </c>
      <c r="J62" s="338">
        <f t="shared" si="12"/>
        <v>1.0741991512277902</v>
      </c>
      <c r="K62" s="339">
        <f t="shared" si="13"/>
        <v>0.22892819979188231</v>
      </c>
      <c r="L62" s="339">
        <f t="shared" si="14"/>
        <v>64.911550468261879</v>
      </c>
      <c r="M62" s="339" t="str">
        <f t="shared" si="4"/>
        <v/>
      </c>
      <c r="N62" s="340">
        <f t="shared" si="5"/>
        <v>77.695024524783321</v>
      </c>
      <c r="O62" s="341" t="str">
        <f t="shared" si="6"/>
        <v>Mag</v>
      </c>
      <c r="P62" s="342" t="str">
        <f t="shared" si="7"/>
        <v/>
      </c>
      <c r="Q62" s="343" t="str">
        <f t="shared" si="8"/>
        <v/>
      </c>
      <c r="R62" s="10" t="str">
        <f t="shared" si="0"/>
        <v/>
      </c>
      <c r="S62" s="337" t="str">
        <f t="shared" si="1"/>
        <v/>
      </c>
      <c r="T62" s="9"/>
      <c r="U62" s="8"/>
      <c r="V62" s="202" t="str">
        <f>IF(OR(E62="",E62&lt;$U$2),"",ProjTvdAtBit(E62,F62,G62,H62,D62,W62,X62))</f>
        <v/>
      </c>
      <c r="W62" s="344" t="str">
        <f>IF(OR(E62="",E62&lt;$U$2),"",ProjIncAtBit(F62,J62,C62,M62,AJ62,IF(AK62="",0,AK62)))</f>
        <v/>
      </c>
      <c r="X62" s="455" t="str">
        <f>IF(OR(E62="",E62&lt;$U$2),"",ProjAzmAtBit(F62,G62,J62,C62,M62,AJ62,IF(AK62="",0,AK62)))</f>
        <v/>
      </c>
      <c r="Y62" s="461"/>
      <c r="Z62" s="206"/>
      <c r="AA62" s="512" t="str">
        <f t="shared" si="17"/>
        <v/>
      </c>
      <c r="AB62" s="520" t="str">
        <f t="shared" si="18"/>
        <v/>
      </c>
      <c r="AC62" s="510"/>
      <c r="AD62" s="515"/>
      <c r="AE62" s="516"/>
      <c r="AJ62" s="452">
        <f>IF(OR(E62="",D62=""),0,ProjSlideMetersBetween(E62,D62,$R$13:$R$305,$S$13:$S$305))</f>
        <v>0</v>
      </c>
      <c r="AK62" s="452" t="str">
        <f>IF(U62="","",ProjParseTF(U62))</f>
        <v/>
      </c>
      <c r="AL62" s="219">
        <f>IF(E62="","",ProjCumN(AL61,E61,F61,G61,E62,F62,G62,FALSE))</f>
        <v>3.2009039857288299</v>
      </c>
      <c r="AM62" s="331">
        <f>IF(E62="","",ProjCumE(AM61,E61,F61,G61,E62,F62,G62,FALSE))</f>
        <v>-1.9022558744200559</v>
      </c>
      <c r="AN62" s="330" t="str">
        <f t="shared" si="15"/>
        <v/>
      </c>
      <c r="AO62" s="330" t="str">
        <f>IF(OR(E62="",E62&lt;$U$2),"",ProjActiveTargetMdEx(D62,W62,V62,ProjTargets_MD,ProjTargets_INC,ProjTargets_AZM,ProjTargets_TVD,F62,H62))</f>
        <v/>
      </c>
      <c r="AP62" s="207" t="str">
        <f>IF(OR(E62="",E62&lt;$U$2),"",ProjBitN(E62,F62,G62,AL62,D62,W62,X62))</f>
        <v/>
      </c>
      <c r="AQ62" s="207" t="str">
        <f>IF(OR(E62="",E62&lt;$U$2),"",ProjBitE(E62,F62,G62,AM62,D62,W62,X62))</f>
        <v/>
      </c>
      <c r="AR62" s="207" t="str">
        <f>IF(OR(E62="",E62&lt;$U$2,AO62=""),"",ProjBurr(D62,W62,X62,Q62,C62,ProjTargets_MD,ProjTargets_INC,ProjTargets_AZM,ProjTargets_TVD,V62))</f>
        <v/>
      </c>
      <c r="AS62" s="207" t="str">
        <f>IF(OR(E62="",E62&lt;$U$2,AO62=""),"",ProjMetersToSlide(D62,W62,X62,Q62,C62,ProjTargets_MD,ProjTargets_INC,ProjTargets_AZM,ProjTargets_TVD,V62))</f>
        <v/>
      </c>
      <c r="AT62" s="207" t="str">
        <f>IF(OR(E62="",E62&lt;$U$2,AO62=""),"",ProjRequiredTf(D62,W62,X62,ProjTargets_MD,ProjTargets_INC,ProjTargets_AZM,ProjTargets_TVD,5,V62))</f>
        <v/>
      </c>
    </row>
    <row r="63" spans="2:46" s="209" customFormat="1" ht="15" customHeight="1" x14ac:dyDescent="0.3">
      <c r="B63" s="208">
        <f t="shared" si="19"/>
        <v>17</v>
      </c>
      <c r="C63" s="335">
        <f t="shared" si="9"/>
        <v>28.839999999999918</v>
      </c>
      <c r="D63" s="27">
        <v>1520.2700000000002</v>
      </c>
      <c r="E63" s="336">
        <f t="shared" si="10"/>
        <v>1503.27</v>
      </c>
      <c r="F63" s="13">
        <v>0.98</v>
      </c>
      <c r="G63" s="9">
        <v>84.23</v>
      </c>
      <c r="H63" s="337">
        <f t="shared" si="3"/>
        <v>1503.063551019726</v>
      </c>
      <c r="I63" s="337">
        <f t="shared" si="11"/>
        <v>730.81355101972599</v>
      </c>
      <c r="J63" s="338">
        <f t="shared" si="12"/>
        <v>0.20725874882252487</v>
      </c>
      <c r="K63" s="339">
        <f t="shared" si="13"/>
        <v>-0.11442441054091583</v>
      </c>
      <c r="L63" s="339">
        <f t="shared" si="14"/>
        <v>-9.5908460471567523</v>
      </c>
      <c r="M63" s="339" t="str">
        <f t="shared" si="4"/>
        <v/>
      </c>
      <c r="N63" s="340">
        <f t="shared" si="5"/>
        <v>123.51015872472367</v>
      </c>
      <c r="O63" s="341" t="str">
        <f t="shared" si="6"/>
        <v>Mag</v>
      </c>
      <c r="P63" s="342" t="str">
        <f t="shared" si="7"/>
        <v/>
      </c>
      <c r="Q63" s="343" t="str">
        <f t="shared" si="8"/>
        <v/>
      </c>
      <c r="R63" s="10" t="str">
        <f t="shared" si="0"/>
        <v/>
      </c>
      <c r="S63" s="337" t="str">
        <f t="shared" si="1"/>
        <v/>
      </c>
      <c r="T63" s="9"/>
      <c r="U63" s="8"/>
      <c r="V63" s="202" t="str">
        <f>IF(OR(E63="",E63&lt;$U$2),"",ProjTvdAtBit(E63,F63,G63,H63,D63,W63,X63))</f>
        <v/>
      </c>
      <c r="W63" s="344" t="str">
        <f>IF(OR(E63="",E63&lt;$U$2),"",ProjIncAtBit(F63,J63,C63,M63,AJ63,IF(AK63="",0,AK63)))</f>
        <v/>
      </c>
      <c r="X63" s="455" t="str">
        <f>IF(OR(E63="",E63&lt;$U$2),"",ProjAzmAtBit(F63,G63,J63,C63,M63,AJ63,IF(AK63="",0,AK63)))</f>
        <v/>
      </c>
      <c r="Y63" s="461"/>
      <c r="Z63" s="206"/>
      <c r="AA63" s="512" t="str">
        <f t="shared" si="17"/>
        <v/>
      </c>
      <c r="AB63" s="520" t="str">
        <f t="shared" si="18"/>
        <v/>
      </c>
      <c r="AC63" s="510"/>
      <c r="AD63" s="515"/>
      <c r="AE63" s="516"/>
      <c r="AJ63" s="452">
        <f>IF(OR(E63="",D63=""),0,ProjSlideMetersBetween(E63,D63,$R$13:$R$305,$S$13:$S$305))</f>
        <v>0</v>
      </c>
      <c r="AK63" s="452" t="str">
        <f>IF(U63="","",ProjParseTF(U63))</f>
        <v/>
      </c>
      <c r="AL63" s="219">
        <f>IF(E63="","",ProjCumN(AL62,E62,F62,G62,E63,F63,G63,FALSE))</f>
        <v>3.2091917905278278</v>
      </c>
      <c r="AM63" s="331">
        <f>IF(E63="","",ProjCumE(AM62,E62,F62,G62,E63,F63,G63,FALSE))</f>
        <v>-1.3830603088242543</v>
      </c>
      <c r="AN63" s="330" t="str">
        <f t="shared" si="15"/>
        <v/>
      </c>
      <c r="AO63" s="330" t="str">
        <f>IF(OR(E63="",E63&lt;$U$2),"",ProjActiveTargetMdEx(D63,W63,V63,ProjTargets_MD,ProjTargets_INC,ProjTargets_AZM,ProjTargets_TVD,F63,H63))</f>
        <v/>
      </c>
      <c r="AP63" s="207" t="str">
        <f>IF(OR(E63="",E63&lt;$U$2),"",ProjBitN(E63,F63,G63,AL63,D63,W63,X63))</f>
        <v/>
      </c>
      <c r="AQ63" s="207" t="str">
        <f>IF(OR(E63="",E63&lt;$U$2),"",ProjBitE(E63,F63,G63,AM63,D63,W63,X63))</f>
        <v/>
      </c>
      <c r="AR63" s="207" t="str">
        <f>IF(OR(E63="",E63&lt;$U$2,AO63=""),"",ProjBurr(D63,W63,X63,Q63,C63,ProjTargets_MD,ProjTargets_INC,ProjTargets_AZM,ProjTargets_TVD,V63))</f>
        <v/>
      </c>
      <c r="AS63" s="207" t="str">
        <f>IF(OR(E63="",E63&lt;$U$2,AO63=""),"",ProjMetersToSlide(D63,W63,X63,Q63,C63,ProjTargets_MD,ProjTargets_INC,ProjTargets_AZM,ProjTargets_TVD,V63))</f>
        <v/>
      </c>
      <c r="AT63" s="207" t="str">
        <f>IF(OR(E63="",E63&lt;$U$2,AO63=""),"",ProjRequiredTf(D63,W63,X63,ProjTargets_MD,ProjTargets_INC,ProjTargets_AZM,ProjTargets_TVD,5,V63))</f>
        <v/>
      </c>
    </row>
    <row r="64" spans="2:46" s="209" customFormat="1" ht="15" customHeight="1" x14ac:dyDescent="0.3">
      <c r="B64" s="208">
        <f t="shared" si="19"/>
        <v>17</v>
      </c>
      <c r="C64" s="335">
        <f t="shared" si="9"/>
        <v>28.8599999999999</v>
      </c>
      <c r="D64" s="27">
        <v>1549.13</v>
      </c>
      <c r="E64" s="336">
        <f t="shared" si="10"/>
        <v>1532.13</v>
      </c>
      <c r="F64" s="13">
        <v>1.02</v>
      </c>
      <c r="G64" s="9">
        <v>71.010000000000005</v>
      </c>
      <c r="H64" s="337">
        <f t="shared" si="3"/>
        <v>1531.9191555019395</v>
      </c>
      <c r="I64" s="337">
        <f t="shared" si="11"/>
        <v>759.66915550193949</v>
      </c>
      <c r="J64" s="338">
        <f t="shared" si="12"/>
        <v>0.24284138219462309</v>
      </c>
      <c r="K64" s="339">
        <f t="shared" si="13"/>
        <v>4.158004158004143E-2</v>
      </c>
      <c r="L64" s="339">
        <f t="shared" si="14"/>
        <v>-13.74220374220368</v>
      </c>
      <c r="M64" s="339" t="str">
        <f t="shared" si="4"/>
        <v/>
      </c>
      <c r="N64" s="340">
        <f t="shared" si="5"/>
        <v>80.141062755571866</v>
      </c>
      <c r="O64" s="341" t="str">
        <f t="shared" si="6"/>
        <v>Mag</v>
      </c>
      <c r="P64" s="342" t="str">
        <f t="shared" si="7"/>
        <v/>
      </c>
      <c r="Q64" s="343" t="str">
        <f t="shared" si="8"/>
        <v/>
      </c>
      <c r="R64" s="10" t="str">
        <f t="shared" si="0"/>
        <v/>
      </c>
      <c r="S64" s="337" t="str">
        <f t="shared" si="1"/>
        <v/>
      </c>
      <c r="T64" s="9"/>
      <c r="U64" s="8"/>
      <c r="V64" s="202" t="str">
        <f>IF(OR(E64="",E64&lt;$U$2),"",ProjTvdAtBit(E64,F64,G64,H64,D64,W64,X64))</f>
        <v/>
      </c>
      <c r="W64" s="344" t="str">
        <f>IF(OR(E64="",E64&lt;$U$2),"",ProjIncAtBit(F64,J64,C64,M64,AJ64,IF(AK64="",0,AK64)))</f>
        <v/>
      </c>
      <c r="X64" s="455" t="str">
        <f>IF(OR(E64="",E64&lt;$U$2),"",ProjAzmAtBit(F64,G64,J64,C64,M64,AJ64,IF(AK64="",0,AK64)))</f>
        <v/>
      </c>
      <c r="Y64" s="461"/>
      <c r="Z64" s="206"/>
      <c r="AA64" s="512" t="str">
        <f t="shared" si="17"/>
        <v/>
      </c>
      <c r="AB64" s="520" t="str">
        <f t="shared" si="18"/>
        <v/>
      </c>
      <c r="AC64" s="510"/>
      <c r="AD64" s="515"/>
      <c r="AE64" s="516"/>
      <c r="AJ64" s="452">
        <f>IF(OR(E64="",D64=""),0,ProjSlideMetersBetween(E64,D64,$R$13:$R$305,$S$13:$S$305))</f>
        <v>0</v>
      </c>
      <c r="AK64" s="452" t="str">
        <f>IF(U64="","",ProjParseTF(U64))</f>
        <v/>
      </c>
      <c r="AL64" s="219">
        <f>IF(E64="","",ProjCumN(AL63,E63,F63,G63,E64,F64,G64,FALSE))</f>
        <v>3.3175920184282202</v>
      </c>
      <c r="AM64" s="331">
        <f>IF(E64="","",ProjCumE(AM63,E63,F63,G63,E64,F64,G64,FALSE))</f>
        <v>-0.894613932856131</v>
      </c>
      <c r="AN64" s="330" t="str">
        <f t="shared" si="15"/>
        <v/>
      </c>
      <c r="AO64" s="330" t="str">
        <f>IF(OR(E64="",E64&lt;$U$2),"",ProjActiveTargetMdEx(D64,W64,V64,ProjTargets_MD,ProjTargets_INC,ProjTargets_AZM,ProjTargets_TVD,F64,H64))</f>
        <v/>
      </c>
      <c r="AP64" s="207" t="str">
        <f>IF(OR(E64="",E64&lt;$U$2),"",ProjBitN(E64,F64,G64,AL64,D64,W64,X64))</f>
        <v/>
      </c>
      <c r="AQ64" s="207" t="str">
        <f>IF(OR(E64="",E64&lt;$U$2),"",ProjBitE(E64,F64,G64,AM64,D64,W64,X64))</f>
        <v/>
      </c>
      <c r="AR64" s="207" t="str">
        <f>IF(OR(E64="",E64&lt;$U$2,AO64=""),"",ProjBurr(D64,W64,X64,Q64,C64,ProjTargets_MD,ProjTargets_INC,ProjTargets_AZM,ProjTargets_TVD,V64))</f>
        <v/>
      </c>
      <c r="AS64" s="207" t="str">
        <f>IF(OR(E64="",E64&lt;$U$2,AO64=""),"",ProjMetersToSlide(D64,W64,X64,Q64,C64,ProjTargets_MD,ProjTargets_INC,ProjTargets_AZM,ProjTargets_TVD,V64))</f>
        <v/>
      </c>
      <c r="AT64" s="207" t="str">
        <f>IF(OR(E64="",E64&lt;$U$2,AO64=""),"",ProjRequiredTf(D64,W64,X64,ProjTargets_MD,ProjTargets_INC,ProjTargets_AZM,ProjTargets_TVD,5,V64))</f>
        <v/>
      </c>
    </row>
    <row r="65" spans="2:46" s="209" customFormat="1" ht="15" customHeight="1" x14ac:dyDescent="0.3">
      <c r="B65" s="208">
        <f t="shared" si="19"/>
        <v>17</v>
      </c>
      <c r="C65" s="335">
        <f t="shared" si="9"/>
        <v>28.870000000000118</v>
      </c>
      <c r="D65" s="27">
        <v>1578.0000000000002</v>
      </c>
      <c r="E65" s="336">
        <f t="shared" si="10"/>
        <v>1561</v>
      </c>
      <c r="F65" s="13">
        <v>0.79</v>
      </c>
      <c r="G65" s="9">
        <v>59.19</v>
      </c>
      <c r="H65" s="337">
        <f t="shared" si="3"/>
        <v>1560.785554199025</v>
      </c>
      <c r="I65" s="337">
        <f t="shared" si="11"/>
        <v>788.535554199025</v>
      </c>
      <c r="J65" s="338">
        <f t="shared" si="12"/>
        <v>0.30662528203903239</v>
      </c>
      <c r="K65" s="339">
        <f t="shared" si="13"/>
        <v>-0.23900242466228008</v>
      </c>
      <c r="L65" s="339">
        <f t="shared" si="14"/>
        <v>-12.282646345687619</v>
      </c>
      <c r="M65" s="339" t="str">
        <f t="shared" si="4"/>
        <v/>
      </c>
      <c r="N65" s="340">
        <f t="shared" si="5"/>
        <v>141.21124428077016</v>
      </c>
      <c r="O65" s="341" t="str">
        <f t="shared" si="6"/>
        <v>Mag</v>
      </c>
      <c r="P65" s="342" t="str">
        <f t="shared" si="7"/>
        <v/>
      </c>
      <c r="Q65" s="343" t="str">
        <f t="shared" si="8"/>
        <v/>
      </c>
      <c r="R65" s="10">
        <f t="shared" si="0"/>
        <v>1578.0000000000002</v>
      </c>
      <c r="S65" s="337">
        <f t="shared" si="1"/>
        <v>1582.0000000000002</v>
      </c>
      <c r="T65" s="9">
        <v>4</v>
      </c>
      <c r="U65" s="8" t="s">
        <v>465</v>
      </c>
      <c r="V65" s="202" t="str">
        <f>IF(OR(E65="",E65&lt;$U$2),"",ProjTvdAtBit(E65,F65,G65,H65,D65,W65,X65))</f>
        <v/>
      </c>
      <c r="W65" s="344" t="str">
        <f>IF(OR(E65="",E65&lt;$U$2),"",ProjIncAtBit(F65,J65,C65,M65,AJ65,IF(AK65="",0,AK65)))</f>
        <v/>
      </c>
      <c r="X65" s="455" t="str">
        <f>IF(OR(E65="",E65&lt;$U$2),"",ProjAzmAtBit(F65,G65,J65,C65,M65,AJ65,IF(AK65="",0,AK65)))</f>
        <v/>
      </c>
      <c r="Y65" s="461"/>
      <c r="Z65" s="206"/>
      <c r="AA65" s="512" t="str">
        <f t="shared" si="17"/>
        <v/>
      </c>
      <c r="AB65" s="520" t="str">
        <f t="shared" si="18"/>
        <v/>
      </c>
      <c r="AC65" s="510"/>
      <c r="AD65" s="515"/>
      <c r="AE65" s="516"/>
      <c r="AJ65" s="452">
        <f>IF(OR(E65="",D65=""),0,ProjSlideMetersBetween(E65,D65,$R$13:$R$305,$S$13:$S$305))</f>
        <v>0</v>
      </c>
      <c r="AK65" s="452">
        <f>IF(U65="","",ProjParseTF(U65))</f>
        <v>180</v>
      </c>
      <c r="AL65" s="219">
        <f>IF(E65="","",ProjCumN(AL64,E64,F64,G64,E65,F65,G65,FALSE))</f>
        <v>3.503148277136777</v>
      </c>
      <c r="AM65" s="331">
        <f>IF(E65="","",ProjCumE(AM64,E64,F64,G64,E65,F65,G65,FALSE))</f>
        <v>-0.48069803992218674</v>
      </c>
      <c r="AN65" s="330" t="str">
        <f t="shared" si="15"/>
        <v/>
      </c>
      <c r="AO65" s="330" t="str">
        <f>IF(OR(E65="",E65&lt;$U$2),"",ProjActiveTargetMdEx(D65,W65,V65,ProjTargets_MD,ProjTargets_INC,ProjTargets_AZM,ProjTargets_TVD,F65,H65))</f>
        <v/>
      </c>
      <c r="AP65" s="207" t="str">
        <f>IF(OR(E65="",E65&lt;$U$2),"",ProjBitN(E65,F65,G65,AL65,D65,W65,X65))</f>
        <v/>
      </c>
      <c r="AQ65" s="207" t="str">
        <f>IF(OR(E65="",E65&lt;$U$2),"",ProjBitE(E65,F65,G65,AM65,D65,W65,X65))</f>
        <v/>
      </c>
      <c r="AR65" s="207" t="str">
        <f>IF(OR(E65="",E65&lt;$U$2,AO65=""),"",ProjBurr(D65,W65,X65,Q65,C65,ProjTargets_MD,ProjTargets_INC,ProjTargets_AZM,ProjTargets_TVD,V65))</f>
        <v/>
      </c>
      <c r="AS65" s="207" t="str">
        <f>IF(OR(E65="",E65&lt;$U$2,AO65=""),"",ProjMetersToSlide(D65,W65,X65,Q65,C65,ProjTargets_MD,ProjTargets_INC,ProjTargets_AZM,ProjTargets_TVD,V65))</f>
        <v/>
      </c>
      <c r="AT65" s="207" t="str">
        <f>IF(OR(E65="",E65&lt;$U$2,AO65=""),"",ProjRequiredTf(D65,W65,X65,ProjTargets_MD,ProjTargets_INC,ProjTargets_AZM,ProjTargets_TVD,5,V65))</f>
        <v/>
      </c>
    </row>
    <row r="66" spans="2:46" s="209" customFormat="1" ht="15" customHeight="1" x14ac:dyDescent="0.3">
      <c r="B66" s="208">
        <f t="shared" si="19"/>
        <v>17</v>
      </c>
      <c r="C66" s="335">
        <f t="shared" si="9"/>
        <v>28.850000000000136</v>
      </c>
      <c r="D66" s="27">
        <v>1606.8500000000004</v>
      </c>
      <c r="E66" s="336">
        <f t="shared" si="10"/>
        <v>1589.85</v>
      </c>
      <c r="F66" s="13">
        <v>0.7</v>
      </c>
      <c r="G66" s="9">
        <v>152.22999999999999</v>
      </c>
      <c r="H66" s="337">
        <f>IF(ISNUMBER(F66),COS(((F66+F65)/2)*(PI()/180))*(E66-E65)+H65,"")</f>
        <v>1589.6331153945478</v>
      </c>
      <c r="I66" s="337">
        <f t="shared" si="11"/>
        <v>817.38311539454776</v>
      </c>
      <c r="J66" s="338">
        <f t="shared" si="12"/>
        <v>1.1260904660479991</v>
      </c>
      <c r="K66" s="339">
        <f t="shared" si="13"/>
        <v>-9.3587521663778539E-2</v>
      </c>
      <c r="L66" s="339">
        <f t="shared" si="14"/>
        <v>96.748700173310525</v>
      </c>
      <c r="M66" s="339">
        <f t="shared" si="4"/>
        <v>4</v>
      </c>
      <c r="N66" s="340">
        <f t="shared" si="5"/>
        <v>94.7672564353783</v>
      </c>
      <c r="O66" s="341" t="str">
        <f t="shared" si="6"/>
        <v>Mag</v>
      </c>
      <c r="P66" s="342">
        <f t="shared" si="7"/>
        <v>-2.250000000000002E-2</v>
      </c>
      <c r="Q66" s="343">
        <f t="shared" si="8"/>
        <v>8.1219274863712325</v>
      </c>
      <c r="R66" s="10" t="str">
        <f t="shared" si="0"/>
        <v/>
      </c>
      <c r="S66" s="337" t="str">
        <f t="shared" si="1"/>
        <v/>
      </c>
      <c r="T66" s="9"/>
      <c r="U66" s="8"/>
      <c r="V66" s="202" t="str">
        <f>IF(OR(E66="",E66&lt;$U$2),"",ProjTvdAtBit(E66,F66,G66,H66,D66,W66,X66))</f>
        <v/>
      </c>
      <c r="W66" s="344" t="str">
        <f>IF(OR(E66="",E66&lt;$U$2),"",ProjIncAtBit(F66,J66,C66,M66,AJ66,IF(AK66="",0,AK66)))</f>
        <v/>
      </c>
      <c r="X66" s="455" t="str">
        <f>IF(OR(E66="",E66&lt;$U$2),"",ProjAzmAtBit(F66,G66,J66,C66,M66,AJ66,IF(AK66="",0,AK66)))</f>
        <v/>
      </c>
      <c r="Y66" s="461"/>
      <c r="Z66" s="206"/>
      <c r="AA66" s="512" t="str">
        <f t="shared" si="17"/>
        <v/>
      </c>
      <c r="AB66" s="520" t="str">
        <f t="shared" si="18"/>
        <v/>
      </c>
      <c r="AC66" s="510"/>
      <c r="AD66" s="515"/>
      <c r="AE66" s="516"/>
      <c r="AJ66" s="452">
        <f>IF(OR(E66="",D66=""),0,ProjSlideMetersBetween(E66,D66,$R$13:$R$305,$S$13:$S$305))</f>
        <v>0</v>
      </c>
      <c r="AK66" s="452" t="str">
        <f>IF(U66="","",ProjParseTF(U66))</f>
        <v/>
      </c>
      <c r="AL66" s="219">
        <f>IF(E66="","",ProjCumN(AL65,E65,F65,G65,E66,F66,G66,FALSE))</f>
        <v>3.4490822517569035</v>
      </c>
      <c r="AM66" s="331">
        <f>IF(E66="","",ProjCumE(AM65,E65,F65,G65,E66,F66,G66,FALSE))</f>
        <v>-0.22776248842855457</v>
      </c>
      <c r="AN66" s="330" t="str">
        <f t="shared" si="15"/>
        <v/>
      </c>
      <c r="AO66" s="330" t="str">
        <f>IF(OR(E66="",E66&lt;$U$2),"",ProjActiveTargetMdEx(D66,W66,V66,ProjTargets_MD,ProjTargets_INC,ProjTargets_AZM,ProjTargets_TVD,F66,H66))</f>
        <v/>
      </c>
      <c r="AP66" s="207" t="str">
        <f>IF(OR(E66="",E66&lt;$U$2),"",ProjBitN(E66,F66,G66,AL66,D66,W66,X66))</f>
        <v/>
      </c>
      <c r="AQ66" s="207" t="str">
        <f>IF(OR(E66="",E66&lt;$U$2),"",ProjBitE(E66,F66,G66,AM66,D66,W66,X66))</f>
        <v/>
      </c>
      <c r="AR66" s="207" t="str">
        <f>IF(OR(E66="",E66&lt;$U$2,AO66=""),"",ProjBurr(D66,W66,X66,Q66,C66,ProjTargets_MD,ProjTargets_INC,ProjTargets_AZM,ProjTargets_TVD,V66))</f>
        <v/>
      </c>
      <c r="AS66" s="207" t="str">
        <f>IF(OR(E66="",E66&lt;$U$2,AO66=""),"",ProjMetersToSlide(D66,W66,X66,Q66,C66,ProjTargets_MD,ProjTargets_INC,ProjTargets_AZM,ProjTargets_TVD,V66))</f>
        <v/>
      </c>
      <c r="AT66" s="207" t="str">
        <f>IF(OR(E66="",E66&lt;$U$2,AO66=""),"",ProjRequiredTf(D66,W66,X66,ProjTargets_MD,ProjTargets_INC,ProjTargets_AZM,ProjTargets_TVD,5,V66))</f>
        <v/>
      </c>
    </row>
    <row r="67" spans="2:46" s="209" customFormat="1" ht="15" customHeight="1" x14ac:dyDescent="0.3">
      <c r="B67" s="208">
        <f t="shared" si="19"/>
        <v>17</v>
      </c>
      <c r="C67" s="335">
        <f t="shared" si="9"/>
        <v>28.869999999999891</v>
      </c>
      <c r="D67" s="27">
        <v>1635.7200000000003</v>
      </c>
      <c r="E67" s="336">
        <f t="shared" si="10"/>
        <v>1618.72</v>
      </c>
      <c r="F67" s="13">
        <v>0.51</v>
      </c>
      <c r="G67" s="9">
        <v>141.80000000000001</v>
      </c>
      <c r="H67" s="337">
        <f>IF(ISNUMBER(F67),COS(((F67+F66)/2)*(PI()/180))*(E67-E66)+H66,"")</f>
        <v>1618.5015059417749</v>
      </c>
      <c r="I67" s="337">
        <f t="shared" si="11"/>
        <v>846.25150594177489</v>
      </c>
      <c r="J67" s="338">
        <f>IF(AND(ISNUMBER(E67),ISNUMBER(F67),ISNUMBER(G67)),ACOS(SIN(F66*PI()/180)*SIN(F67*PI()/180)*COS((G67*PI()/180)-(G66*PI()/180))+COS(F66*PI()/180)*COS(F67*PI()/180))*30/(E67-E66)*180/PI(),"")</f>
        <v>0.22742029148945817</v>
      </c>
      <c r="K67" s="339">
        <f>IF(F67=0," ",SUM(F67-F66)/SUM(E67-E66)*30)</f>
        <v>-0.19743678559057759</v>
      </c>
      <c r="L67" s="339">
        <f t="shared" si="14"/>
        <v>-10.838240387945898</v>
      </c>
      <c r="M67" s="339" t="str">
        <f t="shared" si="4"/>
        <v/>
      </c>
      <c r="N67" s="340">
        <f>IF(J67=0,"",IF(AND(ISNUMBER(F67),ISNUMBER(J67)),(IF(AND(F67&gt;F66,G67=G66),0,IF(AND(F67&lt;F66,G67=G66),180,IF(AND(G66=0,G67&gt;0),G67,ACOS((C67*K67/30)/(C67*J67/30))*180/PI())))),""))</f>
        <v>150.24530807540279</v>
      </c>
      <c r="O67" s="341" t="str">
        <f>IF(F67="","",IF(N67="","",IF(F67&lt;5,"Mag",IF(L67&lt;0,"L",IF(N67=0,"HS",IF(N67=360,"HS",IF(N67=180,"LS","R")))))))</f>
        <v>Mag</v>
      </c>
      <c r="P67" s="342" t="str">
        <f>IF(F67="","",IF(M67="","",SUM((F67-F66)/M67)))</f>
        <v/>
      </c>
      <c r="Q67" s="343" t="str">
        <f>IF(ISBLANK(F67),"",IF(J67="", "", IF(M67="","",SUM(C67*J67/M67))))</f>
        <v/>
      </c>
      <c r="R67" s="10" t="str">
        <f t="shared" si="0"/>
        <v/>
      </c>
      <c r="S67" s="337" t="str">
        <f t="shared" si="1"/>
        <v/>
      </c>
      <c r="T67" s="9"/>
      <c r="U67" s="8"/>
      <c r="V67" s="202" t="str">
        <f>IF(OR(E67="",E67&lt;$U$2),"",ProjTvdAtBit(E67,F67,G67,H67,D67,W67,X67))</f>
        <v/>
      </c>
      <c r="W67" s="344" t="str">
        <f>IF(OR(E67="",E67&lt;$U$2),"",ProjIncAtBit(F67,J67,C67,M67,AJ67,IF(AK67="",0,AK67)))</f>
        <v/>
      </c>
      <c r="X67" s="455" t="str">
        <f>IF(OR(E67="",E67&lt;$U$2),"",ProjAzmAtBit(F67,G67,J67,C67,M67,AJ67,IF(AK67="",0,AK67)))</f>
        <v/>
      </c>
      <c r="Y67" s="461"/>
      <c r="Z67" s="206"/>
      <c r="AA67" s="512" t="str">
        <f t="shared" si="17"/>
        <v/>
      </c>
      <c r="AB67" s="520" t="str">
        <f t="shared" si="18"/>
        <v/>
      </c>
      <c r="AC67" s="510"/>
      <c r="AD67" s="515"/>
      <c r="AE67" s="516"/>
      <c r="AJ67" s="452">
        <f>IF(OR(E67="",D67=""),0,ProjSlideMetersBetween(E67,D67,$R$13:$R$305,$S$13:$S$305))</f>
        <v>0</v>
      </c>
      <c r="AK67" s="452" t="str">
        <f>IF(U67="","",ProjParseTF(U67))</f>
        <v/>
      </c>
      <c r="AL67" s="219">
        <f>IF(E67="","",ProjCumN(AL66,E66,F66,G66,E67,F67,G67,FALSE))</f>
        <v>3.1920686542928456</v>
      </c>
      <c r="AM67" s="331">
        <f>IF(E67="","",ProjCumE(AM66,E66,F66,G66,E67,F67,G67,FALSE))</f>
        <v>-6.6138245728221773E-2</v>
      </c>
      <c r="AN67" s="330" t="str">
        <f t="shared" si="15"/>
        <v/>
      </c>
      <c r="AO67" s="330" t="str">
        <f>IF(OR(E67="",E67&lt;$U$2),"",ProjActiveTargetMdEx(D67,W67,V67,ProjTargets_MD,ProjTargets_INC,ProjTargets_AZM,ProjTargets_TVD,F67,H67))</f>
        <v/>
      </c>
      <c r="AP67" s="207" t="str">
        <f>IF(OR(E67="",E67&lt;$U$2),"",ProjBitN(E67,F67,G67,AL67,D67,W67,X67))</f>
        <v/>
      </c>
      <c r="AQ67" s="207" t="str">
        <f>IF(OR(E67="",E67&lt;$U$2),"",ProjBitE(E67,F67,G67,AM67,D67,W67,X67))</f>
        <v/>
      </c>
      <c r="AR67" s="207" t="str">
        <f>IF(OR(E67="",E67&lt;$U$2,AO67=""),"",ProjBurr(D67,W67,X67,Q67,C67,ProjTargets_MD,ProjTargets_INC,ProjTargets_AZM,ProjTargets_TVD,V67))</f>
        <v/>
      </c>
      <c r="AS67" s="207" t="str">
        <f>IF(OR(E67="",E67&lt;$U$2,AO67=""),"",ProjMetersToSlide(D67,W67,X67,Q67,C67,ProjTargets_MD,ProjTargets_INC,ProjTargets_AZM,ProjTargets_TVD,V67))</f>
        <v/>
      </c>
      <c r="AT67" s="207" t="str">
        <f>IF(OR(E67="",E67&lt;$U$2,AO67=""),"",ProjRequiredTf(D67,W67,X67,ProjTargets_MD,ProjTargets_INC,ProjTargets_AZM,ProjTargets_TVD,5,V67))</f>
        <v/>
      </c>
    </row>
    <row r="68" spans="2:46" s="209" customFormat="1" ht="15" customHeight="1" x14ac:dyDescent="0.3">
      <c r="B68" s="208">
        <f t="shared" si="19"/>
        <v>17</v>
      </c>
      <c r="C68" s="335">
        <f t="shared" si="9"/>
        <v>28.829999999999927</v>
      </c>
      <c r="D68" s="27">
        <v>1664.5500000000002</v>
      </c>
      <c r="E68" s="336">
        <f t="shared" si="10"/>
        <v>1647.55</v>
      </c>
      <c r="F68" s="13">
        <v>0.4</v>
      </c>
      <c r="G68" s="9">
        <v>130.38</v>
      </c>
      <c r="H68" s="337">
        <f>IF(ISNUMBER(F68),COS(((F68+F67)/2)*(PI()/180))*(E68-E67)+H67,"")</f>
        <v>1647.3305968873337</v>
      </c>
      <c r="I68" s="337">
        <f t="shared" si="11"/>
        <v>875.08059688733374</v>
      </c>
      <c r="J68" s="338">
        <f>IF(AND(ISNUMBER(E68),ISNUMBER(F68),ISNUMBER(G68)),ACOS(SIN(F67*PI()/180)*SIN(F68*PI()/180)*COS((G68*PI()/180)-(G67*PI()/180))+COS(F67*PI()/180)*COS(F68*PI()/180))*30/(E68-E67)*180/PI(),"")</f>
        <v>0.14781172553146879</v>
      </c>
      <c r="K68" s="339">
        <f>IF(F68=0," ",SUM(F68-F67)/SUM(E68-E67)*30)</f>
        <v>-0.114464099895942</v>
      </c>
      <c r="L68" s="339">
        <f t="shared" si="14"/>
        <v>-11.883454734651451</v>
      </c>
      <c r="M68" s="339" t="str">
        <f t="shared" si="4"/>
        <v/>
      </c>
      <c r="N68" s="340">
        <f>IF(J68=0,"",IF(AND(ISNUMBER(F68),ISNUMBER(J68)),(IF(AND(F68&gt;F67,G68=G67),0,IF(AND(F68&lt;F67,G68=G67),180,IF(AND(G67=0,G68&gt;0),G68,ACOS((C68*K68/30)/(C68*J68/30))*180/PI())))),""))</f>
        <v>140.74986946613524</v>
      </c>
      <c r="O68" s="341" t="str">
        <f>IF(F68="","",IF(N68="","",IF(F68&lt;5,"Mag",IF(L68&lt;0,"L",IF(N68=0,"HS",IF(N68=360,"HS",IF(N68=180,"LS","R")))))))</f>
        <v>Mag</v>
      </c>
      <c r="P68" s="342" t="str">
        <f>IF(F68="","",IF(M68="","",SUM((F68-F67)/M68)))</f>
        <v/>
      </c>
      <c r="Q68" s="343" t="str">
        <f>IF(ISBLANK(F68),"",IF(J68="", "", IF(M68="","",SUM(C68*J68/M68))))</f>
        <v/>
      </c>
      <c r="R68" s="10" t="str">
        <f t="shared" si="0"/>
        <v/>
      </c>
      <c r="S68" s="337" t="str">
        <f t="shared" si="1"/>
        <v/>
      </c>
      <c r="T68" s="9"/>
      <c r="U68" s="8"/>
      <c r="V68" s="202" t="str">
        <f>IF(OR(E68="",E68&lt;$U$2),"",ProjTvdAtBit(E68,F68,G68,H68,D68,W68,X68))</f>
        <v/>
      </c>
      <c r="W68" s="344" t="str">
        <f>IF(OR(E68="",E68&lt;$U$2),"",ProjIncAtBit(F68,J68,C68,M68,AJ68,IF(AK68="",0,AK68)))</f>
        <v/>
      </c>
      <c r="X68" s="455" t="str">
        <f>IF(OR(E68="",E68&lt;$U$2),"",ProjAzmAtBit(F68,G68,J68,C68,M68,AJ68,IF(AK68="",0,AK68)))</f>
        <v/>
      </c>
      <c r="Y68" s="461"/>
      <c r="Z68" s="206"/>
      <c r="AA68" s="512" t="str">
        <f t="shared" si="17"/>
        <v/>
      </c>
      <c r="AB68" s="520" t="str">
        <f t="shared" si="18"/>
        <v/>
      </c>
      <c r="AC68" s="510"/>
      <c r="AD68" s="515"/>
      <c r="AE68" s="516"/>
      <c r="AJ68" s="452">
        <f>IF(OR(E68="",D68=""),0,ProjSlideMetersBetween(E68,D68,$R$13:$R$305,$S$13:$S$305))</f>
        <v>0</v>
      </c>
      <c r="AK68" s="452" t="str">
        <f>IF(U68="","",ProjParseTF(U68))</f>
        <v/>
      </c>
      <c r="AL68" s="219">
        <f>IF(E68="","",ProjCumN(AL67,E67,F67,G67,E68,F68,G68,FALSE))</f>
        <v>3.0260395067587882</v>
      </c>
      <c r="AM68" s="331">
        <f>IF(E68="","",ProjCumE(AM67,E67,F67,G67,E68,F68,G68,FALSE))</f>
        <v>8.9869144578857418E-2</v>
      </c>
      <c r="AN68" s="330" t="str">
        <f t="shared" si="15"/>
        <v/>
      </c>
      <c r="AO68" s="330" t="str">
        <f>IF(OR(E68="",E68&lt;$U$2),"",ProjActiveTargetMdEx(D68,W68,V68,ProjTargets_MD,ProjTargets_INC,ProjTargets_AZM,ProjTargets_TVD,F68,H68))</f>
        <v/>
      </c>
      <c r="AP68" s="207" t="str">
        <f>IF(OR(E68="",E68&lt;$U$2),"",ProjBitN(E68,F68,G68,AL68,D68,W68,X68))</f>
        <v/>
      </c>
      <c r="AQ68" s="207" t="str">
        <f>IF(OR(E68="",E68&lt;$U$2),"",ProjBitE(E68,F68,G68,AM68,D68,W68,X68))</f>
        <v/>
      </c>
      <c r="AR68" s="207" t="str">
        <f>IF(OR(E68="",E68&lt;$U$2,AO68=""),"",ProjBurr(D68,W68,X68,Q68,C68,ProjTargets_MD,ProjTargets_INC,ProjTargets_AZM,ProjTargets_TVD,V68))</f>
        <v/>
      </c>
      <c r="AS68" s="207" t="str">
        <f>IF(OR(E68="",E68&lt;$U$2,AO68=""),"",ProjMetersToSlide(D68,W68,X68,Q68,C68,ProjTargets_MD,ProjTargets_INC,ProjTargets_AZM,ProjTargets_TVD,V68))</f>
        <v/>
      </c>
      <c r="AT68" s="207" t="str">
        <f>IF(OR(E68="",E68&lt;$U$2,AO68=""),"",ProjRequiredTf(D68,W68,X68,ProjTargets_MD,ProjTargets_INC,ProjTargets_AZM,ProjTargets_TVD,5,V68))</f>
        <v/>
      </c>
    </row>
    <row r="69" spans="2:46" s="209" customFormat="1" ht="15" customHeight="1" x14ac:dyDescent="0.3">
      <c r="B69" s="208">
        <f t="shared" si="19"/>
        <v>17</v>
      </c>
      <c r="C69" s="335">
        <f t="shared" si="9"/>
        <v>28.809999999999945</v>
      </c>
      <c r="D69" s="27">
        <v>1693.3600000000001</v>
      </c>
      <c r="E69" s="336">
        <f t="shared" si="10"/>
        <v>1676.36</v>
      </c>
      <c r="F69" s="13">
        <v>0.38</v>
      </c>
      <c r="G69" s="9">
        <v>104.86</v>
      </c>
      <c r="H69" s="337">
        <f>IF(ISNUMBER(F69),COS(((F69+F68)/2)*(PI()/180))*(E69-E68)+H68,"")</f>
        <v>1676.1399294729915</v>
      </c>
      <c r="I69" s="337">
        <f t="shared" si="11"/>
        <v>903.88992947299153</v>
      </c>
      <c r="J69" s="338">
        <f>IF(AND(ISNUMBER(E69),ISNUMBER(F69),ISNUMBER(G69)),ACOS(SIN(F68*PI()/180)*SIN(F69*PI()/180)*COS((G69*PI()/180)-(G68*PI()/180))+COS(F68*PI()/180)*COS(F69*PI()/180))*30/(E69-E68)*180/PI(),"")</f>
        <v>0.18053761849937491</v>
      </c>
      <c r="K69" s="339">
        <f>IF(F69=0," ",SUM(F69-F68)/SUM(E69-E68)*30)</f>
        <v>-2.0826102047900093E-2</v>
      </c>
      <c r="L69" s="339">
        <f t="shared" si="14"/>
        <v>-26.574106213120491</v>
      </c>
      <c r="M69" s="339" t="str">
        <f t="shared" si="4"/>
        <v/>
      </c>
      <c r="N69" s="340">
        <f>IF(J69=0,"",IF(AND(ISNUMBER(F69),ISNUMBER(J69)),(IF(AND(F69&gt;F68,G69=G68),0,IF(AND(F69&lt;F68,G69=G68),180,IF(AND(G68=0,G69&gt;0),G69,ACOS((C69*K69/30)/(C69*J69/30))*180/PI())))),""))</f>
        <v>96.624160449275379</v>
      </c>
      <c r="O69" s="341" t="str">
        <f t="shared" si="6"/>
        <v>Mag</v>
      </c>
      <c r="P69" s="342" t="str">
        <f>IF(F69="","",IF(M69="","",SUM((F69-F68)/M69)))</f>
        <v/>
      </c>
      <c r="Q69" s="343" t="str">
        <f t="shared" si="8"/>
        <v/>
      </c>
      <c r="R69" s="10" t="str">
        <f t="shared" si="0"/>
        <v/>
      </c>
      <c r="S69" s="337" t="str">
        <f t="shared" si="1"/>
        <v/>
      </c>
      <c r="T69" s="9"/>
      <c r="U69" s="8"/>
      <c r="V69" s="202" t="str">
        <f>IF(OR(E69="",E69&lt;$U$2),"",ProjTvdAtBit(E69,F69,G69,H69,D69,W69,X69))</f>
        <v/>
      </c>
      <c r="W69" s="344" t="str">
        <f>IF(OR(E69="",E69&lt;$U$2),"",ProjIncAtBit(F69,J69,C69,M69,AJ69,IF(AK69="",0,AK69)))</f>
        <v/>
      </c>
      <c r="X69" s="455" t="str">
        <f>IF(OR(E69="",E69&lt;$U$2),"",ProjAzmAtBit(F69,G69,J69,C69,M69,AJ69,IF(AK69="",0,AK69)))</f>
        <v/>
      </c>
      <c r="Y69" s="461"/>
      <c r="Z69" s="206"/>
      <c r="AA69" s="512" t="str">
        <f t="shared" si="17"/>
        <v/>
      </c>
      <c r="AB69" s="520" t="str">
        <f t="shared" si="18"/>
        <v/>
      </c>
      <c r="AC69" s="510"/>
      <c r="AD69" s="515"/>
      <c r="AE69" s="516"/>
      <c r="AJ69" s="452">
        <f>IF(OR(E69="",D69=""),0,ProjSlideMetersBetween(E69,D69,$R$13:$R$305,$S$13:$S$305))</f>
        <v>0</v>
      </c>
      <c r="AK69" s="452" t="str">
        <f>IF(U69="","",ProjParseTF(U69))</f>
        <v/>
      </c>
      <c r="AL69" s="219">
        <f>IF(E69="","",ProjCumN(AL68,E68,F68,G68,E69,F69,G69,FALSE))</f>
        <v>2.9363867585058152</v>
      </c>
      <c r="AM69" s="331">
        <f>IF(E69="","",ProjCumE(AM68,E68,F68,G68,E69,F69,G69,FALSE))</f>
        <v>0.25881784249390871</v>
      </c>
      <c r="AN69" s="330" t="str">
        <f t="shared" si="15"/>
        <v/>
      </c>
      <c r="AO69" s="330" t="str">
        <f>IF(OR(E69="",E69&lt;$U$2),"",ProjActiveTargetMdEx(D69,W69,V69,ProjTargets_MD,ProjTargets_INC,ProjTargets_AZM,ProjTargets_TVD,F69,H69))</f>
        <v/>
      </c>
      <c r="AP69" s="207" t="str">
        <f>IF(OR(E69="",E69&lt;$U$2),"",ProjBitN(E69,F69,G69,AL69,D69,W69,X69))</f>
        <v/>
      </c>
      <c r="AQ69" s="207" t="str">
        <f>IF(OR(E69="",E69&lt;$U$2),"",ProjBitE(E69,F69,G69,AM69,D69,W69,X69))</f>
        <v/>
      </c>
      <c r="AR69" s="207" t="str">
        <f>IF(OR(E69="",E69&lt;$U$2,AO69=""),"",ProjBurr(D69,W69,X69,Q69,C69,ProjTargets_MD,ProjTargets_INC,ProjTargets_AZM,ProjTargets_TVD,V69))</f>
        <v/>
      </c>
      <c r="AS69" s="207" t="str">
        <f>IF(OR(E69="",E69&lt;$U$2,AO69=""),"",ProjMetersToSlide(D69,W69,X69,Q69,C69,ProjTargets_MD,ProjTargets_INC,ProjTargets_AZM,ProjTargets_TVD,V69))</f>
        <v/>
      </c>
      <c r="AT69" s="207" t="str">
        <f>IF(OR(E69="",E69&lt;$U$2,AO69=""),"",ProjRequiredTf(D69,W69,X69,ProjTargets_MD,ProjTargets_INC,ProjTargets_AZM,ProjTargets_TVD,5,V69))</f>
        <v/>
      </c>
    </row>
    <row r="70" spans="2:46" s="209" customFormat="1" ht="15" customHeight="1" x14ac:dyDescent="0.3">
      <c r="B70" s="208">
        <f t="shared" si="19"/>
        <v>17</v>
      </c>
      <c r="C70" s="335">
        <f t="shared" si="9"/>
        <v>28.659999999999854</v>
      </c>
      <c r="D70" s="27">
        <v>1722.02</v>
      </c>
      <c r="E70" s="336">
        <f t="shared" si="10"/>
        <v>1705.02</v>
      </c>
      <c r="F70" s="13">
        <v>0.73</v>
      </c>
      <c r="G70" s="9">
        <v>23.8</v>
      </c>
      <c r="H70" s="337">
        <f t="shared" si="3"/>
        <v>1704.7985849027473</v>
      </c>
      <c r="I70" s="337">
        <f t="shared" si="11"/>
        <v>932.54858490274728</v>
      </c>
      <c r="J70" s="338">
        <f t="shared" si="12"/>
        <v>0.80476092929296517</v>
      </c>
      <c r="K70" s="339">
        <f t="shared" si="13"/>
        <v>0.36636427076064093</v>
      </c>
      <c r="L70" s="339">
        <f t="shared" si="14"/>
        <v>-84.849965108164454</v>
      </c>
      <c r="M70" s="339" t="str">
        <f t="shared" si="4"/>
        <v/>
      </c>
      <c r="N70" s="340">
        <f t="shared" si="5"/>
        <v>62.919230446018027</v>
      </c>
      <c r="O70" s="341" t="str">
        <f t="shared" si="6"/>
        <v>Mag</v>
      </c>
      <c r="P70" s="342" t="str">
        <f t="shared" si="7"/>
        <v/>
      </c>
      <c r="Q70" s="343" t="str">
        <f t="shared" si="8"/>
        <v/>
      </c>
      <c r="R70" s="10" t="str">
        <f t="shared" si="0"/>
        <v/>
      </c>
      <c r="S70" s="337" t="str">
        <f t="shared" si="1"/>
        <v/>
      </c>
      <c r="T70" s="9"/>
      <c r="U70" s="8"/>
      <c r="V70" s="202" t="str">
        <f>IF(OR(E70="",E70&lt;$U$2),"",ProjTvdAtBit(E70,F70,G70,H70,D70,W70,X70))</f>
        <v/>
      </c>
      <c r="W70" s="344" t="str">
        <f>IF(OR(E70="",E70&lt;$U$2),"",ProjIncAtBit(F70,J70,C70,M70,AJ70,IF(AK70="",0,AK70)))</f>
        <v/>
      </c>
      <c r="X70" s="455" t="str">
        <f>IF(OR(E70="",E70&lt;$U$2),"",ProjAzmAtBit(F70,G70,J70,C70,M70,AJ70,IF(AK70="",0,AK70)))</f>
        <v/>
      </c>
      <c r="Y70" s="461"/>
      <c r="Z70" s="206"/>
      <c r="AA70" s="512" t="str">
        <f t="shared" si="17"/>
        <v/>
      </c>
      <c r="AB70" s="520" t="str">
        <f t="shared" si="18"/>
        <v/>
      </c>
      <c r="AC70" s="510"/>
      <c r="AD70" s="515"/>
      <c r="AE70" s="516"/>
      <c r="AJ70" s="452">
        <f>IF(OR(E70="",D70=""),0,ProjSlideMetersBetween(E70,D70,$R$13:$R$305,$S$13:$S$305))</f>
        <v>0</v>
      </c>
      <c r="AK70" s="452" t="str">
        <f>IF(U70="","",ProjParseTF(U70))</f>
        <v/>
      </c>
      <c r="AL70" s="219">
        <f>IF(E70="","",ProjCumN(AL69,E69,F69,G69,E70,F70,G70,FALSE))</f>
        <v>3.0790614688031548</v>
      </c>
      <c r="AM70" s="331">
        <f>IF(E70="","",ProjCumE(AM69,E69,F69,G69,E70,F70,G70,FALSE))</f>
        <v>0.42435738353370278</v>
      </c>
      <c r="AN70" s="330" t="str">
        <f t="shared" si="15"/>
        <v/>
      </c>
      <c r="AO70" s="330" t="str">
        <f>IF(OR(E70="",E70&lt;$U$2),"",ProjActiveTargetMdEx(D70,W70,V70,ProjTargets_MD,ProjTargets_INC,ProjTargets_AZM,ProjTargets_TVD,F70,H70))</f>
        <v/>
      </c>
      <c r="AP70" s="207" t="str">
        <f>IF(OR(E70="",E70&lt;$U$2),"",ProjBitN(E70,F70,G70,AL70,D70,W70,X70))</f>
        <v/>
      </c>
      <c r="AQ70" s="207" t="str">
        <f>IF(OR(E70="",E70&lt;$U$2),"",ProjBitE(E70,F70,G70,AM70,D70,W70,X70))</f>
        <v/>
      </c>
      <c r="AR70" s="207" t="str">
        <f>IF(OR(E70="",E70&lt;$U$2,AO70=""),"",ProjBurr(D70,W70,X70,Q70,C70,ProjTargets_MD,ProjTargets_INC,ProjTargets_AZM,ProjTargets_TVD,V70))</f>
        <v/>
      </c>
      <c r="AS70" s="207" t="str">
        <f>IF(OR(E70="",E70&lt;$U$2,AO70=""),"",ProjMetersToSlide(D70,W70,X70,Q70,C70,ProjTargets_MD,ProjTargets_INC,ProjTargets_AZM,ProjTargets_TVD,V70))</f>
        <v/>
      </c>
      <c r="AT70" s="207" t="str">
        <f>IF(OR(E70="",E70&lt;$U$2,AO70=""),"",ProjRequiredTf(D70,W70,X70,ProjTargets_MD,ProjTargets_INC,ProjTargets_AZM,ProjTargets_TVD,5,V70))</f>
        <v/>
      </c>
    </row>
    <row r="71" spans="2:46" s="209" customFormat="1" ht="15" customHeight="1" x14ac:dyDescent="0.3">
      <c r="B71" s="208">
        <f t="shared" si="19"/>
        <v>17</v>
      </c>
      <c r="C71" s="335">
        <f t="shared" si="9"/>
        <v>28.75</v>
      </c>
      <c r="D71" s="27">
        <v>1750.77</v>
      </c>
      <c r="E71" s="336">
        <f t="shared" si="10"/>
        <v>1733.77</v>
      </c>
      <c r="F71" s="9">
        <v>0.91</v>
      </c>
      <c r="G71" s="9">
        <v>358.47</v>
      </c>
      <c r="H71" s="337">
        <f t="shared" si="3"/>
        <v>1733.5456405971781</v>
      </c>
      <c r="I71" s="337">
        <f t="shared" si="11"/>
        <v>961.29564059717814</v>
      </c>
      <c r="J71" s="338">
        <f t="shared" si="12"/>
        <v>0.41755455133618186</v>
      </c>
      <c r="K71" s="339">
        <f t="shared" si="13"/>
        <v>0.18782608695652181</v>
      </c>
      <c r="L71" s="339">
        <f t="shared" si="14"/>
        <v>-26.431304347826057</v>
      </c>
      <c r="M71" s="339" t="str">
        <f t="shared" si="4"/>
        <v/>
      </c>
      <c r="N71" s="340">
        <f t="shared" si="5"/>
        <v>63.267603093238542</v>
      </c>
      <c r="O71" s="341" t="str">
        <f t="shared" si="6"/>
        <v>Mag</v>
      </c>
      <c r="P71" s="342" t="str">
        <f t="shared" si="7"/>
        <v/>
      </c>
      <c r="Q71" s="343" t="str">
        <f t="shared" si="8"/>
        <v/>
      </c>
      <c r="R71" s="10">
        <f t="shared" si="0"/>
        <v>1750.77</v>
      </c>
      <c r="S71" s="337">
        <f t="shared" si="1"/>
        <v>1753.77</v>
      </c>
      <c r="T71" s="9">
        <v>3</v>
      </c>
      <c r="U71" s="8" t="s">
        <v>465</v>
      </c>
      <c r="V71" s="202" t="str">
        <f>IF(OR(E71="",E71&lt;$U$2),"",ProjTvdAtBit(E71,F71,G71,H71,D71,W71,X71))</f>
        <v/>
      </c>
      <c r="W71" s="344" t="str">
        <f>IF(OR(E71="",E71&lt;$U$2),"",ProjIncAtBit(F71,J71,C71,M71,AJ71,IF(AK71="",0,AK71)))</f>
        <v/>
      </c>
      <c r="X71" s="455" t="str">
        <f>IF(OR(E71="",E71&lt;$U$2),"",ProjAzmAtBit(F71,G71,J71,C71,M71,AJ71,IF(AK71="",0,AK71)))</f>
        <v/>
      </c>
      <c r="Y71" s="461"/>
      <c r="Z71" s="206"/>
      <c r="AA71" s="512" t="str">
        <f t="shared" si="17"/>
        <v/>
      </c>
      <c r="AB71" s="520" t="str">
        <f t="shared" si="18"/>
        <v/>
      </c>
      <c r="AC71" s="510"/>
      <c r="AD71" s="515"/>
      <c r="AE71" s="516"/>
      <c r="AJ71" s="452">
        <f>IF(OR(E71="",D71=""),0,ProjSlideMetersBetween(E71,D71,$R$13:$R$305,$S$13:$S$305))</f>
        <v>0</v>
      </c>
      <c r="AK71" s="452">
        <f>IF(U71="","",ProjParseTF(U71))</f>
        <v>180</v>
      </c>
      <c r="AL71" s="219">
        <f>IF(E71="","",ProjCumN(AL70,E70,F70,G70,E71,F71,G71,FALSE))</f>
        <v>3.4748537444913965</v>
      </c>
      <c r="AM71" s="331">
        <f>IF(E71="","",ProjCumE(AM70,E70,F70,G70,E71,F71,G71,FALSE))</f>
        <v>0.49216945026975839</v>
      </c>
      <c r="AN71" s="330" t="str">
        <f t="shared" si="15"/>
        <v/>
      </c>
      <c r="AO71" s="330" t="str">
        <f>IF(OR(E71="",E71&lt;$U$2),"",ProjActiveTargetMdEx(D71,W71,V71,ProjTargets_MD,ProjTargets_INC,ProjTargets_AZM,ProjTargets_TVD,F71,H71))</f>
        <v/>
      </c>
      <c r="AP71" s="207" t="str">
        <f>IF(OR(E71="",E71&lt;$U$2),"",ProjBitN(E71,F71,G71,AL71,D71,W71,X71))</f>
        <v/>
      </c>
      <c r="AQ71" s="207" t="str">
        <f>IF(OR(E71="",E71&lt;$U$2),"",ProjBitE(E71,F71,G71,AM71,D71,W71,X71))</f>
        <v/>
      </c>
      <c r="AR71" s="207" t="str">
        <f>IF(OR(E71="",E71&lt;$U$2,AO71=""),"",ProjBurr(D71,W71,X71,Q71,C71,ProjTargets_MD,ProjTargets_INC,ProjTargets_AZM,ProjTargets_TVD,V71))</f>
        <v/>
      </c>
      <c r="AS71" s="207" t="str">
        <f>IF(OR(E71="",E71&lt;$U$2,AO71=""),"",ProjMetersToSlide(D71,W71,X71,Q71,C71,ProjTargets_MD,ProjTargets_INC,ProjTargets_AZM,ProjTargets_TVD,V71))</f>
        <v/>
      </c>
      <c r="AT71" s="207" t="str">
        <f>IF(OR(E71="",E71&lt;$U$2,AO71=""),"",ProjRequiredTf(D71,W71,X71,ProjTargets_MD,ProjTargets_INC,ProjTargets_AZM,ProjTargets_TVD,5,V71))</f>
        <v/>
      </c>
    </row>
    <row r="72" spans="2:46" s="209" customFormat="1" ht="15" customHeight="1" x14ac:dyDescent="0.3">
      <c r="B72" s="208">
        <f t="shared" si="19"/>
        <v>17</v>
      </c>
      <c r="C72" s="335">
        <f t="shared" si="9"/>
        <v>28.869999999999891</v>
      </c>
      <c r="D72" s="27">
        <v>1779.6399999999999</v>
      </c>
      <c r="E72" s="336">
        <f t="shared" si="10"/>
        <v>1762.64</v>
      </c>
      <c r="F72" s="9">
        <v>0.55000000000000004</v>
      </c>
      <c r="G72" s="9">
        <v>328.23</v>
      </c>
      <c r="H72" s="337">
        <f t="shared" si="3"/>
        <v>1762.4132973863334</v>
      </c>
      <c r="I72" s="337">
        <f t="shared" si="11"/>
        <v>990.1632973863334</v>
      </c>
      <c r="J72" s="338">
        <f t="shared" si="12"/>
        <v>0.53574364831160082</v>
      </c>
      <c r="K72" s="339">
        <f t="shared" si="13"/>
        <v>-0.37409075164530503</v>
      </c>
      <c r="L72" s="339">
        <f t="shared" si="14"/>
        <v>-31.423623138205631</v>
      </c>
      <c r="M72" s="339">
        <f t="shared" si="4"/>
        <v>3</v>
      </c>
      <c r="N72" s="340">
        <f t="shared" si="5"/>
        <v>134.28792705347021</v>
      </c>
      <c r="O72" s="341" t="str">
        <f t="shared" si="6"/>
        <v>Mag</v>
      </c>
      <c r="P72" s="342">
        <f t="shared" si="7"/>
        <v>-0.12</v>
      </c>
      <c r="Q72" s="343">
        <f t="shared" si="8"/>
        <v>5.1556397089186188</v>
      </c>
      <c r="R72" s="10">
        <f t="shared" si="0"/>
        <v>1779.6399999999999</v>
      </c>
      <c r="S72" s="337">
        <f t="shared" si="1"/>
        <v>1783.6399999999999</v>
      </c>
      <c r="T72" s="9">
        <v>4</v>
      </c>
      <c r="U72" s="8" t="s">
        <v>465</v>
      </c>
      <c r="V72" s="202" t="str">
        <f>IF(OR(E72="",E72&lt;$U$2),"",ProjTvdAtBit(E72,F72,G72,H72,D72,W72,X72))</f>
        <v/>
      </c>
      <c r="W72" s="344" t="str">
        <f>IF(OR(E72="",E72&lt;$U$2),"",ProjIncAtBit(F72,J72,C72,M72,AJ72,IF(AK72="",0,AK72)))</f>
        <v/>
      </c>
      <c r="X72" s="455" t="str">
        <f>IF(OR(E72="",E72&lt;$U$2),"",ProjAzmAtBit(F72,G72,J72,C72,M72,AJ72,IF(AK72="",0,AK72)))</f>
        <v/>
      </c>
      <c r="Y72" s="461"/>
      <c r="Z72" s="206"/>
      <c r="AA72" s="512" t="str">
        <f t="shared" si="17"/>
        <v/>
      </c>
      <c r="AB72" s="520" t="str">
        <f t="shared" si="18"/>
        <v/>
      </c>
      <c r="AC72" s="510"/>
      <c r="AD72" s="515"/>
      <c r="AE72" s="516"/>
      <c r="AJ72" s="452">
        <f>IF(OR(E72="",D72=""),0,ProjSlideMetersBetween(E72,D72,$R$13:$R$305,$S$13:$S$305))</f>
        <v>0</v>
      </c>
      <c r="AK72" s="452">
        <f>IF(U72="","",ProjParseTF(U72))</f>
        <v>180</v>
      </c>
      <c r="AL72" s="219">
        <f>IF(E72="","",ProjCumN(AL71,E71,F71,G71,E72,F72,G72,FALSE))</f>
        <v>3.8218312288001308</v>
      </c>
      <c r="AM72" s="331">
        <f>IF(E72="","",ProjCumE(AM71,E71,F71,G71,E72,F72,G72,FALSE))</f>
        <v>0.41309235449815812</v>
      </c>
      <c r="AN72" s="330" t="str">
        <f t="shared" si="15"/>
        <v/>
      </c>
      <c r="AO72" s="330" t="str">
        <f>IF(OR(E72="",E72&lt;$U$2),"",ProjActiveTargetMdEx(D72,W72,V72,ProjTargets_MD,ProjTargets_INC,ProjTargets_AZM,ProjTargets_TVD,F72,H72))</f>
        <v/>
      </c>
      <c r="AP72" s="207" t="str">
        <f>IF(OR(E72="",E72&lt;$U$2),"",ProjBitN(E72,F72,G72,AL72,D72,W72,X72))</f>
        <v/>
      </c>
      <c r="AQ72" s="207" t="str">
        <f>IF(OR(E72="",E72&lt;$U$2),"",ProjBitE(E72,F72,G72,AM72,D72,W72,X72))</f>
        <v/>
      </c>
      <c r="AR72" s="207" t="str">
        <f>IF(OR(E72="",E72&lt;$U$2,AO72=""),"",ProjBurr(D72,W72,X72,Q72,C72,ProjTargets_MD,ProjTargets_INC,ProjTargets_AZM,ProjTargets_TVD,V72))</f>
        <v/>
      </c>
      <c r="AS72" s="207" t="str">
        <f>IF(OR(E72="",E72&lt;$U$2,AO72=""),"",ProjMetersToSlide(D72,W72,X72,Q72,C72,ProjTargets_MD,ProjTargets_INC,ProjTargets_AZM,ProjTargets_TVD,V72))</f>
        <v/>
      </c>
      <c r="AT72" s="207" t="str">
        <f>IF(OR(E72="",E72&lt;$U$2,AO72=""),"",ProjRequiredTf(D72,W72,X72,ProjTargets_MD,ProjTargets_INC,ProjTargets_AZM,ProjTargets_TVD,5,V72))</f>
        <v/>
      </c>
    </row>
    <row r="73" spans="2:46" s="209" customFormat="1" ht="15" customHeight="1" x14ac:dyDescent="0.3">
      <c r="B73" s="208">
        <f t="shared" si="19"/>
        <v>17</v>
      </c>
      <c r="C73" s="335">
        <f t="shared" si="9"/>
        <v>28.839999999999691</v>
      </c>
      <c r="D73" s="27">
        <v>1808.4799999999996</v>
      </c>
      <c r="E73" s="336">
        <f t="shared" si="10"/>
        <v>1791.48</v>
      </c>
      <c r="F73" s="9">
        <v>0.23</v>
      </c>
      <c r="G73" s="9">
        <v>243.62</v>
      </c>
      <c r="H73" s="337">
        <f t="shared" si="3"/>
        <v>1791.2526292770092</v>
      </c>
      <c r="I73" s="337">
        <f t="shared" si="11"/>
        <v>1019.0026292770092</v>
      </c>
      <c r="J73" s="338">
        <f t="shared" si="12"/>
        <v>0.59903863630007959</v>
      </c>
      <c r="K73" s="339">
        <f t="shared" si="13"/>
        <v>-0.33287101248266399</v>
      </c>
      <c r="L73" s="339">
        <f t="shared" si="14"/>
        <v>-88.013176144244369</v>
      </c>
      <c r="M73" s="339">
        <f t="shared" si="4"/>
        <v>4</v>
      </c>
      <c r="N73" s="340">
        <f t="shared" si="5"/>
        <v>123.75724480561618</v>
      </c>
      <c r="O73" s="341" t="str">
        <f t="shared" si="6"/>
        <v>Mag</v>
      </c>
      <c r="P73" s="342">
        <f t="shared" si="7"/>
        <v>-8.0000000000000016E-2</v>
      </c>
      <c r="Q73" s="343">
        <f t="shared" si="8"/>
        <v>4.3190685677235274</v>
      </c>
      <c r="R73" s="10" t="str">
        <f t="shared" si="0"/>
        <v/>
      </c>
      <c r="S73" s="337" t="str">
        <f t="shared" si="1"/>
        <v/>
      </c>
      <c r="T73" s="9"/>
      <c r="U73" s="8"/>
      <c r="V73" s="202" t="str">
        <f>IF(OR(E73="",E73&lt;$U$2),"",ProjTvdAtBit(E73,F73,G73,H73,D73,W73,X73))</f>
        <v/>
      </c>
      <c r="W73" s="344" t="str">
        <f>IF(OR(E73="",E73&lt;$U$2),"",ProjIncAtBit(F73,J73,C73,M73,AJ73,IF(AK73="",0,AK73)))</f>
        <v/>
      </c>
      <c r="X73" s="455" t="str">
        <f>IF(OR(E73="",E73&lt;$U$2),"",ProjAzmAtBit(F73,G73,J73,C73,M73,AJ73,IF(AK73="",0,AK73)))</f>
        <v/>
      </c>
      <c r="Y73" s="461"/>
      <c r="Z73" s="206"/>
      <c r="AA73" s="512" t="str">
        <f t="shared" si="17"/>
        <v/>
      </c>
      <c r="AB73" s="520" t="str">
        <f t="shared" si="18"/>
        <v/>
      </c>
      <c r="AC73" s="510"/>
      <c r="AD73" s="515"/>
      <c r="AE73" s="516"/>
      <c r="AJ73" s="452">
        <f>IF(OR(E73="",D73=""),0,ProjSlideMetersBetween(E73,D73,$R$13:$R$305,$S$13:$S$305))</f>
        <v>0</v>
      </c>
      <c r="AK73" s="452" t="str">
        <f>IF(U73="","",ProjParseTF(U73))</f>
        <v/>
      </c>
      <c r="AL73" s="219">
        <f>IF(E73="","",ProjCumN(AL72,E72,F72,G72,E73,F73,G73,FALSE))</f>
        <v>3.9137924715095682</v>
      </c>
      <c r="AM73" s="331">
        <f>IF(E73="","",ProjCumE(AM72,E72,F72,G72,E73,F73,G73,FALSE))</f>
        <v>0.28835407806734614</v>
      </c>
      <c r="AN73" s="330" t="str">
        <f t="shared" si="15"/>
        <v/>
      </c>
      <c r="AO73" s="330" t="str">
        <f>IF(OR(E73="",E73&lt;$U$2),"",ProjActiveTargetMdEx(D73,W73,V73,ProjTargets_MD,ProjTargets_INC,ProjTargets_AZM,ProjTargets_TVD,F73,H73))</f>
        <v/>
      </c>
      <c r="AP73" s="207" t="str">
        <f>IF(OR(E73="",E73&lt;$U$2),"",ProjBitN(E73,F73,G73,AL73,D73,W73,X73))</f>
        <v/>
      </c>
      <c r="AQ73" s="207" t="str">
        <f>IF(OR(E73="",E73&lt;$U$2),"",ProjBitE(E73,F73,G73,AM73,D73,W73,X73))</f>
        <v/>
      </c>
      <c r="AR73" s="207" t="str">
        <f>IF(OR(E73="",E73&lt;$U$2,AO73=""),"",ProjBurr(D73,W73,X73,Q73,C73,ProjTargets_MD,ProjTargets_INC,ProjTargets_AZM,ProjTargets_TVD,V73))</f>
        <v/>
      </c>
      <c r="AS73" s="207" t="str">
        <f>IF(OR(E73="",E73&lt;$U$2,AO73=""),"",ProjMetersToSlide(D73,W73,X73,Q73,C73,ProjTargets_MD,ProjTargets_INC,ProjTargets_AZM,ProjTargets_TVD,V73))</f>
        <v/>
      </c>
      <c r="AT73" s="207" t="str">
        <f>IF(OR(E73="",E73&lt;$U$2,AO73=""),"",ProjRequiredTf(D73,W73,X73,ProjTargets_MD,ProjTargets_INC,ProjTargets_AZM,ProjTargets_TVD,5,V73))</f>
        <v/>
      </c>
    </row>
    <row r="74" spans="2:46" s="209" customFormat="1" ht="15" customHeight="1" x14ac:dyDescent="0.3">
      <c r="B74" s="208">
        <f t="shared" si="19"/>
        <v>17</v>
      </c>
      <c r="C74" s="335">
        <f t="shared" si="9"/>
        <v>28.759999999999764</v>
      </c>
      <c r="D74" s="27">
        <v>1837.2399999999993</v>
      </c>
      <c r="E74" s="336">
        <f t="shared" si="10"/>
        <v>1820.24</v>
      </c>
      <c r="F74" s="9">
        <v>0.33</v>
      </c>
      <c r="G74" s="9">
        <v>279.2</v>
      </c>
      <c r="H74" s="337">
        <f t="shared" si="3"/>
        <v>1820.0122858544505</v>
      </c>
      <c r="I74" s="337">
        <f t="shared" si="11"/>
        <v>1047.7622858544505</v>
      </c>
      <c r="J74" s="338">
        <f t="shared" si="12"/>
        <v>0.2042490037910695</v>
      </c>
      <c r="K74" s="339">
        <f t="shared" si="13"/>
        <v>0.10431154381084845</v>
      </c>
      <c r="L74" s="339">
        <f t="shared" si="14"/>
        <v>37.114047287899858</v>
      </c>
      <c r="M74" s="339" t="str">
        <f t="shared" si="4"/>
        <v/>
      </c>
      <c r="N74" s="340">
        <f t="shared" si="5"/>
        <v>59.289017627164313</v>
      </c>
      <c r="O74" s="341" t="str">
        <f t="shared" si="6"/>
        <v>Mag</v>
      </c>
      <c r="P74" s="342" t="str">
        <f t="shared" si="7"/>
        <v/>
      </c>
      <c r="Q74" s="343" t="str">
        <f t="shared" si="8"/>
        <v/>
      </c>
      <c r="R74" s="10">
        <f t="shared" si="0"/>
        <v>1837.2399999999993</v>
      </c>
      <c r="S74" s="337">
        <f t="shared" si="1"/>
        <v>1841.2399999999993</v>
      </c>
      <c r="T74" s="9">
        <v>4</v>
      </c>
      <c r="U74" s="8" t="s">
        <v>465</v>
      </c>
      <c r="V74" s="202" t="str">
        <f>IF(OR(E74="",E74&lt;$U$2),"",ProjTvdAtBit(E74,F74,G74,H74,D74,W74,X74))</f>
        <v/>
      </c>
      <c r="W74" s="344" t="str">
        <f>IF(OR(E74="",E74&lt;$U$2),"",ProjIncAtBit(F74,J74,C74,M74,AJ74,IF(AK74="",0,AK74)))</f>
        <v/>
      </c>
      <c r="X74" s="455" t="str">
        <f>IF(OR(E74="",E74&lt;$U$2),"",ProjAzmAtBit(F74,G74,J74,C74,M74,AJ74,IF(AK74="",0,AK74)))</f>
        <v/>
      </c>
      <c r="Y74" s="461"/>
      <c r="Z74" s="206"/>
      <c r="AA74" s="512" t="str">
        <f t="shared" si="17"/>
        <v/>
      </c>
      <c r="AB74" s="520" t="str">
        <f t="shared" si="18"/>
        <v/>
      </c>
      <c r="AC74" s="510"/>
      <c r="AD74" s="515"/>
      <c r="AE74" s="516"/>
      <c r="AJ74" s="452">
        <f>IF(OR(E74="",D74=""),0,ProjSlideMetersBetween(E74,D74,$R$13:$R$305,$S$13:$S$305))</f>
        <v>0</v>
      </c>
      <c r="AK74" s="452">
        <f>IF(U74="","",ProjParseTF(U74))</f>
        <v>180</v>
      </c>
      <c r="AL74" s="219">
        <f>IF(E74="","",ProjCumN(AL73,E73,F73,G73,E74,F74,G74,FALSE))</f>
        <v>3.9013857469618256</v>
      </c>
      <c r="AM74" s="331">
        <f>IF(E74="","",ProjCumE(AM73,E73,F73,G73,E74,F74,G74,FALSE))</f>
        <v>0.15488316083185791</v>
      </c>
      <c r="AN74" s="330" t="str">
        <f t="shared" si="15"/>
        <v/>
      </c>
      <c r="AO74" s="330" t="str">
        <f>IF(OR(E74="",E74&lt;$U$2),"",ProjActiveTargetMdEx(D74,W74,V74,ProjTargets_MD,ProjTargets_INC,ProjTargets_AZM,ProjTargets_TVD,F74,H74))</f>
        <v/>
      </c>
      <c r="AP74" s="207" t="str">
        <f>IF(OR(E74="",E74&lt;$U$2),"",ProjBitN(E74,F74,G74,AL74,D74,W74,X74))</f>
        <v/>
      </c>
      <c r="AQ74" s="207" t="str">
        <f>IF(OR(E74="",E74&lt;$U$2),"",ProjBitE(E74,F74,G74,AM74,D74,W74,X74))</f>
        <v/>
      </c>
      <c r="AR74" s="207" t="str">
        <f>IF(OR(E74="",E74&lt;$U$2,AO74=""),"",ProjBurr(D74,W74,X74,Q74,C74,ProjTargets_MD,ProjTargets_INC,ProjTargets_AZM,ProjTargets_TVD,V74))</f>
        <v/>
      </c>
      <c r="AS74" s="207" t="str">
        <f>IF(OR(E74="",E74&lt;$U$2,AO74=""),"",ProjMetersToSlide(D74,W74,X74,Q74,C74,ProjTargets_MD,ProjTargets_INC,ProjTargets_AZM,ProjTargets_TVD,V74))</f>
        <v/>
      </c>
      <c r="AT74" s="207" t="str">
        <f>IF(OR(E74="",E74&lt;$U$2,AO74=""),"",ProjRequiredTf(D74,W74,X74,ProjTargets_MD,ProjTargets_INC,ProjTargets_AZM,ProjTargets_TVD,5,V74))</f>
        <v/>
      </c>
    </row>
    <row r="75" spans="2:46" s="209" customFormat="1" ht="15" customHeight="1" x14ac:dyDescent="0.3">
      <c r="B75" s="208">
        <f t="shared" si="19"/>
        <v>17</v>
      </c>
      <c r="C75" s="335">
        <f t="shared" si="9"/>
        <v>28.849999999999909</v>
      </c>
      <c r="D75" s="27">
        <v>1866.0899999999992</v>
      </c>
      <c r="E75" s="336">
        <f t="shared" si="10"/>
        <v>1849.09</v>
      </c>
      <c r="F75" s="9">
        <v>0.7</v>
      </c>
      <c r="G75" s="9">
        <v>197.88</v>
      </c>
      <c r="H75" s="337">
        <f t="shared" si="3"/>
        <v>1848.8611204354586</v>
      </c>
      <c r="I75" s="337">
        <f t="shared" si="11"/>
        <v>1076.6111204354586</v>
      </c>
      <c r="J75" s="338">
        <f t="shared" si="12"/>
        <v>0.75643864988898279</v>
      </c>
      <c r="K75" s="339">
        <f t="shared" si="13"/>
        <v>0.38474870017331136</v>
      </c>
      <c r="L75" s="339">
        <f t="shared" si="14"/>
        <v>-84.561525129982925</v>
      </c>
      <c r="M75" s="339">
        <f t="shared" si="4"/>
        <v>4</v>
      </c>
      <c r="N75" s="340">
        <f t="shared" si="5"/>
        <v>59.427267035809457</v>
      </c>
      <c r="O75" s="341" t="str">
        <f t="shared" si="6"/>
        <v>Mag</v>
      </c>
      <c r="P75" s="342">
        <f t="shared" si="7"/>
        <v>9.2499999999999985E-2</v>
      </c>
      <c r="Q75" s="343">
        <f t="shared" si="8"/>
        <v>5.4558137623242713</v>
      </c>
      <c r="R75" s="10" t="str">
        <f t="shared" ref="R75:R138" si="20">IF(T75="", "", D75)</f>
        <v/>
      </c>
      <c r="S75" s="337" t="str">
        <f t="shared" ref="S75:S138" si="21">IF(T75="","",SUM(R75+T75))</f>
        <v/>
      </c>
      <c r="T75" s="9"/>
      <c r="U75" s="8"/>
      <c r="V75" s="202" t="str">
        <f>IF(OR(E75="",E75&lt;$U$2),"",ProjTvdAtBit(E75,F75,G75,H75,D75,W75,X75))</f>
        <v/>
      </c>
      <c r="W75" s="344" t="str">
        <f>IF(OR(E75="",E75&lt;$U$2),"",ProjIncAtBit(F75,J75,C75,M75,AJ75,IF(AK75="",0,AK75)))</f>
        <v/>
      </c>
      <c r="X75" s="455" t="str">
        <f>IF(OR(E75="",E75&lt;$U$2),"",ProjAzmAtBit(F75,G75,J75,C75,M75,AJ75,IF(AK75="",0,AK75)))</f>
        <v/>
      </c>
      <c r="Y75" s="461"/>
      <c r="Z75" s="206"/>
      <c r="AA75" s="512" t="str">
        <f t="shared" si="17"/>
        <v/>
      </c>
      <c r="AB75" s="520" t="str">
        <f t="shared" si="18"/>
        <v/>
      </c>
      <c r="AC75" s="510"/>
      <c r="AD75" s="515"/>
      <c r="AE75" s="516"/>
      <c r="AJ75" s="452">
        <f>IF(OR(E75="",D75=""),0,ProjSlideMetersBetween(E75,D75,$R$13:$R$305,$S$13:$S$305))</f>
        <v>0</v>
      </c>
      <c r="AK75" s="452" t="str">
        <f>IF(U75="","",ProjParseTF(U75))</f>
        <v/>
      </c>
      <c r="AL75" s="219">
        <f>IF(E75="","",ProjCumN(AL74,E74,F74,G74,E75,F75,G75,FALSE))</f>
        <v>3.746948249028546</v>
      </c>
      <c r="AM75" s="331">
        <f>IF(E75="","",ProjCumE(AM74,E74,F74,G74,E75,F75,G75,FALSE))</f>
        <v>1.8761507245223352E-2</v>
      </c>
      <c r="AN75" s="330" t="str">
        <f t="shared" si="15"/>
        <v/>
      </c>
      <c r="AO75" s="330" t="str">
        <f>IF(OR(E75="",E75&lt;$U$2),"",ProjActiveTargetMdEx(D75,W75,V75,ProjTargets_MD,ProjTargets_INC,ProjTargets_AZM,ProjTargets_TVD,F75,H75))</f>
        <v/>
      </c>
      <c r="AP75" s="207" t="str">
        <f>IF(OR(E75="",E75&lt;$U$2),"",ProjBitN(E75,F75,G75,AL75,D75,W75,X75))</f>
        <v/>
      </c>
      <c r="AQ75" s="207" t="str">
        <f>IF(OR(E75="",E75&lt;$U$2),"",ProjBitE(E75,F75,G75,AM75,D75,W75,X75))</f>
        <v/>
      </c>
      <c r="AR75" s="207" t="str">
        <f>IF(OR(E75="",E75&lt;$U$2,AO75=""),"",ProjBurr(D75,W75,X75,Q75,C75,ProjTargets_MD,ProjTargets_INC,ProjTargets_AZM,ProjTargets_TVD,V75))</f>
        <v/>
      </c>
      <c r="AS75" s="207" t="str">
        <f>IF(OR(E75="",E75&lt;$U$2,AO75=""),"",ProjMetersToSlide(D75,W75,X75,Q75,C75,ProjTargets_MD,ProjTargets_INC,ProjTargets_AZM,ProjTargets_TVD,V75))</f>
        <v/>
      </c>
      <c r="AT75" s="207" t="str">
        <f>IF(OR(E75="",E75&lt;$U$2,AO75=""),"",ProjRequiredTf(D75,W75,X75,ProjTargets_MD,ProjTargets_INC,ProjTargets_AZM,ProjTargets_TVD,5,V75))</f>
        <v/>
      </c>
    </row>
    <row r="76" spans="2:46" s="209" customFormat="1" ht="15" customHeight="1" x14ac:dyDescent="0.3">
      <c r="B76" s="208">
        <f t="shared" ref="B76:B139" si="22">IF(ISBLANK(D76),"",B75)</f>
        <v>17</v>
      </c>
      <c r="C76" s="335">
        <f t="shared" si="9"/>
        <v>28.710000000000036</v>
      </c>
      <c r="D76" s="27">
        <v>1894.7999999999993</v>
      </c>
      <c r="E76" s="336">
        <f t="shared" si="10"/>
        <v>1877.8</v>
      </c>
      <c r="F76" s="9">
        <v>0.36</v>
      </c>
      <c r="G76" s="9">
        <v>192.57</v>
      </c>
      <c r="H76" s="337">
        <f t="shared" ref="H76:H139" si="23">IF(ISNUMBER(F76),COS(((F76+F75)/2)*(PI()/180))*(E76-E75)+H75,"")</f>
        <v>1877.5698921294554</v>
      </c>
      <c r="I76" s="337">
        <f t="shared" si="11"/>
        <v>1105.3198921294554</v>
      </c>
      <c r="J76" s="338">
        <f t="shared" si="12"/>
        <v>0.35858504978661154</v>
      </c>
      <c r="K76" s="339">
        <f t="shared" si="13"/>
        <v>-0.35527690700104442</v>
      </c>
      <c r="L76" s="339">
        <f t="shared" si="14"/>
        <v>-5.5485893416927858</v>
      </c>
      <c r="M76" s="339" t="str">
        <f t="shared" ref="M76:M139" si="24">IF(T75="",IF(T74="",IF(T73="",IF(T72="","",IF(E76&lt;R72,"",IF(E76&lt;S72,IF(E75&lt;R72,SUM(E76-R72),IF(E75&lt;S72,IF(E75&lt;E76,SUM(E76-E75),""),"")),IF(E75&lt;R72,T72,IF(E75&lt;S72,SUM(S72-E75),""))))),IF(T72="",IF(E76&lt;R73,"",IF(E76&lt;S73,IF(E75&lt;R73,SUM(E76-R73),IF(E75&lt;S73,IF(E75&lt;E76,SUM(E76-E75),""),"")),IF(E75&lt;R73,T73,IF(E75&lt;S73,SUM(S73-E75),""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75&lt;R72,SUM(T72+T73),IF(E75&lt;S72,SUM(S72-E75+T73),IF(E75&lt;R73,T73,IF(E75&lt;S73,SUM(S73-E75),"")))))))))),IF(T73="",IF(T72="",IF(E76&lt;R74,"",IF(E76&lt;S74,IF(E75&lt;R74,SUM(E76-R74),IF(E75&lt;S74,IF(E75&lt;E76,SUM(E76-E75),""),"")),IF(E75&lt;R74,T74,IF(E75&lt;S74,SUM(S74-E75),""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75&lt;R72,SUM(T72+T74),IF(E75&lt;S72,SUM(S72-E75+T74),IF(E75&lt;R74,T74,IF(E75&lt;S74,SUM(S74-E75),""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75&lt;R73,SUM(T73+T74),IF(E75&lt;S73,SUM(S73-E75+T74),IF(E75&lt;R74,T74,IF(E75&lt;S74,SUM(S74-E75),""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75&lt;R72,SUM(T72+T73+T74),IF(E75&lt;S72,SUM(S72-E75+T73+T74),IF(E75&lt;R73,SUM(T73+T74),IF(E75&lt;S73,SUM(S73-E75+T74),IF(E75&lt;R74,T74,IF(E75&lt;S74,SUM(S74-E75),""))))))))))))))),IF(T74="",IF(T73="",IF(T72="",IF(E76&lt;R75,"",IF(E76&lt;S75,SUM(E76-R75),T75)),IF(E76&lt;R72,"",IF(E76&lt;S72,IF(E75&lt;R72,SUM(E76-R72),IF(E75&lt;S72,IF(E75&lt;E76,SUM(E76-E75),""),"")),IF(E76&lt;R75,IF(E75&lt;R72,T72,IF(E75&lt;S72,SUM(S72-E75),"")),IF(E76&lt;S75,IF(E75&lt;R72,SUM(T72+E76-R75),IF(E75&lt;S72,SUM(S72-E75+E76-R75),SUM(E76-R75))),IF(E75&lt;R72,SUM(T72+T75),IF(E75&lt;S72,SUM(S72-E75+T75),T75))))))),IF(T72="",IF(E76&lt;R73,"",IF(E76&lt;S73,IF(E75&lt;R73,SUM(E76-R73),IF(E75&lt;S73,IF(E75&lt;E76,SUM(E76-E75),""),"")),IF(E76&lt;R75,IF(E75&lt;R73,T73,IF(E75&lt;S73,SUM(S73-E75),"")),IF(E76&lt;S75,IF(E75&lt;R73,SUM(T73+E76-R75),IF(E75&lt;S73,SUM(S73-E75+E76-R75),SUM(E76-R75))),IF(E75&lt;R73,SUM(T73+T75),IF(E75&lt;S73,SUM(S73-E75+T75),T75)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75,IF(E75&lt;R72,SUM(T72+T73),IF(E75&lt;S72,SUM(S72-E75+T73),IF(E75&lt;R73,T73,IF(E75&lt;S73,SUM(S73-E75),"")))),IF(E76&lt;S75,IF(E75&lt;R72,SUM(T72+T73+E76-R75),IF(E75&lt;S72,SUM(S72-E75+T73+E76-R75),IF(E75&lt;R73,SUM(T73+E76-R75),IF(E75&lt;S73,SUM(S73-E75+E76-R75),SUM(E76-R75))))),IF(E75&lt;R72,SUM(T72+T73+T75),IF(E75&lt;S72,SUM(S72-E75+T73+T75),IF(E75&lt;R73,SUM(T73+T75),IF(E75&lt;S73,SUM(S73-E75+T75),T75)))))))))))),IF(T73="",IF(T72="",IF(E76&lt;R74,"",IF(E76&lt;S74,IF(E75&lt;R74,SUM(E76-R74),IF(E75&lt;S74,IF(E75&lt;E76,SUM(E76-E75),""),"")),IF(E76&lt;R75,IF(E75&lt;R74,T74,IF(E75&lt;S74,SUM(S74-E75),"")),IF(E76&lt;S75,IF(E75&lt;R74,SUM(T74+E76-R75),IF(E75&lt;S74,SUM(S74-E75+E76-R75),SUM(E76-R75))),IF(E75&lt;R74,SUM(T74+T75),IF(E75&lt;S74,SUM(S74-E75+T75),T75))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76&lt;R75,IF(E75&lt;R72,SUM(T72+T74),IF(E75&lt;S72,SUM(S72-E75+T74),IF(E75&lt;R74,T74,IF(E75&lt;S74,SUM(S74-E75),"")))),IF(E76&lt;S75,IF(E75&lt;R72,SUM(T72+T74+E76-R75),IF(E75&lt;S72,SUM(S72-E75+T74+E76-R75),IF(E75&lt;R74,SUM(T74+E76-R75),IF(E75&lt;S74,SUM(S74-E75+E76-R75),SUM(E76-R75))))),IF(E75&lt;R72,SUM(T72+T74+T75),IF(E75&lt;S72,SUM(S72-E75+T74+T75),IF(E75&lt;R74,SUM(T74+T75),IF(E75&lt;S74,SUM(S74-E75+T75),T75))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76&lt;R75,IF(E75&lt;R73,SUM(T73+T74),IF(E75&lt;S73,SUM(S73-E75+T74),IF(E75&lt;R74,T74,IF(E75&lt;S74,SUM(S74-E75),"")))),IF(E76&lt;S75,IF(E75&lt;R73,SUM(T73+T74+E76-R75),IF(E75&lt;S73,SUM(S73-E75+T74+E76-R75),IF(E75&lt;R74,SUM(T74+E76-R75),IF(E75&lt;S74,SUM(S74-E75+E76-R75),SUM(E76-R75))))),IF(E75&lt;R73,SUM(T73+T74+T75),IF(E75&lt;S73,SUM(S73-E75+T74+T75),IF(E75&lt;R74,SUM(T74+T75),IF(E75&lt;S74,SUM(S74-E75+T75),T75))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76&lt;R75,IF(E75&lt;R72,SUM(T72+T73+T74),IF(E75&lt;S72,SUM(S72-E75+T73+T74),IF(E75&lt;R73,SUM(T73+T74),IF(E75&lt;S73,SUM(S73-E75+T74),IF(E75&lt;R74,T74,IF(E75&lt;S74,SUM(S74-E75),"")))))),IF(E76&lt;S75,IF(E75&lt;R72,SUM(T72+T73+T74+E76-R75),IF(E75&lt;S72,SUM(S72-E75+T73+T74+E76-R75),IF(E75&lt;R73,SUM(T73+T74+E76-R75),IF(E75&lt;S73,SUM(S73-E75+T74+E76-R75),IF(E75&lt;R74,SUM(T74+E76-R75),IF(E75&lt;S74,SUM(S74-E75+E76-R75),SUM(E76-R75))))))),IF(E75&lt;R72,SUM(T72+T73+T74+T75),IF(E75&lt;S72,SUM(S72-E75+T73+T74+T75),IF(E75&lt;R73,SUM(T73+T74+T75),IF(E75&lt;S73,SUM(S73-E75+T74+T75),IF(E75&lt;R74,SUM(T74+T75),IF(E75&lt;S74,SUM(S74-E75+T75),T75))))))))))))))))))</f>
        <v/>
      </c>
      <c r="N76" s="340">
        <f t="shared" ref="N76:N139" si="25">IF(J76=0,"",IF(AND(ISNUMBER(F76),ISNUMBER(J76)),(IF(AND(F76&gt;F75,G76=G75),0,IF(AND(F76&lt;F75,G76=G75),180,IF(AND(G75=0,G76&gt;0),G76,ACOS((C76*K76/30)/(C76*J76/30))*180/PI())))),""))</f>
        <v>172.21124373305793</v>
      </c>
      <c r="O76" s="341" t="str">
        <f t="shared" ref="O76:O139" si="26">IF(F76="","",IF(N76="","",IF(F76&lt;5,"Mag",IF(L76&lt;0,"L",IF(N76=0,"HS",IF(N76=360,"HS",IF(N76=180,"LS","R")))))))</f>
        <v>Mag</v>
      </c>
      <c r="P76" s="342" t="str">
        <f t="shared" ref="P76:P139" si="27">IF(F76="","",IF(M76="","",SUM((F76-F75)/M76)))</f>
        <v/>
      </c>
      <c r="Q76" s="343" t="str">
        <f t="shared" ref="Q76:Q139" si="28">IF(ISBLANK(F76),"",IF(J76="", "", IF(M76="","",SUM(C76*J76/M76))))</f>
        <v/>
      </c>
      <c r="R76" s="10" t="str">
        <f t="shared" si="20"/>
        <v/>
      </c>
      <c r="S76" s="337" t="str">
        <f t="shared" si="21"/>
        <v/>
      </c>
      <c r="T76" s="9"/>
      <c r="U76" s="8"/>
      <c r="V76" s="202" t="str">
        <f>IF(OR(E76="",E76&lt;$U$2),"",ProjTvdAtBit(E76,F76,G76,H76,D76,W76,X76))</f>
        <v/>
      </c>
      <c r="W76" s="344" t="str">
        <f>IF(OR(E76="",E76&lt;$U$2),"",ProjIncAtBit(F76,J76,C76,M76,AJ76,IF(AK76="",0,AK76)))</f>
        <v/>
      </c>
      <c r="X76" s="455" t="str">
        <f>IF(OR(E76="",E76&lt;$U$2),"",ProjAzmAtBit(F76,G76,J76,C76,M76,AJ76,IF(AK76="",0,AK76)))</f>
        <v/>
      </c>
      <c r="Y76" s="461"/>
      <c r="Z76" s="206"/>
      <c r="AA76" s="512" t="str">
        <f t="shared" si="17"/>
        <v/>
      </c>
      <c r="AB76" s="520" t="str">
        <f t="shared" si="18"/>
        <v/>
      </c>
      <c r="AC76" s="510"/>
      <c r="AD76" s="515"/>
      <c r="AE76" s="516"/>
      <c r="AJ76" s="452">
        <f>IF(OR(E76="",D76=""),0,ProjSlideMetersBetween(E76,D76,$R$13:$R$305,$S$13:$S$305))</f>
        <v>0</v>
      </c>
      <c r="AK76" s="452" t="str">
        <f>IF(U76="","",ProjParseTF(U76))</f>
        <v/>
      </c>
      <c r="AL76" s="219">
        <f>IF(E76="","",ProjCumN(AL75,E75,F75,G75,E76,F76,G76,FALSE))</f>
        <v>3.4920101230470917</v>
      </c>
      <c r="AM76" s="331">
        <f>IF(E76="","",ProjCumE(AM75,E75,F75,G75,E76,F76,G76,FALSE))</f>
        <v>-5.4712372622548758E-2</v>
      </c>
      <c r="AN76" s="330" t="str">
        <f t="shared" si="15"/>
        <v/>
      </c>
      <c r="AO76" s="330" t="str">
        <f>IF(OR(E76="",E76&lt;$U$2),"",ProjActiveTargetMdEx(D76,W76,V76,ProjTargets_MD,ProjTargets_INC,ProjTargets_AZM,ProjTargets_TVD,F76,H76))</f>
        <v/>
      </c>
      <c r="AP76" s="207" t="str">
        <f>IF(OR(E76="",E76&lt;$U$2),"",ProjBitN(E76,F76,G76,AL76,D76,W76,X76))</f>
        <v/>
      </c>
      <c r="AQ76" s="207" t="str">
        <f>IF(OR(E76="",E76&lt;$U$2),"",ProjBitE(E76,F76,G76,AM76,D76,W76,X76))</f>
        <v/>
      </c>
      <c r="AR76" s="207" t="str">
        <f>IF(OR(E76="",E76&lt;$U$2,AO76=""),"",ProjBurr(D76,W76,X76,Q76,C76,ProjTargets_MD,ProjTargets_INC,ProjTargets_AZM,ProjTargets_TVD,V76))</f>
        <v/>
      </c>
      <c r="AS76" s="207" t="str">
        <f>IF(OR(E76="",E76&lt;$U$2,AO76=""),"",ProjMetersToSlide(D76,W76,X76,Q76,C76,ProjTargets_MD,ProjTargets_INC,ProjTargets_AZM,ProjTargets_TVD,V76))</f>
        <v/>
      </c>
      <c r="AT76" s="207" t="str">
        <f>IF(OR(E76="",E76&lt;$U$2,AO76=""),"",ProjRequiredTf(D76,W76,X76,ProjTargets_MD,ProjTargets_INC,ProjTargets_AZM,ProjTargets_TVD,5,V76))</f>
        <v/>
      </c>
    </row>
    <row r="77" spans="2:46" s="209" customFormat="1" ht="15" customHeight="1" x14ac:dyDescent="0.3">
      <c r="B77" s="208">
        <f t="shared" si="22"/>
        <v>17</v>
      </c>
      <c r="C77" s="335">
        <f t="shared" ref="C77:C140" si="29">IF(ISBLANK(D77),"",D77-D76)</f>
        <v>28.709999999999582</v>
      </c>
      <c r="D77" s="27">
        <v>1923.5099999999989</v>
      </c>
      <c r="E77" s="336">
        <f t="shared" ref="E77:E140" si="30">IF(D77="","",(ROUND(SUM(D77-B77),2)))</f>
        <v>1906.51</v>
      </c>
      <c r="F77" s="9">
        <v>0.18</v>
      </c>
      <c r="G77" s="9">
        <v>188.78</v>
      </c>
      <c r="H77" s="337">
        <f t="shared" si="23"/>
        <v>1906.2795733541602</v>
      </c>
      <c r="I77" s="337">
        <f t="shared" si="11"/>
        <v>1134.0295733541602</v>
      </c>
      <c r="J77" s="338">
        <f t="shared" ref="J77:J140" si="31">IF(AND(ISNUMBER(E77),ISNUMBER(F77),ISNUMBER(G77)),ACOS(SIN(F76*PI()/180)*SIN(F77*PI()/180)*COS((G77*PI()/180)-(G76*PI()/180))+COS(F76*PI()/180)*COS(F77*PI()/180))*30/(E77-E76)*180/PI(),"")</f>
        <v>0.18890866590940766</v>
      </c>
      <c r="K77" s="339">
        <f t="shared" ref="K77:K140" si="32">IF(F77=0," ",SUM(F77-F76)/SUM(E77-E76)*30)</f>
        <v>-0.18808777429467061</v>
      </c>
      <c r="L77" s="339">
        <f t="shared" ref="L77:L140" si="33">IF(J77="","",IF(G76&lt;180,IF(AND(G77&gt;G76,G77&lt;SUM(G76+180)),SUM(((G77-G76)/SUM(E77-E76)*30)),IF(G77&lt;G76,SUM(((G77-G76)/SUM(E77-E76)*30)),SUM(((G76+(360-G77))*(-1))/SUM(E77-E76)*30))),IF(G77&gt;G76,SUM(((G77-G76)/SUM(E77-E76)*30)),IF(G77&gt;SUM(G76-180),SUM(((G77-G76)/SUM(E77-E76)*30)),SUM(((360-G76+G77)/SUM(E77-E76)*30))))))</f>
        <v>-3.9602925809822227</v>
      </c>
      <c r="M77" s="339" t="str">
        <f t="shared" si="24"/>
        <v/>
      </c>
      <c r="N77" s="340">
        <f t="shared" si="25"/>
        <v>174.65667006180678</v>
      </c>
      <c r="O77" s="341" t="str">
        <f t="shared" si="26"/>
        <v>Mag</v>
      </c>
      <c r="P77" s="342" t="str">
        <f t="shared" si="27"/>
        <v/>
      </c>
      <c r="Q77" s="343" t="str">
        <f t="shared" si="28"/>
        <v/>
      </c>
      <c r="R77" s="10" t="str">
        <f t="shared" si="20"/>
        <v/>
      </c>
      <c r="S77" s="337" t="str">
        <f t="shared" si="21"/>
        <v/>
      </c>
      <c r="T77" s="9"/>
      <c r="U77" s="8"/>
      <c r="V77" s="202" t="str">
        <f>IF(OR(E77="",E77&lt;$U$2),"",ProjTvdAtBit(E77,F77,G77,H77,D77,W77,X77))</f>
        <v/>
      </c>
      <c r="W77" s="344" t="str">
        <f>IF(OR(E77="",E77&lt;$U$2),"",ProjIncAtBit(F77,J77,C77,M77,AJ77,IF(AK77="",0,AK77)))</f>
        <v/>
      </c>
      <c r="X77" s="455" t="str">
        <f>IF(OR(E77="",E77&lt;$U$2),"",ProjAzmAtBit(F77,G77,J77,C77,M77,AJ77,IF(AK77="",0,AK77)))</f>
        <v/>
      </c>
      <c r="Y77" s="461"/>
      <c r="Z77" s="206"/>
      <c r="AA77" s="512" t="str">
        <f t="shared" si="17"/>
        <v/>
      </c>
      <c r="AB77" s="520" t="str">
        <f t="shared" si="18"/>
        <v/>
      </c>
      <c r="AC77" s="510"/>
      <c r="AD77" s="515"/>
      <c r="AE77" s="516"/>
      <c r="AJ77" s="452">
        <f>IF(OR(E77="",D77=""),0,ProjSlideMetersBetween(E77,D77,$R$13:$R$305,$S$13:$S$305))</f>
        <v>0</v>
      </c>
      <c r="AK77" s="452" t="str">
        <f>IF(U77="","",ProjParseTF(U77))</f>
        <v/>
      </c>
      <c r="AL77" s="219">
        <f>IF(E77="","",ProjCumN(AL76,E76,F76,G76,E77,F77,G77,FALSE))</f>
        <v>3.3594083443569112</v>
      </c>
      <c r="AM77" s="331">
        <f>IF(E77="","",ProjCumE(AM76,E76,F76,G76,E77,F77,G77,FALSE))</f>
        <v>-8.1225350878666003E-2</v>
      </c>
      <c r="AN77" s="330" t="str">
        <f t="shared" si="15"/>
        <v/>
      </c>
      <c r="AO77" s="330" t="str">
        <f>IF(OR(E77="",E77&lt;$U$2),"",ProjActiveTargetMdEx(D77,W77,V77,ProjTargets_MD,ProjTargets_INC,ProjTargets_AZM,ProjTargets_TVD,F77,H77))</f>
        <v/>
      </c>
      <c r="AP77" s="207" t="str">
        <f>IF(OR(E77="",E77&lt;$U$2),"",ProjBitN(E77,F77,G77,AL77,D77,W77,X77))</f>
        <v/>
      </c>
      <c r="AQ77" s="207" t="str">
        <f>IF(OR(E77="",E77&lt;$U$2),"",ProjBitE(E77,F77,G77,AM77,D77,W77,X77))</f>
        <v/>
      </c>
      <c r="AR77" s="207" t="str">
        <f>IF(OR(E77="",E77&lt;$U$2,AO77=""),"",ProjBurr(D77,W77,X77,Q77,C77,ProjTargets_MD,ProjTargets_INC,ProjTargets_AZM,ProjTargets_TVD,V77))</f>
        <v/>
      </c>
      <c r="AS77" s="207" t="str">
        <f>IF(OR(E77="",E77&lt;$U$2,AO77=""),"",ProjMetersToSlide(D77,W77,X77,Q77,C77,ProjTargets_MD,ProjTargets_INC,ProjTargets_AZM,ProjTargets_TVD,V77))</f>
        <v/>
      </c>
      <c r="AT77" s="207" t="str">
        <f>IF(OR(E77="",E77&lt;$U$2,AO77=""),"",ProjRequiredTf(D77,W77,X77,ProjTargets_MD,ProjTargets_INC,ProjTargets_AZM,ProjTargets_TVD,5,V77))</f>
        <v/>
      </c>
    </row>
    <row r="78" spans="2:46" s="209" customFormat="1" ht="15" customHeight="1" x14ac:dyDescent="0.3">
      <c r="B78" s="208">
        <f t="shared" si="22"/>
        <v>17</v>
      </c>
      <c r="C78" s="335">
        <f t="shared" si="29"/>
        <v>28.799999999999727</v>
      </c>
      <c r="D78" s="27">
        <v>1952.3099999999986</v>
      </c>
      <c r="E78" s="336">
        <f t="shared" si="30"/>
        <v>1935.31</v>
      </c>
      <c r="F78" s="9">
        <v>0.11</v>
      </c>
      <c r="G78" s="9">
        <v>355.14</v>
      </c>
      <c r="H78" s="337">
        <f t="shared" si="23"/>
        <v>1935.0794811282394</v>
      </c>
      <c r="I78" s="337">
        <f t="shared" ref="I78:I141" si="34">IF(ISBLANK(F78),"  ",H78-$R$4)</f>
        <v>1162.8294811282394</v>
      </c>
      <c r="J78" s="338">
        <f t="shared" si="31"/>
        <v>0.30007078029191414</v>
      </c>
      <c r="K78" s="339">
        <f t="shared" si="32"/>
        <v>-7.2916666666666768E-2</v>
      </c>
      <c r="L78" s="339">
        <f t="shared" si="33"/>
        <v>173.29166666666691</v>
      </c>
      <c r="M78" s="339" t="str">
        <f t="shared" si="24"/>
        <v/>
      </c>
      <c r="N78" s="340">
        <f t="shared" si="25"/>
        <v>104.06356578983819</v>
      </c>
      <c r="O78" s="341" t="str">
        <f t="shared" si="26"/>
        <v>Mag</v>
      </c>
      <c r="P78" s="342" t="str">
        <f t="shared" si="27"/>
        <v/>
      </c>
      <c r="Q78" s="343" t="str">
        <f t="shared" si="28"/>
        <v/>
      </c>
      <c r="R78" s="10" t="str">
        <f t="shared" si="20"/>
        <v/>
      </c>
      <c r="S78" s="337" t="str">
        <f t="shared" si="21"/>
        <v/>
      </c>
      <c r="T78" s="9"/>
      <c r="U78" s="8"/>
      <c r="V78" s="202" t="str">
        <f>IF(OR(E78="",E78&lt;$U$2),"",ProjTvdAtBit(E78,F78,G78,H78,D78,W78,X78))</f>
        <v/>
      </c>
      <c r="W78" s="344" t="str">
        <f>IF(OR(E78="",E78&lt;$U$2),"",ProjIncAtBit(F78,J78,C78,M78,AJ78,IF(AK78="",0,AK78)))</f>
        <v/>
      </c>
      <c r="X78" s="455" t="str">
        <f>IF(OR(E78="",E78&lt;$U$2),"",ProjAzmAtBit(F78,G78,J78,C78,M78,AJ78,IF(AK78="",0,AK78)))</f>
        <v/>
      </c>
      <c r="Y78" s="461"/>
      <c r="Z78" s="206"/>
      <c r="AA78" s="512" t="str">
        <f t="shared" si="17"/>
        <v/>
      </c>
      <c r="AB78" s="520" t="str">
        <f t="shared" si="18"/>
        <v/>
      </c>
      <c r="AC78" s="510"/>
      <c r="AD78" s="515"/>
      <c r="AE78" s="516"/>
      <c r="AJ78" s="452">
        <f>IF(OR(E78="",D78=""),0,ProjSlideMetersBetween(E78,D78,$R$13:$R$305,$S$13:$S$305))</f>
        <v>0</v>
      </c>
      <c r="AK78" s="452" t="str">
        <f>IF(U78="","",ProjParseTF(U78))</f>
        <v/>
      </c>
      <c r="AL78" s="219">
        <f>IF(E78="","",ProjCumN(AL77,E77,F77,G77,E78,F78,G78,FALSE))</f>
        <v>3.342246172194987</v>
      </c>
      <c r="AM78" s="331">
        <f>IF(E78="","",ProjCumE(AM77,E77,F77,G77,E78,F78,G78,FALSE))</f>
        <v>-9.0472874818148613E-2</v>
      </c>
      <c r="AN78" s="330" t="str">
        <f t="shared" ref="AN78:AN141" si="35">IF(X78="","",X78)</f>
        <v/>
      </c>
      <c r="AO78" s="330" t="str">
        <f>IF(OR(E78="",E78&lt;$U$2),"",ProjActiveTargetMdEx(D78,W78,V78,ProjTargets_MD,ProjTargets_INC,ProjTargets_AZM,ProjTargets_TVD,F78,H78))</f>
        <v/>
      </c>
      <c r="AP78" s="207" t="str">
        <f>IF(OR(E78="",E78&lt;$U$2),"",ProjBitN(E78,F78,G78,AL78,D78,W78,X78))</f>
        <v/>
      </c>
      <c r="AQ78" s="207" t="str">
        <f>IF(OR(E78="",E78&lt;$U$2),"",ProjBitE(E78,F78,G78,AM78,D78,W78,X78))</f>
        <v/>
      </c>
      <c r="AR78" s="207" t="str">
        <f>IF(OR(E78="",E78&lt;$U$2,AO78=""),"",ProjBurr(D78,W78,X78,Q78,C78,ProjTargets_MD,ProjTargets_INC,ProjTargets_AZM,ProjTargets_TVD,V78))</f>
        <v/>
      </c>
      <c r="AS78" s="207" t="str">
        <f>IF(OR(E78="",E78&lt;$U$2,AO78=""),"",ProjMetersToSlide(D78,W78,X78,Q78,C78,ProjTargets_MD,ProjTargets_INC,ProjTargets_AZM,ProjTargets_TVD,V78))</f>
        <v/>
      </c>
      <c r="AT78" s="207" t="str">
        <f>IF(OR(E78="",E78&lt;$U$2,AO78=""),"",ProjRequiredTf(D78,W78,X78,ProjTargets_MD,ProjTargets_INC,ProjTargets_AZM,ProjTargets_TVD,5,V78))</f>
        <v/>
      </c>
    </row>
    <row r="79" spans="2:46" s="209" customFormat="1" ht="15" customHeight="1" x14ac:dyDescent="0.3">
      <c r="B79" s="208">
        <f t="shared" si="22"/>
        <v>17</v>
      </c>
      <c r="C79" s="335">
        <f t="shared" si="29"/>
        <v>28.7800000000002</v>
      </c>
      <c r="D79" s="27">
        <v>1981.0899999999988</v>
      </c>
      <c r="E79" s="336">
        <f t="shared" si="30"/>
        <v>1964.09</v>
      </c>
      <c r="F79" s="9">
        <v>0.18</v>
      </c>
      <c r="G79" s="9">
        <v>345.37</v>
      </c>
      <c r="H79" s="337">
        <f t="shared" si="23"/>
        <v>1963.8593889663643</v>
      </c>
      <c r="I79" s="337">
        <f t="shared" si="34"/>
        <v>1191.6093889663643</v>
      </c>
      <c r="J79" s="338">
        <f t="shared" si="31"/>
        <v>7.7125082758825791E-2</v>
      </c>
      <c r="K79" s="339">
        <f t="shared" si="32"/>
        <v>7.2967338429464956E-2</v>
      </c>
      <c r="L79" s="339">
        <f t="shared" si="33"/>
        <v>-10.184155663655307</v>
      </c>
      <c r="M79" s="339" t="str">
        <f t="shared" si="24"/>
        <v/>
      </c>
      <c r="N79" s="340">
        <f t="shared" si="25"/>
        <v>18.899021047793816</v>
      </c>
      <c r="O79" s="341" t="str">
        <f t="shared" si="26"/>
        <v>Mag</v>
      </c>
      <c r="P79" s="342" t="str">
        <f t="shared" si="27"/>
        <v/>
      </c>
      <c r="Q79" s="343" t="str">
        <f t="shared" si="28"/>
        <v/>
      </c>
      <c r="R79" s="10" t="str">
        <f t="shared" si="20"/>
        <v/>
      </c>
      <c r="S79" s="337" t="str">
        <f t="shared" si="21"/>
        <v/>
      </c>
      <c r="T79" s="9"/>
      <c r="U79" s="8"/>
      <c r="V79" s="202" t="str">
        <f>IF(OR(E79="",E79&lt;$U$2),"",ProjTvdAtBit(E79,F79,G79,H79,D79,W79,X79))</f>
        <v/>
      </c>
      <c r="W79" s="344" t="str">
        <f>IF(OR(E79="",E79&lt;$U$2),"",ProjIncAtBit(F79,J79,C79,M79,AJ79,IF(AK79="",0,AK79)))</f>
        <v/>
      </c>
      <c r="X79" s="455" t="str">
        <f>IF(OR(E79="",E79&lt;$U$2),"",ProjAzmAtBit(F79,G79,J79,C79,M79,AJ79,IF(AK79="",0,AK79)))</f>
        <v/>
      </c>
      <c r="Y79" s="461"/>
      <c r="Z79" s="206"/>
      <c r="AA79" s="512" t="str">
        <f t="shared" si="17"/>
        <v/>
      </c>
      <c r="AB79" s="520" t="str">
        <f t="shared" si="18"/>
        <v/>
      </c>
      <c r="AC79" s="510"/>
      <c r="AD79" s="515"/>
      <c r="AE79" s="516"/>
      <c r="AJ79" s="452">
        <f>IF(OR(E79="",D79=""),0,ProjSlideMetersBetween(E79,D79,$R$13:$R$305,$S$13:$S$305))</f>
        <v>0</v>
      </c>
      <c r="AK79" s="452" t="str">
        <f>IF(U79="","",ProjParseTF(U79))</f>
        <v/>
      </c>
      <c r="AL79" s="219">
        <f>IF(E79="","",ProjCumN(AL78,E78,F78,G78,E79,F79,G79,FALSE))</f>
        <v>3.4135153402646234</v>
      </c>
      <c r="AM79" s="331">
        <f>IF(E79="","",ProjCumE(AM78,E78,F78,G78,E79,F79,G79,FALSE))</f>
        <v>-0.10423177176649875</v>
      </c>
      <c r="AN79" s="330" t="str">
        <f t="shared" si="35"/>
        <v/>
      </c>
      <c r="AO79" s="330" t="str">
        <f>IF(OR(E79="",E79&lt;$U$2),"",ProjActiveTargetMdEx(D79,W79,V79,ProjTargets_MD,ProjTargets_INC,ProjTargets_AZM,ProjTargets_TVD,F79,H79))</f>
        <v/>
      </c>
      <c r="AP79" s="207" t="str">
        <f>IF(OR(E79="",E79&lt;$U$2),"",ProjBitN(E79,F79,G79,AL79,D79,W79,X79))</f>
        <v/>
      </c>
      <c r="AQ79" s="207" t="str">
        <f>IF(OR(E79="",E79&lt;$U$2),"",ProjBitE(E79,F79,G79,AM79,D79,W79,X79))</f>
        <v/>
      </c>
      <c r="AR79" s="207" t="str">
        <f>IF(OR(E79="",E79&lt;$U$2,AO79=""),"",ProjBurr(D79,W79,X79,Q79,C79,ProjTargets_MD,ProjTargets_INC,ProjTargets_AZM,ProjTargets_TVD,V79))</f>
        <v/>
      </c>
      <c r="AS79" s="207" t="str">
        <f>IF(OR(E79="",E79&lt;$U$2,AO79=""),"",ProjMetersToSlide(D79,W79,X79,Q79,C79,ProjTargets_MD,ProjTargets_INC,ProjTargets_AZM,ProjTargets_TVD,V79))</f>
        <v/>
      </c>
      <c r="AT79" s="207" t="str">
        <f>IF(OR(E79="",E79&lt;$U$2,AO79=""),"",ProjRequiredTf(D79,W79,X79,ProjTargets_MD,ProjTargets_INC,ProjTargets_AZM,ProjTargets_TVD,5,V79))</f>
        <v/>
      </c>
    </row>
    <row r="80" spans="2:46" s="209" customFormat="1" ht="15" customHeight="1" x14ac:dyDescent="0.3">
      <c r="B80" s="208">
        <f t="shared" si="22"/>
        <v>17</v>
      </c>
      <c r="C80" s="335">
        <f t="shared" si="29"/>
        <v>28.779999999999745</v>
      </c>
      <c r="D80" s="27">
        <v>2009.8699999999985</v>
      </c>
      <c r="E80" s="336">
        <f t="shared" si="30"/>
        <v>1992.87</v>
      </c>
      <c r="F80" s="9">
        <v>7.0000000000000007E-2</v>
      </c>
      <c r="G80" s="9">
        <v>349.59</v>
      </c>
      <c r="H80" s="337">
        <f t="shared" si="23"/>
        <v>1992.6393204750684</v>
      </c>
      <c r="I80" s="337">
        <f t="shared" si="34"/>
        <v>1220.3893204750684</v>
      </c>
      <c r="J80" s="338">
        <f t="shared" si="31"/>
        <v>0.11498621841781313</v>
      </c>
      <c r="K80" s="339">
        <f t="shared" si="32"/>
        <v>-0.11466296038915924</v>
      </c>
      <c r="L80" s="339">
        <f t="shared" si="33"/>
        <v>4.398888116747715</v>
      </c>
      <c r="M80" s="339" t="str">
        <f t="shared" si="24"/>
        <v/>
      </c>
      <c r="N80" s="340">
        <f t="shared" si="25"/>
        <v>175.70274435721959</v>
      </c>
      <c r="O80" s="341" t="str">
        <f t="shared" si="26"/>
        <v>Mag</v>
      </c>
      <c r="P80" s="342" t="str">
        <f t="shared" si="27"/>
        <v/>
      </c>
      <c r="Q80" s="343" t="str">
        <f t="shared" si="28"/>
        <v/>
      </c>
      <c r="R80" s="10" t="str">
        <f t="shared" si="20"/>
        <v/>
      </c>
      <c r="S80" s="337" t="str">
        <f t="shared" si="21"/>
        <v/>
      </c>
      <c r="T80" s="9"/>
      <c r="U80" s="8"/>
      <c r="V80" s="202" t="str">
        <f>IF(OR(E80="",E80&lt;$U$2),"",ProjTvdAtBit(E80,F80,G80,H80,D80,W80,X80))</f>
        <v/>
      </c>
      <c r="W80" s="344" t="str">
        <f>IF(OR(E80="",E80&lt;$U$2),"",ProjIncAtBit(F80,J80,C80,M80,AJ80,IF(AK80="",0,AK80)))</f>
        <v/>
      </c>
      <c r="X80" s="455" t="str">
        <f>IF(OR(E80="",E80&lt;$U$2),"",ProjAzmAtBit(F80,G80,J80,C80,M80,AJ80,IF(AK80="",0,AK80)))</f>
        <v/>
      </c>
      <c r="Y80" s="461"/>
      <c r="Z80" s="206"/>
      <c r="AA80" s="512" t="str">
        <f t="shared" ref="AA80:AA143" si="36">IFERROR(IF(D80="","",IF(COUNT($AC$14:$AC$33)=0,"",IF(D80&lt;_xlfn.AGGREGATE(5,6,$AC$14:$AC$33),"",INDEX($AE$15:$AE$33,MATCH(D80,$AC$14:$AC$33,1))))),"")</f>
        <v/>
      </c>
      <c r="AB80" s="520" t="str">
        <f t="shared" ref="AB80:AB143" si="37">IF(OR(D80="",H80=""),"",IF(COUNT($AC$14:$AC$33)&lt;2,"",IF(OR(D80&lt;_xlfn.AGGREGATE(5,6,$AC$14:$AC$33),D80&gt;_xlfn.AGGREGATE(4,6,$AC$14:$AC$33)),"",IFERROR((INDEX($AD$14:$AD$33,MATCH(D80,$AC$14:$AC$33,1))+(D80-INDEX($AC$14:$AC$33,MATCH(D80,$AC$14:$AC$33,1)))*(INDEX($AD$14:$AD$33,MATCH(D80,$AC$14:$AC$33,1)+1)-INDEX($AD$14:$AD$33,MATCH(D80,$AC$14:$AC$33,1)))/(INDEX($AC$14:$AC$33,MATCH(D80,$AC$14:$AC$33,1)+1)-INDEX($AC$14:$AC$33,MATCH(D80,$AC$14:$AC$33,1))))-H80,""))))</f>
        <v/>
      </c>
      <c r="AC80" s="510"/>
      <c r="AD80" s="515"/>
      <c r="AE80" s="516"/>
      <c r="AJ80" s="452">
        <f>IF(OR(E80="",D80=""),0,ProjSlideMetersBetween(E80,D80,$R$13:$R$305,$S$13:$S$305))</f>
        <v>0</v>
      </c>
      <c r="AK80" s="452" t="str">
        <f>IF(U80="","",ProjParseTF(U80))</f>
        <v/>
      </c>
      <c r="AL80" s="219">
        <f>IF(E80="","",ProjCumN(AL79,E79,F79,G79,E80,F80,G80,FALSE))</f>
        <v>3.4745483625690943</v>
      </c>
      <c r="AM80" s="331">
        <f>IF(E80="","",ProjCumE(AM79,E79,F79,G79,E80,F80,G80,FALSE))</f>
        <v>-0.11882676268986396</v>
      </c>
      <c r="AN80" s="330" t="str">
        <f t="shared" si="35"/>
        <v/>
      </c>
      <c r="AO80" s="330" t="str">
        <f>IF(OR(E80="",E80&lt;$U$2),"",ProjActiveTargetMdEx(D80,W80,V80,ProjTargets_MD,ProjTargets_INC,ProjTargets_AZM,ProjTargets_TVD,F80,H80))</f>
        <v/>
      </c>
      <c r="AP80" s="207" t="str">
        <f>IF(OR(E80="",E80&lt;$U$2),"",ProjBitN(E80,F80,G80,AL80,D80,W80,X80))</f>
        <v/>
      </c>
      <c r="AQ80" s="207" t="str">
        <f>IF(OR(E80="",E80&lt;$U$2),"",ProjBitE(E80,F80,G80,AM80,D80,W80,X80))</f>
        <v/>
      </c>
      <c r="AR80" s="207" t="str">
        <f>IF(OR(E80="",E80&lt;$U$2,AO80=""),"",ProjBurr(D80,W80,X80,Q80,C80,ProjTargets_MD,ProjTargets_INC,ProjTargets_AZM,ProjTargets_TVD,V80))</f>
        <v/>
      </c>
      <c r="AS80" s="207" t="str">
        <f>IF(OR(E80="",E80&lt;$U$2,AO80=""),"",ProjMetersToSlide(D80,W80,X80,Q80,C80,ProjTargets_MD,ProjTargets_INC,ProjTargets_AZM,ProjTargets_TVD,V80))</f>
        <v/>
      </c>
      <c r="AT80" s="207" t="str">
        <f>IF(OR(E80="",E80&lt;$U$2,AO80=""),"",ProjRequiredTf(D80,W80,X80,ProjTargets_MD,ProjTargets_INC,ProjTargets_AZM,ProjTargets_TVD,5,V80))</f>
        <v/>
      </c>
    </row>
    <row r="81" spans="2:46" s="209" customFormat="1" ht="15" customHeight="1" x14ac:dyDescent="0.3">
      <c r="B81" s="208">
        <f t="shared" si="22"/>
        <v>17</v>
      </c>
      <c r="C81" s="335">
        <f t="shared" si="29"/>
        <v>28.819999999999709</v>
      </c>
      <c r="D81" s="27">
        <v>2038.6899999999982</v>
      </c>
      <c r="E81" s="336">
        <f t="shared" si="30"/>
        <v>2021.69</v>
      </c>
      <c r="F81" s="9">
        <v>0.57999999999999996</v>
      </c>
      <c r="G81" s="9">
        <v>324.72000000000003</v>
      </c>
      <c r="H81" s="337">
        <f t="shared" si="23"/>
        <v>2021.4588568314641</v>
      </c>
      <c r="I81" s="337">
        <f t="shared" si="34"/>
        <v>1249.2088568314641</v>
      </c>
      <c r="J81" s="338">
        <f t="shared" si="31"/>
        <v>0.53851122580746413</v>
      </c>
      <c r="K81" s="339">
        <f t="shared" si="32"/>
        <v>0.53088133240804691</v>
      </c>
      <c r="L81" s="339">
        <f t="shared" si="33"/>
        <v>-25.888272033310002</v>
      </c>
      <c r="M81" s="339" t="str">
        <f t="shared" si="24"/>
        <v/>
      </c>
      <c r="N81" s="340">
        <f t="shared" si="25"/>
        <v>9.656363303861129</v>
      </c>
      <c r="O81" s="341" t="str">
        <f t="shared" si="26"/>
        <v>Mag</v>
      </c>
      <c r="P81" s="342" t="str">
        <f t="shared" si="27"/>
        <v/>
      </c>
      <c r="Q81" s="343" t="str">
        <f t="shared" si="28"/>
        <v/>
      </c>
      <c r="R81" s="10" t="str">
        <f t="shared" si="20"/>
        <v/>
      </c>
      <c r="S81" s="337" t="str">
        <f t="shared" si="21"/>
        <v/>
      </c>
      <c r="T81" s="9"/>
      <c r="U81" s="8"/>
      <c r="V81" s="202" t="str">
        <f>IF(OR(E81="",E81&lt;$U$2),"",ProjTvdAtBit(E81,F81,G81,H81,D81,W81,X81))</f>
        <v/>
      </c>
      <c r="W81" s="344" t="str">
        <f>IF(OR(E81="",E81&lt;$U$2),"",ProjIncAtBit(F81,J81,C81,M81,AJ81,IF(AK81="",0,AK81)))</f>
        <v/>
      </c>
      <c r="X81" s="455" t="str">
        <f>IF(OR(E81="",E81&lt;$U$2),"",ProjAzmAtBit(F81,G81,J81,C81,M81,AJ81,IF(AK81="",0,AK81)))</f>
        <v/>
      </c>
      <c r="Y81" s="461"/>
      <c r="Z81" s="206"/>
      <c r="AA81" s="512" t="str">
        <f t="shared" si="36"/>
        <v/>
      </c>
      <c r="AB81" s="520" t="str">
        <f t="shared" si="37"/>
        <v/>
      </c>
      <c r="AC81" s="510"/>
      <c r="AD81" s="515"/>
      <c r="AE81" s="516"/>
      <c r="AJ81" s="452">
        <f>IF(OR(E81="",D81=""),0,ProjSlideMetersBetween(E81,D81,$R$13:$R$305,$S$13:$S$305))</f>
        <v>0</v>
      </c>
      <c r="AK81" s="452" t="str">
        <f>IF(U81="","",ProjParseTF(U81))</f>
        <v/>
      </c>
      <c r="AL81" s="219">
        <f>IF(E81="","",ProjCumN(AL80,E80,F80,G80,E81,F81,G81,FALSE))</f>
        <v>3.6109429333884182</v>
      </c>
      <c r="AM81" s="331">
        <f>IF(E81="","",ProjCumE(AM80,E80,F80,G80,E81,F81,G81,FALSE))</f>
        <v>-0.20625818513585789</v>
      </c>
      <c r="AN81" s="330" t="str">
        <f t="shared" si="35"/>
        <v/>
      </c>
      <c r="AO81" s="330" t="str">
        <f>IF(OR(E81="",E81&lt;$U$2),"",ProjActiveTargetMdEx(D81,W81,V81,ProjTargets_MD,ProjTargets_INC,ProjTargets_AZM,ProjTargets_TVD,F81,H81))</f>
        <v/>
      </c>
      <c r="AP81" s="207" t="str">
        <f>IF(OR(E81="",E81&lt;$U$2),"",ProjBitN(E81,F81,G81,AL81,D81,W81,X81))</f>
        <v/>
      </c>
      <c r="AQ81" s="207" t="str">
        <f>IF(OR(E81="",E81&lt;$U$2),"",ProjBitE(E81,F81,G81,AM81,D81,W81,X81))</f>
        <v/>
      </c>
      <c r="AR81" s="207" t="str">
        <f>IF(OR(E81="",E81&lt;$U$2,AO81=""),"",ProjBurr(D81,W81,X81,Q81,C81,ProjTargets_MD,ProjTargets_INC,ProjTargets_AZM,ProjTargets_TVD,V81))</f>
        <v/>
      </c>
      <c r="AS81" s="207" t="str">
        <f>IF(OR(E81="",E81&lt;$U$2,AO81=""),"",ProjMetersToSlide(D81,W81,X81,Q81,C81,ProjTargets_MD,ProjTargets_INC,ProjTargets_AZM,ProjTargets_TVD,V81))</f>
        <v/>
      </c>
      <c r="AT81" s="207" t="str">
        <f>IF(OR(E81="",E81&lt;$U$2,AO81=""),"",ProjRequiredTf(D81,W81,X81,ProjTargets_MD,ProjTargets_INC,ProjTargets_AZM,ProjTargets_TVD,5,V81))</f>
        <v/>
      </c>
    </row>
    <row r="82" spans="2:46" s="209" customFormat="1" ht="15" customHeight="1" x14ac:dyDescent="0.3">
      <c r="B82" s="208">
        <f t="shared" si="22"/>
        <v>17</v>
      </c>
      <c r="C82" s="335">
        <f t="shared" si="29"/>
        <v>28.789999999999509</v>
      </c>
      <c r="D82" s="27">
        <v>2067.4799999999977</v>
      </c>
      <c r="E82" s="336">
        <f t="shared" si="30"/>
        <v>2050.48</v>
      </c>
      <c r="F82" s="9">
        <v>0.68</v>
      </c>
      <c r="G82" s="9">
        <v>302.81</v>
      </c>
      <c r="H82" s="337">
        <f t="shared" si="23"/>
        <v>2050.2471164552958</v>
      </c>
      <c r="I82" s="337">
        <f t="shared" si="34"/>
        <v>1277.9971164552958</v>
      </c>
      <c r="J82" s="338">
        <f t="shared" si="31"/>
        <v>0.26966586752119348</v>
      </c>
      <c r="K82" s="339">
        <f t="shared" si="32"/>
        <v>0.10420284821118467</v>
      </c>
      <c r="L82" s="339">
        <f t="shared" si="33"/>
        <v>-22.830844043070567</v>
      </c>
      <c r="M82" s="339" t="str">
        <f t="shared" si="24"/>
        <v/>
      </c>
      <c r="N82" s="340">
        <f t="shared" si="25"/>
        <v>67.268406946710371</v>
      </c>
      <c r="O82" s="341" t="str">
        <f t="shared" si="26"/>
        <v>Mag</v>
      </c>
      <c r="P82" s="342" t="str">
        <f t="shared" si="27"/>
        <v/>
      </c>
      <c r="Q82" s="343" t="str">
        <f t="shared" si="28"/>
        <v/>
      </c>
      <c r="R82" s="10">
        <f t="shared" si="20"/>
        <v>2067.4799999999977</v>
      </c>
      <c r="S82" s="337">
        <f t="shared" si="21"/>
        <v>2071.4799999999977</v>
      </c>
      <c r="T82" s="9">
        <v>4</v>
      </c>
      <c r="U82" s="8" t="s">
        <v>465</v>
      </c>
      <c r="V82" s="202" t="str">
        <f>IF(OR(E82="",E82&lt;$U$2),"",ProjTvdAtBit(E82,F82,G82,H82,D82,W82,X82))</f>
        <v/>
      </c>
      <c r="W82" s="344" t="str">
        <f>IF(OR(E82="",E82&lt;$U$2),"",ProjIncAtBit(F82,J82,C82,M82,AJ82,IF(AK82="",0,AK82)))</f>
        <v/>
      </c>
      <c r="X82" s="455" t="str">
        <f>IF(OR(E82="",E82&lt;$U$2),"",ProjAzmAtBit(F82,G82,J82,C82,M82,AJ82,IF(AK82="",0,AK82)))</f>
        <v/>
      </c>
      <c r="Y82" s="461"/>
      <c r="Z82" s="206"/>
      <c r="AA82" s="512" t="str">
        <f t="shared" si="36"/>
        <v/>
      </c>
      <c r="AB82" s="520" t="str">
        <f t="shared" si="37"/>
        <v/>
      </c>
      <c r="AC82" s="510"/>
      <c r="AD82" s="515"/>
      <c r="AE82" s="516"/>
      <c r="AJ82" s="452">
        <f>IF(OR(E82="",D82=""),0,ProjSlideMetersBetween(E82,D82,$R$13:$R$305,$S$13:$S$305))</f>
        <v>0</v>
      </c>
      <c r="AK82" s="452">
        <f>IF(U82="","",ProjParseTF(U82))</f>
        <v>180</v>
      </c>
      <c r="AL82" s="219">
        <f>IF(E82="","",ProjCumN(AL81,E81,F81,G81,E82,F82,G82,FALSE))</f>
        <v>3.8224677400017097</v>
      </c>
      <c r="AM82" s="331">
        <f>IF(E82="","",ProjCumE(AM81,E81,F81,G81,E82,F82,G82,FALSE))</f>
        <v>-0.43400626217826221</v>
      </c>
      <c r="AN82" s="330" t="str">
        <f t="shared" si="35"/>
        <v/>
      </c>
      <c r="AO82" s="330" t="str">
        <f>IF(OR(E82="",E82&lt;$U$2),"",ProjActiveTargetMdEx(D82,W82,V82,ProjTargets_MD,ProjTargets_INC,ProjTargets_AZM,ProjTargets_TVD,F82,H82))</f>
        <v/>
      </c>
      <c r="AP82" s="207" t="str">
        <f>IF(OR(E82="",E82&lt;$U$2),"",ProjBitN(E82,F82,G82,AL82,D82,W82,X82))</f>
        <v/>
      </c>
      <c r="AQ82" s="207" t="str">
        <f>IF(OR(E82="",E82&lt;$U$2),"",ProjBitE(E82,F82,G82,AM82,D82,W82,X82))</f>
        <v/>
      </c>
      <c r="AR82" s="207" t="str">
        <f>IF(OR(E82="",E82&lt;$U$2,AO82=""),"",ProjBurr(D82,W82,X82,Q82,C82,ProjTargets_MD,ProjTargets_INC,ProjTargets_AZM,ProjTargets_TVD,V82))</f>
        <v/>
      </c>
      <c r="AS82" s="207" t="str">
        <f>IF(OR(E82="",E82&lt;$U$2,AO82=""),"",ProjMetersToSlide(D82,W82,X82,Q82,C82,ProjTargets_MD,ProjTargets_INC,ProjTargets_AZM,ProjTargets_TVD,V82))</f>
        <v/>
      </c>
      <c r="AT82" s="207" t="str">
        <f>IF(OR(E82="",E82&lt;$U$2,AO82=""),"",ProjRequiredTf(D82,W82,X82,ProjTargets_MD,ProjTargets_INC,ProjTargets_AZM,ProjTargets_TVD,5,V82))</f>
        <v/>
      </c>
    </row>
    <row r="83" spans="2:46" s="209" customFormat="1" ht="15" customHeight="1" x14ac:dyDescent="0.3">
      <c r="B83" s="208">
        <f t="shared" si="22"/>
        <v>17</v>
      </c>
      <c r="C83" s="335">
        <f t="shared" si="29"/>
        <v>28.7199999999998</v>
      </c>
      <c r="D83" s="27">
        <v>2096.1999999999975</v>
      </c>
      <c r="E83" s="336">
        <f t="shared" si="30"/>
        <v>2079.1999999999998</v>
      </c>
      <c r="F83" s="9">
        <v>0.84</v>
      </c>
      <c r="G83" s="9">
        <v>295.11</v>
      </c>
      <c r="H83" s="337">
        <f t="shared" si="23"/>
        <v>2078.9645898931099</v>
      </c>
      <c r="I83" s="337">
        <f t="shared" si="34"/>
        <v>1306.7145898931099</v>
      </c>
      <c r="J83" s="338">
        <f t="shared" si="31"/>
        <v>0.19791797579133735</v>
      </c>
      <c r="K83" s="339">
        <f t="shared" si="32"/>
        <v>0.1671309192200568</v>
      </c>
      <c r="L83" s="339">
        <f t="shared" si="33"/>
        <v>-8.0431754874652253</v>
      </c>
      <c r="M83" s="339">
        <f t="shared" si="24"/>
        <v>4</v>
      </c>
      <c r="N83" s="340">
        <f t="shared" si="25"/>
        <v>32.387439030679552</v>
      </c>
      <c r="O83" s="341" t="str">
        <f t="shared" si="26"/>
        <v>Mag</v>
      </c>
      <c r="P83" s="342">
        <f t="shared" si="27"/>
        <v>3.999999999999998E-2</v>
      </c>
      <c r="Q83" s="343">
        <f t="shared" si="28"/>
        <v>1.4210510661817923</v>
      </c>
      <c r="R83" s="10">
        <f t="shared" si="20"/>
        <v>2096.1999999999975</v>
      </c>
      <c r="S83" s="337">
        <f t="shared" si="21"/>
        <v>2100.1999999999975</v>
      </c>
      <c r="T83" s="9">
        <v>4</v>
      </c>
      <c r="U83" s="8" t="s">
        <v>465</v>
      </c>
      <c r="V83" s="202" t="str">
        <f>IF(OR(E83="",E83&lt;$U$2),"",ProjTvdAtBit(E83,F83,G83,H83,D83,W83,X83))</f>
        <v/>
      </c>
      <c r="W83" s="344" t="str">
        <f>IF(OR(E83="",E83&lt;$U$2),"",ProjIncAtBit(F83,J83,C83,M83,AJ83,IF(AK83="",0,AK83)))</f>
        <v/>
      </c>
      <c r="X83" s="455" t="str">
        <f>IF(OR(E83="",E83&lt;$U$2),"",ProjAzmAtBit(F83,G83,J83,C83,M83,AJ83,IF(AK83="",0,AK83)))</f>
        <v/>
      </c>
      <c r="Y83" s="461"/>
      <c r="Z83" s="206"/>
      <c r="AA83" s="512" t="str">
        <f t="shared" si="36"/>
        <v/>
      </c>
      <c r="AB83" s="520" t="str">
        <f t="shared" si="37"/>
        <v/>
      </c>
      <c r="AC83" s="510"/>
      <c r="AD83" s="515"/>
      <c r="AE83" s="516"/>
      <c r="AJ83" s="452">
        <f>IF(OR(E83="",D83=""),0,ProjSlideMetersBetween(E83,D83,$R$13:$R$305,$S$13:$S$305))</f>
        <v>0</v>
      </c>
      <c r="AK83" s="452">
        <f>IF(U83="","",ProjParseTF(U83))</f>
        <v>180</v>
      </c>
      <c r="AL83" s="219">
        <f>IF(E83="","",ProjCumN(AL82,E82,F82,G82,E83,F83,G83,FALSE))</f>
        <v>4.0041491190911085</v>
      </c>
      <c r="AM83" s="331">
        <f>IF(E83="","",ProjCumE(AM82,E82,F82,G82,E83,F83,G83,FALSE))</f>
        <v>-0.76786880729592832</v>
      </c>
      <c r="AN83" s="330" t="str">
        <f t="shared" si="35"/>
        <v/>
      </c>
      <c r="AO83" s="330" t="str">
        <f>IF(OR(E83="",E83&lt;$U$2),"",ProjActiveTargetMdEx(D83,W83,V83,ProjTargets_MD,ProjTargets_INC,ProjTargets_AZM,ProjTargets_TVD,F83,H83))</f>
        <v/>
      </c>
      <c r="AP83" s="207" t="str">
        <f>IF(OR(E83="",E83&lt;$U$2),"",ProjBitN(E83,F83,G83,AL83,D83,W83,X83))</f>
        <v/>
      </c>
      <c r="AQ83" s="207" t="str">
        <f>IF(OR(E83="",E83&lt;$U$2),"",ProjBitE(E83,F83,G83,AM83,D83,W83,X83))</f>
        <v/>
      </c>
      <c r="AR83" s="207" t="str">
        <f>IF(OR(E83="",E83&lt;$U$2,AO83=""),"",ProjBurr(D83,W83,X83,Q83,C83,ProjTargets_MD,ProjTargets_INC,ProjTargets_AZM,ProjTargets_TVD,V83))</f>
        <v/>
      </c>
      <c r="AS83" s="207" t="str">
        <f>IF(OR(E83="",E83&lt;$U$2,AO83=""),"",ProjMetersToSlide(D83,W83,X83,Q83,C83,ProjTargets_MD,ProjTargets_INC,ProjTargets_AZM,ProjTargets_TVD,V83))</f>
        <v/>
      </c>
      <c r="AT83" s="207" t="str">
        <f>IF(OR(E83="",E83&lt;$U$2,AO83=""),"",ProjRequiredTf(D83,W83,X83,ProjTargets_MD,ProjTargets_INC,ProjTargets_AZM,ProjTargets_TVD,5,V83))</f>
        <v/>
      </c>
    </row>
    <row r="84" spans="2:46" s="209" customFormat="1" ht="15" customHeight="1" x14ac:dyDescent="0.3">
      <c r="B84" s="208">
        <f t="shared" si="22"/>
        <v>17</v>
      </c>
      <c r="C84" s="335">
        <f t="shared" si="29"/>
        <v>28.670000000000073</v>
      </c>
      <c r="D84" s="27">
        <v>2124.8699999999976</v>
      </c>
      <c r="E84" s="336">
        <f t="shared" si="30"/>
        <v>2107.87</v>
      </c>
      <c r="F84" s="9">
        <v>0.45</v>
      </c>
      <c r="G84" s="9">
        <v>256.04000000000002</v>
      </c>
      <c r="H84" s="337">
        <f t="shared" si="23"/>
        <v>2107.6327732597911</v>
      </c>
      <c r="I84" s="337">
        <f t="shared" si="34"/>
        <v>1335.3827732597911</v>
      </c>
      <c r="J84" s="338">
        <f t="shared" si="31"/>
        <v>0.59299352306521058</v>
      </c>
      <c r="K84" s="339">
        <f t="shared" si="32"/>
        <v>-0.40809208231600869</v>
      </c>
      <c r="L84" s="339">
        <f t="shared" si="33"/>
        <v>-40.88245552842681</v>
      </c>
      <c r="M84" s="339">
        <f t="shared" si="24"/>
        <v>4</v>
      </c>
      <c r="N84" s="340">
        <f t="shared" si="25"/>
        <v>133.48698455939584</v>
      </c>
      <c r="O84" s="341" t="str">
        <f t="shared" si="26"/>
        <v>Mag</v>
      </c>
      <c r="P84" s="342">
        <f t="shared" si="27"/>
        <v>-9.7499999999999989E-2</v>
      </c>
      <c r="Q84" s="343">
        <f t="shared" si="28"/>
        <v>4.2502810765699079</v>
      </c>
      <c r="R84" s="10">
        <f t="shared" si="20"/>
        <v>2124.8699999999976</v>
      </c>
      <c r="S84" s="337">
        <f t="shared" si="21"/>
        <v>2129.8699999999976</v>
      </c>
      <c r="T84" s="9">
        <v>5</v>
      </c>
      <c r="U84" s="8" t="s">
        <v>474</v>
      </c>
      <c r="V84" s="202" t="str">
        <f>IF(OR(E84="",E84&lt;$U$2),"",ProjTvdAtBit(E84,F84,G84,H84,D84,W84,X84))</f>
        <v/>
      </c>
      <c r="W84" s="344" t="str">
        <f>IF(OR(E84="",E84&lt;$U$2),"",ProjIncAtBit(F84,J84,C84,M84,AJ84,IF(AK84="",0,AK84)))</f>
        <v/>
      </c>
      <c r="X84" s="455" t="str">
        <f>IF(OR(E84="",E84&lt;$U$2),"",ProjAzmAtBit(F84,G84,J84,C84,M84,AJ84,IF(AK84="",0,AK84)))</f>
        <v/>
      </c>
      <c r="Y84" s="461"/>
      <c r="Z84" s="206"/>
      <c r="AA84" s="512" t="str">
        <f t="shared" si="36"/>
        <v/>
      </c>
      <c r="AB84" s="520" t="str">
        <f t="shared" si="37"/>
        <v/>
      </c>
      <c r="AC84" s="510"/>
      <c r="AD84" s="515"/>
      <c r="AE84" s="516"/>
      <c r="AJ84" s="452">
        <f>IF(OR(E84="",D84=""),0,ProjSlideMetersBetween(E84,D84,$R$13:$R$305,$S$13:$S$305))</f>
        <v>0</v>
      </c>
      <c r="AK84" s="452">
        <f>IF(U84="","",ProjParseTF(U84))</f>
        <v>160</v>
      </c>
      <c r="AL84" s="219">
        <f>IF(E84="","",ProjCumN(AL83,E83,F83,G83,E84,F84,G84,FALSE))</f>
        <v>4.0661696095445503</v>
      </c>
      <c r="AM84" s="331">
        <f>IF(E84="","",ProjCumE(AM83,E83,F83,G83,E84,F84,G84,FALSE))</f>
        <v>-1.067425471031304</v>
      </c>
      <c r="AN84" s="330" t="str">
        <f t="shared" si="35"/>
        <v/>
      </c>
      <c r="AO84" s="330" t="str">
        <f>IF(OR(E84="",E84&lt;$U$2),"",ProjActiveTargetMdEx(D84,W84,V84,ProjTargets_MD,ProjTargets_INC,ProjTargets_AZM,ProjTargets_TVD,F84,H84))</f>
        <v/>
      </c>
      <c r="AP84" s="207" t="str">
        <f>IF(OR(E84="",E84&lt;$U$2),"",ProjBitN(E84,F84,G84,AL84,D84,W84,X84))</f>
        <v/>
      </c>
      <c r="AQ84" s="207" t="str">
        <f>IF(OR(E84="",E84&lt;$U$2),"",ProjBitE(E84,F84,G84,AM84,D84,W84,X84))</f>
        <v/>
      </c>
      <c r="AR84" s="207" t="str">
        <f>IF(OR(E84="",E84&lt;$U$2,AO84=""),"",ProjBurr(D84,W84,X84,Q84,C84,ProjTargets_MD,ProjTargets_INC,ProjTargets_AZM,ProjTargets_TVD,V84))</f>
        <v/>
      </c>
      <c r="AS84" s="207" t="str">
        <f>IF(OR(E84="",E84&lt;$U$2,AO84=""),"",ProjMetersToSlide(D84,W84,X84,Q84,C84,ProjTargets_MD,ProjTargets_INC,ProjTargets_AZM,ProjTargets_TVD,V84))</f>
        <v/>
      </c>
      <c r="AT84" s="207" t="str">
        <f>IF(OR(E84="",E84&lt;$U$2,AO84=""),"",ProjRequiredTf(D84,W84,X84,ProjTargets_MD,ProjTargets_INC,ProjTargets_AZM,ProjTargets_TVD,5,V84))</f>
        <v/>
      </c>
    </row>
    <row r="85" spans="2:46" s="209" customFormat="1" ht="15" customHeight="1" x14ac:dyDescent="0.3">
      <c r="B85" s="208">
        <f t="shared" si="22"/>
        <v>17</v>
      </c>
      <c r="C85" s="335">
        <f t="shared" si="29"/>
        <v>28.749999999999545</v>
      </c>
      <c r="D85" s="27">
        <v>2153.6199999999972</v>
      </c>
      <c r="E85" s="336">
        <f t="shared" si="30"/>
        <v>2136.62</v>
      </c>
      <c r="F85" s="9">
        <v>0.72</v>
      </c>
      <c r="G85" s="9">
        <v>200.39</v>
      </c>
      <c r="H85" s="337">
        <f t="shared" si="23"/>
        <v>2136.3812747121724</v>
      </c>
      <c r="I85" s="337">
        <f t="shared" si="34"/>
        <v>1364.1312747121724</v>
      </c>
      <c r="J85" s="338">
        <f t="shared" si="31"/>
        <v>0.62195230070051855</v>
      </c>
      <c r="K85" s="339">
        <f t="shared" si="32"/>
        <v>0.28173913043478255</v>
      </c>
      <c r="L85" s="339">
        <f t="shared" si="33"/>
        <v>-58.069565217391336</v>
      </c>
      <c r="M85" s="339">
        <f t="shared" si="24"/>
        <v>5</v>
      </c>
      <c r="N85" s="340">
        <f t="shared" si="25"/>
        <v>63.064219345741115</v>
      </c>
      <c r="O85" s="341" t="str">
        <f t="shared" si="26"/>
        <v>Mag</v>
      </c>
      <c r="P85" s="342">
        <f t="shared" si="27"/>
        <v>5.3999999999999992E-2</v>
      </c>
      <c r="Q85" s="343">
        <f t="shared" si="28"/>
        <v>3.5762257290279251</v>
      </c>
      <c r="R85" s="10" t="str">
        <f t="shared" si="20"/>
        <v/>
      </c>
      <c r="S85" s="337" t="str">
        <f t="shared" si="21"/>
        <v/>
      </c>
      <c r="T85" s="9"/>
      <c r="U85" s="8"/>
      <c r="V85" s="202" t="str">
        <f>IF(OR(E85="",E85&lt;$U$2),"",ProjTvdAtBit(E85,F85,G85,H85,D85,W85,X85))</f>
        <v/>
      </c>
      <c r="W85" s="344" t="str">
        <f>IF(OR(E85="",E85&lt;$U$2),"",ProjIncAtBit(F85,J85,C85,M85,AJ85,IF(AK85="",0,AK85)))</f>
        <v/>
      </c>
      <c r="X85" s="455" t="str">
        <f>IF(OR(E85="",E85&lt;$U$2),"",ProjAzmAtBit(F85,G85,J85,C85,M85,AJ85,IF(AK85="",0,AK85)))</f>
        <v/>
      </c>
      <c r="Y85" s="461"/>
      <c r="Z85" s="206"/>
      <c r="AA85" s="512" t="str">
        <f t="shared" si="36"/>
        <v/>
      </c>
      <c r="AB85" s="520" t="str">
        <f t="shared" si="37"/>
        <v/>
      </c>
      <c r="AC85" s="510"/>
      <c r="AD85" s="515"/>
      <c r="AE85" s="516"/>
      <c r="AJ85" s="452">
        <f>IF(OR(E85="",D85=""),0,ProjSlideMetersBetween(E85,D85,$R$13:$R$305,$S$13:$S$305))</f>
        <v>0</v>
      </c>
      <c r="AK85" s="452" t="str">
        <f>IF(U85="","",ProjParseTF(U85))</f>
        <v/>
      </c>
      <c r="AL85" s="219">
        <f>IF(E85="","",ProjCumN(AL84,E84,F84,G84,E85,F85,G85,FALSE))</f>
        <v>3.8696127535245957</v>
      </c>
      <c r="AM85" s="331">
        <f>IF(E85="","",ProjCumE(AM84,E84,F84,G84,E85,F85,G85,FALSE))</f>
        <v>-1.2399276826014218</v>
      </c>
      <c r="AN85" s="330" t="str">
        <f t="shared" si="35"/>
        <v/>
      </c>
      <c r="AO85" s="330" t="str">
        <f>IF(OR(E85="",E85&lt;$U$2),"",ProjActiveTargetMdEx(D85,W85,V85,ProjTargets_MD,ProjTargets_INC,ProjTargets_AZM,ProjTargets_TVD,F85,H85))</f>
        <v/>
      </c>
      <c r="AP85" s="207" t="str">
        <f>IF(OR(E85="",E85&lt;$U$2),"",ProjBitN(E85,F85,G85,AL85,D85,W85,X85))</f>
        <v/>
      </c>
      <c r="AQ85" s="207" t="str">
        <f>IF(OR(E85="",E85&lt;$U$2),"",ProjBitE(E85,F85,G85,AM85,D85,W85,X85))</f>
        <v/>
      </c>
      <c r="AR85" s="207" t="str">
        <f>IF(OR(E85="",E85&lt;$U$2,AO85=""),"",ProjBurr(D85,W85,X85,Q85,C85,ProjTargets_MD,ProjTargets_INC,ProjTargets_AZM,ProjTargets_TVD,V85))</f>
        <v/>
      </c>
      <c r="AS85" s="207" t="str">
        <f>IF(OR(E85="",E85&lt;$U$2,AO85=""),"",ProjMetersToSlide(D85,W85,X85,Q85,C85,ProjTargets_MD,ProjTargets_INC,ProjTargets_AZM,ProjTargets_TVD,V85))</f>
        <v/>
      </c>
      <c r="AT85" s="207" t="str">
        <f>IF(OR(E85="",E85&lt;$U$2,AO85=""),"",ProjRequiredTf(D85,W85,X85,ProjTargets_MD,ProjTargets_INC,ProjTargets_AZM,ProjTargets_TVD,5,V85))</f>
        <v/>
      </c>
    </row>
    <row r="86" spans="2:46" s="209" customFormat="1" ht="15" customHeight="1" x14ac:dyDescent="0.3">
      <c r="B86" s="208">
        <f t="shared" si="22"/>
        <v>17</v>
      </c>
      <c r="C86" s="335">
        <f t="shared" si="29"/>
        <v>28.7199999999998</v>
      </c>
      <c r="D86" s="27">
        <v>2182.339999999997</v>
      </c>
      <c r="E86" s="336">
        <f t="shared" si="30"/>
        <v>2165.34</v>
      </c>
      <c r="F86" s="9">
        <v>0.44</v>
      </c>
      <c r="G86" s="9">
        <v>249.04</v>
      </c>
      <c r="H86" s="337">
        <f t="shared" si="23"/>
        <v>2165.0998032081502</v>
      </c>
      <c r="I86" s="337">
        <f t="shared" si="34"/>
        <v>1392.8498032081502</v>
      </c>
      <c r="J86" s="338">
        <f t="shared" si="31"/>
        <v>0.56580702104733493</v>
      </c>
      <c r="K86" s="339">
        <f t="shared" si="32"/>
        <v>-0.29247910863509485</v>
      </c>
      <c r="L86" s="339">
        <f t="shared" si="33"/>
        <v>50.818245125347744</v>
      </c>
      <c r="M86" s="339" t="str">
        <f t="shared" si="24"/>
        <v/>
      </c>
      <c r="N86" s="340">
        <f t="shared" si="25"/>
        <v>121.12613056520802</v>
      </c>
      <c r="O86" s="341" t="str">
        <f t="shared" si="26"/>
        <v>Mag</v>
      </c>
      <c r="P86" s="342" t="str">
        <f t="shared" si="27"/>
        <v/>
      </c>
      <c r="Q86" s="343" t="str">
        <f t="shared" si="28"/>
        <v/>
      </c>
      <c r="R86" s="10">
        <f t="shared" si="20"/>
        <v>2182.339999999997</v>
      </c>
      <c r="S86" s="337">
        <f t="shared" si="21"/>
        <v>2186.339999999997</v>
      </c>
      <c r="T86" s="9">
        <v>4</v>
      </c>
      <c r="U86" s="8" t="s">
        <v>465</v>
      </c>
      <c r="V86" s="202" t="str">
        <f>IF(OR(E86="",E86&lt;$U$2),"",ProjTvdAtBit(E86,F86,G86,H86,D86,W86,X86))</f>
        <v/>
      </c>
      <c r="W86" s="344" t="str">
        <f>IF(OR(E86="",E86&lt;$U$2),"",ProjIncAtBit(F86,J86,C86,M86,AJ86,IF(AK86="",0,AK86)))</f>
        <v/>
      </c>
      <c r="X86" s="455" t="str">
        <f>IF(OR(E86="",E86&lt;$U$2),"",ProjAzmAtBit(F86,G86,J86,C86,M86,AJ86,IF(AK86="",0,AK86)))</f>
        <v/>
      </c>
      <c r="Y86" s="461"/>
      <c r="Z86" s="206"/>
      <c r="AA86" s="512" t="str">
        <f t="shared" si="36"/>
        <v/>
      </c>
      <c r="AB86" s="520" t="str">
        <f t="shared" si="37"/>
        <v/>
      </c>
      <c r="AC86" s="510"/>
      <c r="AD86" s="515"/>
      <c r="AE86" s="516"/>
      <c r="AJ86" s="452">
        <f>IF(OR(E86="",D86=""),0,ProjSlideMetersBetween(E86,D86,$R$13:$R$305,$S$13:$S$305))</f>
        <v>0</v>
      </c>
      <c r="AK86" s="452">
        <f>IF(U86="","",ProjParseTF(U86))</f>
        <v>180</v>
      </c>
      <c r="AL86" s="219">
        <f>IF(E86="","",ProjCumN(AL85,E85,F85,G85,E86,F86,G86,FALSE))</f>
        <v>3.6610218232791949</v>
      </c>
      <c r="AM86" s="331">
        <f>IF(E86="","",ProjCumE(AM85,E85,F85,G85,E86,F86,G86,FALSE))</f>
        <v>-1.4057775353074125</v>
      </c>
      <c r="AN86" s="330" t="str">
        <f t="shared" si="35"/>
        <v/>
      </c>
      <c r="AO86" s="330" t="str">
        <f>IF(OR(E86="",E86&lt;$U$2),"",ProjActiveTargetMdEx(D86,W86,V86,ProjTargets_MD,ProjTargets_INC,ProjTargets_AZM,ProjTargets_TVD,F86,H86))</f>
        <v/>
      </c>
      <c r="AP86" s="207" t="str">
        <f>IF(OR(E86="",E86&lt;$U$2),"",ProjBitN(E86,F86,G86,AL86,D86,W86,X86))</f>
        <v/>
      </c>
      <c r="AQ86" s="207" t="str">
        <f>IF(OR(E86="",E86&lt;$U$2),"",ProjBitE(E86,F86,G86,AM86,D86,W86,X86))</f>
        <v/>
      </c>
      <c r="AR86" s="207" t="str">
        <f>IF(OR(E86="",E86&lt;$U$2,AO86=""),"",ProjBurr(D86,W86,X86,Q86,C86,ProjTargets_MD,ProjTargets_INC,ProjTargets_AZM,ProjTargets_TVD,V86))</f>
        <v/>
      </c>
      <c r="AS86" s="207" t="str">
        <f>IF(OR(E86="",E86&lt;$U$2,AO86=""),"",ProjMetersToSlide(D86,W86,X86,Q86,C86,ProjTargets_MD,ProjTargets_INC,ProjTargets_AZM,ProjTargets_TVD,V86))</f>
        <v/>
      </c>
      <c r="AT86" s="207" t="str">
        <f>IF(OR(E86="",E86&lt;$U$2,AO86=""),"",ProjRequiredTf(D86,W86,X86,ProjTargets_MD,ProjTargets_INC,ProjTargets_AZM,ProjTargets_TVD,5,V86))</f>
        <v/>
      </c>
    </row>
    <row r="87" spans="2:46" s="209" customFormat="1" ht="15" customHeight="1" x14ac:dyDescent="0.3">
      <c r="B87" s="208">
        <f t="shared" si="22"/>
        <v>17</v>
      </c>
      <c r="C87" s="335">
        <f t="shared" si="29"/>
        <v>28.690000000000055</v>
      </c>
      <c r="D87" s="27">
        <v>2211.029999999997</v>
      </c>
      <c r="E87" s="336">
        <f t="shared" si="30"/>
        <v>2194.0300000000002</v>
      </c>
      <c r="F87" s="9">
        <v>0.75</v>
      </c>
      <c r="G87" s="9">
        <v>280.66000000000003</v>
      </c>
      <c r="H87" s="337">
        <f t="shared" si="23"/>
        <v>2193.7882562259515</v>
      </c>
      <c r="I87" s="337">
        <f t="shared" si="34"/>
        <v>1421.5382562259515</v>
      </c>
      <c r="J87" s="338">
        <f t="shared" si="31"/>
        <v>0.46065818155588945</v>
      </c>
      <c r="K87" s="339">
        <f t="shared" si="32"/>
        <v>0.32415475775531483</v>
      </c>
      <c r="L87" s="339">
        <f t="shared" si="33"/>
        <v>33.063785291042151</v>
      </c>
      <c r="M87" s="339">
        <f t="shared" si="24"/>
        <v>4</v>
      </c>
      <c r="N87" s="340">
        <f t="shared" si="25"/>
        <v>45.277206897837203</v>
      </c>
      <c r="O87" s="341" t="str">
        <f t="shared" si="26"/>
        <v>Mag</v>
      </c>
      <c r="P87" s="342">
        <f t="shared" si="27"/>
        <v>7.7499999999999999E-2</v>
      </c>
      <c r="Q87" s="343">
        <f t="shared" si="28"/>
        <v>3.3040708072096234</v>
      </c>
      <c r="R87" s="10" t="str">
        <f t="shared" si="20"/>
        <v/>
      </c>
      <c r="S87" s="337" t="str">
        <f t="shared" si="21"/>
        <v/>
      </c>
      <c r="T87" s="9"/>
      <c r="U87" s="8"/>
      <c r="V87" s="202" t="str">
        <f>IF(OR(E87="",E87&lt;$U$2),"",ProjTvdAtBit(E87,F87,G87,H87,D87,W87,X87))</f>
        <v/>
      </c>
      <c r="W87" s="344" t="str">
        <f>IF(OR(E87="",E87&lt;$U$2),"",ProjIncAtBit(F87,J87,C87,M87,AJ87,IF(AK87="",0,AK87)))</f>
        <v/>
      </c>
      <c r="X87" s="455" t="str">
        <f>IF(OR(E87="",E87&lt;$U$2),"",ProjAzmAtBit(F87,G87,J87,C87,M87,AJ87,IF(AK87="",0,AK87)))</f>
        <v/>
      </c>
      <c r="Y87" s="461"/>
      <c r="Z87" s="206"/>
      <c r="AA87" s="512" t="str">
        <f t="shared" si="36"/>
        <v/>
      </c>
      <c r="AB87" s="520" t="str">
        <f t="shared" si="37"/>
        <v/>
      </c>
      <c r="AC87" s="510"/>
      <c r="AD87" s="515"/>
      <c r="AE87" s="516"/>
      <c r="AJ87" s="452">
        <f>IF(OR(E87="",D87=""),0,ProjSlideMetersBetween(E87,D87,$R$13:$R$305,$S$13:$S$305))</f>
        <v>0</v>
      </c>
      <c r="AK87" s="452" t="str">
        <f>IF(U87="","",ProjParseTF(U87))</f>
        <v/>
      </c>
      <c r="AL87" s="219">
        <f>IF(E87="","",ProjCumN(AL86,E86,F86,G86,E87,F87,G87,FALSE))</f>
        <v>3.6563494257480507</v>
      </c>
      <c r="AM87" s="331">
        <f>IF(E87="","",ProjCumE(AM86,E86,F86,G86,E87,F87,G87,FALSE))</f>
        <v>-1.6931800180488596</v>
      </c>
      <c r="AN87" s="330" t="str">
        <f t="shared" si="35"/>
        <v/>
      </c>
      <c r="AO87" s="330" t="str">
        <f>IF(OR(E87="",E87&lt;$U$2),"",ProjActiveTargetMdEx(D87,W87,V87,ProjTargets_MD,ProjTargets_INC,ProjTargets_AZM,ProjTargets_TVD,F87,H87))</f>
        <v/>
      </c>
      <c r="AP87" s="207" t="str">
        <f>IF(OR(E87="",E87&lt;$U$2),"",ProjBitN(E87,F87,G87,AL87,D87,W87,X87))</f>
        <v/>
      </c>
      <c r="AQ87" s="207" t="str">
        <f>IF(OR(E87="",E87&lt;$U$2),"",ProjBitE(E87,F87,G87,AM87,D87,W87,X87))</f>
        <v/>
      </c>
      <c r="AR87" s="207" t="str">
        <f>IF(OR(E87="",E87&lt;$U$2,AO87=""),"",ProjBurr(D87,W87,X87,Q87,C87,ProjTargets_MD,ProjTargets_INC,ProjTargets_AZM,ProjTargets_TVD,V87))</f>
        <v/>
      </c>
      <c r="AS87" s="207" t="str">
        <f>IF(OR(E87="",E87&lt;$U$2,AO87=""),"",ProjMetersToSlide(D87,W87,X87,Q87,C87,ProjTargets_MD,ProjTargets_INC,ProjTargets_AZM,ProjTargets_TVD,V87))</f>
        <v/>
      </c>
      <c r="AT87" s="207" t="str">
        <f>IF(OR(E87="",E87&lt;$U$2,AO87=""),"",ProjRequiredTf(D87,W87,X87,ProjTargets_MD,ProjTargets_INC,ProjTargets_AZM,ProjTargets_TVD,5,V87))</f>
        <v/>
      </c>
    </row>
    <row r="88" spans="2:46" s="209" customFormat="1" ht="15" customHeight="1" x14ac:dyDescent="0.3">
      <c r="B88" s="208">
        <f t="shared" si="22"/>
        <v>17</v>
      </c>
      <c r="C88" s="335">
        <f t="shared" si="29"/>
        <v>28.749999999999545</v>
      </c>
      <c r="D88" s="27">
        <v>2239.7799999999966</v>
      </c>
      <c r="E88" s="336">
        <f t="shared" si="30"/>
        <v>2222.7800000000002</v>
      </c>
      <c r="F88" s="9">
        <v>1.08</v>
      </c>
      <c r="G88" s="9">
        <v>299.20999999999998</v>
      </c>
      <c r="H88" s="337">
        <f t="shared" si="23"/>
        <v>2222.5345901999012</v>
      </c>
      <c r="I88" s="337">
        <f t="shared" si="34"/>
        <v>1450.2845901999012</v>
      </c>
      <c r="J88" s="338">
        <f t="shared" si="31"/>
        <v>0.45848741544516031</v>
      </c>
      <c r="K88" s="339">
        <f t="shared" si="32"/>
        <v>0.34434782608695663</v>
      </c>
      <c r="L88" s="339">
        <f t="shared" si="33"/>
        <v>19.35652173913039</v>
      </c>
      <c r="M88" s="339" t="str">
        <f t="shared" si="24"/>
        <v/>
      </c>
      <c r="N88" s="340">
        <f t="shared" si="25"/>
        <v>41.318424437182742</v>
      </c>
      <c r="O88" s="341" t="str">
        <f t="shared" si="26"/>
        <v>Mag</v>
      </c>
      <c r="P88" s="342" t="str">
        <f t="shared" si="27"/>
        <v/>
      </c>
      <c r="Q88" s="343" t="str">
        <f t="shared" si="28"/>
        <v/>
      </c>
      <c r="R88" s="10" t="str">
        <f t="shared" si="20"/>
        <v/>
      </c>
      <c r="S88" s="337" t="str">
        <f t="shared" si="21"/>
        <v/>
      </c>
      <c r="T88" s="9"/>
      <c r="U88" s="8"/>
      <c r="V88" s="202" t="str">
        <f>IF(OR(E88="",E88&lt;$U$2),"",ProjTvdAtBit(E88,F88,G88,H88,D88,W88,X88))</f>
        <v/>
      </c>
      <c r="W88" s="344" t="str">
        <f>IF(OR(E88="",E88&lt;$U$2),"",ProjIncAtBit(F88,J88,C88,M88,AJ88,IF(AK88="",0,AK88)))</f>
        <v/>
      </c>
      <c r="X88" s="455" t="str">
        <f>IF(OR(E88="",E88&lt;$U$2),"",ProjAzmAtBit(F88,G88,J88,C88,M88,AJ88,IF(AK88="",0,AK88)))</f>
        <v/>
      </c>
      <c r="Y88" s="461"/>
      <c r="Z88" s="206"/>
      <c r="AA88" s="512" t="str">
        <f t="shared" si="36"/>
        <v/>
      </c>
      <c r="AB88" s="520" t="str">
        <f t="shared" si="37"/>
        <v/>
      </c>
      <c r="AC88" s="510"/>
      <c r="AD88" s="515"/>
      <c r="AE88" s="516"/>
      <c r="AJ88" s="452">
        <f>IF(OR(E88="",D88=""),0,ProjSlideMetersBetween(E88,D88,$R$13:$R$305,$S$13:$S$305))</f>
        <v>0</v>
      </c>
      <c r="AK88" s="452" t="str">
        <f>IF(U88="","",ProjParseTF(U88))</f>
        <v/>
      </c>
      <c r="AL88" s="219">
        <f>IF(E88="","",ProjCumN(AL87,E87,F87,G87,E88,F88,G88,FALSE))</f>
        <v>3.8233817902837819</v>
      </c>
      <c r="AM88" s="331">
        <f>IF(E88="","",ProjCumE(AM87,E87,F87,G87,E88,F88,G88,FALSE))</f>
        <v>-2.1145896881768604</v>
      </c>
      <c r="AN88" s="330" t="str">
        <f t="shared" si="35"/>
        <v/>
      </c>
      <c r="AO88" s="330" t="str">
        <f>IF(OR(E88="",E88&lt;$U$2),"",ProjActiveTargetMdEx(D88,W88,V88,ProjTargets_MD,ProjTargets_INC,ProjTargets_AZM,ProjTargets_TVD,F88,H88))</f>
        <v/>
      </c>
      <c r="AP88" s="207" t="str">
        <f>IF(OR(E88="",E88&lt;$U$2),"",ProjBitN(E88,F88,G88,AL88,D88,W88,X88))</f>
        <v/>
      </c>
      <c r="AQ88" s="207" t="str">
        <f>IF(OR(E88="",E88&lt;$U$2),"",ProjBitE(E88,F88,G88,AM88,D88,W88,X88))</f>
        <v/>
      </c>
      <c r="AR88" s="207" t="str">
        <f>IF(OR(E88="",E88&lt;$U$2,AO88=""),"",ProjBurr(D88,W88,X88,Q88,C88,ProjTargets_MD,ProjTargets_INC,ProjTargets_AZM,ProjTargets_TVD,V88))</f>
        <v/>
      </c>
      <c r="AS88" s="207" t="str">
        <f>IF(OR(E88="",E88&lt;$U$2,AO88=""),"",ProjMetersToSlide(D88,W88,X88,Q88,C88,ProjTargets_MD,ProjTargets_INC,ProjTargets_AZM,ProjTargets_TVD,V88))</f>
        <v/>
      </c>
      <c r="AT88" s="207" t="str">
        <f>IF(OR(E88="",E88&lt;$U$2,AO88=""),"",ProjRequiredTf(D88,W88,X88,ProjTargets_MD,ProjTargets_INC,ProjTargets_AZM,ProjTargets_TVD,5,V88))</f>
        <v/>
      </c>
    </row>
    <row r="89" spans="2:46" s="209" customFormat="1" ht="15" customHeight="1" x14ac:dyDescent="0.3">
      <c r="B89" s="208">
        <f t="shared" si="22"/>
        <v>17</v>
      </c>
      <c r="C89" s="335">
        <f t="shared" si="29"/>
        <v>28.759999999999764</v>
      </c>
      <c r="D89" s="27">
        <v>2268.5399999999963</v>
      </c>
      <c r="E89" s="336">
        <f t="shared" si="30"/>
        <v>2251.54</v>
      </c>
      <c r="F89" s="9">
        <v>1.27</v>
      </c>
      <c r="G89" s="9">
        <v>292.94</v>
      </c>
      <c r="H89" s="337">
        <f t="shared" si="23"/>
        <v>2251.2885427241763</v>
      </c>
      <c r="I89" s="337">
        <f t="shared" si="34"/>
        <v>1479.0385427241763</v>
      </c>
      <c r="J89" s="338">
        <f t="shared" si="31"/>
        <v>0.23902322131754106</v>
      </c>
      <c r="K89" s="339">
        <f t="shared" si="32"/>
        <v>0.19819193324061354</v>
      </c>
      <c r="L89" s="339">
        <f t="shared" si="33"/>
        <v>-6.5403337969402289</v>
      </c>
      <c r="M89" s="339" t="str">
        <f t="shared" si="24"/>
        <v/>
      </c>
      <c r="N89" s="340">
        <f t="shared" si="25"/>
        <v>33.985979137645771</v>
      </c>
      <c r="O89" s="341" t="str">
        <f t="shared" si="26"/>
        <v>Mag</v>
      </c>
      <c r="P89" s="342" t="str">
        <f t="shared" si="27"/>
        <v/>
      </c>
      <c r="Q89" s="343" t="str">
        <f t="shared" si="28"/>
        <v/>
      </c>
      <c r="R89" s="10" t="str">
        <f t="shared" si="20"/>
        <v/>
      </c>
      <c r="S89" s="337" t="str">
        <f t="shared" si="21"/>
        <v/>
      </c>
      <c r="T89" s="9"/>
      <c r="U89" s="8"/>
      <c r="V89" s="202" t="str">
        <f>IF(OR(E89="",E89&lt;$U$2),"",ProjTvdAtBit(E89,F89,G89,H89,D89,W89,X89))</f>
        <v/>
      </c>
      <c r="W89" s="344" t="str">
        <f>IF(OR(E89="",E89&lt;$U$2),"",ProjIncAtBit(F89,J89,C89,M89,AJ89,IF(AK89="",0,AK89)))</f>
        <v/>
      </c>
      <c r="X89" s="455" t="str">
        <f>IF(OR(E89="",E89&lt;$U$2),"",ProjAzmAtBit(F89,G89,J89,C89,M89,AJ89,IF(AK89="",0,AK89)))</f>
        <v/>
      </c>
      <c r="Y89" s="461"/>
      <c r="Z89" s="206"/>
      <c r="AA89" s="512" t="str">
        <f t="shared" si="36"/>
        <v/>
      </c>
      <c r="AB89" s="520" t="str">
        <f t="shared" si="37"/>
        <v/>
      </c>
      <c r="AC89" s="510"/>
      <c r="AD89" s="515"/>
      <c r="AE89" s="516"/>
      <c r="AJ89" s="452">
        <f>IF(OR(E89="",D89=""),0,ProjSlideMetersBetween(E89,D89,$R$13:$R$305,$S$13:$S$305))</f>
        <v>0</v>
      </c>
      <c r="AK89" s="452" t="str">
        <f>IF(U89="","",ProjParseTF(U89))</f>
        <v/>
      </c>
      <c r="AL89" s="219">
        <f>IF(E89="","",ProjCumN(AL88,E88,F88,G88,E89,F89,G89,FALSE))</f>
        <v>4.0798783044947999</v>
      </c>
      <c r="AM89" s="331">
        <f>IF(E89="","",ProjCumE(AM88,E88,F88,G88,E89,F89,G89,FALSE))</f>
        <v>-2.6446748462592975</v>
      </c>
      <c r="AN89" s="330" t="str">
        <f t="shared" si="35"/>
        <v/>
      </c>
      <c r="AO89" s="330" t="str">
        <f>IF(OR(E89="",E89&lt;$U$2),"",ProjActiveTargetMdEx(D89,W89,V89,ProjTargets_MD,ProjTargets_INC,ProjTargets_AZM,ProjTargets_TVD,F89,H89))</f>
        <v/>
      </c>
      <c r="AP89" s="207" t="str">
        <f>IF(OR(E89="",E89&lt;$U$2),"",ProjBitN(E89,F89,G89,AL89,D89,W89,X89))</f>
        <v/>
      </c>
      <c r="AQ89" s="207" t="str">
        <f>IF(OR(E89="",E89&lt;$U$2),"",ProjBitE(E89,F89,G89,AM89,D89,W89,X89))</f>
        <v/>
      </c>
      <c r="AR89" s="207" t="str">
        <f>IF(OR(E89="",E89&lt;$U$2,AO89=""),"",ProjBurr(D89,W89,X89,Q89,C89,ProjTargets_MD,ProjTargets_INC,ProjTargets_AZM,ProjTargets_TVD,V89))</f>
        <v/>
      </c>
      <c r="AS89" s="207" t="str">
        <f>IF(OR(E89="",E89&lt;$U$2,AO89=""),"",ProjMetersToSlide(D89,W89,X89,Q89,C89,ProjTargets_MD,ProjTargets_INC,ProjTargets_AZM,ProjTargets_TVD,V89))</f>
        <v/>
      </c>
      <c r="AT89" s="207" t="str">
        <f>IF(OR(E89="",E89&lt;$U$2,AO89=""),"",ProjRequiredTf(D89,W89,X89,ProjTargets_MD,ProjTargets_INC,ProjTargets_AZM,ProjTargets_TVD,5,V89))</f>
        <v/>
      </c>
    </row>
    <row r="90" spans="2:46" s="209" customFormat="1" ht="15" customHeight="1" x14ac:dyDescent="0.3">
      <c r="B90" s="208">
        <f t="shared" si="22"/>
        <v>17</v>
      </c>
      <c r="C90" s="335">
        <f t="shared" si="29"/>
        <v>28.759999999999764</v>
      </c>
      <c r="D90" s="27">
        <v>2297.2999999999961</v>
      </c>
      <c r="E90" s="336">
        <f t="shared" si="30"/>
        <v>2280.3000000000002</v>
      </c>
      <c r="F90" s="9">
        <v>1.61</v>
      </c>
      <c r="G90" s="9">
        <v>290.54000000000002</v>
      </c>
      <c r="H90" s="337">
        <f t="shared" si="23"/>
        <v>2280.0394600079644</v>
      </c>
      <c r="I90" s="337">
        <f t="shared" si="34"/>
        <v>1507.7894600079644</v>
      </c>
      <c r="J90" s="338">
        <f t="shared" si="31"/>
        <v>0.36011867265869646</v>
      </c>
      <c r="K90" s="339">
        <f t="shared" si="32"/>
        <v>0.35465924895688195</v>
      </c>
      <c r="L90" s="339">
        <f t="shared" si="33"/>
        <v>-2.5034770514603188</v>
      </c>
      <c r="M90" s="339" t="str">
        <f t="shared" si="24"/>
        <v/>
      </c>
      <c r="N90" s="340">
        <f t="shared" si="25"/>
        <v>9.989376978339628</v>
      </c>
      <c r="O90" s="341" t="str">
        <f t="shared" si="26"/>
        <v>Mag</v>
      </c>
      <c r="P90" s="342" t="str">
        <f t="shared" si="27"/>
        <v/>
      </c>
      <c r="Q90" s="343" t="str">
        <f t="shared" si="28"/>
        <v/>
      </c>
      <c r="R90" s="10" t="str">
        <f t="shared" si="20"/>
        <v/>
      </c>
      <c r="S90" s="337" t="str">
        <f t="shared" si="21"/>
        <v/>
      </c>
      <c r="T90" s="9"/>
      <c r="U90" s="8"/>
      <c r="V90" s="202" t="str">
        <f>IF(OR(E90="",E90&lt;$U$2),"",ProjTvdAtBit(E90,F90,G90,H90,D90,W90,X90))</f>
        <v/>
      </c>
      <c r="W90" s="344" t="str">
        <f>IF(OR(E90="",E90&lt;$U$2),"",ProjIncAtBit(F90,J90,C90,M90,AJ90,IF(AK90="",0,AK90)))</f>
        <v/>
      </c>
      <c r="X90" s="455" t="str">
        <f>IF(OR(E90="",E90&lt;$U$2),"",ProjAzmAtBit(F90,G90,J90,C90,M90,AJ90,IF(AK90="",0,AK90)))</f>
        <v/>
      </c>
      <c r="Y90" s="461"/>
      <c r="Z90" s="206"/>
      <c r="AA90" s="512" t="str">
        <f t="shared" si="36"/>
        <v/>
      </c>
      <c r="AB90" s="520" t="str">
        <f t="shared" si="37"/>
        <v/>
      </c>
      <c r="AC90" s="510"/>
      <c r="AD90" s="515"/>
      <c r="AE90" s="516"/>
      <c r="AJ90" s="452">
        <f>IF(OR(E90="",D90=""),0,ProjSlideMetersBetween(E90,D90,$R$13:$R$305,$S$13:$S$305))</f>
        <v>0</v>
      </c>
      <c r="AK90" s="452" t="str">
        <f>IF(U90="","",ProjParseTF(U90))</f>
        <v/>
      </c>
      <c r="AL90" s="219">
        <f>IF(E90="","",ProjCumN(AL89,E89,F89,G89,E90,F90,G90,FALSE))</f>
        <v>4.3458598704524736</v>
      </c>
      <c r="AM90" s="331">
        <f>IF(E90="","",ProjCumE(AM89,E89,F89,G89,E90,F90,G90,FALSE))</f>
        <v>-3.3165243864806762</v>
      </c>
      <c r="AN90" s="330" t="str">
        <f t="shared" si="35"/>
        <v/>
      </c>
      <c r="AO90" s="330" t="str">
        <f>IF(OR(E90="",E90&lt;$U$2),"",ProjActiveTargetMdEx(D90,W90,V90,ProjTargets_MD,ProjTargets_INC,ProjTargets_AZM,ProjTargets_TVD,F90,H90))</f>
        <v/>
      </c>
      <c r="AP90" s="207" t="str">
        <f>IF(OR(E90="",E90&lt;$U$2),"",ProjBitN(E90,F90,G90,AL90,D90,W90,X90))</f>
        <v/>
      </c>
      <c r="AQ90" s="207" t="str">
        <f>IF(OR(E90="",E90&lt;$U$2),"",ProjBitE(E90,F90,G90,AM90,D90,W90,X90))</f>
        <v/>
      </c>
      <c r="AR90" s="207" t="str">
        <f>IF(OR(E90="",E90&lt;$U$2,AO90=""),"",ProjBurr(D90,W90,X90,Q90,C90,ProjTargets_MD,ProjTargets_INC,ProjTargets_AZM,ProjTargets_TVD,V90))</f>
        <v/>
      </c>
      <c r="AS90" s="207" t="str">
        <f>IF(OR(E90="",E90&lt;$U$2,AO90=""),"",ProjMetersToSlide(D90,W90,X90,Q90,C90,ProjTargets_MD,ProjTargets_INC,ProjTargets_AZM,ProjTargets_TVD,V90))</f>
        <v/>
      </c>
      <c r="AT90" s="207" t="str">
        <f>IF(OR(E90="",E90&lt;$U$2,AO90=""),"",ProjRequiredTf(D90,W90,X90,ProjTargets_MD,ProjTargets_INC,ProjTargets_AZM,ProjTargets_TVD,5,V90))</f>
        <v/>
      </c>
    </row>
    <row r="91" spans="2:46" s="209" customFormat="1" ht="15" customHeight="1" x14ac:dyDescent="0.3">
      <c r="B91" s="208">
        <f t="shared" si="22"/>
        <v>17</v>
      </c>
      <c r="C91" s="335">
        <f t="shared" si="29"/>
        <v>28.670000000003711</v>
      </c>
      <c r="D91" s="27">
        <v>2325.9699999999998</v>
      </c>
      <c r="E91" s="336">
        <f t="shared" si="30"/>
        <v>2308.9699999999998</v>
      </c>
      <c r="F91" s="9">
        <v>1.43</v>
      </c>
      <c r="G91" s="9">
        <v>293.67</v>
      </c>
      <c r="H91" s="337">
        <f t="shared" si="23"/>
        <v>2308.699371797426</v>
      </c>
      <c r="I91" s="337">
        <f t="shared" si="34"/>
        <v>1536.449371797426</v>
      </c>
      <c r="J91" s="338">
        <f t="shared" si="31"/>
        <v>0.20735281831007468</v>
      </c>
      <c r="K91" s="339">
        <f t="shared" si="32"/>
        <v>-0.18835019183816101</v>
      </c>
      <c r="L91" s="339">
        <f t="shared" si="33"/>
        <v>3.2752005580746815</v>
      </c>
      <c r="M91" s="339" t="str">
        <f t="shared" si="24"/>
        <v/>
      </c>
      <c r="N91" s="340">
        <f t="shared" si="25"/>
        <v>155.27915250478264</v>
      </c>
      <c r="O91" s="341" t="str">
        <f t="shared" si="26"/>
        <v>Mag</v>
      </c>
      <c r="P91" s="342" t="str">
        <f t="shared" si="27"/>
        <v/>
      </c>
      <c r="Q91" s="343" t="str">
        <f t="shared" si="28"/>
        <v/>
      </c>
      <c r="R91" s="10">
        <f t="shared" si="20"/>
        <v>2325.9699999999998</v>
      </c>
      <c r="S91" s="337">
        <f t="shared" si="21"/>
        <v>2329.9699999999998</v>
      </c>
      <c r="T91" s="9">
        <v>4</v>
      </c>
      <c r="U91" s="8" t="s">
        <v>471</v>
      </c>
      <c r="V91" s="202" t="str">
        <f>IF(OR(E91="",E91&lt;$U$2),"",ProjTvdAtBit(E91,F91,G91,H91,D91,W91,X91))</f>
        <v/>
      </c>
      <c r="W91" s="344" t="str">
        <f>IF(OR(E91="",E91&lt;$U$2),"",ProjIncAtBit(F91,J91,C91,M91,AJ91,IF(AK91="",0,AK91)))</f>
        <v/>
      </c>
      <c r="X91" s="455" t="str">
        <f>IF(OR(E91="",E91&lt;$U$2),"",ProjAzmAtBit(F91,G91,J91,C91,M91,AJ91,IF(AK91="",0,AK91)))</f>
        <v/>
      </c>
      <c r="Y91" s="461"/>
      <c r="Z91" s="206"/>
      <c r="AA91" s="512" t="str">
        <f t="shared" si="36"/>
        <v/>
      </c>
      <c r="AB91" s="520" t="str">
        <f t="shared" si="37"/>
        <v/>
      </c>
      <c r="AC91" s="510"/>
      <c r="AD91" s="515"/>
      <c r="AE91" s="516"/>
      <c r="AJ91" s="452">
        <f>IF(OR(E91="",D91=""),0,ProjSlideMetersBetween(E91,D91,$R$13:$R$305,$S$13:$S$305))</f>
        <v>0</v>
      </c>
      <c r="AK91" s="452">
        <f>IF(U91="","",ProjParseTF(U91))</f>
        <v>120</v>
      </c>
      <c r="AL91" s="219">
        <f>IF(E91="","",ProjCumN(AL90,E90,F90,G90,E91,F91,G91,FALSE))</f>
        <v>4.6307929602773585</v>
      </c>
      <c r="AM91" s="331">
        <f>IF(E91="","",ProjCumE(AM90,E90,F90,G90,E91,F91,G91,FALSE))</f>
        <v>-4.0213216635171989</v>
      </c>
      <c r="AN91" s="330" t="str">
        <f t="shared" si="35"/>
        <v/>
      </c>
      <c r="AO91" s="330" t="str">
        <f>IF(OR(E91="",E91&lt;$U$2),"",ProjActiveTargetMdEx(D91,W91,V91,ProjTargets_MD,ProjTargets_INC,ProjTargets_AZM,ProjTargets_TVD,F91,H91))</f>
        <v/>
      </c>
      <c r="AP91" s="207" t="str">
        <f>IF(OR(E91="",E91&lt;$U$2),"",ProjBitN(E91,F91,G91,AL91,D91,W91,X91))</f>
        <v/>
      </c>
      <c r="AQ91" s="207" t="str">
        <f>IF(OR(E91="",E91&lt;$U$2),"",ProjBitE(E91,F91,G91,AM91,D91,W91,X91))</f>
        <v/>
      </c>
      <c r="AR91" s="207" t="str">
        <f>IF(OR(E91="",E91&lt;$U$2,AO91=""),"",ProjBurr(D91,W91,X91,Q91,C91,ProjTargets_MD,ProjTargets_INC,ProjTargets_AZM,ProjTargets_TVD,V91))</f>
        <v/>
      </c>
      <c r="AS91" s="207" t="str">
        <f>IF(OR(E91="",E91&lt;$U$2,AO91=""),"",ProjMetersToSlide(D91,W91,X91,Q91,C91,ProjTargets_MD,ProjTargets_INC,ProjTargets_AZM,ProjTargets_TVD,V91))</f>
        <v/>
      </c>
      <c r="AT91" s="207" t="str">
        <f>IF(OR(E91="",E91&lt;$U$2,AO91=""),"",ProjRequiredTf(D91,W91,X91,ProjTargets_MD,ProjTargets_INC,ProjTargets_AZM,ProjTargets_TVD,5,V91))</f>
        <v/>
      </c>
    </row>
    <row r="92" spans="2:46" s="209" customFormat="1" ht="15" customHeight="1" x14ac:dyDescent="0.3">
      <c r="B92" s="208">
        <f t="shared" si="22"/>
        <v>17</v>
      </c>
      <c r="C92" s="335">
        <f t="shared" si="29"/>
        <v>28.740000000000236</v>
      </c>
      <c r="D92" s="27">
        <v>2354.71</v>
      </c>
      <c r="E92" s="336">
        <f t="shared" si="30"/>
        <v>2337.71</v>
      </c>
      <c r="F92" s="9">
        <v>0.41</v>
      </c>
      <c r="G92" s="9">
        <v>4.93</v>
      </c>
      <c r="H92" s="337">
        <f t="shared" si="23"/>
        <v>2337.4356668860241</v>
      </c>
      <c r="I92" s="337">
        <f t="shared" si="34"/>
        <v>1565.1856668860241</v>
      </c>
      <c r="J92" s="338">
        <f t="shared" si="31"/>
        <v>1.4144888167812979</v>
      </c>
      <c r="K92" s="339">
        <f t="shared" si="32"/>
        <v>-1.0647181628392397</v>
      </c>
      <c r="L92" s="339">
        <f t="shared" si="33"/>
        <v>74.384133611690402</v>
      </c>
      <c r="M92" s="339">
        <f t="shared" si="24"/>
        <v>4</v>
      </c>
      <c r="N92" s="340">
        <f t="shared" si="25"/>
        <v>138.82679999279341</v>
      </c>
      <c r="O92" s="341" t="str">
        <f t="shared" si="26"/>
        <v>Mag</v>
      </c>
      <c r="P92" s="342">
        <f t="shared" si="27"/>
        <v>-0.255</v>
      </c>
      <c r="Q92" s="343">
        <f t="shared" si="28"/>
        <v>10.163102148573708</v>
      </c>
      <c r="R92" s="10" t="str">
        <f t="shared" si="20"/>
        <v/>
      </c>
      <c r="S92" s="337" t="str">
        <f t="shared" si="21"/>
        <v/>
      </c>
      <c r="T92" s="9"/>
      <c r="U92" s="8"/>
      <c r="V92" s="202" t="str">
        <f>IF(OR(E92="",E92&lt;$U$2),"",ProjTvdAtBit(E92,F92,G92,H92,D92,W92,X92))</f>
        <v/>
      </c>
      <c r="W92" s="344" t="str">
        <f>IF(OR(E92="",E92&lt;$U$2),"",ProjIncAtBit(F92,J92,C92,M92,AJ92,IF(AK92="",0,AK92)))</f>
        <v/>
      </c>
      <c r="X92" s="455" t="str">
        <f>IF(OR(E92="",E92&lt;$U$2),"",ProjAzmAtBit(F92,G92,J92,C92,M92,AJ92,IF(AK92="",0,AK92)))</f>
        <v/>
      </c>
      <c r="Y92" s="461"/>
      <c r="Z92" s="206"/>
      <c r="AA92" s="512" t="str">
        <f t="shared" si="36"/>
        <v/>
      </c>
      <c r="AB92" s="520" t="str">
        <f t="shared" si="37"/>
        <v/>
      </c>
      <c r="AC92" s="510"/>
      <c r="AD92" s="515"/>
      <c r="AE92" s="516"/>
      <c r="AJ92" s="452">
        <f>IF(OR(E92="",D92=""),0,ProjSlideMetersBetween(E92,D92,$R$13:$R$305,$S$13:$S$305))</f>
        <v>0</v>
      </c>
      <c r="AK92" s="452" t="str">
        <f>IF(U92="","",ProjParseTF(U92))</f>
        <v/>
      </c>
      <c r="AL92" s="219">
        <f>IF(E92="","",ProjCumN(AL91,E91,F91,G91,E92,F92,G92,FALSE))</f>
        <v>4.8772241435503263</v>
      </c>
      <c r="AM92" s="331">
        <f>IF(E92="","",ProjCumE(AM91,E91,F91,G91,E92,F92,G92,FALSE))</f>
        <v>-4.3409428326969932</v>
      </c>
      <c r="AN92" s="330" t="str">
        <f t="shared" si="35"/>
        <v/>
      </c>
      <c r="AO92" s="330" t="str">
        <f>IF(OR(E92="",E92&lt;$U$2),"",ProjActiveTargetMdEx(D92,W92,V92,ProjTargets_MD,ProjTargets_INC,ProjTargets_AZM,ProjTargets_TVD,F92,H92))</f>
        <v/>
      </c>
      <c r="AP92" s="207" t="str">
        <f>IF(OR(E92="",E92&lt;$U$2),"",ProjBitN(E92,F92,G92,AL92,D92,W92,X92))</f>
        <v/>
      </c>
      <c r="AQ92" s="207" t="str">
        <f>IF(OR(E92="",E92&lt;$U$2),"",ProjBitE(E92,F92,G92,AM92,D92,W92,X92))</f>
        <v/>
      </c>
      <c r="AR92" s="207" t="str">
        <f>IF(OR(E92="",E92&lt;$U$2,AO92=""),"",ProjBurr(D92,W92,X92,Q92,C92,ProjTargets_MD,ProjTargets_INC,ProjTargets_AZM,ProjTargets_TVD,V92))</f>
        <v/>
      </c>
      <c r="AS92" s="207" t="str">
        <f>IF(OR(E92="",E92&lt;$U$2,AO92=""),"",ProjMetersToSlide(D92,W92,X92,Q92,C92,ProjTargets_MD,ProjTargets_INC,ProjTargets_AZM,ProjTargets_TVD,V92))</f>
        <v/>
      </c>
      <c r="AT92" s="207" t="str">
        <f>IF(OR(E92="",E92&lt;$U$2,AO92=""),"",ProjRequiredTf(D92,W92,X92,ProjTargets_MD,ProjTargets_INC,ProjTargets_AZM,ProjTargets_TVD,5,V92))</f>
        <v/>
      </c>
    </row>
    <row r="93" spans="2:46" s="209" customFormat="1" ht="15" customHeight="1" x14ac:dyDescent="0.3">
      <c r="B93" s="208">
        <f t="shared" si="22"/>
        <v>17</v>
      </c>
      <c r="C93" s="335">
        <f t="shared" si="29"/>
        <v>28.710000000000036</v>
      </c>
      <c r="D93" s="27">
        <v>2383.42</v>
      </c>
      <c r="E93" s="336">
        <f t="shared" si="30"/>
        <v>2366.42</v>
      </c>
      <c r="F93" s="9">
        <v>0.37</v>
      </c>
      <c r="G93" s="9">
        <v>22.28</v>
      </c>
      <c r="H93" s="337">
        <f t="shared" si="23"/>
        <v>2366.1450017882885</v>
      </c>
      <c r="I93" s="337">
        <f t="shared" si="34"/>
        <v>1593.8950017882885</v>
      </c>
      <c r="J93" s="338">
        <f t="shared" si="31"/>
        <v>0.12969038781967476</v>
      </c>
      <c r="K93" s="339">
        <f t="shared" si="32"/>
        <v>-4.1797283176593446E-2</v>
      </c>
      <c r="L93" s="339">
        <f t="shared" si="33"/>
        <v>18.129571577847418</v>
      </c>
      <c r="M93" s="339" t="str">
        <f t="shared" si="24"/>
        <v/>
      </c>
      <c r="N93" s="340">
        <f t="shared" si="25"/>
        <v>108.80117614000902</v>
      </c>
      <c r="O93" s="341" t="str">
        <f t="shared" si="26"/>
        <v>Mag</v>
      </c>
      <c r="P93" s="342" t="str">
        <f t="shared" si="27"/>
        <v/>
      </c>
      <c r="Q93" s="343" t="str">
        <f t="shared" si="28"/>
        <v/>
      </c>
      <c r="R93" s="10" t="str">
        <f t="shared" si="20"/>
        <v/>
      </c>
      <c r="S93" s="337" t="str">
        <f t="shared" si="21"/>
        <v/>
      </c>
      <c r="T93" s="9"/>
      <c r="U93" s="8"/>
      <c r="V93" s="202" t="str">
        <f>IF(OR(E93="",E93&lt;$U$2),"",ProjTvdAtBit(E93,F93,G93,H93,D93,W93,X93))</f>
        <v/>
      </c>
      <c r="W93" s="344" t="str">
        <f>IF(OR(E93="",E93&lt;$U$2),"",ProjIncAtBit(F93,J93,C93,M93,AJ93,IF(AK93="",0,AK93)))</f>
        <v/>
      </c>
      <c r="X93" s="455" t="str">
        <f>IF(OR(E93="",E93&lt;$U$2),"",ProjAzmAtBit(F93,G93,J93,C93,M93,AJ93,IF(AK93="",0,AK93)))</f>
        <v/>
      </c>
      <c r="Y93" s="461"/>
      <c r="Z93" s="206"/>
      <c r="AA93" s="512" t="str">
        <f t="shared" si="36"/>
        <v/>
      </c>
      <c r="AB93" s="520" t="str">
        <f t="shared" si="37"/>
        <v/>
      </c>
      <c r="AC93" s="510"/>
      <c r="AD93" s="515"/>
      <c r="AE93" s="516"/>
      <c r="AJ93" s="452">
        <f>IF(OR(E93="",D93=""),0,ProjSlideMetersBetween(E93,D93,$R$13:$R$305,$S$13:$S$305))</f>
        <v>0</v>
      </c>
      <c r="AK93" s="452" t="str">
        <f>IF(U93="","",ProjParseTF(U93))</f>
        <v/>
      </c>
      <c r="AL93" s="219">
        <f>IF(E93="","",ProjCumN(AL92,E92,F92,G92,E93,F93,G93,FALSE))</f>
        <v>5.0653446645577302</v>
      </c>
      <c r="AM93" s="331">
        <f>IF(E93="","",ProjCumE(AM92,E92,F92,G92,E93,F93,G93,FALSE))</f>
        <v>-4.2969694789459068</v>
      </c>
      <c r="AN93" s="330" t="str">
        <f t="shared" si="35"/>
        <v/>
      </c>
      <c r="AO93" s="330" t="str">
        <f>IF(OR(E93="",E93&lt;$U$2),"",ProjActiveTargetMdEx(D93,W93,V93,ProjTargets_MD,ProjTargets_INC,ProjTargets_AZM,ProjTargets_TVD,F93,H93))</f>
        <v/>
      </c>
      <c r="AP93" s="207" t="str">
        <f>IF(OR(E93="",E93&lt;$U$2),"",ProjBitN(E93,F93,G93,AL93,D93,W93,X93))</f>
        <v/>
      </c>
      <c r="AQ93" s="207" t="str">
        <f>IF(OR(E93="",E93&lt;$U$2),"",ProjBitE(E93,F93,G93,AM93,D93,W93,X93))</f>
        <v/>
      </c>
      <c r="AR93" s="207" t="str">
        <f>IF(OR(E93="",E93&lt;$U$2,AO93=""),"",ProjBurr(D93,W93,X93,Q93,C93,ProjTargets_MD,ProjTargets_INC,ProjTargets_AZM,ProjTargets_TVD,V93))</f>
        <v/>
      </c>
      <c r="AS93" s="207" t="str">
        <f>IF(OR(E93="",E93&lt;$U$2,AO93=""),"",ProjMetersToSlide(D93,W93,X93,Q93,C93,ProjTargets_MD,ProjTargets_INC,ProjTargets_AZM,ProjTargets_TVD,V93))</f>
        <v/>
      </c>
      <c r="AT93" s="207" t="str">
        <f>IF(OR(E93="",E93&lt;$U$2,AO93=""),"",ProjRequiredTf(D93,W93,X93,ProjTargets_MD,ProjTargets_INC,ProjTargets_AZM,ProjTargets_TVD,5,V93))</f>
        <v/>
      </c>
    </row>
    <row r="94" spans="2:46" s="209" customFormat="1" ht="15" customHeight="1" x14ac:dyDescent="0.3">
      <c r="B94" s="208">
        <f t="shared" si="22"/>
        <v>17</v>
      </c>
      <c r="C94" s="335">
        <f t="shared" si="29"/>
        <v>28.819999999999709</v>
      </c>
      <c r="D94" s="27">
        <v>2412.2399999999998</v>
      </c>
      <c r="E94" s="336">
        <f t="shared" si="30"/>
        <v>2395.2399999999998</v>
      </c>
      <c r="F94" s="9">
        <v>0.47</v>
      </c>
      <c r="G94" s="9">
        <v>37.01</v>
      </c>
      <c r="H94" s="337">
        <f t="shared" si="23"/>
        <v>2394.9642274774251</v>
      </c>
      <c r="I94" s="337">
        <f t="shared" si="34"/>
        <v>1622.7142274774251</v>
      </c>
      <c r="J94" s="338">
        <f t="shared" si="31"/>
        <v>0.15238483621775123</v>
      </c>
      <c r="K94" s="339">
        <f t="shared" si="32"/>
        <v>0.10409437890354023</v>
      </c>
      <c r="L94" s="339">
        <f t="shared" si="33"/>
        <v>15.333102012491477</v>
      </c>
      <c r="M94" s="339" t="str">
        <f t="shared" si="24"/>
        <v/>
      </c>
      <c r="N94" s="340">
        <f t="shared" si="25"/>
        <v>46.913481438995134</v>
      </c>
      <c r="O94" s="341" t="str">
        <f t="shared" si="26"/>
        <v>Mag</v>
      </c>
      <c r="P94" s="342" t="str">
        <f t="shared" si="27"/>
        <v/>
      </c>
      <c r="Q94" s="343" t="str">
        <f t="shared" si="28"/>
        <v/>
      </c>
      <c r="R94" s="10" t="str">
        <f t="shared" si="20"/>
        <v/>
      </c>
      <c r="S94" s="337" t="str">
        <f t="shared" si="21"/>
        <v/>
      </c>
      <c r="T94" s="9"/>
      <c r="U94" s="8"/>
      <c r="V94" s="202" t="str">
        <f>IF(OR(E94="",E94&lt;$U$2),"",ProjTvdAtBit(E94,F94,G94,H94,D94,W94,X94))</f>
        <v/>
      </c>
      <c r="W94" s="344" t="str">
        <f>IF(OR(E94="",E94&lt;$U$2),"",ProjIncAtBit(F94,J94,C94,M94,AJ94,IF(AK94="",0,AK94)))</f>
        <v/>
      </c>
      <c r="X94" s="455" t="str">
        <f>IF(OR(E94="",E94&lt;$U$2),"",ProjAzmAtBit(F94,G94,J94,C94,M94,AJ94,IF(AK94="",0,AK94)))</f>
        <v/>
      </c>
      <c r="Y94" s="461"/>
      <c r="Z94" s="206"/>
      <c r="AA94" s="512" t="str">
        <f t="shared" si="36"/>
        <v/>
      </c>
      <c r="AB94" s="520" t="str">
        <f t="shared" si="37"/>
        <v/>
      </c>
      <c r="AC94" s="510"/>
      <c r="AD94" s="515"/>
      <c r="AE94" s="516"/>
      <c r="AJ94" s="452">
        <f>IF(OR(E94="",D94=""),0,ProjSlideMetersBetween(E94,D94,$R$13:$R$305,$S$13:$S$305))</f>
        <v>0</v>
      </c>
      <c r="AK94" s="452" t="str">
        <f>IF(U94="","",ProjParseTF(U94))</f>
        <v/>
      </c>
      <c r="AL94" s="219">
        <f>IF(E94="","",ProjCumN(AL93,E93,F93,G93,E94,F94,G94,FALSE))</f>
        <v>5.245842505626741</v>
      </c>
      <c r="AM94" s="331">
        <f>IF(E94="","",ProjCumE(AM93,E93,F93,G93,E94,F94,G94,FALSE))</f>
        <v>-4.1905353831197747</v>
      </c>
      <c r="AN94" s="330" t="str">
        <f t="shared" si="35"/>
        <v/>
      </c>
      <c r="AO94" s="330" t="str">
        <f>IF(OR(E94="",E94&lt;$U$2),"",ProjActiveTargetMdEx(D94,W94,V94,ProjTargets_MD,ProjTargets_INC,ProjTargets_AZM,ProjTargets_TVD,F94,H94))</f>
        <v/>
      </c>
      <c r="AP94" s="207" t="str">
        <f>IF(OR(E94="",E94&lt;$U$2),"",ProjBitN(E94,F94,G94,AL94,D94,W94,X94))</f>
        <v/>
      </c>
      <c r="AQ94" s="207" t="str">
        <f>IF(OR(E94="",E94&lt;$U$2),"",ProjBitE(E94,F94,G94,AM94,D94,W94,X94))</f>
        <v/>
      </c>
      <c r="AR94" s="207" t="str">
        <f>IF(OR(E94="",E94&lt;$U$2,AO94=""),"",ProjBurr(D94,W94,X94,Q94,C94,ProjTargets_MD,ProjTargets_INC,ProjTargets_AZM,ProjTargets_TVD,V94))</f>
        <v/>
      </c>
      <c r="AS94" s="207" t="str">
        <f>IF(OR(E94="",E94&lt;$U$2,AO94=""),"",ProjMetersToSlide(D94,W94,X94,Q94,C94,ProjTargets_MD,ProjTargets_INC,ProjTargets_AZM,ProjTargets_TVD,V94))</f>
        <v/>
      </c>
      <c r="AT94" s="207" t="str">
        <f>IF(OR(E94="",E94&lt;$U$2,AO94=""),"",ProjRequiredTf(D94,W94,X94,ProjTargets_MD,ProjTargets_INC,ProjTargets_AZM,ProjTargets_TVD,5,V94))</f>
        <v/>
      </c>
    </row>
    <row r="95" spans="2:46" s="209" customFormat="1" ht="15" customHeight="1" x14ac:dyDescent="0.3">
      <c r="B95" s="208">
        <f t="shared" si="22"/>
        <v>17</v>
      </c>
      <c r="C95" s="335">
        <f t="shared" si="29"/>
        <v>28.790000000000418</v>
      </c>
      <c r="D95" s="27">
        <v>2441.0300000000002</v>
      </c>
      <c r="E95" s="336">
        <f t="shared" si="30"/>
        <v>2424.0300000000002</v>
      </c>
      <c r="F95" s="9">
        <v>0.6</v>
      </c>
      <c r="G95" s="9">
        <v>42.99</v>
      </c>
      <c r="H95" s="337">
        <f t="shared" si="23"/>
        <v>2423.7529723991483</v>
      </c>
      <c r="I95" s="337">
        <f t="shared" si="34"/>
        <v>1651.5029723991483</v>
      </c>
      <c r="J95" s="338">
        <f t="shared" si="31"/>
        <v>0.14725089788813539</v>
      </c>
      <c r="K95" s="339">
        <f t="shared" si="32"/>
        <v>0.13546370267453781</v>
      </c>
      <c r="L95" s="339">
        <f t="shared" si="33"/>
        <v>6.2313303230287431</v>
      </c>
      <c r="M95" s="339" t="str">
        <f t="shared" si="24"/>
        <v/>
      </c>
      <c r="N95" s="340">
        <f t="shared" si="25"/>
        <v>23.080989254494572</v>
      </c>
      <c r="O95" s="341" t="str">
        <f t="shared" si="26"/>
        <v>Mag</v>
      </c>
      <c r="P95" s="342" t="str">
        <f t="shared" si="27"/>
        <v/>
      </c>
      <c r="Q95" s="343" t="str">
        <f t="shared" si="28"/>
        <v/>
      </c>
      <c r="R95" s="10">
        <f t="shared" si="20"/>
        <v>2441.0300000000002</v>
      </c>
      <c r="S95" s="337">
        <f t="shared" si="21"/>
        <v>2445.0300000000002</v>
      </c>
      <c r="T95" s="9">
        <v>4</v>
      </c>
      <c r="U95" s="8" t="s">
        <v>731</v>
      </c>
      <c r="V95" s="202" t="str">
        <f>IF(OR(E95="",E95&lt;$U$2),"",ProjTvdAtBit(E95,F95,G95,H95,D95,W95,X95))</f>
        <v/>
      </c>
      <c r="W95" s="344" t="str">
        <f>IF(OR(E95="",E95&lt;$U$2),"",ProjIncAtBit(F95,J95,C95,M95,AJ95,IF(AK95="",0,AK95)))</f>
        <v/>
      </c>
      <c r="X95" s="455" t="str">
        <f>IF(OR(E95="",E95&lt;$U$2),"",ProjAzmAtBit(F95,G95,J95,C95,M95,AJ95,IF(AK95="",0,AK95)))</f>
        <v/>
      </c>
      <c r="Y95" s="461"/>
      <c r="Z95" s="206"/>
      <c r="AA95" s="512" t="str">
        <f t="shared" si="36"/>
        <v/>
      </c>
      <c r="AB95" s="520" t="str">
        <f t="shared" si="37"/>
        <v/>
      </c>
      <c r="AC95" s="510"/>
      <c r="AD95" s="515"/>
      <c r="AE95" s="516"/>
      <c r="AJ95" s="452">
        <f>IF(OR(E95="",D95=""),0,ProjSlideMetersBetween(E95,D95,$R$13:$R$305,$S$13:$S$305))</f>
        <v>0</v>
      </c>
      <c r="AK95" s="452">
        <f>IF(U95="","",ProjParseTF(U95))</f>
        <v>130</v>
      </c>
      <c r="AL95" s="219">
        <f>IF(E95="","",ProjCumN(AL94,E94,F94,G94,E95,F95,G95,FALSE))</f>
        <v>5.4503974919598388</v>
      </c>
      <c r="AM95" s="331">
        <f>IF(E95="","",ProjCumE(AM94,E94,F94,G94,E95,F95,G95,FALSE))</f>
        <v>-4.0166694911425065</v>
      </c>
      <c r="AN95" s="330" t="str">
        <f t="shared" si="35"/>
        <v/>
      </c>
      <c r="AO95" s="330" t="str">
        <f>IF(OR(E95="",E95&lt;$U$2),"",ProjActiveTargetMdEx(D95,W95,V95,ProjTargets_MD,ProjTargets_INC,ProjTargets_AZM,ProjTargets_TVD,F95,H95))</f>
        <v/>
      </c>
      <c r="AP95" s="207" t="str">
        <f>IF(OR(E95="",E95&lt;$U$2),"",ProjBitN(E95,F95,G95,AL95,D95,W95,X95))</f>
        <v/>
      </c>
      <c r="AQ95" s="207" t="str">
        <f>IF(OR(E95="",E95&lt;$U$2),"",ProjBitE(E95,F95,G95,AM95,D95,W95,X95))</f>
        <v/>
      </c>
      <c r="AR95" s="207" t="str">
        <f>IF(OR(E95="",E95&lt;$U$2,AO95=""),"",ProjBurr(D95,W95,X95,Q95,C95,ProjTargets_MD,ProjTargets_INC,ProjTargets_AZM,ProjTargets_TVD,V95))</f>
        <v/>
      </c>
      <c r="AS95" s="207" t="str">
        <f>IF(OR(E95="",E95&lt;$U$2,AO95=""),"",ProjMetersToSlide(D95,W95,X95,Q95,C95,ProjTargets_MD,ProjTargets_INC,ProjTargets_AZM,ProjTargets_TVD,V95))</f>
        <v/>
      </c>
      <c r="AT95" s="207" t="str">
        <f>IF(OR(E95="",E95&lt;$U$2,AO95=""),"",ProjRequiredTf(D95,W95,X95,ProjTargets_MD,ProjTargets_INC,ProjTargets_AZM,ProjTargets_TVD,5,V95))</f>
        <v/>
      </c>
    </row>
    <row r="96" spans="2:46" s="209" customFormat="1" ht="15" customHeight="1" x14ac:dyDescent="0.3">
      <c r="B96" s="208">
        <f t="shared" si="22"/>
        <v>17</v>
      </c>
      <c r="C96" s="335">
        <f t="shared" si="29"/>
        <v>28.619999999999891</v>
      </c>
      <c r="D96" s="27">
        <v>2469.65</v>
      </c>
      <c r="E96" s="336">
        <f t="shared" si="30"/>
        <v>2452.65</v>
      </c>
      <c r="F96" s="9">
        <v>1.5</v>
      </c>
      <c r="G96" s="9">
        <v>95.34</v>
      </c>
      <c r="H96" s="337">
        <f t="shared" si="23"/>
        <v>2452.3681666531547</v>
      </c>
      <c r="I96" s="337">
        <f t="shared" si="34"/>
        <v>1680.1181666531547</v>
      </c>
      <c r="J96" s="338">
        <f t="shared" si="31"/>
        <v>1.2882608273933207</v>
      </c>
      <c r="K96" s="339">
        <f t="shared" si="32"/>
        <v>0.9433962264150979</v>
      </c>
      <c r="L96" s="339">
        <f t="shared" si="33"/>
        <v>54.874213836478198</v>
      </c>
      <c r="M96" s="339">
        <f t="shared" si="24"/>
        <v>4</v>
      </c>
      <c r="N96" s="340">
        <f t="shared" si="25"/>
        <v>42.920256350392876</v>
      </c>
      <c r="O96" s="341" t="str">
        <f t="shared" si="26"/>
        <v>Mag</v>
      </c>
      <c r="P96" s="342">
        <f t="shared" si="27"/>
        <v>0.22500000000000001</v>
      </c>
      <c r="Q96" s="343">
        <f t="shared" si="28"/>
        <v>9.2175062199991746</v>
      </c>
      <c r="R96" s="10" t="str">
        <f t="shared" si="20"/>
        <v/>
      </c>
      <c r="S96" s="337" t="str">
        <f t="shared" si="21"/>
        <v/>
      </c>
      <c r="T96" s="9"/>
      <c r="U96" s="8"/>
      <c r="V96" s="202">
        <f>IF(OR(E96="",E96&lt;$U$2),"",ProjTvdAtBit(E96,F96,G96,H96,D96,W96,X96))</f>
        <v>2469.3623411777394</v>
      </c>
      <c r="W96" s="344">
        <f>IF(OR(E96="",E96&lt;$U$2),"",ProjIncAtBit(F96,J96,C96,M96,AJ96,IF(AK96="",0,AK96)))</f>
        <v>1.5</v>
      </c>
      <c r="X96" s="455">
        <f>IF(OR(E96="",E96&lt;$U$2),"",ProjAzmAtBit(F96,G96,J96,C96,M96,AJ96,IF(AK96="",0,AK96)))</f>
        <v>95.34</v>
      </c>
      <c r="Y96" s="461" t="s">
        <v>1821</v>
      </c>
      <c r="Z96" s="206"/>
      <c r="AA96" s="512" t="str">
        <f t="shared" si="36"/>
        <v/>
      </c>
      <c r="AB96" s="520" t="str">
        <f t="shared" si="37"/>
        <v/>
      </c>
      <c r="AC96" s="510"/>
      <c r="AD96" s="515"/>
      <c r="AE96" s="516"/>
      <c r="AJ96" s="452">
        <f>IF(OR(E96="",D96=""),0,ProjSlideMetersBetween(E96,D96,$R$13:$R$305,$S$13:$S$305))</f>
        <v>0</v>
      </c>
      <c r="AK96" s="452" t="str">
        <f>IF(U96="","",ProjParseTF(U96))</f>
        <v/>
      </c>
      <c r="AL96" s="219">
        <f>IF(E96="","",ProjCumN(AL95,E95,F95,G95,E96,F96,G96,FALSE))</f>
        <v>5.5251507624959633</v>
      </c>
      <c r="AM96" s="331">
        <f>IF(E96="","",ProjCumE(AM95,E95,F95,G95,E96,F96,G96,FALSE))</f>
        <v>-3.5415057191967025</v>
      </c>
      <c r="AN96" s="330">
        <f t="shared" si="35"/>
        <v>95.34</v>
      </c>
      <c r="AO96" s="330">
        <f>IF(OR(E96="",E96&lt;$U$2),"",ProjActiveTargetMdEx(D96,W96,V96,ProjTargets_MD,ProjTargets_INC,ProjTargets_AZM,ProjTargets_TVD,F96,H96))</f>
        <v>2821.17</v>
      </c>
      <c r="AP96" s="207">
        <f>IF(OR(E96="",E96&lt;$U$2),"",ProjBitN(E96,F96,G96,AL96,D96,W96,X96))</f>
        <v>5.4837357649111844</v>
      </c>
      <c r="AQ96" s="207">
        <f>IF(OR(E96="",E96&lt;$U$2),"",ProjBitE(E96,F96,G96,AM96,D96,W96,X96))</f>
        <v>-3.0984289471366817</v>
      </c>
      <c r="AR96" s="207">
        <f>IF(OR(E96="",E96&lt;$U$2,AO96=""),"",ProjBurr(D96,W96,X96,Q96,C96,ProjTargets_MD,ProjTargets_INC,ProjTargets_AZM,ProjTargets_TVD,V96))</f>
        <v>4.1396655263037285</v>
      </c>
      <c r="AS96" s="207">
        <f>IF(OR(E96="",E96&lt;$U$2,AO96=""),"",ProjMetersToSlide(D96,W96,X96,Q96,C96,ProjTargets_MD,ProjTargets_INC,ProjTargets_AZM,ProjTargets_TVD,V96))</f>
        <v>12.853501211179315</v>
      </c>
      <c r="AT96" s="207" t="str">
        <f>IF(OR(E96="",E96&lt;$U$2,AO96=""),"",ProjRequiredTf(D96,W96,X96,ProjTargets_MD,ProjTargets_INC,ProjTargets_AZM,ProjTargets_TVD,5,V96))</f>
        <v>56M</v>
      </c>
    </row>
    <row r="97" spans="2:46" s="209" customFormat="1" ht="15" customHeight="1" x14ac:dyDescent="0.3">
      <c r="B97" s="208">
        <f t="shared" si="22"/>
        <v>17</v>
      </c>
      <c r="C97" s="335">
        <f t="shared" si="29"/>
        <v>28.730000000000018</v>
      </c>
      <c r="D97" s="27">
        <v>2498.38</v>
      </c>
      <c r="E97" s="336">
        <f t="shared" si="30"/>
        <v>2481.38</v>
      </c>
      <c r="F97" s="9">
        <v>1.58</v>
      </c>
      <c r="G97" s="9">
        <v>87.23</v>
      </c>
      <c r="H97" s="337">
        <f t="shared" si="23"/>
        <v>2481.0877895612903</v>
      </c>
      <c r="I97" s="337">
        <f t="shared" si="34"/>
        <v>1708.8377895612903</v>
      </c>
      <c r="J97" s="338">
        <f t="shared" si="31"/>
        <v>0.24218604567805097</v>
      </c>
      <c r="K97" s="339">
        <f t="shared" si="32"/>
        <v>8.3536373129133326E-2</v>
      </c>
      <c r="L97" s="339">
        <f t="shared" si="33"/>
        <v>-8.4684998259658819</v>
      </c>
      <c r="M97" s="339" t="str">
        <f t="shared" si="24"/>
        <v/>
      </c>
      <c r="N97" s="340">
        <f t="shared" si="25"/>
        <v>69.822693893729536</v>
      </c>
      <c r="O97" s="341" t="str">
        <f t="shared" si="26"/>
        <v>Mag</v>
      </c>
      <c r="P97" s="342" t="str">
        <f t="shared" si="27"/>
        <v/>
      </c>
      <c r="Q97" s="343" t="str">
        <f t="shared" si="28"/>
        <v/>
      </c>
      <c r="R97" s="10" t="str">
        <f t="shared" si="20"/>
        <v/>
      </c>
      <c r="S97" s="337" t="str">
        <f t="shared" si="21"/>
        <v/>
      </c>
      <c r="T97" s="9"/>
      <c r="U97" s="8"/>
      <c r="V97" s="202">
        <f>IF(OR(E97="",E97&lt;$U$2),"",ProjTvdAtBit(E97,F97,G97,H97,D97,W97,X97))</f>
        <v>2498.0813261720173</v>
      </c>
      <c r="W97" s="344">
        <f>IF(OR(E97="",E97&lt;$U$2),"",ProjIncAtBit(F97,J97,C97,M97,AJ97,IF(AK97="",0,AK97)))</f>
        <v>1.58</v>
      </c>
      <c r="X97" s="455">
        <f>IF(OR(E97="",E97&lt;$U$2),"",ProjAzmAtBit(F97,G97,J97,C97,M97,AJ97,IF(AK97="",0,AK97)))</f>
        <v>87.23</v>
      </c>
      <c r="Y97" s="461" t="s">
        <v>1822</v>
      </c>
      <c r="Z97" s="206"/>
      <c r="AA97" s="512" t="str">
        <f t="shared" si="36"/>
        <v/>
      </c>
      <c r="AB97" s="520" t="str">
        <f t="shared" si="37"/>
        <v/>
      </c>
      <c r="AC97" s="510"/>
      <c r="AD97" s="515"/>
      <c r="AE97" s="516"/>
      <c r="AJ97" s="452">
        <f>IF(OR(E97="",D97=""),0,ProjSlideMetersBetween(E97,D97,$R$13:$R$305,$S$13:$S$305))</f>
        <v>0</v>
      </c>
      <c r="AK97" s="452" t="str">
        <f>IF(U97="","",ProjParseTF(U97))</f>
        <v/>
      </c>
      <c r="AL97" s="219">
        <f>IF(E97="","",ProjCumN(AL96,E96,F96,G96,E97,F97,G97,FALSE))</f>
        <v>5.5092964364077543</v>
      </c>
      <c r="AM97" s="331">
        <f>IF(E97="","",ProjCumE(AM96,E96,F96,G96,E97,F97,G97,FALSE))</f>
        <v>-2.7714856461316701</v>
      </c>
      <c r="AN97" s="330">
        <f t="shared" si="35"/>
        <v>87.23</v>
      </c>
      <c r="AO97" s="330">
        <f>IF(OR(E97="",E97&lt;$U$2),"",ProjActiveTargetMdEx(D97,W97,V97,ProjTargets_MD,ProjTargets_INC,ProjTargets_AZM,ProjTargets_TVD,F97,H97))</f>
        <v>2821.17</v>
      </c>
      <c r="AP97" s="207">
        <f>IF(OR(E97="",E97&lt;$U$2),"",ProjBitN(E97,F97,G97,AL97,D97,W97,X97))</f>
        <v>5.5319489435325515</v>
      </c>
      <c r="AQ97" s="207">
        <f>IF(OR(E97="",E97&lt;$U$2),"",ProjBitE(E97,F97,G97,AM97,D97,W97,X97))</f>
        <v>-2.3032973038944995</v>
      </c>
      <c r="AR97" s="207">
        <f>IF(OR(E97="",E97&lt;$U$2,AO97=""),"",ProjBurr(D97,W97,X97,Q97,C97,ProjTargets_MD,ProjTargets_INC,ProjTargets_AZM,ProjTargets_TVD,V97))</f>
        <v>4.6883118469053979</v>
      </c>
      <c r="AS97" s="207" t="str">
        <f>IF(OR(E97="",E97&lt;$U$2,AO97=""),"",ProjMetersToSlide(D97,W97,X97,Q97,C97,ProjTargets_MD,ProjTargets_INC,ProjTargets_AZM,ProjTargets_TVD,V97))</f>
        <v/>
      </c>
      <c r="AT97" s="207" t="str">
        <f>IF(OR(E97="",E97&lt;$U$2,AO97=""),"",ProjRequiredTf(D97,W97,X97,ProjTargets_MD,ProjTargets_INC,ProjTargets_AZM,ProjTargets_TVD,5,V97))</f>
        <v>60M</v>
      </c>
    </row>
    <row r="98" spans="2:46" s="209" customFormat="1" ht="15" customHeight="1" x14ac:dyDescent="0.3">
      <c r="B98" s="208">
        <f t="shared" si="22"/>
        <v>17</v>
      </c>
      <c r="C98" s="335">
        <f t="shared" si="29"/>
        <v>28.7800000000002</v>
      </c>
      <c r="D98" s="27">
        <v>2527.1600000000003</v>
      </c>
      <c r="E98" s="336">
        <f t="shared" si="30"/>
        <v>2510.16</v>
      </c>
      <c r="F98" s="9">
        <v>1.5</v>
      </c>
      <c r="G98" s="9">
        <v>85.64</v>
      </c>
      <c r="H98" s="337">
        <f t="shared" si="23"/>
        <v>2509.8573944097461</v>
      </c>
      <c r="I98" s="337">
        <f t="shared" si="34"/>
        <v>1737.6073944097461</v>
      </c>
      <c r="J98" s="338">
        <f t="shared" si="31"/>
        <v>9.4533896200261175E-2</v>
      </c>
      <c r="K98" s="339">
        <f t="shared" si="32"/>
        <v>-8.3391243919389277E-2</v>
      </c>
      <c r="L98" s="339">
        <f t="shared" si="33"/>
        <v>-1.657400972897864</v>
      </c>
      <c r="M98" s="339" t="str">
        <f t="shared" si="24"/>
        <v/>
      </c>
      <c r="N98" s="340">
        <f t="shared" si="25"/>
        <v>151.9004559493444</v>
      </c>
      <c r="O98" s="341" t="str">
        <f t="shared" si="26"/>
        <v>Mag</v>
      </c>
      <c r="P98" s="342" t="str">
        <f t="shared" si="27"/>
        <v/>
      </c>
      <c r="Q98" s="343" t="str">
        <f t="shared" si="28"/>
        <v/>
      </c>
      <c r="R98" s="10" t="str">
        <f t="shared" si="20"/>
        <v/>
      </c>
      <c r="S98" s="337" t="str">
        <f t="shared" si="21"/>
        <v/>
      </c>
      <c r="T98" s="9"/>
      <c r="U98" s="8"/>
      <c r="V98" s="202">
        <f>IF(OR(E98="",E98&lt;$U$2),"",ProjTvdAtBit(E98,F98,G98,H98,D98,W98,X98))</f>
        <v>2526.8515689343312</v>
      </c>
      <c r="W98" s="344">
        <f>IF(OR(E98="",E98&lt;$U$2),"",ProjIncAtBit(F98,J98,C98,M98,AJ98,IF(AK98="",0,AK98)))</f>
        <v>1.5</v>
      </c>
      <c r="X98" s="455">
        <f>IF(OR(E98="",E98&lt;$U$2),"",ProjAzmAtBit(F98,G98,J98,C98,M98,AJ98,IF(AK98="",0,AK98)))</f>
        <v>85.64</v>
      </c>
      <c r="Y98" s="461" t="s">
        <v>1823</v>
      </c>
      <c r="Z98" s="206"/>
      <c r="AA98" s="512" t="str">
        <f t="shared" si="36"/>
        <v/>
      </c>
      <c r="AB98" s="520" t="str">
        <f t="shared" si="37"/>
        <v/>
      </c>
      <c r="AC98" s="510"/>
      <c r="AD98" s="515"/>
      <c r="AE98" s="516"/>
      <c r="AJ98" s="452">
        <f>IF(OR(E98="",D98=""),0,ProjSlideMetersBetween(E98,D98,$R$13:$R$305,$S$13:$S$305))</f>
        <v>0</v>
      </c>
      <c r="AK98" s="452" t="str">
        <f>IF(U98="","",ProjParseTF(U98))</f>
        <v/>
      </c>
      <c r="AL98" s="219">
        <f>IF(E98="","",ProjCumN(AL97,E97,F97,G97,E98,F98,G98,FALSE))</f>
        <v>5.5571079246013717</v>
      </c>
      <c r="AM98" s="331">
        <f>IF(E98="","",ProjCumE(AM97,E97,F97,G97,E98,F98,G98,FALSE))</f>
        <v>-1.9995816413985059</v>
      </c>
      <c r="AN98" s="330">
        <f t="shared" si="35"/>
        <v>85.64</v>
      </c>
      <c r="AO98" s="330">
        <f>IF(OR(E98="",E98&lt;$U$2),"",ProjActiveTargetMdEx(D98,W98,V98,ProjTargets_MD,ProjTargets_INC,ProjTargets_AZM,ProjTargets_TVD,F98,H98))</f>
        <v>2821.17</v>
      </c>
      <c r="AP98" s="207">
        <f>IF(OR(E98="",E98&lt;$U$2),"",ProjBitN(E98,F98,G98,AL98,D98,W98,X98))</f>
        <v>5.5909387482338069</v>
      </c>
      <c r="AQ98" s="207">
        <f>IF(OR(E98="",E98&lt;$U$2),"",ProjBitE(E98,F98,G98,AM98,D98,W98,X98))</f>
        <v>-1.5558613428584949</v>
      </c>
      <c r="AR98" s="207">
        <f>IF(OR(E98="",E98&lt;$U$2,AO98=""),"",ProjBurr(D98,W98,X98,Q98,C98,ProjTargets_MD,ProjTargets_INC,ProjTargets_AZM,ProjTargets_TVD,V98))</f>
        <v>5.4362506994705946</v>
      </c>
      <c r="AS98" s="207" t="str">
        <f>IF(OR(E98="",E98&lt;$U$2,AO98=""),"",ProjMetersToSlide(D98,W98,X98,Q98,C98,ProjTargets_MD,ProjTargets_INC,ProjTargets_AZM,ProjTargets_TVD,V98))</f>
        <v/>
      </c>
      <c r="AT98" s="207" t="str">
        <f>IF(OR(E98="",E98&lt;$U$2,AO98=""),"",ProjRequiredTf(D98,W98,X98,ProjTargets_MD,ProjTargets_INC,ProjTargets_AZM,ProjTargets_TVD,5,V98))</f>
        <v>60M</v>
      </c>
    </row>
    <row r="99" spans="2:46" s="209" customFormat="1" ht="15" customHeight="1" x14ac:dyDescent="0.3">
      <c r="B99" s="208">
        <f t="shared" si="22"/>
        <v>17</v>
      </c>
      <c r="C99" s="335">
        <f t="shared" si="29"/>
        <v>28.829999999999927</v>
      </c>
      <c r="D99" s="27">
        <v>2555.9900000000002</v>
      </c>
      <c r="E99" s="336">
        <f t="shared" si="30"/>
        <v>2538.9899999999998</v>
      </c>
      <c r="F99" s="9">
        <v>1.21</v>
      </c>
      <c r="G99" s="9">
        <v>83.42</v>
      </c>
      <c r="H99" s="337">
        <f t="shared" si="23"/>
        <v>2538.6793326893585</v>
      </c>
      <c r="I99" s="337">
        <f t="shared" si="34"/>
        <v>1766.4293326893585</v>
      </c>
      <c r="J99" s="338">
        <f t="shared" si="31"/>
        <v>0.30661714995576034</v>
      </c>
      <c r="K99" s="339">
        <f t="shared" si="32"/>
        <v>-0.30176899063475626</v>
      </c>
      <c r="L99" s="339">
        <f t="shared" si="33"/>
        <v>-2.3100936524453743</v>
      </c>
      <c r="M99" s="339" t="str">
        <f t="shared" si="24"/>
        <v/>
      </c>
      <c r="N99" s="340">
        <f t="shared" si="25"/>
        <v>169.79761369528481</v>
      </c>
      <c r="O99" s="341" t="str">
        <f t="shared" si="26"/>
        <v>Mag</v>
      </c>
      <c r="P99" s="342" t="str">
        <f t="shared" si="27"/>
        <v/>
      </c>
      <c r="Q99" s="343" t="str">
        <f t="shared" si="28"/>
        <v/>
      </c>
      <c r="R99" s="10" t="str">
        <f t="shared" si="20"/>
        <v/>
      </c>
      <c r="S99" s="337" t="str">
        <f t="shared" si="21"/>
        <v/>
      </c>
      <c r="T99" s="9"/>
      <c r="U99" s="8"/>
      <c r="V99" s="202">
        <f>IF(OR(E99="",E99&lt;$U$2),"",ProjTvdAtBit(E99,F99,G99,H99,D99,W99,X99))</f>
        <v>2555.6755419121528</v>
      </c>
      <c r="W99" s="344">
        <f>IF(OR(E99="",E99&lt;$U$2),"",ProjIncAtBit(F99,J99,C99,M99,AJ99,IF(AK99="",0,AK99)))</f>
        <v>1.21</v>
      </c>
      <c r="X99" s="455">
        <f>IF(OR(E99="",E99&lt;$U$2),"",ProjAzmAtBit(F99,G99,J99,C99,M99,AJ99,IF(AK99="",0,AK99)))</f>
        <v>83.42</v>
      </c>
      <c r="Y99" s="461" t="s">
        <v>1824</v>
      </c>
      <c r="Z99" s="206"/>
      <c r="AA99" s="512" t="str">
        <f t="shared" si="36"/>
        <v/>
      </c>
      <c r="AB99" s="520" t="str">
        <f t="shared" si="37"/>
        <v/>
      </c>
      <c r="AC99" s="510"/>
      <c r="AD99" s="515"/>
      <c r="AE99" s="516"/>
      <c r="AJ99" s="452">
        <f>IF(OR(E99="",D99=""),0,ProjSlideMetersBetween(E99,D99,$R$13:$R$305,$S$13:$S$305))</f>
        <v>0</v>
      </c>
      <c r="AK99" s="452" t="str">
        <f>IF(U99="","",ProjParseTF(U99))</f>
        <v/>
      </c>
      <c r="AL99" s="219">
        <f>IF(E99="","",ProjCumN(AL98,E98,F98,G98,E99,F99,G99,FALSE))</f>
        <v>5.6206759645942137</v>
      </c>
      <c r="AM99" s="331">
        <f>IF(E99="","",ProjCumE(AM98,E98,F98,G98,E99,F99,G99,FALSE))</f>
        <v>-1.3209362532919351</v>
      </c>
      <c r="AN99" s="330">
        <f t="shared" si="35"/>
        <v>83.42</v>
      </c>
      <c r="AO99" s="330">
        <f>IF(OR(E99="",E99&lt;$U$2),"",ProjActiveTargetMdEx(D99,W99,V99,ProjTargets_MD,ProjTargets_INC,ProjTargets_AZM,ProjTargets_TVD,F99,H99))</f>
        <v>2821.17</v>
      </c>
      <c r="AP99" s="207">
        <f>IF(OR(E99="",E99&lt;$U$2),"",ProjBitN(E99,F99,G99,AL99,D99,W99,X99))</f>
        <v>5.6618124873441182</v>
      </c>
      <c r="AQ99" s="207">
        <f>IF(OR(E99="",E99&lt;$U$2),"",ProjBitE(E99,F99,G99,AM99,D99,W99,X99))</f>
        <v>-0.96431342521216545</v>
      </c>
      <c r="AR99" s="207">
        <f>IF(OR(E99="",E99&lt;$U$2,AO99=""),"",ProjBurr(D99,W99,X99,Q99,C99,ProjTargets_MD,ProjTargets_INC,ProjTargets_AZM,ProjTargets_TVD,V99))</f>
        <v>6.5051954755255386</v>
      </c>
      <c r="AS99" s="207" t="str">
        <f>IF(OR(E99="",E99&lt;$U$2,AO99=""),"",ProjMetersToSlide(D99,W99,X99,Q99,C99,ProjTargets_MD,ProjTargets_INC,ProjTargets_AZM,ProjTargets_TVD,V99))</f>
        <v/>
      </c>
      <c r="AT99" s="207" t="str">
        <f>IF(OR(E99="",E99&lt;$U$2,AO99=""),"",ProjRequiredTf(D99,W99,X99,ProjTargets_MD,ProjTargets_INC,ProjTargets_AZM,ProjTargets_TVD,5,V99))</f>
        <v>61M</v>
      </c>
    </row>
    <row r="100" spans="2:46" s="209" customFormat="1" ht="15" customHeight="1" x14ac:dyDescent="0.3">
      <c r="B100" s="208">
        <f t="shared" si="22"/>
        <v>17</v>
      </c>
      <c r="C100" s="335">
        <f t="shared" si="29"/>
        <v>28.789999999999964</v>
      </c>
      <c r="D100" s="27">
        <v>2584.7800000000002</v>
      </c>
      <c r="E100" s="336">
        <f t="shared" si="30"/>
        <v>2567.7800000000002</v>
      </c>
      <c r="F100" s="9">
        <v>1.32</v>
      </c>
      <c r="G100" s="9">
        <v>78.260000000000005</v>
      </c>
      <c r="H100" s="337">
        <f t="shared" si="23"/>
        <v>2567.4623160393617</v>
      </c>
      <c r="I100" s="337">
        <f t="shared" si="34"/>
        <v>1795.2123160393617</v>
      </c>
      <c r="J100" s="338">
        <f t="shared" si="31"/>
        <v>0.16490223842199056</v>
      </c>
      <c r="K100" s="339">
        <f t="shared" si="32"/>
        <v>0.11462313303230132</v>
      </c>
      <c r="L100" s="339">
        <f t="shared" si="33"/>
        <v>-5.3768669676970351</v>
      </c>
      <c r="M100" s="339" t="str">
        <f t="shared" si="24"/>
        <v/>
      </c>
      <c r="N100" s="340">
        <f t="shared" si="25"/>
        <v>45.965013100557655</v>
      </c>
      <c r="O100" s="341" t="str">
        <f t="shared" si="26"/>
        <v>Mag</v>
      </c>
      <c r="P100" s="342" t="str">
        <f t="shared" si="27"/>
        <v/>
      </c>
      <c r="Q100" s="343" t="str">
        <f t="shared" si="28"/>
        <v/>
      </c>
      <c r="R100" s="10" t="str">
        <f t="shared" si="20"/>
        <v/>
      </c>
      <c r="S100" s="337" t="str">
        <f t="shared" si="21"/>
        <v/>
      </c>
      <c r="T100" s="9"/>
      <c r="U100" s="8"/>
      <c r="V100" s="202">
        <f>IF(OR(E100="",E100&lt;$U$2),"",ProjTvdAtBit(E100,F100,G100,H100,D100,W100,X100))</f>
        <v>2584.4578047330701</v>
      </c>
      <c r="W100" s="344">
        <f>IF(OR(E100="",E100&lt;$U$2),"",ProjIncAtBit(F100,J100,C100,M100,AJ100,IF(AK100="",0,AK100)))</f>
        <v>1.32</v>
      </c>
      <c r="X100" s="455">
        <f>IF(OR(E100="",E100&lt;$U$2),"",ProjAzmAtBit(F100,G100,J100,C100,M100,AJ100,IF(AK100="",0,AK100)))</f>
        <v>78.260000000000005</v>
      </c>
      <c r="Y100" s="461" t="s">
        <v>1825</v>
      </c>
      <c r="Z100" s="206"/>
      <c r="AA100" s="512" t="str">
        <f t="shared" si="36"/>
        <v/>
      </c>
      <c r="AB100" s="520" t="str">
        <f t="shared" si="37"/>
        <v/>
      </c>
      <c r="AC100" s="510"/>
      <c r="AD100" s="515"/>
      <c r="AE100" s="516"/>
      <c r="AJ100" s="452">
        <f>IF(OR(E100="",D100=""),0,ProjSlideMetersBetween(E100,D100,$R$13:$R$305,$S$13:$S$305))</f>
        <v>0</v>
      </c>
      <c r="AK100" s="452" t="str">
        <f>IF(U100="","",ProjParseTF(U100))</f>
        <v/>
      </c>
      <c r="AL100" s="219">
        <f>IF(E100="","",ProjCumN(AL99,E99,F99,G99,E100,F100,G100,FALSE))</f>
        <v>5.722981484343455</v>
      </c>
      <c r="AM100" s="331">
        <f>IF(E100="","",ProjCumE(AM99,E99,F99,G99,E100,F100,G100,FALSE))</f>
        <v>-0.69428947507002337</v>
      </c>
      <c r="AN100" s="330">
        <f t="shared" si="35"/>
        <v>78.260000000000005</v>
      </c>
      <c r="AO100" s="330">
        <f>IF(OR(E100="",E100&lt;$U$2),"",ProjActiveTargetMdEx(D100,W100,V100,ProjTargets_MD,ProjTargets_INC,ProjTargets_AZM,ProjTargets_TVD,F100,H100))</f>
        <v>2821.17</v>
      </c>
      <c r="AP100" s="207">
        <f>IF(OR(E100="",E100&lt;$U$2),"",ProjBitN(E100,F100,G100,AL100,D100,W100,X100))</f>
        <v>5.8026641856361163</v>
      </c>
      <c r="AQ100" s="207">
        <f>IF(OR(E100="",E100&lt;$U$2),"",ProjBitE(E100,F100,G100,AM100,D100,W100,X100))</f>
        <v>-0.31086447700005104</v>
      </c>
      <c r="AR100" s="207">
        <f>IF(OR(E100="",E100&lt;$U$2,AO100=""),"",ProjBurr(D100,W100,X100,Q100,C100,ProjTargets_MD,ProjTargets_INC,ProjTargets_AZM,ProjTargets_TVD,V100))</f>
        <v>7.9656674822685103</v>
      </c>
      <c r="AS100" s="207" t="str">
        <f>IF(OR(E100="",E100&lt;$U$2,AO100=""),"",ProjMetersToSlide(D100,W100,X100,Q100,C100,ProjTargets_MD,ProjTargets_INC,ProjTargets_AZM,ProjTargets_TVD,V100))</f>
        <v/>
      </c>
      <c r="AT100" s="207" t="str">
        <f>IF(OR(E100="",E100&lt;$U$2,AO100=""),"",ProjRequiredTf(D100,W100,X100,ProjTargets_MD,ProjTargets_INC,ProjTargets_AZM,ProjTargets_TVD,5,V100))</f>
        <v>63M</v>
      </c>
    </row>
    <row r="101" spans="2:46" s="209" customFormat="1" ht="15" customHeight="1" x14ac:dyDescent="0.3">
      <c r="B101" s="208">
        <f t="shared" si="22"/>
        <v>17</v>
      </c>
      <c r="C101" s="335">
        <f t="shared" si="29"/>
        <v>28.829999999999927</v>
      </c>
      <c r="D101" s="27">
        <v>2613.61</v>
      </c>
      <c r="E101" s="336">
        <f t="shared" si="30"/>
        <v>2596.61</v>
      </c>
      <c r="F101" s="9">
        <v>1.5</v>
      </c>
      <c r="G101" s="9">
        <v>70.87</v>
      </c>
      <c r="H101" s="337">
        <f t="shared" si="23"/>
        <v>2596.28358661333</v>
      </c>
      <c r="I101" s="337">
        <f t="shared" si="34"/>
        <v>1824.03358661333</v>
      </c>
      <c r="J101" s="338">
        <f>IF(AND(ISNUMBER(E101),ISNUMBER(F101),ISNUMBER(G101)),ACOS(SIN(F100*PI()/180)*SIN(F101*PI()/180)*COS((G101*PI()/180)-(G100*PI()/180))+COS(F100*PI()/180)*COS(F101*PI()/180))*30/(E101-E100)*180/PI(),"")</f>
        <v>0.26588192821579609</v>
      </c>
      <c r="K101" s="339">
        <f t="shared" si="32"/>
        <v>0.18730489073881415</v>
      </c>
      <c r="L101" s="339">
        <f t="shared" si="33"/>
        <v>-7.6899063475546505</v>
      </c>
      <c r="M101" s="339" t="str">
        <f t="shared" si="24"/>
        <v/>
      </c>
      <c r="N101" s="340">
        <f t="shared" si="25"/>
        <v>45.213546772741815</v>
      </c>
      <c r="O101" s="341" t="str">
        <f t="shared" si="26"/>
        <v>Mag</v>
      </c>
      <c r="P101" s="342" t="str">
        <f t="shared" si="27"/>
        <v/>
      </c>
      <c r="Q101" s="343" t="str">
        <f t="shared" si="28"/>
        <v/>
      </c>
      <c r="R101" s="10" t="str">
        <f t="shared" si="20"/>
        <v/>
      </c>
      <c r="S101" s="337" t="str">
        <f t="shared" si="21"/>
        <v/>
      </c>
      <c r="T101" s="9"/>
      <c r="U101" s="8"/>
      <c r="V101" s="202">
        <f>IF(OR(E101="",E101&lt;$U$2),"",ProjTvdAtBit(E101,F101,G101,H101,D101,W101,X101))</f>
        <v>2613.2777611379147</v>
      </c>
      <c r="W101" s="344">
        <f>IF(OR(E101="",E101&lt;$U$2),"",ProjIncAtBit(F101,J101,C101,M101,AJ101,IF(AK101="",0,AK101)))</f>
        <v>1.5</v>
      </c>
      <c r="X101" s="455">
        <f>IF(OR(E101="",E101&lt;$U$2),"",ProjAzmAtBit(F101,G101,J101,C101,M101,AJ101,IF(AK101="",0,AK101)))</f>
        <v>70.87</v>
      </c>
      <c r="Y101" s="461" t="s">
        <v>1826</v>
      </c>
      <c r="Z101" s="206"/>
      <c r="AA101" s="512" t="str">
        <f t="shared" si="36"/>
        <v/>
      </c>
      <c r="AB101" s="520" t="str">
        <f t="shared" si="37"/>
        <v/>
      </c>
      <c r="AC101" s="510"/>
      <c r="AD101" s="515"/>
      <c r="AE101" s="516"/>
      <c r="AJ101" s="452">
        <f>IF(OR(E101="",D101=""),0,ProjSlideMetersBetween(E101,D101,$R$13:$R$305,$S$13:$S$305))</f>
        <v>0</v>
      </c>
      <c r="AK101" s="452" t="str">
        <f>IF(U101="","",ProjParseTF(U101))</f>
        <v/>
      </c>
      <c r="AL101" s="219">
        <f>IF(E101="","",ProjCumN(AL100,E100,F100,G100,E101,F101,G101,FALSE))</f>
        <v>5.9142073604910532</v>
      </c>
      <c r="AM101" s="331">
        <f>IF(E101="","",ProjCumE(AM100,E100,F100,G100,E101,F101,G101,FALSE))</f>
        <v>-1.2663507169284327E-2</v>
      </c>
      <c r="AN101" s="330">
        <f t="shared" si="35"/>
        <v>70.87</v>
      </c>
      <c r="AO101" s="330">
        <f>IF(OR(E101="",E101&lt;$U$2),"",ProjActiveTargetMdEx(D101,W101,V101,ProjTargets_MD,ProjTargets_INC,ProjTargets_AZM,ProjTargets_TVD,F101,H101))</f>
        <v>2821.17</v>
      </c>
      <c r="AP101" s="207">
        <f>IF(OR(E101="",E101&lt;$U$2),"",ProjBitN(E101,F101,G101,AL101,D101,W101,X101))</f>
        <v>6.0600421414689754</v>
      </c>
      <c r="AQ101" s="207">
        <f>IF(OR(E101="",E101&lt;$U$2),"",ProjBitE(E101,F101,G101,AM101,D101,W101,X101))</f>
        <v>0.40777013161476477</v>
      </c>
      <c r="AR101" s="207">
        <f>IF(OR(E101="",E101&lt;$U$2,AO101=""),"",ProjBurr(D101,W101,X101,Q101,C101,ProjTargets_MD,ProjTargets_INC,ProjTargets_AZM,ProjTargets_TVD,V101))</f>
        <v>10.273808537140301</v>
      </c>
      <c r="AS101" s="207" t="str">
        <f>IF(OR(E101="",E101&lt;$U$2,AO101=""),"",ProjMetersToSlide(D101,W101,X101,Q101,C101,ProjTargets_MD,ProjTargets_INC,ProjTargets_AZM,ProjTargets_TVD,V101))</f>
        <v/>
      </c>
      <c r="AT101" s="207" t="str">
        <f>IF(OR(E101="",E101&lt;$U$2,AO101=""),"",ProjRequiredTf(D101,W101,X101,ProjTargets_MD,ProjTargets_INC,ProjTargets_AZM,ProjTargets_TVD,5,V101))</f>
        <v>65M</v>
      </c>
    </row>
    <row r="102" spans="2:46" s="209" customFormat="1" ht="15" customHeight="1" x14ac:dyDescent="0.3">
      <c r="B102" s="208">
        <f t="shared" si="22"/>
        <v>17</v>
      </c>
      <c r="C102" s="335">
        <f t="shared" si="29"/>
        <v>28.7800000000002</v>
      </c>
      <c r="D102" s="27">
        <v>2642.3900000000003</v>
      </c>
      <c r="E102" s="336">
        <f t="shared" si="30"/>
        <v>2625.39</v>
      </c>
      <c r="F102" s="9">
        <v>1.73</v>
      </c>
      <c r="G102" s="9">
        <v>61.75</v>
      </c>
      <c r="H102" s="337">
        <f t="shared" si="23"/>
        <v>2625.052154360304</v>
      </c>
      <c r="I102" s="337">
        <f t="shared" si="34"/>
        <v>1852.802154360304</v>
      </c>
      <c r="J102" s="338">
        <f t="shared" si="31"/>
        <v>0.35881863593609242</v>
      </c>
      <c r="K102" s="339">
        <f t="shared" si="32"/>
        <v>0.23974982626824393</v>
      </c>
      <c r="L102" s="339">
        <f t="shared" si="33"/>
        <v>-9.5066018068103748</v>
      </c>
      <c r="M102" s="339" t="str">
        <f t="shared" si="24"/>
        <v/>
      </c>
      <c r="N102" s="340">
        <f t="shared" si="25"/>
        <v>48.07445273018385</v>
      </c>
      <c r="O102" s="341" t="str">
        <f t="shared" si="26"/>
        <v>Mag</v>
      </c>
      <c r="P102" s="342" t="str">
        <f t="shared" si="27"/>
        <v/>
      </c>
      <c r="Q102" s="343" t="str">
        <f t="shared" si="28"/>
        <v/>
      </c>
      <c r="R102" s="10" t="str">
        <f t="shared" si="20"/>
        <v/>
      </c>
      <c r="S102" s="337" t="str">
        <f t="shared" si="21"/>
        <v/>
      </c>
      <c r="T102" s="9"/>
      <c r="U102" s="8"/>
      <c r="V102" s="202">
        <f>IF(OR(E102="",E102&lt;$U$2),"",ProjTvdAtBit(E102,F102,G102,H102,D102,W102,X102))</f>
        <v>2642.0444055884941</v>
      </c>
      <c r="W102" s="344">
        <f>IF(OR(E102="",E102&lt;$U$2),"",ProjIncAtBit(F102,J102,C102,M102,AJ102,IF(AK102="",0,AK102)))</f>
        <v>1.73</v>
      </c>
      <c r="X102" s="455">
        <f>IF(OR(E102="",E102&lt;$U$2),"",ProjAzmAtBit(F102,G102,J102,C102,M102,AJ102,IF(AK102="",0,AK102)))</f>
        <v>61.75</v>
      </c>
      <c r="Y102" s="461" t="s">
        <v>1827</v>
      </c>
      <c r="Z102" s="206"/>
      <c r="AA102" s="512" t="str">
        <f t="shared" si="36"/>
        <v/>
      </c>
      <c r="AB102" s="520" t="str">
        <f t="shared" si="37"/>
        <v/>
      </c>
      <c r="AC102" s="510"/>
      <c r="AD102" s="515"/>
      <c r="AE102" s="516"/>
      <c r="AJ102" s="452">
        <f>IF(OR(E102="",D102=""),0,ProjSlideMetersBetween(E102,D102,$R$13:$R$305,$S$13:$S$305))</f>
        <v>0</v>
      </c>
      <c r="AK102" s="452" t="str">
        <f>IF(U102="","",ProjParseTF(U102))</f>
        <v/>
      </c>
      <c r="AL102" s="219">
        <f>IF(E102="","",ProjCumN(AL101,E101,F101,G101,E102,F102,G102,FALSE))</f>
        <v>6.2432767389586594</v>
      </c>
      <c r="AM102" s="331">
        <f>IF(E102="","",ProjCumE(AM101,E101,F101,G101,E102,F102,G102,FALSE))</f>
        <v>0.72590743393633061</v>
      </c>
      <c r="AN102" s="330">
        <f t="shared" si="35"/>
        <v>61.75</v>
      </c>
      <c r="AO102" s="330">
        <f>IF(OR(E102="",E102&lt;$U$2),"",ProjActiveTargetMdEx(D102,W102,V102,ProjTargets_MD,ProjTargets_INC,ProjTargets_AZM,ProjTargets_TVD,F102,H102))</f>
        <v>2821.17</v>
      </c>
      <c r="AP102" s="207">
        <f>IF(OR(E102="",E102&lt;$U$2),"",ProjBitN(E102,F102,G102,AL102,D102,W102,X102))</f>
        <v>6.4861954400683022</v>
      </c>
      <c r="AQ102" s="207">
        <f>IF(OR(E102="",E102&lt;$U$2),"",ProjBitE(E102,F102,G102,AM102,D102,W102,X102))</f>
        <v>1.1780011219444377</v>
      </c>
      <c r="AR102" s="207">
        <f>IF(OR(E102="",E102&lt;$U$2,AO102=""),"",ProjBurr(D102,W102,X102,Q102,C102,ProjTargets_MD,ProjTargets_INC,ProjTargets_AZM,ProjTargets_TVD,V102))</f>
        <v>14.496516939253787</v>
      </c>
      <c r="AS102" s="207" t="str">
        <f>IF(OR(E102="",E102&lt;$U$2,AO102=""),"",ProjMetersToSlide(D102,W102,X102,Q102,C102,ProjTargets_MD,ProjTargets_INC,ProjTargets_AZM,ProjTargets_TVD,V102))</f>
        <v/>
      </c>
      <c r="AT102" s="207" t="str">
        <f>IF(OR(E102="",E102&lt;$U$2,AO102=""),"",ProjRequiredTf(D102,W102,X102,ProjTargets_MD,ProjTargets_INC,ProjTargets_AZM,ProjTargets_TVD,5,V102))</f>
        <v>68M</v>
      </c>
    </row>
    <row r="103" spans="2:46" s="209" customFormat="1" ht="15" customHeight="1" x14ac:dyDescent="0.3">
      <c r="B103" s="208">
        <f t="shared" si="22"/>
        <v>17</v>
      </c>
      <c r="C103" s="335">
        <f t="shared" si="29"/>
        <v>28.839999999999691</v>
      </c>
      <c r="D103" s="27">
        <v>2671.23</v>
      </c>
      <c r="E103" s="336">
        <f t="shared" si="30"/>
        <v>2654.23</v>
      </c>
      <c r="F103" s="9">
        <v>1.37</v>
      </c>
      <c r="G103" s="9">
        <v>64.52</v>
      </c>
      <c r="H103" s="337">
        <f t="shared" si="23"/>
        <v>2653.8816018227726</v>
      </c>
      <c r="I103" s="337">
        <f t="shared" si="34"/>
        <v>1881.6316018227726</v>
      </c>
      <c r="J103" s="338">
        <f t="shared" si="31"/>
        <v>0.38239613254930166</v>
      </c>
      <c r="K103" s="339">
        <f t="shared" si="32"/>
        <v>-0.37447988904299379</v>
      </c>
      <c r="L103" s="339">
        <f t="shared" si="33"/>
        <v>2.8814147018030325</v>
      </c>
      <c r="M103" s="339" t="str">
        <f t="shared" si="24"/>
        <v/>
      </c>
      <c r="N103" s="340">
        <f t="shared" si="25"/>
        <v>168.32135288910251</v>
      </c>
      <c r="O103" s="341" t="str">
        <f t="shared" si="26"/>
        <v>Mag</v>
      </c>
      <c r="P103" s="342" t="str">
        <f t="shared" si="27"/>
        <v/>
      </c>
      <c r="Q103" s="343" t="str">
        <f t="shared" si="28"/>
        <v/>
      </c>
      <c r="R103" s="10">
        <f t="shared" si="20"/>
        <v>2671.23</v>
      </c>
      <c r="S103" s="337">
        <f t="shared" si="21"/>
        <v>2675.23</v>
      </c>
      <c r="T103" s="9">
        <v>4</v>
      </c>
      <c r="U103" s="8" t="s">
        <v>733</v>
      </c>
      <c r="V103" s="202">
        <f>IF(OR(E103="",E103&lt;$U$2),"",ProjTvdAtBit(E103,F103,G103,H103,D103,W103,X103))</f>
        <v>2670.8767422946107</v>
      </c>
      <c r="W103" s="344">
        <f>IF(OR(E103="",E103&lt;$U$2),"",ProjIncAtBit(F103,J103,C103,M103,AJ103,IF(AK103="",0,AK103)))</f>
        <v>1.37</v>
      </c>
      <c r="X103" s="455">
        <f>IF(OR(E103="",E103&lt;$U$2),"",ProjAzmAtBit(F103,G103,J103,C103,M103,AJ103,IF(AK103="",0,AK103)))</f>
        <v>64.52</v>
      </c>
      <c r="Y103" s="461" t="s">
        <v>1828</v>
      </c>
      <c r="Z103" s="206"/>
      <c r="AA103" s="512" t="str">
        <f t="shared" si="36"/>
        <v/>
      </c>
      <c r="AB103" s="520" t="str">
        <f t="shared" si="37"/>
        <v/>
      </c>
      <c r="AC103" s="510"/>
      <c r="AD103" s="515"/>
      <c r="AE103" s="516"/>
      <c r="AJ103" s="452">
        <f>IF(OR(E103="",D103=""),0,ProjSlideMetersBetween(E103,D103,$R$13:$R$305,$S$13:$S$305))</f>
        <v>0</v>
      </c>
      <c r="AK103" s="452">
        <f>IF(U103="","",ProjParseTF(U103))</f>
        <v>240</v>
      </c>
      <c r="AL103" s="219">
        <f>IF(E103="","",ProjCumN(AL102,E102,F102,G102,E103,F103,G103,FALSE))</f>
        <v>6.5976462330919929</v>
      </c>
      <c r="AM103" s="331">
        <f>IF(E103="","",ProjCumE(AM102,E102,F102,G102,E103,F103,G103,FALSE))</f>
        <v>1.420622271782283</v>
      </c>
      <c r="AN103" s="330">
        <f t="shared" si="35"/>
        <v>64.52</v>
      </c>
      <c r="AO103" s="330">
        <f>IF(OR(E103="",E103&lt;$U$2),"",ProjActiveTargetMdEx(D103,W103,V103,ProjTargets_MD,ProjTargets_INC,ProjTargets_AZM,ProjTargets_TVD,F103,H103))</f>
        <v>2821.17</v>
      </c>
      <c r="AP103" s="207">
        <f>IF(OR(E103="",E103&lt;$U$2),"",ProjBitN(E103,F103,G103,AL103,D103,W103,X103))</f>
        <v>6.7724987340892202</v>
      </c>
      <c r="AQ103" s="207">
        <f>IF(OR(E103="",E103&lt;$U$2),"",ProjBitE(E103,F103,G103,AM103,D103,W103,X103))</f>
        <v>1.7875377189656527</v>
      </c>
      <c r="AR103" s="207">
        <f>IF(OR(E103="",E103&lt;$U$2,AO103=""),"",ProjBurr(D103,W103,X103,Q103,C103,ProjTargets_MD,ProjTargets_INC,ProjTargets_AZM,ProjTargets_TVD,V103))</f>
        <v>25.344926530960073</v>
      </c>
      <c r="AS103" s="207" t="str">
        <f>IF(OR(E103="",E103&lt;$U$2,AO103=""),"",ProjMetersToSlide(D103,W103,X103,Q103,C103,ProjTargets_MD,ProjTargets_INC,ProjTargets_AZM,ProjTargets_TVD,V103))</f>
        <v/>
      </c>
      <c r="AT103" s="207" t="str">
        <f>IF(OR(E103="",E103&lt;$U$2,AO103=""),"",ProjRequiredTf(D103,W103,X103,ProjTargets_MD,ProjTargets_INC,ProjTargets_AZM,ProjTargets_TVD,5,V103))</f>
        <v>67M</v>
      </c>
    </row>
    <row r="104" spans="2:46" s="209" customFormat="1" ht="15" customHeight="1" x14ac:dyDescent="0.3">
      <c r="B104" s="208">
        <f t="shared" si="22"/>
        <v>17</v>
      </c>
      <c r="C104" s="335">
        <f t="shared" si="29"/>
        <v>28.75</v>
      </c>
      <c r="D104" s="27">
        <v>2699.98</v>
      </c>
      <c r="E104" s="336">
        <f t="shared" si="30"/>
        <v>2682.98</v>
      </c>
      <c r="F104" s="9">
        <v>0.44</v>
      </c>
      <c r="G104" s="9">
        <v>80.88</v>
      </c>
      <c r="H104" s="337">
        <f t="shared" si="23"/>
        <v>2682.6280154889041</v>
      </c>
      <c r="I104" s="337">
        <f t="shared" si="34"/>
        <v>1910.3780154889041</v>
      </c>
      <c r="J104" s="338">
        <f t="shared" si="31"/>
        <v>0.99744230053814464</v>
      </c>
      <c r="K104" s="339">
        <f t="shared" si="32"/>
        <v>-0.97043478260869587</v>
      </c>
      <c r="L104" s="339">
        <f t="shared" si="33"/>
        <v>17.071304347826086</v>
      </c>
      <c r="M104" s="339">
        <f t="shared" si="24"/>
        <v>4</v>
      </c>
      <c r="N104" s="340">
        <f t="shared" si="25"/>
        <v>166.63647846539254</v>
      </c>
      <c r="O104" s="341" t="str">
        <f t="shared" si="26"/>
        <v>Mag</v>
      </c>
      <c r="P104" s="342">
        <f t="shared" si="27"/>
        <v>-0.23250000000000004</v>
      </c>
      <c r="Q104" s="343">
        <f t="shared" si="28"/>
        <v>7.1691165351179142</v>
      </c>
      <c r="R104" s="10" t="str">
        <f t="shared" si="20"/>
        <v/>
      </c>
      <c r="S104" s="337" t="str">
        <f t="shared" si="21"/>
        <v/>
      </c>
      <c r="T104" s="9"/>
      <c r="U104" s="8"/>
      <c r="V104" s="202">
        <f>IF(OR(E104="",E104&lt;$U$2),"",ProjTvdAtBit(E104,F104,G104,H104,D104,W104,X104))</f>
        <v>2699.6275142129416</v>
      </c>
      <c r="W104" s="344">
        <f>IF(OR(E104="",E104&lt;$U$2),"",ProjIncAtBit(F104,J104,C104,M104,AJ104,IF(AK104="",0,AK104)))</f>
        <v>0.44</v>
      </c>
      <c r="X104" s="455">
        <f>IF(OR(E104="",E104&lt;$U$2),"",ProjAzmAtBit(F104,G104,J104,C104,M104,AJ104,IF(AK104="",0,AK104)))</f>
        <v>80.88</v>
      </c>
      <c r="Y104" s="461" t="s">
        <v>1829</v>
      </c>
      <c r="Z104" s="206"/>
      <c r="AA104" s="512" t="str">
        <f t="shared" si="36"/>
        <v/>
      </c>
      <c r="AB104" s="520" t="str">
        <f t="shared" si="37"/>
        <v/>
      </c>
      <c r="AC104" s="510"/>
      <c r="AD104" s="515"/>
      <c r="AE104" s="516"/>
      <c r="AJ104" s="452">
        <f>IF(OR(E104="",D104=""),0,ProjSlideMetersBetween(E104,D104,$R$13:$R$305,$S$13:$S$305))</f>
        <v>0</v>
      </c>
      <c r="AK104" s="452" t="str">
        <f>IF(U104="","",ProjParseTF(U104))</f>
        <v/>
      </c>
      <c r="AL104" s="219">
        <f>IF(E104="","",ProjCumN(AL103,E103,F103,G103,E104,F104,G104,FALSE))</f>
        <v>6.7630005594630598</v>
      </c>
      <c r="AM104" s="331">
        <f>IF(E104="","",ProjCumE(AM103,E103,F103,G103,E104,F104,G104,FALSE))</f>
        <v>1.8398868686382575</v>
      </c>
      <c r="AN104" s="330">
        <f t="shared" si="35"/>
        <v>80.88</v>
      </c>
      <c r="AO104" s="330">
        <f>IF(OR(E104="",E104&lt;$U$2),"",ProjActiveTargetMdEx(D104,W104,V104,ProjTargets_MD,ProjTargets_INC,ProjTargets_AZM,ProjTargets_TVD,F104,H104))</f>
        <v>2821.17</v>
      </c>
      <c r="AP104" s="207">
        <f>IF(OR(E104="",E104&lt;$U$2),"",ProjBitN(E104,F104,G104,AL104,D104,W104,X104))</f>
        <v>6.7836929870318325</v>
      </c>
      <c r="AQ104" s="207">
        <f>IF(OR(E104="",E104&lt;$U$2),"",ProjBitE(E104,F104,G104,AM104,D104,W104,X104))</f>
        <v>1.9687858790607555</v>
      </c>
      <c r="AR104" s="207">
        <f>IF(OR(E104="",E104&lt;$U$2,AO104=""),"",ProjBurr(D104,W104,X104,Q104,C104,ProjTargets_MD,ProjTargets_INC,ProjTargets_AZM,ProjTargets_TVD,V104))</f>
        <v>95.57777996828365</v>
      </c>
      <c r="AS104" s="207">
        <f>IF(OR(E104="",E104&lt;$U$2,AO104=""),"",ProjMetersToSlide(D104,W104,X104,Q104,C104,ProjTargets_MD,ProjTargets_INC,ProjTargets_AZM,ProjTargets_TVD,V104))</f>
        <v>383.2914642449677</v>
      </c>
      <c r="AT104" s="207" t="str">
        <f>IF(OR(E104="",E104&lt;$U$2,AO104=""),"",ProjRequiredTf(D104,W104,X104,ProjTargets_MD,ProjTargets_INC,ProjTargets_AZM,ProjTargets_TVD,5,V104))</f>
        <v>61M</v>
      </c>
    </row>
    <row r="105" spans="2:46" s="209" customFormat="1" ht="15" customHeight="1" x14ac:dyDescent="0.3">
      <c r="B105" s="208">
        <f t="shared" si="22"/>
        <v>17</v>
      </c>
      <c r="C105" s="335">
        <f t="shared" si="29"/>
        <v>28.739999999999782</v>
      </c>
      <c r="D105" s="27">
        <v>2728.72</v>
      </c>
      <c r="E105" s="336">
        <f t="shared" si="30"/>
        <v>2711.72</v>
      </c>
      <c r="F105" s="9">
        <v>0.42</v>
      </c>
      <c r="G105" s="9">
        <v>73.19</v>
      </c>
      <c r="H105" s="337">
        <f t="shared" si="23"/>
        <v>2711.3672061202583</v>
      </c>
      <c r="I105" s="337">
        <f t="shared" si="34"/>
        <v>1939.1172061202583</v>
      </c>
      <c r="J105" s="338">
        <f t="shared" si="31"/>
        <v>6.3699212903511326E-2</v>
      </c>
      <c r="K105" s="339">
        <f t="shared" si="32"/>
        <v>-2.0876826722338381E-2</v>
      </c>
      <c r="L105" s="339">
        <f t="shared" si="33"/>
        <v>-8.027139874739099</v>
      </c>
      <c r="M105" s="339" t="str">
        <f t="shared" si="24"/>
        <v/>
      </c>
      <c r="N105" s="340">
        <f t="shared" si="25"/>
        <v>109.13170441136391</v>
      </c>
      <c r="O105" s="341" t="str">
        <f t="shared" si="26"/>
        <v>Mag</v>
      </c>
      <c r="P105" s="342" t="str">
        <f t="shared" si="27"/>
        <v/>
      </c>
      <c r="Q105" s="343" t="str">
        <f t="shared" si="28"/>
        <v/>
      </c>
      <c r="R105" s="10" t="str">
        <f t="shared" si="20"/>
        <v/>
      </c>
      <c r="S105" s="337" t="str">
        <f t="shared" si="21"/>
        <v/>
      </c>
      <c r="T105" s="9"/>
      <c r="U105" s="8"/>
      <c r="V105" s="202">
        <f>IF(OR(E105="",E105&lt;$U$2),"",ProjTvdAtBit(E105,F105,G105,H105,D105,W105,X105))</f>
        <v>2728.3667493789444</v>
      </c>
      <c r="W105" s="344">
        <f>IF(OR(E105="",E105&lt;$U$2),"",ProjIncAtBit(F105,J105,C105,M105,AJ105,IF(AK105="",0,AK105)))</f>
        <v>0.42</v>
      </c>
      <c r="X105" s="455">
        <f>IF(OR(E105="",E105&lt;$U$2),"",ProjAzmAtBit(F105,G105,J105,C105,M105,AJ105,IF(AK105="",0,AK105)))</f>
        <v>73.19</v>
      </c>
      <c r="Y105" s="461" t="s">
        <v>1830</v>
      </c>
      <c r="Z105" s="206"/>
      <c r="AA105" s="512" t="str">
        <f t="shared" si="36"/>
        <v/>
      </c>
      <c r="AB105" s="520" t="str">
        <f t="shared" si="37"/>
        <v/>
      </c>
      <c r="AC105" s="510"/>
      <c r="AD105" s="515"/>
      <c r="AE105" s="516"/>
      <c r="AJ105" s="452">
        <f>IF(OR(E105="",D105=""),0,ProjSlideMetersBetween(E105,D105,$R$13:$R$305,$S$13:$S$305))</f>
        <v>0</v>
      </c>
      <c r="AK105" s="452" t="str">
        <f>IF(U105="","",ProjParseTF(U105))</f>
        <v/>
      </c>
      <c r="AL105" s="219">
        <f>IF(E105="","",ProjCumN(AL104,E104,F104,G104,E105,F105,G105,FALSE))</f>
        <v>6.810954994514927</v>
      </c>
      <c r="AM105" s="331">
        <f>IF(E105="","",ProjCumE(AM104,E104,F104,G104,E105,F105,G105,FALSE))</f>
        <v>2.0496799852431042</v>
      </c>
      <c r="AN105" s="330">
        <f t="shared" si="35"/>
        <v>73.19</v>
      </c>
      <c r="AO105" s="330">
        <f>IF(OR(E105="",E105&lt;$U$2),"",ProjActiveTargetMdEx(D105,W105,V105,ProjTargets_MD,ProjTargets_INC,ProjTargets_AZM,ProjTargets_TVD,F105,H105))</f>
        <v>2821.17</v>
      </c>
      <c r="AP105" s="207">
        <f>IF(OR(E105="",E105&lt;$U$2),"",ProjBitN(E105,F105,G105,AL105,D105,W105,X105))</f>
        <v>6.846993626014906</v>
      </c>
      <c r="AQ105" s="207">
        <f>IF(OR(E105="",E105&lt;$U$2),"",ProjBitE(E105,F105,G105,AM105,D105,W105,X105))</f>
        <v>2.1689704421233529</v>
      </c>
      <c r="AR105" s="207">
        <f>IF(OR(E105="",E105&lt;$U$2,AO105=""),"",ProjBurr(D105,W105,X105,Q105,C105,ProjTargets_MD,ProjTargets_INC,ProjTargets_AZM,ProjTargets_TVD,V105))</f>
        <v>11.983775013520788</v>
      </c>
      <c r="AS105" s="207" t="str">
        <f>IF(OR(E105="",E105&lt;$U$2,AO105=""),"",ProjMetersToSlide(D105,W105,X105,Q105,C105,ProjTargets_MD,ProjTargets_INC,ProjTargets_AZM,ProjTargets_TVD,V105))</f>
        <v/>
      </c>
      <c r="AT105" s="207" t="str">
        <f>IF(OR(E105="",E105&lt;$U$2,AO105=""),"",ProjRequiredTf(D105,W105,X105,ProjTargets_MD,ProjTargets_INC,ProjTargets_AZM,ProjTargets_TVD,5,V105))</f>
        <v>64M</v>
      </c>
    </row>
    <row r="106" spans="2:46" s="209" customFormat="1" ht="15" customHeight="1" x14ac:dyDescent="0.3">
      <c r="B106" s="208">
        <f t="shared" si="22"/>
        <v>17</v>
      </c>
      <c r="C106" s="335">
        <f>IF(ISBLANK(D106),"",D106-D105)</f>
        <v>19.100000000000364</v>
      </c>
      <c r="D106" s="27">
        <v>2747.82</v>
      </c>
      <c r="E106" s="336">
        <f t="shared" si="30"/>
        <v>2730.82</v>
      </c>
      <c r="F106" s="9">
        <v>0.51</v>
      </c>
      <c r="G106" s="9">
        <v>60.26</v>
      </c>
      <c r="H106" s="337">
        <f t="shared" si="23"/>
        <v>2730.466577104351</v>
      </c>
      <c r="I106" s="337">
        <f t="shared" si="34"/>
        <v>1958.216577104351</v>
      </c>
      <c r="J106" s="338">
        <f t="shared" si="31"/>
        <v>0.21628794414322267</v>
      </c>
      <c r="K106" s="339">
        <f t="shared" si="32"/>
        <v>0.14136125654449996</v>
      </c>
      <c r="L106" s="339">
        <f t="shared" si="33"/>
        <v>-20.308900523559824</v>
      </c>
      <c r="M106" s="339" t="str">
        <f t="shared" si="24"/>
        <v/>
      </c>
      <c r="N106" s="340">
        <f t="shared" si="25"/>
        <v>49.188010764432974</v>
      </c>
      <c r="O106" s="341" t="str">
        <f t="shared" si="26"/>
        <v>Mag</v>
      </c>
      <c r="P106" s="342" t="str">
        <f t="shared" si="27"/>
        <v/>
      </c>
      <c r="Q106" s="343" t="str">
        <f t="shared" si="28"/>
        <v/>
      </c>
      <c r="R106" s="10">
        <f t="shared" si="20"/>
        <v>2747.82</v>
      </c>
      <c r="S106" s="337">
        <f t="shared" si="21"/>
        <v>2757.34</v>
      </c>
      <c r="T106" s="9">
        <v>9.52</v>
      </c>
      <c r="U106" s="8" t="s">
        <v>734</v>
      </c>
      <c r="V106" s="202">
        <f>IF(OR(E106="",E106&lt;$U$2),"",ProjTvdAtBit(E106,F106,G106,H106,D106,W106,X106))</f>
        <v>2747.465903645375</v>
      </c>
      <c r="W106" s="344">
        <f>IF(OR(E106="",E106&lt;$U$2),"",ProjIncAtBit(F106,J106,C106,M106,AJ106,IF(AK106="",0,AK106)))</f>
        <v>0.51</v>
      </c>
      <c r="X106" s="455">
        <f>IF(OR(E106="",E106&lt;$U$2),"",ProjAzmAtBit(F106,G106,J106,C106,M106,AJ106,IF(AK106="",0,AK106)))</f>
        <v>60.26</v>
      </c>
      <c r="Y106" s="461" t="s">
        <v>1831</v>
      </c>
      <c r="Z106" s="206"/>
      <c r="AA106" s="512" t="str">
        <f t="shared" si="36"/>
        <v/>
      </c>
      <c r="AB106" s="520" t="str">
        <f t="shared" si="37"/>
        <v/>
      </c>
      <c r="AC106" s="510"/>
      <c r="AD106" s="515"/>
      <c r="AE106" s="516"/>
      <c r="AJ106" s="452">
        <f>IF(OR(E106="",D106=""),0,ProjSlideMetersBetween(E106,D106,$R$13:$R$305,$S$13:$S$305))</f>
        <v>0</v>
      </c>
      <c r="AK106" s="452">
        <f>IF(U106="","",ProjParseTF(U106))</f>
        <v>40</v>
      </c>
      <c r="AL106" s="219">
        <f>IF(E106="","",ProjCumN(AL105,E105,F105,G105,E106,F106,G106,FALSE))</f>
        <v>6.873368327093619</v>
      </c>
      <c r="AM106" s="331">
        <f>IF(E106="","",ProjCumE(AM105,E105,F105,G105,E106,F106,G106,FALSE))</f>
        <v>2.1905019429386408</v>
      </c>
      <c r="AN106" s="330">
        <f t="shared" si="35"/>
        <v>60.26</v>
      </c>
      <c r="AO106" s="330">
        <f>IF(OR(E106="",E106&lt;$U$2),"",ProjActiveTargetMdEx(D106,W106,V106,ProjTargets_MD,ProjTargets_INC,ProjTargets_AZM,ProjTargets_TVD,F106,H106))</f>
        <v>2821.17</v>
      </c>
      <c r="AP106" s="207">
        <f>IF(OR(E106="",E106&lt;$U$2),"",ProjBitN(E106,F106,G106,AL106,D106,W106,X106))</f>
        <v>6.9484319095319558</v>
      </c>
      <c r="AQ106" s="207">
        <f>IF(OR(E106="",E106&lt;$U$2),"",ProjBitE(E106,F106,G106,AM106,D106,W106,X106))</f>
        <v>2.3218891958470107</v>
      </c>
      <c r="AR106" s="207">
        <f>IF(OR(E106="",E106&lt;$U$2,AO106=""),"",ProjBurr(D106,W106,X106,Q106,C106,ProjTargets_MD,ProjTargets_INC,ProjTargets_AZM,ProjTargets_TVD,V106))</f>
        <v>15.067484662576707</v>
      </c>
      <c r="AS106" s="207" t="str">
        <f>IF(OR(E106="",E106&lt;$U$2,AO106=""),"",ProjMetersToSlide(D106,W106,X106,Q106,C106,ProjTargets_MD,ProjTargets_INC,ProjTargets_AZM,ProjTargets_TVD,V106))</f>
        <v/>
      </c>
      <c r="AT106" s="207" t="str">
        <f>IF(OR(E106="",E106&lt;$U$2,AO106=""),"",ProjRequiredTf(D106,W106,X106,ProjTargets_MD,ProjTargets_INC,ProjTargets_AZM,ProjTargets_TVD,5,V106))</f>
        <v>67M</v>
      </c>
    </row>
    <row r="107" spans="2:46" s="209" customFormat="1" ht="15" customHeight="1" x14ac:dyDescent="0.3">
      <c r="B107" s="208">
        <f t="shared" si="22"/>
        <v>17</v>
      </c>
      <c r="C107" s="335">
        <f t="shared" si="29"/>
        <v>9.5199999999999818</v>
      </c>
      <c r="D107" s="27">
        <v>2757.34</v>
      </c>
      <c r="E107" s="336">
        <f t="shared" si="30"/>
        <v>2740.34</v>
      </c>
      <c r="F107" s="9">
        <v>0.59</v>
      </c>
      <c r="G107" s="9">
        <v>63.24</v>
      </c>
      <c r="H107" s="337">
        <f t="shared" si="23"/>
        <v>2739.9861384890964</v>
      </c>
      <c r="I107" s="337">
        <f t="shared" si="34"/>
        <v>1967.7361384890964</v>
      </c>
      <c r="J107" s="338">
        <f t="shared" si="31"/>
        <v>0.26764877555448086</v>
      </c>
      <c r="K107" s="339">
        <f t="shared" si="32"/>
        <v>0.25210084033613478</v>
      </c>
      <c r="L107" s="339">
        <f t="shared" si="33"/>
        <v>9.390756302521039</v>
      </c>
      <c r="M107" s="339" t="str">
        <f t="shared" si="24"/>
        <v/>
      </c>
      <c r="N107" s="340">
        <f t="shared" si="25"/>
        <v>19.625308545966483</v>
      </c>
      <c r="O107" s="341" t="str">
        <f t="shared" si="26"/>
        <v>Mag</v>
      </c>
      <c r="P107" s="342" t="str">
        <f t="shared" si="27"/>
        <v/>
      </c>
      <c r="Q107" s="343" t="str">
        <f t="shared" si="28"/>
        <v/>
      </c>
      <c r="R107" s="10">
        <f t="shared" si="20"/>
        <v>2757.34</v>
      </c>
      <c r="S107" s="337">
        <f t="shared" si="21"/>
        <v>2771.84</v>
      </c>
      <c r="T107" s="9">
        <v>14.5</v>
      </c>
      <c r="U107" s="8" t="s">
        <v>734</v>
      </c>
      <c r="V107" s="202">
        <f>IF(OR(E107="",E107&lt;$U$2),"",ProjTvdAtBit(E107,F107,G107,H107,D107,W107,X107))</f>
        <v>2756.9852371799448</v>
      </c>
      <c r="W107" s="344">
        <f>IF(OR(E107="",E107&lt;$U$2),"",ProjIncAtBit(F107,J107,C107,M107,AJ107,IF(AK107="",0,AK107)))</f>
        <v>0.59</v>
      </c>
      <c r="X107" s="455">
        <f>IF(OR(E107="",E107&lt;$U$2),"",ProjAzmAtBit(F107,G107,J107,C107,M107,AJ107,IF(AK107="",0,AK107)))</f>
        <v>63.294594444491281</v>
      </c>
      <c r="Y107" s="461" t="s">
        <v>1832</v>
      </c>
      <c r="Z107" s="206"/>
      <c r="AA107" s="512" t="str">
        <f t="shared" si="36"/>
        <v/>
      </c>
      <c r="AB107" s="520" t="str">
        <f t="shared" si="37"/>
        <v/>
      </c>
      <c r="AC107" s="510"/>
      <c r="AD107" s="515"/>
      <c r="AE107" s="516"/>
      <c r="AJ107" s="452">
        <f>IF(OR(E107="",D107=""),0,ProjSlideMetersBetween(E107,D107,$R$13:$R$305,$S$13:$S$305))</f>
        <v>9.5199999999999818</v>
      </c>
      <c r="AK107" s="452">
        <f>IF(U107="","",ProjParseTF(U107))</f>
        <v>40</v>
      </c>
      <c r="AL107" s="219">
        <f>IF(E107="","",ProjCumN(AL106,E106,F106,G106,E107,F107,G107,FALSE))</f>
        <v>6.9164553342126123</v>
      </c>
      <c r="AM107" s="331">
        <f>IF(E107="","",ProjCumE(AM106,E106,F106,G106,E107,F107,G107,FALSE))</f>
        <v>2.2710558649778938</v>
      </c>
      <c r="AN107" s="330">
        <f t="shared" si="35"/>
        <v>63.294594444491281</v>
      </c>
      <c r="AO107" s="330">
        <f>IF(OR(E107="",E107&lt;$U$2),"",ProjActiveTargetMdEx(D107,W107,V107,ProjTargets_MD,ProjTargets_INC,ProjTargets_AZM,ProjTargets_TVD,F107,H107))</f>
        <v>2821.17</v>
      </c>
      <c r="AP107" s="207">
        <f>IF(OR(E107="",E107&lt;$U$2),"",ProjBitN(E107,F107,G107,AL107,D107,W107,X107))</f>
        <v>6.9951994060396849</v>
      </c>
      <c r="AQ107" s="207">
        <f>IF(OR(E107="",E107&lt;$U$2),"",ProjBitE(E107,F107,G107,AM107,D107,W107,X107))</f>
        <v>2.4273986538580568</v>
      </c>
      <c r="AR107" s="207">
        <f>IF(OR(E107="",E107&lt;$U$2,AO107=""),"",ProjBurr(D107,W107,X107,Q107,C107,ProjTargets_MD,ProjTargets_INC,ProjTargets_AZM,ProjTargets_TVD,V107))</f>
        <v>17.277142409525322</v>
      </c>
      <c r="AS107" s="207" t="str">
        <f>IF(OR(E107="",E107&lt;$U$2,AO107=""),"",ProjMetersToSlide(D107,W107,X107,Q107,C107,ProjTargets_MD,ProjTargets_INC,ProjTargets_AZM,ProjTargets_TVD,V107))</f>
        <v/>
      </c>
      <c r="AT107" s="207" t="str">
        <f>IF(OR(E107="",E107&lt;$U$2,AO107=""),"",ProjRequiredTf(D107,W107,X107,ProjTargets_MD,ProjTargets_INC,ProjTargets_AZM,ProjTargets_TVD,5,V107))</f>
        <v>67M</v>
      </c>
    </row>
    <row r="108" spans="2:46" s="209" customFormat="1" ht="15" customHeight="1" x14ac:dyDescent="0.3">
      <c r="B108" s="208">
        <f t="shared" si="22"/>
        <v>17</v>
      </c>
      <c r="C108" s="335">
        <f t="shared" si="29"/>
        <v>14.5</v>
      </c>
      <c r="D108" s="27">
        <v>2771.84</v>
      </c>
      <c r="E108" s="336">
        <f t="shared" si="30"/>
        <v>2754.84</v>
      </c>
      <c r="F108" s="9">
        <v>3.05</v>
      </c>
      <c r="G108" s="9">
        <v>37.39</v>
      </c>
      <c r="H108" s="337">
        <f t="shared" si="23"/>
        <v>2754.4788237473099</v>
      </c>
      <c r="I108" s="337">
        <f t="shared" si="34"/>
        <v>1982.2288237473099</v>
      </c>
      <c r="J108" s="338">
        <f t="shared" si="31"/>
        <v>5.2388798764237761</v>
      </c>
      <c r="K108" s="339">
        <f t="shared" si="32"/>
        <v>5.0896551724137931</v>
      </c>
      <c r="L108" s="339">
        <f t="shared" si="33"/>
        <v>-53.482758620689658</v>
      </c>
      <c r="M108" s="339">
        <f t="shared" si="24"/>
        <v>7.0199999999999818</v>
      </c>
      <c r="N108" s="340">
        <f t="shared" si="25"/>
        <v>13.708030828394991</v>
      </c>
      <c r="O108" s="341" t="str">
        <f t="shared" si="26"/>
        <v>Mag</v>
      </c>
      <c r="P108" s="342">
        <f t="shared" si="27"/>
        <v>0.35042735042735135</v>
      </c>
      <c r="Q108" s="343">
        <f t="shared" si="28"/>
        <v>10.821048177798426</v>
      </c>
      <c r="R108" s="10">
        <f t="shared" si="20"/>
        <v>2771.84</v>
      </c>
      <c r="S108" s="337">
        <f t="shared" si="21"/>
        <v>2781.84</v>
      </c>
      <c r="T108" s="9">
        <v>10</v>
      </c>
      <c r="U108" s="8" t="s">
        <v>734</v>
      </c>
      <c r="V108" s="202">
        <f>IF(OR(E108="",E108&lt;$U$2),"",ProjTvdAtBit(E108,F108,G108,H108,D108,W108,X108))</f>
        <v>2771.3986862312677</v>
      </c>
      <c r="W108" s="344">
        <f>IF(OR(E108="",E108&lt;$U$2),"",ProjIncAtBit(F108,J108,C108,M108,AJ108,IF(AK108="",0,AK108)))</f>
        <v>7.7473288343509648</v>
      </c>
      <c r="X108" s="455">
        <f>IF(OR(E108="",E108&lt;$U$2),"",ProjAzmAtBit(F108,G108,J108,C108,M108,AJ108,IF(AK108="",0,AK108)))</f>
        <v>39.298242674814098</v>
      </c>
      <c r="Y108" s="461" t="s">
        <v>1833</v>
      </c>
      <c r="Z108" s="206"/>
      <c r="AA108" s="512" t="str">
        <f t="shared" si="36"/>
        <v/>
      </c>
      <c r="AB108" s="520" t="str">
        <f t="shared" si="37"/>
        <v/>
      </c>
      <c r="AC108" s="510"/>
      <c r="AD108" s="515"/>
      <c r="AE108" s="516"/>
      <c r="AJ108" s="452">
        <f>IF(OR(E108="",D108=""),0,ProjSlideMetersBetween(E108,D108,$R$13:$R$305,$S$13:$S$305))</f>
        <v>17</v>
      </c>
      <c r="AK108" s="452">
        <f>IF(U108="","",ProjParseTF(U108))</f>
        <v>40</v>
      </c>
      <c r="AL108" s="219">
        <f>IF(E108="","",ProjCumN(AL107,E107,F107,G107,E108,F108,G108,FALSE))</f>
        <v>7.256613751873771</v>
      </c>
      <c r="AM108" s="331">
        <f>IF(E108="","",ProjCumE(AM107,E107,F107,G107,E108,F108,G108,FALSE))</f>
        <v>2.5720084306119801</v>
      </c>
      <c r="AN108" s="330">
        <f t="shared" si="35"/>
        <v>39.298242674814098</v>
      </c>
      <c r="AO108" s="330">
        <f>IF(OR(E108="",E108&lt;$U$2),"",ProjActiveTargetMdEx(D108,W108,V108,ProjTargets_MD,ProjTargets_INC,ProjTargets_AZM,ProjTargets_TVD,F108,H108))</f>
        <v>2821.17</v>
      </c>
      <c r="AP108" s="207">
        <f>IF(OR(E108="",E108&lt;$U$2),"",ProjBitN(E108,F108,G108,AL108,D108,W108,X108))</f>
        <v>8.5033647282508902</v>
      </c>
      <c r="AQ108" s="207">
        <f>IF(OR(E108="",E108&lt;$U$2),"",ProjBitE(E108,F108,G108,AM108,D108,W108,X108))</f>
        <v>3.5729267589341611</v>
      </c>
      <c r="AR108" s="207">
        <f>IF(OR(E108="",E108&lt;$U$2,AO108=""),"",ProjBurr(D108,W108,X108,Q108,C108,ProjTargets_MD,ProjTargets_INC,ProjTargets_AZM,ProjTargets_TVD,V108))</f>
        <v>18.002840765649147</v>
      </c>
      <c r="AS108" s="207">
        <f>IF(OR(E108="",E108&lt;$U$2,AO108=""),"",ProjMetersToSlide(D108,W108,X108,Q108,C108,ProjTargets_MD,ProjTargets_INC,ProjTargets_AZM,ProjTargets_TVD,V108))</f>
        <v>24.123466305000985</v>
      </c>
      <c r="AT108" s="207" t="str">
        <f>IF(OR(E108="",E108&lt;$U$2,AO108=""),"",ProjRequiredTf(D108,W108,X108,ProjTargets_MD,ProjTargets_INC,ProjTargets_AZM,ProjTargets_TVD,5,V108))</f>
        <v>R75</v>
      </c>
    </row>
    <row r="109" spans="2:46" s="209" customFormat="1" ht="15" customHeight="1" x14ac:dyDescent="0.3">
      <c r="B109" s="208">
        <f t="shared" si="22"/>
        <v>17</v>
      </c>
      <c r="C109" s="335">
        <f t="shared" si="29"/>
        <v>13.619999999999891</v>
      </c>
      <c r="D109" s="27">
        <v>2785.46</v>
      </c>
      <c r="E109" s="336">
        <f t="shared" si="30"/>
        <v>2768.46</v>
      </c>
      <c r="F109" s="9">
        <v>6.39</v>
      </c>
      <c r="G109" s="9">
        <v>40.1</v>
      </c>
      <c r="H109" s="337">
        <f>IF(ISNUMBER(F109),COS(((F109+F108)/2)*(PI()/180))*(E109-E108)+H108,"")</f>
        <v>2768.0526345704343</v>
      </c>
      <c r="I109" s="337">
        <f t="shared" si="34"/>
        <v>1995.8026345704343</v>
      </c>
      <c r="J109" s="338">
        <f>IF(AND(ISNUMBER(E109),ISNUMBER(F109),ISNUMBER(G109)),ACOS(SIN(F108*PI()/180)*SIN(F109*PI()/180)*COS((G109*PI()/180)-(G108*PI()/180))+COS(F108*PI()/180)*COS(F109*PI()/180))*30/(E109-E108)*180/PI(),"")</f>
        <v>7.3711599227905671</v>
      </c>
      <c r="K109" s="339">
        <f>IF(F109=0," ",SUM(F109-F108)/SUM(E109-E108)*30)</f>
        <v>7.3568281938326576</v>
      </c>
      <c r="L109" s="339">
        <f t="shared" si="33"/>
        <v>5.9691629955947629</v>
      </c>
      <c r="M109" s="339">
        <f t="shared" si="24"/>
        <v>13.619999999999891</v>
      </c>
      <c r="N109" s="340">
        <f>IF(J109=0,"",IF(AND(ISNUMBER(F109),ISNUMBER(J109)),(IF(AND(F109&gt;F108,G109=G108),0,IF(AND(F109&lt;F108,G109=G108),180,IF(AND(G108=0,G109&gt;0),G109,ACOS((C109*K109/30)/(C109*J109/30))*180/PI())))),""))</f>
        <v>3.5734638915547912</v>
      </c>
      <c r="O109" s="341" t="str">
        <f>IF(F109="","",IF(N109="","",IF(F109&lt;5,"Mag",IF(L109&lt;0,"L",IF(N109=0,"HS",IF(N109=360,"HS",IF(N109=180,"LS","R")))))))</f>
        <v>R</v>
      </c>
      <c r="P109" s="342">
        <f>IF(F109="","",IF(M109="","",SUM((F109-F108)/M109)))</f>
        <v>0.2452276064610886</v>
      </c>
      <c r="Q109" s="343">
        <f>IF(ISBLANK(F109),"",IF(J109="", "", IF(M109="","",SUM(C109*J109/M109))))</f>
        <v>7.3711599227905671</v>
      </c>
      <c r="R109" s="10">
        <f t="shared" si="20"/>
        <v>2785.46</v>
      </c>
      <c r="S109" s="337">
        <f t="shared" si="21"/>
        <v>2791.46</v>
      </c>
      <c r="T109" s="9">
        <v>6</v>
      </c>
      <c r="U109" s="8" t="s">
        <v>749</v>
      </c>
      <c r="V109" s="202">
        <f>IF(OR(E109="",E109&lt;$U$2),"",ProjTvdAtBit(E109,F109,G109,H109,D109,W109,X109))</f>
        <v>2784.8834853429703</v>
      </c>
      <c r="W109" s="344">
        <f>IF(OR(E109="",E109&lt;$U$2),"",ProjIncAtBit(F109,J109,C109,M109,AJ109,IF(AK109="",0,AK109)))</f>
        <v>9.6775373255646198</v>
      </c>
      <c r="X109" s="455">
        <f>IF(OR(E109="",E109&lt;$U$2),"",ProjAzmAtBit(F109,G109,J109,C109,M109,AJ109,IF(AK109="",0,AK109)))</f>
        <v>40.1</v>
      </c>
      <c r="Y109" s="461" t="s">
        <v>1834</v>
      </c>
      <c r="Z109" s="206"/>
      <c r="AA109" s="512" t="str">
        <f t="shared" si="36"/>
        <v/>
      </c>
      <c r="AB109" s="520" t="str">
        <f t="shared" si="37"/>
        <v/>
      </c>
      <c r="AC109" s="510"/>
      <c r="AD109" s="515"/>
      <c r="AE109" s="516"/>
      <c r="AJ109" s="452">
        <f>IF(OR(E109="",D109=""),0,ProjSlideMetersBetween(E109,D109,$R$13:$R$305,$S$13:$S$305))</f>
        <v>13.380000000000109</v>
      </c>
      <c r="AK109" s="452">
        <f>IF(U109="","",ProjParseTF(U109))</f>
        <v>0</v>
      </c>
      <c r="AL109" s="219">
        <f>IF(E109="","",ProjCumN(AL108,E108,F108,G108,E109,F109,G109,FALSE))</f>
        <v>8.1244999758097833</v>
      </c>
      <c r="AM109" s="331">
        <f>IF(E109="","",ProjCumE(AM108,E108,F108,G108,E109,F109,G109,FALSE))</f>
        <v>3.2804332651209234</v>
      </c>
      <c r="AN109" s="330">
        <f t="shared" si="35"/>
        <v>40.1</v>
      </c>
      <c r="AO109" s="330">
        <f>IF(OR(E109="",E109&lt;$U$2),"",ProjActiveTargetMdEx(D109,W109,V109,ProjTargets_MD,ProjTargets_INC,ProjTargets_AZM,ProjTargets_TVD,F109,H109))</f>
        <v>2821.17</v>
      </c>
      <c r="AP109" s="207">
        <f>IF(OR(E109="",E109&lt;$U$2),"",ProjBitN(E109,F109,G109,AL109,D109,W109,X109))</f>
        <v>9.9416000279153351</v>
      </c>
      <c r="AQ109" s="207">
        <f>IF(OR(E109="",E109&lt;$U$2),"",ProjBitE(E109,F109,G109,AM109,D109,W109,X109))</f>
        <v>4.8105735903837559</v>
      </c>
      <c r="AR109" s="207">
        <f>IF(OR(E109="",E109&lt;$U$2,AO109=""),"",ProjBurr(D109,W109,X109,Q109,C109,ProjTargets_MD,ProjTargets_INC,ProjTargets_AZM,ProjTargets_TVD,V109))</f>
        <v>23.24765836552956</v>
      </c>
      <c r="AS109" s="207">
        <f>IF(OR(E109="",E109&lt;$U$2,AO109=""),"",ProjMetersToSlide(D109,W109,X109,Q109,C109,ProjTargets_MD,ProjTargets_INC,ProjTargets_AZM,ProjTargets_TVD,V109))</f>
        <v>42.955669155884955</v>
      </c>
      <c r="AT109" s="207" t="str">
        <f>IF(OR(E109="",E109&lt;$U$2,AO109=""),"",ProjRequiredTf(D109,W109,X109,ProjTargets_MD,ProjTargets_INC,ProjTargets_AZM,ProjTargets_TVD,5,V109))</f>
        <v>R76</v>
      </c>
    </row>
    <row r="110" spans="2:46" s="209" customFormat="1" ht="15" customHeight="1" x14ac:dyDescent="0.3">
      <c r="B110" s="208">
        <f t="shared" si="22"/>
        <v>17</v>
      </c>
      <c r="C110" s="335">
        <f t="shared" si="29"/>
        <v>14.5</v>
      </c>
      <c r="D110" s="27">
        <v>2799.96</v>
      </c>
      <c r="E110" s="336">
        <f t="shared" si="30"/>
        <v>2782.96</v>
      </c>
      <c r="F110" s="9">
        <v>10.039999999999999</v>
      </c>
      <c r="G110" s="9">
        <v>41.86</v>
      </c>
      <c r="H110" s="337">
        <f>IF(ISNUMBER(F110),COS(((F110+F109)/2)*(PI()/180))*(E110-E109)+H109,"")</f>
        <v>2782.4038479943474</v>
      </c>
      <c r="I110" s="337">
        <f t="shared" si="34"/>
        <v>2010.1538479943474</v>
      </c>
      <c r="J110" s="338">
        <f>IF(AND(ISNUMBER(E110),ISNUMBER(F110),ISNUMBER(G110)),ACOS(SIN(F109*PI()/180)*SIN(F110*PI()/180)*COS((G110*PI()/180)-(G109*PI()/180))+COS(F109*PI()/180)*COS(F110*PI()/180))*30/(E110-E109)*180/PI(),"")</f>
        <v>7.5687492716587368</v>
      </c>
      <c r="K110" s="339">
        <f>IF(F110=0," ",SUM(F110-F109)/SUM(E110-E109)*30)</f>
        <v>7.5517241379310329</v>
      </c>
      <c r="L110" s="339">
        <f t="shared" si="33"/>
        <v>3.6413793103448233</v>
      </c>
      <c r="M110" s="339">
        <f t="shared" si="24"/>
        <v>13.380000000000109</v>
      </c>
      <c r="N110" s="340">
        <f>IF(J110=0,"",IF(AND(ISNUMBER(F110),ISNUMBER(J110)),(IF(AND(F110&gt;F109,G110=G109),0,IF(AND(F110&lt;F109,G110=G109),180,IF(AND(G109=0,G110&gt;0),G110,ACOS((C110*K110/30)/(C110*J110/30))*180/PI())))),""))</f>
        <v>3.8437247383334761</v>
      </c>
      <c r="O110" s="341" t="str">
        <f>IF(F110="","",IF(N110="","",IF(F110&lt;5,"Mag",IF(L110&lt;0,"L",IF(N110=0,"HS",IF(N110=360,"HS",IF(N110=180,"LS","R")))))))</f>
        <v>R</v>
      </c>
      <c r="P110" s="342">
        <f>IF(F110="","",IF(M110="","",SUM((F110-F109)/M110)))</f>
        <v>0.27279521674140284</v>
      </c>
      <c r="Q110" s="343">
        <f>IF(ISBLANK(F110),"",IF(J110="", "", IF(M110="","",SUM(C110*J110/M110))))</f>
        <v>8.2023067592713588</v>
      </c>
      <c r="R110" s="10">
        <f t="shared" si="20"/>
        <v>2799.96</v>
      </c>
      <c r="S110" s="337">
        <f t="shared" si="21"/>
        <v>2814.28</v>
      </c>
      <c r="T110" s="9">
        <v>14.32</v>
      </c>
      <c r="U110" s="8" t="s">
        <v>749</v>
      </c>
      <c r="V110" s="202">
        <f>IF(OR(E110="",E110&lt;$U$2),"",ProjTvdAtBit(E110,F110,G110,H110,D110,W110,X110))</f>
        <v>2799.0988031187107</v>
      </c>
      <c r="W110" s="344">
        <f>IF(OR(E110="",E110&lt;$U$2),"",ProjIncAtBit(F110,J110,C110,M110,AJ110,IF(AK110="",0,AK110)))</f>
        <v>11.680461351854271</v>
      </c>
      <c r="X110" s="455">
        <f>IF(OR(E110="",E110&lt;$U$2),"",ProjAzmAtBit(F110,G110,J110,C110,M110,AJ110,IF(AK110="",0,AK110)))</f>
        <v>41.86</v>
      </c>
      <c r="Y110" s="461" t="s">
        <v>1835</v>
      </c>
      <c r="Z110" s="206"/>
      <c r="AA110" s="512" t="str">
        <f t="shared" si="36"/>
        <v/>
      </c>
      <c r="AB110" s="520" t="str">
        <f t="shared" si="37"/>
        <v/>
      </c>
      <c r="AC110" s="510"/>
      <c r="AD110" s="515"/>
      <c r="AE110" s="516"/>
      <c r="AJ110" s="452">
        <f>IF(OR(E110="",D110=""),0,ProjSlideMetersBetween(E110,D110,$R$13:$R$305,$S$13:$S$305))</f>
        <v>6</v>
      </c>
      <c r="AK110" s="452">
        <f>IF(U110="","",ProjParseTF(U110))</f>
        <v>0</v>
      </c>
      <c r="AL110" s="219">
        <f>IF(E110="","",ProjCumN(AL109,E109,F109,G109,E110,F110,G110,FALSE))</f>
        <v>9.683588211315314</v>
      </c>
      <c r="AM110" s="331">
        <f>IF(E110="","",ProjCumE(AM109,E109,F109,G109,E110,F110,G110,FALSE))</f>
        <v>4.6440739092872185</v>
      </c>
      <c r="AN110" s="330">
        <f t="shared" si="35"/>
        <v>41.86</v>
      </c>
      <c r="AO110" s="330">
        <f>IF(OR(E110="",E110&lt;$U$2),"",ProjActiveTargetMdEx(D110,W110,V110,ProjTargets_MD,ProjTargets_INC,ProjTargets_AZM,ProjTargets_TVD,F110,H110))</f>
        <v>2821.17</v>
      </c>
      <c r="AP110" s="207">
        <f>IF(OR(E110="",E110&lt;$U$2),"",ProjBitN(E110,F110,G110,AL110,D110,W110,X110))</f>
        <v>12.069055333900909</v>
      </c>
      <c r="AQ110" s="207">
        <f>IF(OR(E110="",E110&lt;$U$2),"",ProjBitE(E110,F110,G110,AM110,D110,W110,X110))</f>
        <v>6.7814269423280455</v>
      </c>
      <c r="AR110" s="207">
        <f>IF(OR(E110="",E110&lt;$U$2,AO110=""),"",ProjBurr(D110,W110,X110,Q110,C110,ProjTargets_MD,ProjTargets_INC,ProjTargets_AZM,ProjTargets_TVD,V110))</f>
        <v>36.307692571634632</v>
      </c>
      <c r="AS110" s="207">
        <f>IF(OR(E110="",E110&lt;$U$2,AO110=""),"",ProjMetersToSlide(D110,W110,X110,Q110,C110,ProjTargets_MD,ProjTargets_INC,ProjTargets_AZM,ProjTargets_TVD,V110))</f>
        <v>64.184571211461218</v>
      </c>
      <c r="AT110" s="207" t="str">
        <f>IF(OR(E110="",E110&lt;$U$2,AO110=""),"",ProjRequiredTf(D110,W110,X110,ProjTargets_MD,ProjTargets_INC,ProjTargets_AZM,ProjTargets_TVD,5,V110))</f>
        <v>R76</v>
      </c>
    </row>
    <row r="111" spans="2:46" s="209" customFormat="1" ht="15" customHeight="1" x14ac:dyDescent="0.3">
      <c r="B111" s="208">
        <f t="shared" si="22"/>
        <v>17</v>
      </c>
      <c r="C111" s="335">
        <f t="shared" si="29"/>
        <v>14.320000000000164</v>
      </c>
      <c r="D111" s="27">
        <v>2814.28</v>
      </c>
      <c r="E111" s="336">
        <f t="shared" si="30"/>
        <v>2797.28</v>
      </c>
      <c r="F111" s="9">
        <v>12.11</v>
      </c>
      <c r="G111" s="9">
        <v>42.52</v>
      </c>
      <c r="H111" s="337">
        <f>IF(ISNUMBER(F111),COS(((F111+F110)/2)*(PI()/180))*(E111-E110)+H110,"")</f>
        <v>2796.4571605359238</v>
      </c>
      <c r="I111" s="337">
        <f t="shared" si="34"/>
        <v>2024.2071605359238</v>
      </c>
      <c r="J111" s="338">
        <f>IF(AND(ISNUMBER(E111),ISNUMBER(F111),ISNUMBER(G111)),ACOS(SIN(F110*PI()/180)*SIN(F111*PI()/180)*COS((G111*PI()/180)-(G110*PI()/180))+COS(F110*PI()/180)*COS(F111*PI()/180))*30/(E111-E110)*180/PI(),"")</f>
        <v>4.3446482223540563</v>
      </c>
      <c r="K111" s="339">
        <f>IF(F111=0," ",SUM(F111-F110)/SUM(E111-E110)*30)</f>
        <v>4.3365921787709008</v>
      </c>
      <c r="L111" s="339">
        <f t="shared" si="33"/>
        <v>1.3826815642458019</v>
      </c>
      <c r="M111" s="339">
        <f t="shared" si="24"/>
        <v>6</v>
      </c>
      <c r="N111" s="340">
        <f>IF(J111=0,"",IF(AND(ISNUMBER(F111),ISNUMBER(J111)),(IF(AND(F111&gt;F110,G111=G110),0,IF(AND(F111&lt;F110,G111=G110),180,IF(AND(G110=0,G111&gt;0),G111,ACOS((C111*K111/30)/(C111*J111/30))*180/PI())))),""))</f>
        <v>3.4897021005489655</v>
      </c>
      <c r="O111" s="341" t="str">
        <f t="shared" si="26"/>
        <v>R</v>
      </c>
      <c r="P111" s="342">
        <f>IF(F111="","",IF(M111="","",SUM((F111-F110)/M111)))</f>
        <v>0.34500000000000003</v>
      </c>
      <c r="Q111" s="343">
        <f t="shared" si="28"/>
        <v>10.369227090685133</v>
      </c>
      <c r="R111" s="10">
        <f t="shared" si="20"/>
        <v>2814.28</v>
      </c>
      <c r="S111" s="337">
        <f t="shared" si="21"/>
        <v>2821.28</v>
      </c>
      <c r="T111" s="9">
        <v>7</v>
      </c>
      <c r="U111" s="8" t="s">
        <v>749</v>
      </c>
      <c r="V111" s="202">
        <f>IF(OR(E111="",E111&lt;$U$2),"",ProjTvdAtBit(E111,F111,G111,H111,D111,W111,X111))</f>
        <v>2812.9042382970952</v>
      </c>
      <c r="W111" s="344">
        <f>IF(OR(E111="",E111&lt;$U$2),"",ProjIncAtBit(F111,J111,C111,M111,AJ111,IF(AK111="",0,AK111)))</f>
        <v>17.059577731287092</v>
      </c>
      <c r="X111" s="455">
        <f>IF(OR(E111="",E111&lt;$U$2),"",ProjAzmAtBit(F111,G111,J111,C111,M111,AJ111,IF(AK111="",0,AK111)))</f>
        <v>42.52</v>
      </c>
      <c r="Y111" s="461" t="s">
        <v>1836</v>
      </c>
      <c r="Z111" s="206"/>
      <c r="AA111" s="512" t="str">
        <f t="shared" si="36"/>
        <v/>
      </c>
      <c r="AB111" s="520" t="str">
        <f t="shared" si="37"/>
        <v/>
      </c>
      <c r="AC111" s="510"/>
      <c r="AD111" s="515"/>
      <c r="AE111" s="516"/>
      <c r="AJ111" s="452">
        <f>IF(OR(E111="",D111=""),0,ProjSlideMetersBetween(E111,D111,$R$13:$R$305,$S$13:$S$305))</f>
        <v>14.320000000000164</v>
      </c>
      <c r="AK111" s="452">
        <f>IF(U111="","",ProjParseTF(U111))</f>
        <v>0</v>
      </c>
      <c r="AL111" s="219">
        <f>IF(E111="","",ProjCumN(AL110,E110,F110,G110,E111,F111,G111,FALSE))</f>
        <v>11.720577469619061</v>
      </c>
      <c r="AM111" s="331">
        <f>IF(E111="","",ProjCumE(AM110,E110,F110,G110,E111,F111,G111,FALSE))</f>
        <v>6.4924287541017218</v>
      </c>
      <c r="AN111" s="330">
        <f t="shared" si="35"/>
        <v>42.52</v>
      </c>
      <c r="AO111" s="330">
        <f>IF(OR(E111="",E111&lt;$U$2),"",ProjActiveTargetMdEx(D111,W111,V111,ProjTargets_MD,ProjTargets_INC,ProjTargets_AZM,ProjTargets_TVD,F111,H111))</f>
        <v>3217.37</v>
      </c>
      <c r="AP111" s="207">
        <f>IF(OR(E111="",E111&lt;$U$2),"",ProjBitN(E111,F111,G111,AL111,D111,W111,X111))</f>
        <v>14.874732037914876</v>
      </c>
      <c r="AQ111" s="207">
        <f>IF(OR(E111="",E111&lt;$U$2),"",ProjBitE(E111,F111,G111,AM111,D111,W111,X111))</f>
        <v>9.3847050436936748</v>
      </c>
      <c r="AR111" s="207">
        <f>IF(OR(E111="",E111&lt;$U$2,AO111=""),"",ProjBurr(D111,W111,X111,Q111,C111,ProjTargets_MD,ProjTargets_INC,ProjTargets_AZM,ProjTargets_TVD,V111))</f>
        <v>14.547016771565534</v>
      </c>
      <c r="AS111" s="207">
        <f>IF(OR(E111="",E111&lt;$U$2,AO111=""),"",ProjMetersToSlide(D111,W111,X111,Q111,C111,ProjTargets_MD,ProjTargets_INC,ProjTargets_AZM,ProjTargets_TVD,V111))</f>
        <v>20.089566787089897</v>
      </c>
      <c r="AT111" s="207" t="str">
        <f>IF(OR(E111="",E111&lt;$U$2,AO111=""),"",ProjRequiredTf(D111,W111,X111,ProjTargets_MD,ProjTargets_INC,ProjTargets_AZM,ProjTargets_TVD,5,V111))</f>
        <v>R55</v>
      </c>
    </row>
    <row r="112" spans="2:46" s="209" customFormat="1" ht="15" customHeight="1" x14ac:dyDescent="0.3">
      <c r="B112" s="208">
        <f t="shared" si="22"/>
        <v>17</v>
      </c>
      <c r="C112" s="335">
        <f t="shared" si="29"/>
        <v>14.5</v>
      </c>
      <c r="D112" s="27">
        <v>2828.78</v>
      </c>
      <c r="E112" s="336">
        <f t="shared" si="30"/>
        <v>2811.78</v>
      </c>
      <c r="F112" s="9">
        <v>15.7</v>
      </c>
      <c r="G112" s="9">
        <v>44.49</v>
      </c>
      <c r="H112" s="337">
        <f t="shared" si="23"/>
        <v>2810.5322454893662</v>
      </c>
      <c r="I112" s="337">
        <f t="shared" si="34"/>
        <v>2038.2822454893662</v>
      </c>
      <c r="J112" s="338">
        <f t="shared" si="31"/>
        <v>7.4908378087442689</v>
      </c>
      <c r="K112" s="339">
        <f t="shared" si="32"/>
        <v>7.4275862068965521</v>
      </c>
      <c r="L112" s="339">
        <f t="shared" si="33"/>
        <v>4.075862068965515</v>
      </c>
      <c r="M112" s="339">
        <f t="shared" si="24"/>
        <v>11.820000000000164</v>
      </c>
      <c r="N112" s="340">
        <f t="shared" si="25"/>
        <v>7.450994885736586</v>
      </c>
      <c r="O112" s="341" t="str">
        <f t="shared" si="26"/>
        <v>R</v>
      </c>
      <c r="P112" s="342">
        <f t="shared" si="27"/>
        <v>0.30372250423011421</v>
      </c>
      <c r="Q112" s="343">
        <f t="shared" si="28"/>
        <v>9.1892680394915729</v>
      </c>
      <c r="R112" s="10">
        <v>2835</v>
      </c>
      <c r="S112" s="337">
        <f t="shared" si="21"/>
        <v>2840</v>
      </c>
      <c r="T112" s="9">
        <v>5</v>
      </c>
      <c r="U112" s="8" t="s">
        <v>754</v>
      </c>
      <c r="V112" s="202">
        <f>IF(OR(E112="",E112&lt;$U$2),"",ProjTvdAtBit(E112,F112,G112,H112,D112,W112,X112))</f>
        <v>2826.782064720328</v>
      </c>
      <c r="W112" s="344">
        <f>IF(OR(E112="",E112&lt;$U$2),"",ProjIncAtBit(F112,J112,C112,M112,AJ112,IF(AK112="",0,AK112)))</f>
        <v>18.434444332925775</v>
      </c>
      <c r="X112" s="455">
        <f>IF(OR(E112="",E112&lt;$U$2),"",ProjAzmAtBit(F112,G112,J112,C112,M112,AJ112,IF(AK112="",0,AK112)))</f>
        <v>43.678694483357589</v>
      </c>
      <c r="Y112" s="461" t="s">
        <v>1837</v>
      </c>
      <c r="Z112" s="206"/>
      <c r="AA112" s="512" t="str">
        <f t="shared" si="36"/>
        <v/>
      </c>
      <c r="AB112" s="520" t="str">
        <f t="shared" si="37"/>
        <v/>
      </c>
      <c r="AC112" s="510"/>
      <c r="AD112" s="515"/>
      <c r="AE112" s="516"/>
      <c r="AJ112" s="452">
        <f>IF(OR(E112="",D112=""),0,ProjSlideMetersBetween(E112,D112,$R$13:$R$305,$S$13:$S$305))</f>
        <v>9.5</v>
      </c>
      <c r="AK112" s="452">
        <f>IF(U112="","",ProjParseTF(U112))</f>
        <v>-20</v>
      </c>
      <c r="AL112" s="219">
        <f>IF(E112="","",ProjCumN(AL111,E111,F111,G111,E112,F112,G112,FALSE))</f>
        <v>14.241968505277343</v>
      </c>
      <c r="AM112" s="331">
        <f>IF(E112="","",ProjCumE(AM111,E111,F111,G111,E112,F112,G112,FALSE))</f>
        <v>8.8960105124945379</v>
      </c>
      <c r="AN112" s="330">
        <f t="shared" si="35"/>
        <v>43.678694483357589</v>
      </c>
      <c r="AO112" s="330">
        <f>IF(OR(E112="",E112&lt;$U$2),"",ProjActiveTargetMdEx(D112,W112,V112,ProjTargets_MD,ProjTargets_INC,ProjTargets_AZM,ProjTargets_TVD,F112,H112))</f>
        <v>3217.37</v>
      </c>
      <c r="AP112" s="207">
        <f>IF(OR(E112="",E112&lt;$U$2),"",ProjBitN(E112,F112,G112,AL112,D112,W112,X112))</f>
        <v>17.827414101494099</v>
      </c>
      <c r="AQ112" s="207">
        <f>IF(OR(E112="",E112&lt;$U$2),"",ProjBitE(E112,F112,G112,AM112,D112,W112,X112))</f>
        <v>12.364827539317288</v>
      </c>
      <c r="AR112" s="207">
        <f>IF(OR(E112="",E112&lt;$U$2,AO112=""),"",ProjBurr(D112,W112,X112,Q112,C112,ProjTargets_MD,ProjTargets_INC,ProjTargets_AZM,ProjTargets_TVD,V112))</f>
        <v>16.882603777044643</v>
      </c>
      <c r="AS112" s="207">
        <f>IF(OR(E112="",E112&lt;$U$2,AO112=""),"",ProjMetersToSlide(D112,W112,X112,Q112,C112,ProjTargets_MD,ProjTargets_INC,ProjTargets_AZM,ProjTargets_TVD,V112))</f>
        <v>26.63952707822979</v>
      </c>
      <c r="AT112" s="207" t="str">
        <f>IF(OR(E112="",E112&lt;$U$2,AO112=""),"",ProjRequiredTf(D112,W112,X112,ProjTargets_MD,ProjTargets_INC,ProjTargets_AZM,ProjTargets_TVD,5,V112))</f>
        <v>R56</v>
      </c>
    </row>
    <row r="113" spans="2:46" s="209" customFormat="1" ht="15" customHeight="1" x14ac:dyDescent="0.3">
      <c r="B113" s="208">
        <f t="shared" si="22"/>
        <v>17</v>
      </c>
      <c r="C113" s="335">
        <f t="shared" si="29"/>
        <v>14.210000000000036</v>
      </c>
      <c r="D113" s="27">
        <v>2842.9900000000002</v>
      </c>
      <c r="E113" s="336">
        <f t="shared" si="30"/>
        <v>2825.99</v>
      </c>
      <c r="F113" s="9">
        <v>17.45</v>
      </c>
      <c r="G113" s="9">
        <v>45.98</v>
      </c>
      <c r="H113" s="337">
        <f t="shared" si="23"/>
        <v>2824.1517793246339</v>
      </c>
      <c r="I113" s="337">
        <f t="shared" si="34"/>
        <v>2051.9017793246339</v>
      </c>
      <c r="J113" s="338">
        <f t="shared" si="31"/>
        <v>3.8017066022135406</v>
      </c>
      <c r="K113" s="339">
        <f t="shared" si="32"/>
        <v>3.6945812807882863</v>
      </c>
      <c r="L113" s="339">
        <f t="shared" si="33"/>
        <v>3.1456720619283014</v>
      </c>
      <c r="M113" s="339">
        <f t="shared" si="24"/>
        <v>9.5</v>
      </c>
      <c r="N113" s="340">
        <f t="shared" si="25"/>
        <v>13.633881472632558</v>
      </c>
      <c r="O113" s="341" t="str">
        <f t="shared" si="26"/>
        <v>R</v>
      </c>
      <c r="P113" s="342">
        <f t="shared" si="27"/>
        <v>0.18421052631578946</v>
      </c>
      <c r="Q113" s="343">
        <f t="shared" si="28"/>
        <v>5.6865527176267943</v>
      </c>
      <c r="R113" s="10">
        <f t="shared" si="20"/>
        <v>2842.9900000000002</v>
      </c>
      <c r="S113" s="337">
        <f t="shared" si="21"/>
        <v>2857.19</v>
      </c>
      <c r="T113" s="9">
        <v>14.2</v>
      </c>
      <c r="U113" s="8" t="s">
        <v>755</v>
      </c>
      <c r="V113" s="202">
        <f>IF(OR(E113="",E113&lt;$U$2),"",ProjTvdAtBit(E113,F113,G113,H113,D113,W113,X113))</f>
        <v>2840.3271839862823</v>
      </c>
      <c r="W113" s="344">
        <f>IF(OR(E113="",E113&lt;$U$2),"",ProjIncAtBit(F113,J113,C113,M113,AJ113,IF(AK113="",0,AK113)))</f>
        <v>18.383360200705251</v>
      </c>
      <c r="X113" s="455">
        <f>IF(OR(E113="",E113&lt;$U$2),"",ProjAzmAtBit(F113,G113,J113,C113,M113,AJ113,IF(AK113="",0,AK113)))</f>
        <v>45.869973429416881</v>
      </c>
      <c r="Y113" s="461" t="s">
        <v>1838</v>
      </c>
      <c r="Z113" s="206"/>
      <c r="AA113" s="512" t="str">
        <f t="shared" si="36"/>
        <v/>
      </c>
      <c r="AB113" s="520" t="str">
        <f t="shared" si="37"/>
        <v/>
      </c>
      <c r="AC113" s="510"/>
      <c r="AD113" s="515"/>
      <c r="AE113" s="516"/>
      <c r="AJ113" s="452">
        <f>IF(OR(E113="",D113=""),0,ProjSlideMetersBetween(E113,D113,$R$13:$R$305,$S$13:$S$305))</f>
        <v>5</v>
      </c>
      <c r="AK113" s="452">
        <f>IF(U113="","",ProjParseTF(U113))</f>
        <v>-10</v>
      </c>
      <c r="AL113" s="219">
        <f>IF(E113="","",ProjCumN(AL112,E112,F112,G112,E113,F113,G113,FALSE))</f>
        <v>17.09431974405636</v>
      </c>
      <c r="AM113" s="331">
        <f>IF(E113="","",ProjCumE(AM112,E112,F112,G112,E113,F113,G113,FALSE))</f>
        <v>11.775696752030713</v>
      </c>
      <c r="AN113" s="330">
        <f t="shared" si="35"/>
        <v>45.869973429416881</v>
      </c>
      <c r="AO113" s="330">
        <f>IF(OR(E113="",E113&lt;$U$2),"",ProjActiveTargetMdEx(D113,W113,V113,ProjTargets_MD,ProjTargets_INC,ProjTargets_AZM,ProjTargets_TVD,F113,H113))</f>
        <v>3217.37</v>
      </c>
      <c r="AP113" s="207">
        <f>IF(OR(E113="",E113&lt;$U$2),"",ProjBitN(E113,F113,G113,AL113,D113,W113,X113))</f>
        <v>20.732195774014677</v>
      </c>
      <c r="AQ113" s="207">
        <f>IF(OR(E113="",E113&lt;$U$2),"",ProjBitE(E113,F113,G113,AM113,D113,W113,X113))</f>
        <v>15.532789067120097</v>
      </c>
      <c r="AR113" s="207">
        <f>IF(OR(E113="",E113&lt;$U$2,AO113=""),"",ProjBurr(D113,W113,X113,Q113,C113,ProjTargets_MD,ProjTargets_INC,ProjTargets_AZM,ProjTargets_TVD,V113))</f>
        <v>20.986749030362901</v>
      </c>
      <c r="AS113" s="207">
        <f>IF(OR(E113="",E113&lt;$U$2,AO113=""),"",ProjMetersToSlide(D113,W113,X113,Q113,C113,ProjTargets_MD,ProjTargets_INC,ProjTargets_AZM,ProjTargets_TVD,V113))</f>
        <v>52.443319974340511</v>
      </c>
      <c r="AT113" s="207" t="str">
        <f>IF(OR(E113="",E113&lt;$U$2,AO113=""),"",ProjRequiredTf(D113,W113,X113,ProjTargets_MD,ProjTargets_INC,ProjTargets_AZM,ProjTargets_TVD,5,V113))</f>
        <v>R55</v>
      </c>
    </row>
    <row r="114" spans="2:46" s="209" customFormat="1" ht="15" customHeight="1" x14ac:dyDescent="0.3">
      <c r="B114" s="208">
        <f t="shared" si="22"/>
        <v>17</v>
      </c>
      <c r="C114" s="335">
        <f t="shared" si="29"/>
        <v>14.5</v>
      </c>
      <c r="D114" s="27">
        <v>2857.4900000000002</v>
      </c>
      <c r="E114" s="336">
        <f t="shared" si="30"/>
        <v>2840.49</v>
      </c>
      <c r="F114" s="9">
        <v>19.12</v>
      </c>
      <c r="G114" s="9">
        <v>44.92</v>
      </c>
      <c r="H114" s="337">
        <f t="shared" si="23"/>
        <v>2837.9196402226266</v>
      </c>
      <c r="I114" s="337">
        <f t="shared" si="34"/>
        <v>2065.6696402226266</v>
      </c>
      <c r="J114" s="338">
        <f t="shared" si="31"/>
        <v>3.5228814747311157</v>
      </c>
      <c r="K114" s="339">
        <f t="shared" si="32"/>
        <v>3.455172413793107</v>
      </c>
      <c r="L114" s="339">
        <f t="shared" si="33"/>
        <v>-2.1931034482758522</v>
      </c>
      <c r="M114" s="339">
        <f t="shared" si="24"/>
        <v>5</v>
      </c>
      <c r="N114" s="340">
        <f t="shared" si="25"/>
        <v>11.251490588704199</v>
      </c>
      <c r="O114" s="341" t="str">
        <f t="shared" si="26"/>
        <v>L</v>
      </c>
      <c r="P114" s="342">
        <f t="shared" si="27"/>
        <v>0.33400000000000035</v>
      </c>
      <c r="Q114" s="343">
        <f t="shared" si="28"/>
        <v>10.216356276720235</v>
      </c>
      <c r="R114" s="10">
        <f t="shared" si="20"/>
        <v>2857.4900000000002</v>
      </c>
      <c r="S114" s="337">
        <f t="shared" si="21"/>
        <v>2864.9900000000002</v>
      </c>
      <c r="T114" s="9">
        <v>7.5</v>
      </c>
      <c r="U114" s="8" t="s">
        <v>755</v>
      </c>
      <c r="V114" s="202">
        <f>IF(OR(E114="",E114&lt;$U$2),"",ProjTvdAtBit(E114,F114,G114,H114,D114,W114,X114))</f>
        <v>2853.7320669968626</v>
      </c>
      <c r="W114" s="344">
        <f>IF(OR(E114="",E114&lt;$U$2),"",ProjIncAtBit(F114,J114,C114,M114,AJ114,IF(AK114="",0,AK114)))</f>
        <v>23.882276184588477</v>
      </c>
      <c r="X114" s="455">
        <f>IF(OR(E114="",E114&lt;$U$2),"",ProjAzmAtBit(F114,G114,J114,C114,M114,AJ114,IF(AK114="",0,AK114)))</f>
        <v>44.630442144507477</v>
      </c>
      <c r="Y114" s="461" t="s">
        <v>1839</v>
      </c>
      <c r="Z114" s="206"/>
      <c r="AA114" s="512" t="str">
        <f t="shared" si="36"/>
        <v/>
      </c>
      <c r="AB114" s="520" t="str">
        <f t="shared" si="37"/>
        <v/>
      </c>
      <c r="AC114" s="510"/>
      <c r="AD114" s="515"/>
      <c r="AE114" s="516"/>
      <c r="AJ114" s="452">
        <f>IF(OR(E114="",D114=""),0,ProjSlideMetersBetween(E114,D114,$R$13:$R$305,$S$13:$S$305))</f>
        <v>14.199999999999818</v>
      </c>
      <c r="AK114" s="452">
        <f>IF(U114="","",ProjParseTF(U114))</f>
        <v>-10</v>
      </c>
      <c r="AL114" s="219">
        <f>IF(E114="","",ProjCumN(AL113,E113,F113,G113,E114,F114,G114,FALSE))</f>
        <v>20.2868692252407</v>
      </c>
      <c r="AM114" s="331">
        <f>IF(E114="","",ProjCumE(AM113,E113,F113,G113,E114,F114,G114,FALSE))</f>
        <v>15.016146975758708</v>
      </c>
      <c r="AN114" s="330">
        <f t="shared" si="35"/>
        <v>44.630442144507477</v>
      </c>
      <c r="AO114" s="330">
        <f>IF(OR(E114="",E114&lt;$U$2),"",ProjActiveTargetMdEx(D114,W114,V114,ProjTargets_MD,ProjTargets_INC,ProjTargets_AZM,ProjTargets_TVD,F114,H114))</f>
        <v>3217.37</v>
      </c>
      <c r="AP114" s="207">
        <f>IF(OR(E114="",E114&lt;$U$2),"",ProjBitN(E114,F114,G114,AL114,D114,W114,X114))</f>
        <v>24.709870026281305</v>
      </c>
      <c r="AQ114" s="207">
        <f>IF(OR(E114="",E114&lt;$U$2),"",ProjBitE(E114,F114,G114,AM114,D114,W114,X114))</f>
        <v>19.402238670053968</v>
      </c>
      <c r="AR114" s="207">
        <f>IF(OR(E114="",E114&lt;$U$2,AO114=""),"",ProjBurr(D114,W114,X114,Q114,C114,ProjTargets_MD,ProjTargets_INC,ProjTargets_AZM,ProjTargets_TVD,V114))</f>
        <v>23.975199694523976</v>
      </c>
      <c r="AS114" s="207">
        <f>IF(OR(E114="",E114&lt;$U$2,AO114=""),"",ProjMetersToSlide(D114,W114,X114,Q114,C114,ProjTargets_MD,ProjTargets_INC,ProjTargets_AZM,ProjTargets_TVD,V114))</f>
        <v>34.027826179354911</v>
      </c>
      <c r="AT114" s="207" t="str">
        <f>IF(OR(E114="",E114&lt;$U$2,AO114=""),"",ProjRequiredTf(D114,W114,X114,ProjTargets_MD,ProjTargets_INC,ProjTargets_AZM,ProjTargets_TVD,5,V114))</f>
        <v>R57</v>
      </c>
    </row>
    <row r="115" spans="2:46" s="209" customFormat="1" ht="15" customHeight="1" x14ac:dyDescent="0.3">
      <c r="B115" s="208">
        <f t="shared" si="22"/>
        <v>17</v>
      </c>
      <c r="C115" s="335">
        <f t="shared" si="29"/>
        <v>14.179999999999836</v>
      </c>
      <c r="D115" s="27">
        <v>2871.67</v>
      </c>
      <c r="E115" s="336">
        <f t="shared" si="30"/>
        <v>2854.67</v>
      </c>
      <c r="F115" s="9">
        <v>21.54</v>
      </c>
      <c r="G115" s="9">
        <v>44.15</v>
      </c>
      <c r="H115" s="337">
        <f t="shared" si="23"/>
        <v>2851.2163276234387</v>
      </c>
      <c r="I115" s="337">
        <f t="shared" si="34"/>
        <v>2078.9663276234387</v>
      </c>
      <c r="J115" s="338">
        <f t="shared" si="31"/>
        <v>5.1509690376569131</v>
      </c>
      <c r="K115" s="339">
        <f t="shared" si="32"/>
        <v>5.1198871650210478</v>
      </c>
      <c r="L115" s="339">
        <f t="shared" si="33"/>
        <v>-1.6290550070521592</v>
      </c>
      <c r="M115" s="339">
        <f t="shared" si="24"/>
        <v>11.679999999999836</v>
      </c>
      <c r="N115" s="340">
        <f t="shared" si="25"/>
        <v>6.2974593824528773</v>
      </c>
      <c r="O115" s="341" t="str">
        <f t="shared" si="26"/>
        <v>L</v>
      </c>
      <c r="P115" s="342">
        <f t="shared" si="27"/>
        <v>0.20719178082192055</v>
      </c>
      <c r="Q115" s="343">
        <f t="shared" si="28"/>
        <v>6.2534880953745891</v>
      </c>
      <c r="R115" s="10">
        <f t="shared" si="20"/>
        <v>2871.67</v>
      </c>
      <c r="S115" s="337">
        <f t="shared" si="21"/>
        <v>2884.9700000000003</v>
      </c>
      <c r="T115" s="9">
        <v>13.3</v>
      </c>
      <c r="U115" s="8" t="s">
        <v>755</v>
      </c>
      <c r="V115" s="202">
        <f>IF(OR(E115="",E115&lt;$U$2),"",ProjTvdAtBit(E115,F115,G115,H115,D115,W115,X115))</f>
        <v>2866.9136566755446</v>
      </c>
      <c r="W115" s="344">
        <f>IF(OR(E115="",E115&lt;$U$2),"",ProjIncAtBit(F115,J115,C115,M115,AJ115,IF(AK115="",0,AK115)))</f>
        <v>23.596933508937941</v>
      </c>
      <c r="X115" s="455">
        <f>IF(OR(E115="",E115&lt;$U$2),"",ProjAzmAtBit(F115,G115,J115,C115,M115,AJ115,IF(AK115="",0,AK115)))</f>
        <v>43.851251566872961</v>
      </c>
      <c r="Y115" s="461" t="s">
        <v>1840</v>
      </c>
      <c r="Z115" s="206"/>
      <c r="AA115" s="512" t="str">
        <f t="shared" si="36"/>
        <v/>
      </c>
      <c r="AB115" s="520" t="str">
        <f t="shared" si="37"/>
        <v/>
      </c>
      <c r="AC115" s="510"/>
      <c r="AD115" s="515"/>
      <c r="AE115" s="516"/>
      <c r="AJ115" s="452">
        <f>IF(OR(E115="",D115=""),0,ProjSlideMetersBetween(E115,D115,$R$13:$R$305,$S$13:$S$305))</f>
        <v>10.019999999999982</v>
      </c>
      <c r="AK115" s="452">
        <f>IF(U115="","",ProjParseTF(U115))</f>
        <v>-10</v>
      </c>
      <c r="AL115" s="219">
        <f>IF(E115="","",ProjCumN(AL114,E114,F114,G114,E115,F115,G115,FALSE))</f>
        <v>23.79958444684052</v>
      </c>
      <c r="AM115" s="331">
        <f>IF(E115="","",ProjCumE(AM114,E114,F114,G114,E115,F115,G115,FALSE))</f>
        <v>18.46965588406735</v>
      </c>
      <c r="AN115" s="330">
        <f t="shared" si="35"/>
        <v>43.851251566872961</v>
      </c>
      <c r="AO115" s="330">
        <f>IF(OR(E115="",E115&lt;$U$2),"",ProjActiveTargetMdEx(D115,W115,V115,ProjTargets_MD,ProjTargets_INC,ProjTargets_AZM,ProjTargets_TVD,F115,H115))</f>
        <v>3217.37</v>
      </c>
      <c r="AP115" s="207">
        <f>IF(OR(E115="",E115&lt;$U$2),"",ProjBitN(E115,F115,G115,AL115,D115,W115,X115))</f>
        <v>28.493026420008437</v>
      </c>
      <c r="AQ115" s="207">
        <f>IF(OR(E115="",E115&lt;$U$2),"",ProjBitE(E115,F115,G115,AM115,D115,W115,X115))</f>
        <v>23.001137856991861</v>
      </c>
      <c r="AR115" s="207">
        <f>IF(OR(E115="",E115&lt;$U$2,AO115=""),"",ProjBurr(D115,W115,X115,Q115,C115,ProjTargets_MD,ProjTargets_INC,ProjTargets_AZM,ProjTargets_TVD,V115))</f>
        <v>34.958833078415502</v>
      </c>
      <c r="AS115" s="207">
        <f>IF(OR(E115="",E115&lt;$U$2,AO115=""),"",ProjMetersToSlide(D115,W115,X115,Q115,C115,ProjTargets_MD,ProjTargets_INC,ProjTargets_AZM,ProjTargets_TVD,V115))</f>
        <v>79.270360076096424</v>
      </c>
      <c r="AT115" s="207" t="str">
        <f>IF(OR(E115="",E115&lt;$U$2,AO115=""),"",ProjRequiredTf(D115,W115,X115,ProjTargets_MD,ProjTargets_INC,ProjTargets_AZM,ProjTargets_TVD,5,V115))</f>
        <v>R57</v>
      </c>
    </row>
    <row r="116" spans="2:46" s="209" customFormat="1" ht="15" customHeight="1" x14ac:dyDescent="0.3">
      <c r="B116" s="208">
        <f t="shared" si="22"/>
        <v>17</v>
      </c>
      <c r="C116" s="335">
        <f t="shared" si="29"/>
        <v>14.5</v>
      </c>
      <c r="D116" s="27">
        <v>2886.17</v>
      </c>
      <c r="E116" s="336">
        <f t="shared" si="30"/>
        <v>2869.17</v>
      </c>
      <c r="F116" s="9">
        <v>24.08</v>
      </c>
      <c r="G116" s="9">
        <v>43.1</v>
      </c>
      <c r="H116" s="337">
        <f t="shared" si="23"/>
        <v>2864.5823624215673</v>
      </c>
      <c r="I116" s="337">
        <f t="shared" si="34"/>
        <v>2092.3323624215673</v>
      </c>
      <c r="J116" s="338">
        <f t="shared" si="31"/>
        <v>5.322031926295189</v>
      </c>
      <c r="K116" s="339">
        <f t="shared" si="32"/>
        <v>5.255172413793102</v>
      </c>
      <c r="L116" s="339">
        <f t="shared" si="33"/>
        <v>-2.1724137931034422</v>
      </c>
      <c r="M116" s="339">
        <f t="shared" si="24"/>
        <v>10.019999999999982</v>
      </c>
      <c r="N116" s="340">
        <f t="shared" si="25"/>
        <v>9.0915139253651311</v>
      </c>
      <c r="O116" s="341" t="str">
        <f t="shared" si="26"/>
        <v>L</v>
      </c>
      <c r="P116" s="342">
        <f t="shared" si="27"/>
        <v>0.25349301397205626</v>
      </c>
      <c r="Q116" s="343">
        <f t="shared" si="28"/>
        <v>7.7015432067146081</v>
      </c>
      <c r="R116" s="10">
        <f t="shared" si="20"/>
        <v>2886.17</v>
      </c>
      <c r="S116" s="337">
        <f t="shared" si="21"/>
        <v>2900.38</v>
      </c>
      <c r="T116" s="9">
        <v>14.21</v>
      </c>
      <c r="U116" s="8" t="s">
        <v>749</v>
      </c>
      <c r="V116" s="202">
        <f>IF(OR(E116="",E116&lt;$U$2),"",ProjTvdAtBit(E116,F116,G116,H116,D116,W116,X116))</f>
        <v>2879.8871724490009</v>
      </c>
      <c r="W116" s="344">
        <f>IF(OR(E116="",E116&lt;$U$2),"",ProjIncAtBit(F116,J116,C116,M116,AJ116,IF(AK116="",0,AK116)))</f>
        <v>27.494350821643522</v>
      </c>
      <c r="X116" s="455">
        <f>IF(OR(E116="",E116&lt;$U$2),"",ProjAzmAtBit(F116,G116,J116,C116,M116,AJ116,IF(AK116="",0,AK116)))</f>
        <v>43.1</v>
      </c>
      <c r="Y116" s="461" t="s">
        <v>1841</v>
      </c>
      <c r="Z116" s="206"/>
      <c r="AA116" s="512" t="str">
        <f t="shared" si="36"/>
        <v/>
      </c>
      <c r="AB116" s="520" t="str">
        <f t="shared" si="37"/>
        <v/>
      </c>
      <c r="AC116" s="510"/>
      <c r="AD116" s="515"/>
      <c r="AE116" s="516"/>
      <c r="AJ116" s="452">
        <f>IF(OR(E116="",D116=""),0,ProjSlideMetersBetween(E116,D116,$R$13:$R$305,$S$13:$S$305))</f>
        <v>13.300000000000182</v>
      </c>
      <c r="AK116" s="452">
        <f>IF(U116="","",ProjParseTF(U116))</f>
        <v>0</v>
      </c>
      <c r="AL116" s="219">
        <f>IF(E116="","",ProjCumN(AL115,E115,F115,G115,E116,F116,G116,FALSE))</f>
        <v>27.870072482216667</v>
      </c>
      <c r="AM116" s="331">
        <f>IF(E116="","",ProjCumE(AM115,E115,F115,G115,E116,F116,G116,FALSE))</f>
        <v>22.345566880043293</v>
      </c>
      <c r="AN116" s="330">
        <f t="shared" si="35"/>
        <v>43.1</v>
      </c>
      <c r="AO116" s="330">
        <f>IF(OR(E116="",E116&lt;$U$2),"",ProjActiveTargetMdEx(D116,W116,V116,ProjTargets_MD,ProjTargets_INC,ProjTargets_AZM,ProjTargets_TVD,F116,H116))</f>
        <v>3217.37</v>
      </c>
      <c r="AP116" s="207">
        <f>IF(OR(E116="",E116&lt;$U$2),"",ProjBitN(E116,F116,G116,AL116,D116,W116,X116))</f>
        <v>33.269190585304457</v>
      </c>
      <c r="AQ116" s="207">
        <f>IF(OR(E116="",E116&lt;$U$2),"",ProjBitE(E116,F116,G116,AM116,D116,W116,X116))</f>
        <v>27.39797224110691</v>
      </c>
      <c r="AR116" s="207">
        <f>IF(OR(E116="",E116&lt;$U$2,AO116=""),"",ProjBurr(D116,W116,X116,Q116,C116,ProjTargets_MD,ProjTargets_INC,ProjTargets_AZM,ProjTargets_TVD,V116))</f>
        <v>56.037409414784271</v>
      </c>
      <c r="AS116" s="207">
        <f>IF(OR(E116="",E116&lt;$U$2,AO116=""),"",ProjMetersToSlide(D116,W116,X116,Q116,C116,ProjTargets_MD,ProjTargets_INC,ProjTargets_AZM,ProjTargets_TVD,V116))</f>
        <v>105.50384704794682</v>
      </c>
      <c r="AT116" s="207" t="str">
        <f>IF(OR(E116="",E116&lt;$U$2,AO116=""),"",ProjRequiredTf(D116,W116,X116,ProjTargets_MD,ProjTargets_INC,ProjTargets_AZM,ProjTargets_TVD,5,V116))</f>
        <v>R59</v>
      </c>
    </row>
    <row r="117" spans="2:46" s="209" customFormat="1" ht="15" customHeight="1" x14ac:dyDescent="0.3">
      <c r="B117" s="208">
        <f t="shared" si="22"/>
        <v>17</v>
      </c>
      <c r="C117" s="335">
        <f t="shared" si="29"/>
        <v>14.210000000000036</v>
      </c>
      <c r="D117" s="27">
        <v>2900.38</v>
      </c>
      <c r="E117" s="336">
        <f t="shared" si="30"/>
        <v>2883.38</v>
      </c>
      <c r="F117" s="9">
        <v>25.75</v>
      </c>
      <c r="G117" s="9">
        <v>40.659999999999997</v>
      </c>
      <c r="H117" s="337">
        <f t="shared" si="23"/>
        <v>2877.4698910984571</v>
      </c>
      <c r="I117" s="337">
        <f t="shared" si="34"/>
        <v>2105.2198910984571</v>
      </c>
      <c r="J117" s="338">
        <f t="shared" si="31"/>
        <v>4.1393559170592091</v>
      </c>
      <c r="K117" s="339">
        <f t="shared" si="32"/>
        <v>3.5256861365235697</v>
      </c>
      <c r="L117" s="339">
        <f t="shared" si="33"/>
        <v>-5.1513019000703704</v>
      </c>
      <c r="M117" s="339">
        <f t="shared" si="24"/>
        <v>11.710000000000036</v>
      </c>
      <c r="N117" s="340">
        <f t="shared" si="25"/>
        <v>31.597748952400821</v>
      </c>
      <c r="O117" s="341" t="str">
        <f t="shared" si="26"/>
        <v>L</v>
      </c>
      <c r="P117" s="342">
        <f t="shared" si="27"/>
        <v>0.1426131511528605</v>
      </c>
      <c r="Q117" s="343">
        <f t="shared" si="28"/>
        <v>5.0230783587883288</v>
      </c>
      <c r="R117" s="10">
        <f t="shared" si="20"/>
        <v>2900.38</v>
      </c>
      <c r="S117" s="337">
        <f t="shared" si="21"/>
        <v>2914.88</v>
      </c>
      <c r="T117" s="9">
        <v>14.5</v>
      </c>
      <c r="U117" s="8" t="s">
        <v>749</v>
      </c>
      <c r="V117" s="202">
        <f>IF(OR(E117="",E117&lt;$U$2),"",ProjTvdAtBit(E117,F117,G117,H117,D117,W117,X117))</f>
        <v>2892.6058464722814</v>
      </c>
      <c r="W117" s="344">
        <f>IF(OR(E117="",E117&lt;$U$2),"",ProjIncAtBit(F117,J117,C117,M117,AJ117,IF(AK117="",0,AK117)))</f>
        <v>28.395487935628552</v>
      </c>
      <c r="X117" s="455">
        <f>IF(OR(E117="",E117&lt;$U$2),"",ProjAzmAtBit(F117,G117,J117,C117,M117,AJ117,IF(AK117="",0,AK117)))</f>
        <v>40.659999999999997</v>
      </c>
      <c r="Y117" s="461" t="s">
        <v>1842</v>
      </c>
      <c r="Z117" s="206"/>
      <c r="AA117" s="512" t="str">
        <f t="shared" si="36"/>
        <v/>
      </c>
      <c r="AB117" s="520" t="str">
        <f t="shared" si="37"/>
        <v/>
      </c>
      <c r="AC117" s="510"/>
      <c r="AD117" s="515"/>
      <c r="AE117" s="516"/>
      <c r="AJ117" s="452">
        <f>IF(OR(E117="",D117=""),0,ProjSlideMetersBetween(E117,D117,$R$13:$R$305,$S$13:$S$305))</f>
        <v>15.800000000000182</v>
      </c>
      <c r="AK117" s="452">
        <f>IF(U117="","",ProjParseTF(U117))</f>
        <v>0</v>
      </c>
      <c r="AL117" s="219">
        <f>IF(E117="","",ProjCumN(AL116,E116,F116,G116,E117,F117,G117,FALSE))</f>
        <v>32.328755764306578</v>
      </c>
      <c r="AM117" s="331">
        <f>IF(E117="","",ProjCumE(AM116,E116,F116,G116,E117,F117,G117,FALSE))</f>
        <v>26.337934891479161</v>
      </c>
      <c r="AN117" s="330">
        <f t="shared" si="35"/>
        <v>40.659999999999997</v>
      </c>
      <c r="AO117" s="330">
        <f>IF(OR(E117="",E117&lt;$U$2),"",ProjActiveTargetMdEx(D117,W117,V117,ProjTargets_MD,ProjTargets_INC,ProjTargets_AZM,ProjTargets_TVD,F117,H117))</f>
        <v>6704.23</v>
      </c>
      <c r="AP117" s="207">
        <f>IF(OR(E117="",E117&lt;$U$2),"",ProjBitN(E117,F117,G117,AL117,D117,W117,X117))</f>
        <v>38.197488693907971</v>
      </c>
      <c r="AQ117" s="207">
        <f>IF(OR(E117="",E117&lt;$U$2),"",ProjBitE(E117,F117,G117,AM117,D117,W117,X117))</f>
        <v>31.378717486937308</v>
      </c>
      <c r="AR117" s="207">
        <f>IF(OR(E117="",E117&lt;$U$2,AO117=""),"",ProjBurr(D117,W117,X117,Q117,C117,ProjTargets_MD,ProjTargets_INC,ProjTargets_AZM,ProjTargets_TVD,V117))</f>
        <v>0.48609576138153288</v>
      </c>
      <c r="AS117" s="207">
        <f>IF(OR(E117="",E117&lt;$U$2,AO117=""),"",ProjMetersToSlide(D117,W117,X117,Q117,C117,ProjTargets_MD,ProjTargets_INC,ProjTargets_AZM,ProjTargets_TVD,V117))</f>
        <v>1.3751369729573188</v>
      </c>
      <c r="AT117" s="207" t="str">
        <f>IF(OR(E117="",E117&lt;$U$2,AO117=""),"",ProjRequiredTf(D117,W117,X117,ProjTargets_MD,ProjTargets_INC,ProjTargets_AZM,ProjTargets_TVD,5,V117))</f>
        <v>R60</v>
      </c>
    </row>
    <row r="118" spans="2:46" s="209" customFormat="1" ht="15" customHeight="1" x14ac:dyDescent="0.3">
      <c r="B118" s="208">
        <f t="shared" si="22"/>
        <v>17</v>
      </c>
      <c r="C118" s="335">
        <f t="shared" si="29"/>
        <v>14.499999999999545</v>
      </c>
      <c r="D118" s="27">
        <v>2914.8799999999997</v>
      </c>
      <c r="E118" s="336">
        <f t="shared" si="30"/>
        <v>2897.88</v>
      </c>
      <c r="F118" s="9">
        <v>27.63</v>
      </c>
      <c r="G118" s="9">
        <v>39.630000000000003</v>
      </c>
      <c r="H118" s="337">
        <f t="shared" si="23"/>
        <v>2890.4249131358142</v>
      </c>
      <c r="I118" s="337">
        <f t="shared" si="34"/>
        <v>2118.1749131358142</v>
      </c>
      <c r="J118" s="338">
        <f t="shared" si="31"/>
        <v>4.0055632582763936</v>
      </c>
      <c r="K118" s="339">
        <f t="shared" si="32"/>
        <v>3.8896551724137911</v>
      </c>
      <c r="L118" s="339">
        <f t="shared" si="33"/>
        <v>-2.1310344827586083</v>
      </c>
      <c r="M118" s="339">
        <f t="shared" si="24"/>
        <v>13.300000000000182</v>
      </c>
      <c r="N118" s="340">
        <f t="shared" si="25"/>
        <v>13.817057251805338</v>
      </c>
      <c r="O118" s="341" t="str">
        <f t="shared" si="26"/>
        <v>L</v>
      </c>
      <c r="P118" s="342">
        <f t="shared" si="27"/>
        <v>0.14135338345864462</v>
      </c>
      <c r="Q118" s="343">
        <f t="shared" si="28"/>
        <v>4.3669674620304582</v>
      </c>
      <c r="R118" s="10">
        <f t="shared" si="20"/>
        <v>2914.8799999999997</v>
      </c>
      <c r="S118" s="337">
        <f t="shared" si="21"/>
        <v>2929.18</v>
      </c>
      <c r="T118" s="9">
        <v>14.3</v>
      </c>
      <c r="U118" s="8" t="s">
        <v>749</v>
      </c>
      <c r="V118" s="202">
        <f>IF(OR(E118="",E118&lt;$U$2),"",ProjTvdAtBit(E118,F118,G118,H118,D118,W118,X118))</f>
        <v>2905.3113384423878</v>
      </c>
      <c r="W118" s="344">
        <f>IF(OR(E118="",E118&lt;$U$2),"",ProjIncAtBit(F118,J118,C118,M118,AJ118,IF(AK118="",0,AK118)))</f>
        <v>30.104614895150526</v>
      </c>
      <c r="X118" s="455">
        <f>IF(OR(E118="",E118&lt;$U$2),"",ProjAzmAtBit(F118,G118,J118,C118,M118,AJ118,IF(AK118="",0,AK118)))</f>
        <v>39.630000000000003</v>
      </c>
      <c r="Y118" s="461" t="s">
        <v>1843</v>
      </c>
      <c r="Z118" s="206"/>
      <c r="AA118" s="512" t="str">
        <f t="shared" si="36"/>
        <v/>
      </c>
      <c r="AB118" s="520" t="str">
        <f t="shared" si="37"/>
        <v/>
      </c>
      <c r="AC118" s="510"/>
      <c r="AD118" s="515"/>
      <c r="AE118" s="516"/>
      <c r="AJ118" s="452">
        <f>IF(OR(E118="",D118=""),0,ProjSlideMetersBetween(E118,D118,$R$13:$R$305,$S$13:$S$305))</f>
        <v>16.999999999999545</v>
      </c>
      <c r="AK118" s="452">
        <f>IF(U118="","",ProjParseTF(U118))</f>
        <v>0</v>
      </c>
      <c r="AL118" s="219">
        <f>IF(E118="","",ProjCumN(AL117,E117,F117,G117,E118,F118,G118,FALSE))</f>
        <v>37.308123169404908</v>
      </c>
      <c r="AM118" s="331">
        <f>IF(E118="","",ProjCumE(AM117,E117,F117,G117,E118,F118,G118,FALSE))</f>
        <v>30.535140643744018</v>
      </c>
      <c r="AN118" s="330">
        <f t="shared" si="35"/>
        <v>39.630000000000003</v>
      </c>
      <c r="AO118" s="330">
        <f>IF(OR(E118="",E118&lt;$U$2),"",ProjActiveTargetMdEx(D118,W118,V118,ProjTargets_MD,ProjTargets_INC,ProjTargets_AZM,ProjTargets_TVD,F118,H118))</f>
        <v>3217.37</v>
      </c>
      <c r="AP118" s="207">
        <f>IF(OR(E118="",E118&lt;$U$2),"",ProjBitN(E118,F118,G118,AL118,D118,W118,X118))</f>
        <v>43.628730596879265</v>
      </c>
      <c r="AQ118" s="207">
        <f>IF(OR(E118="",E118&lt;$U$2),"",ProjBitE(E118,F118,G118,AM118,D118,W118,X118))</f>
        <v>35.769578654543885</v>
      </c>
      <c r="AR118" s="207">
        <f>IF(OR(E118="",E118&lt;$U$2,AO118=""),"",ProjBurr(D118,W118,X118,Q118,C118,ProjTargets_MD,ProjTargets_INC,ProjTargets_AZM,ProjTargets_TVD,V118))</f>
        <v>5.9432098685757637</v>
      </c>
      <c r="AS118" s="207">
        <f>IF(OR(E118="",E118&lt;$U$2,AO118=""),"",ProjMetersToSlide(D118,W118,X118,Q118,C118,ProjTargets_MD,ProjTargets_INC,ProjTargets_AZM,ProjTargets_TVD,V118))</f>
        <v>19.733726858197695</v>
      </c>
      <c r="AT118" s="207" t="str">
        <f>IF(OR(E118="",E118&lt;$U$2,AO118=""),"",ProjRequiredTf(D118,W118,X118,ProjTargets_MD,ProjTargets_INC,ProjTargets_AZM,ProjTargets_TVD,5,V118))</f>
        <v>R61</v>
      </c>
    </row>
    <row r="119" spans="2:46" s="209" customFormat="1" ht="15" customHeight="1" x14ac:dyDescent="0.3">
      <c r="B119" s="208">
        <f t="shared" si="22"/>
        <v>17</v>
      </c>
      <c r="C119" s="335">
        <f t="shared" si="29"/>
        <v>14.300000000000182</v>
      </c>
      <c r="D119" s="27">
        <v>2929.18</v>
      </c>
      <c r="E119" s="336">
        <f t="shared" si="30"/>
        <v>2912.18</v>
      </c>
      <c r="F119" s="9">
        <v>29.44</v>
      </c>
      <c r="G119" s="9">
        <v>39.99</v>
      </c>
      <c r="H119" s="337">
        <f t="shared" si="23"/>
        <v>2902.9878273426893</v>
      </c>
      <c r="I119" s="337">
        <f t="shared" si="34"/>
        <v>2130.7378273426893</v>
      </c>
      <c r="J119" s="338">
        <f t="shared" si="31"/>
        <v>3.8142873711224516</v>
      </c>
      <c r="K119" s="339">
        <f t="shared" si="32"/>
        <v>3.7972027972028748</v>
      </c>
      <c r="L119" s="339">
        <f t="shared" si="33"/>
        <v>0.75524475524476842</v>
      </c>
      <c r="M119" s="339">
        <f t="shared" si="24"/>
        <v>14.299999999999727</v>
      </c>
      <c r="N119" s="340">
        <f t="shared" si="25"/>
        <v>5.4249437400236875</v>
      </c>
      <c r="O119" s="341" t="str">
        <f t="shared" si="26"/>
        <v>R</v>
      </c>
      <c r="P119" s="342">
        <f t="shared" si="27"/>
        <v>0.12657342657342915</v>
      </c>
      <c r="Q119" s="343">
        <f t="shared" si="28"/>
        <v>3.8142873711225729</v>
      </c>
      <c r="R119" s="10">
        <f t="shared" si="20"/>
        <v>2929.18</v>
      </c>
      <c r="S119" s="337">
        <f t="shared" si="21"/>
        <v>2943.68</v>
      </c>
      <c r="T119" s="9">
        <v>14.5</v>
      </c>
      <c r="U119" s="8" t="s">
        <v>749</v>
      </c>
      <c r="V119" s="202">
        <f>IF(OR(E119="",E119&lt;$U$2),"",ProjTvdAtBit(E119,F119,G119,H119,D119,W119,X119))</f>
        <v>2917.6315343351475</v>
      </c>
      <c r="W119" s="344">
        <f>IF(OR(E119="",E119&lt;$U$2),"",ProjIncAtBit(F119,J119,C119,M119,AJ119,IF(AK119="",0,AK119)))</f>
        <v>31.60142951030285</v>
      </c>
      <c r="X119" s="455">
        <f>IF(OR(E119="",E119&lt;$U$2),"",ProjAzmAtBit(F119,G119,J119,C119,M119,AJ119,IF(AK119="",0,AK119)))</f>
        <v>39.99</v>
      </c>
      <c r="Y119" s="461"/>
      <c r="Z119" s="206"/>
      <c r="AA119" s="512" t="str">
        <f t="shared" si="36"/>
        <v/>
      </c>
      <c r="AB119" s="520" t="str">
        <f t="shared" si="37"/>
        <v/>
      </c>
      <c r="AC119" s="510"/>
      <c r="AD119" s="515"/>
      <c r="AE119" s="516"/>
      <c r="AJ119" s="452">
        <f>IF(OR(E119="",D119=""),0,ProjSlideMetersBetween(E119,D119,$R$13:$R$305,$S$13:$S$305))</f>
        <v>17.000000000000455</v>
      </c>
      <c r="AK119" s="452">
        <f>IF(U119="","",ProjParseTF(U119))</f>
        <v>0</v>
      </c>
      <c r="AL119" s="219">
        <f>IF(E119="","",ProjCumN(AL118,E118,F118,G118,E119,F119,G119,FALSE))</f>
        <v>42.554900560940652</v>
      </c>
      <c r="AM119" s="331">
        <f>IF(E119="","",ProjCumE(AM118,E118,F118,G118,E119,F119,G119,FALSE))</f>
        <v>34.9089539672378</v>
      </c>
      <c r="AN119" s="330">
        <f t="shared" si="35"/>
        <v>39.99</v>
      </c>
      <c r="AO119" s="330" t="str">
        <f>IF(OR(E119="",E119&lt;$U$2),"",ProjActiveTargetMdEx(D119,W119,V119,ProjTargets_MD,ProjTargets_INC,ProjTargets_AZM,ProjTargets_TVD,F119,H119))</f>
        <v/>
      </c>
      <c r="AP119" s="207">
        <f>IF(OR(E119="",E119&lt;$U$2),"",ProjBitN(E119,F119,G119,AL119,D119,W119,X119))</f>
        <v>49.169081177989248</v>
      </c>
      <c r="AQ119" s="207">
        <f>IF(OR(E119="",E119&lt;$U$2),"",ProjBitE(E119,F119,G119,AM119,D119,W119,X119))</f>
        <v>40.45694358530573</v>
      </c>
      <c r="AR119" s="207" t="str">
        <f>IF(OR(E119="",E119&lt;$U$2,AO119=""),"",ProjBurr(D119,W119,X119,Q119,C119,ProjTargets_MD,ProjTargets_INC,ProjTargets_AZM,ProjTargets_TVD,V119))</f>
        <v/>
      </c>
      <c r="AS119" s="207" t="str">
        <f>IF(OR(E119="",E119&lt;$U$2,AO119=""),"",ProjMetersToSlide(D119,W119,X119,Q119,C119,ProjTargets_MD,ProjTargets_INC,ProjTargets_AZM,ProjTargets_TVD,V119))</f>
        <v/>
      </c>
      <c r="AT119" s="207" t="str">
        <f>IF(OR(E119="",E119&lt;$U$2,AO119=""),"",ProjRequiredTf(D119,W119,X119,ProjTargets_MD,ProjTargets_INC,ProjTargets_AZM,ProjTargets_TVD,5,V119))</f>
        <v/>
      </c>
    </row>
    <row r="120" spans="2:46" s="209" customFormat="1" ht="15" customHeight="1" x14ac:dyDescent="0.3">
      <c r="B120" s="208">
        <f t="shared" si="22"/>
        <v>17</v>
      </c>
      <c r="C120" s="335">
        <f t="shared" si="29"/>
        <v>14.5</v>
      </c>
      <c r="D120" s="27">
        <v>2943.68</v>
      </c>
      <c r="E120" s="336">
        <f t="shared" si="30"/>
        <v>2926.68</v>
      </c>
      <c r="F120" s="9">
        <v>31.46</v>
      </c>
      <c r="G120" s="9">
        <v>41.65</v>
      </c>
      <c r="H120" s="337">
        <f t="shared" si="23"/>
        <v>2915.4878676173053</v>
      </c>
      <c r="I120" s="337">
        <f t="shared" si="34"/>
        <v>2143.2378676173053</v>
      </c>
      <c r="J120" s="338">
        <f t="shared" si="31"/>
        <v>4.5269138639640207</v>
      </c>
      <c r="K120" s="339">
        <f t="shared" si="32"/>
        <v>4.1793103448275852</v>
      </c>
      <c r="L120" s="339">
        <f t="shared" si="33"/>
        <v>3.4344827586206828</v>
      </c>
      <c r="M120" s="339">
        <f t="shared" si="24"/>
        <v>14.500000000000455</v>
      </c>
      <c r="N120" s="340">
        <f t="shared" si="25"/>
        <v>22.59943306558991</v>
      </c>
      <c r="O120" s="341" t="str">
        <f t="shared" si="26"/>
        <v>R</v>
      </c>
      <c r="P120" s="342">
        <f t="shared" si="27"/>
        <v>0.13931034482758181</v>
      </c>
      <c r="Q120" s="343">
        <f t="shared" si="28"/>
        <v>4.5269138639638786</v>
      </c>
      <c r="R120" s="10">
        <f t="shared" si="20"/>
        <v>2943.68</v>
      </c>
      <c r="S120" s="337">
        <f t="shared" si="21"/>
        <v>2957.95</v>
      </c>
      <c r="T120" s="9">
        <v>14.27</v>
      </c>
      <c r="U120" s="8" t="s">
        <v>749</v>
      </c>
      <c r="V120" s="202">
        <f>IF(OR(E120="",E120&lt;$U$2),"",ProjTvdAtBit(E120,F120,G120,H120,D120,W120,X120))</f>
        <v>2929.7855201427178</v>
      </c>
      <c r="W120" s="344">
        <f>IF(OR(E120="",E120&lt;$U$2),"",ProjIncAtBit(F120,J120,C120,M120,AJ120,IF(AK120="",0,AK120)))</f>
        <v>34.025251189579535</v>
      </c>
      <c r="X120" s="455">
        <f>IF(OR(E120="",E120&lt;$U$2),"",ProjAzmAtBit(F120,G120,J120,C120,M120,AJ120,IF(AK120="",0,AK120)))</f>
        <v>41.65</v>
      </c>
      <c r="Y120" s="461"/>
      <c r="Z120" s="206"/>
      <c r="AA120" s="512" t="str">
        <f t="shared" si="36"/>
        <v/>
      </c>
      <c r="AB120" s="520" t="str">
        <f t="shared" si="37"/>
        <v/>
      </c>
      <c r="AC120" s="510"/>
      <c r="AD120" s="515"/>
      <c r="AE120" s="516"/>
      <c r="AJ120" s="452">
        <f>IF(OR(E120="",D120=""),0,ProjSlideMetersBetween(E120,D120,$R$13:$R$305,$S$13:$S$305))</f>
        <v>17</v>
      </c>
      <c r="AK120" s="452">
        <f>IF(U120="","",ProjParseTF(U120))</f>
        <v>0</v>
      </c>
      <c r="AL120" s="219">
        <f>IF(E120="","",ProjCumN(AL119,E119,F119,G119,E120,F120,G120,FALSE))</f>
        <v>48.113068860712218</v>
      </c>
      <c r="AM120" s="331">
        <f>IF(E120="","",ProjCumE(AM119,E119,F119,G119,E120,F120,G120,FALSE))</f>
        <v>39.714241017646863</v>
      </c>
      <c r="AN120" s="330">
        <f t="shared" si="35"/>
        <v>41.65</v>
      </c>
      <c r="AO120" s="330" t="str">
        <f>IF(OR(E120="",E120&lt;$U$2),"",ProjActiveTargetMdEx(D120,W120,V120,ProjTargets_MD,ProjTargets_INC,ProjTargets_AZM,ProjTargets_TVD,F120,H120))</f>
        <v/>
      </c>
      <c r="AP120" s="207">
        <f>IF(OR(E120="",E120&lt;$U$2),"",ProjBitN(E120,F120,G120,AL120,D120,W120,X120))</f>
        <v>54.982963468695147</v>
      </c>
      <c r="AQ120" s="207">
        <f>IF(OR(E120="",E120&lt;$U$2),"",ProjBitE(E120,F120,G120,AM120,D120,W120,X120))</f>
        <v>45.824348019998084</v>
      </c>
      <c r="AR120" s="207" t="str">
        <f>IF(OR(E120="",E120&lt;$U$2,AO120=""),"",ProjBurr(D120,W120,X120,Q120,C120,ProjTargets_MD,ProjTargets_INC,ProjTargets_AZM,ProjTargets_TVD,V120))</f>
        <v/>
      </c>
      <c r="AS120" s="207" t="str">
        <f>IF(OR(E120="",E120&lt;$U$2,AO120=""),"",ProjMetersToSlide(D120,W120,X120,Q120,C120,ProjTargets_MD,ProjTargets_INC,ProjTargets_AZM,ProjTargets_TVD,V120))</f>
        <v/>
      </c>
      <c r="AT120" s="207" t="str">
        <f>IF(OR(E120="",E120&lt;$U$2,AO120=""),"",ProjRequiredTf(D120,W120,X120,ProjTargets_MD,ProjTargets_INC,ProjTargets_AZM,ProjTargets_TVD,5,V120))</f>
        <v/>
      </c>
    </row>
    <row r="121" spans="2:46" s="209" customFormat="1" ht="15" customHeight="1" x14ac:dyDescent="0.3">
      <c r="B121" s="208">
        <f t="shared" si="22"/>
        <v>17</v>
      </c>
      <c r="C121" s="335">
        <f t="shared" si="29"/>
        <v>14.269999999999982</v>
      </c>
      <c r="D121" s="27">
        <v>2957.95</v>
      </c>
      <c r="E121" s="336">
        <f t="shared" si="30"/>
        <v>2940.95</v>
      </c>
      <c r="F121" s="9">
        <v>33.619999999999997</v>
      </c>
      <c r="G121" s="9">
        <v>43.05</v>
      </c>
      <c r="H121" s="337">
        <f t="shared" si="23"/>
        <v>2927.5177078555439</v>
      </c>
      <c r="I121" s="337">
        <f t="shared" si="34"/>
        <v>2155.2677078555439</v>
      </c>
      <c r="J121" s="338">
        <f t="shared" si="31"/>
        <v>4.8087808664891725</v>
      </c>
      <c r="K121" s="339">
        <f t="shared" si="32"/>
        <v>4.5409950946040638</v>
      </c>
      <c r="L121" s="339">
        <f t="shared" si="33"/>
        <v>2.9432375613174502</v>
      </c>
      <c r="M121" s="339">
        <f t="shared" si="24"/>
        <v>14.269999999999982</v>
      </c>
      <c r="N121" s="340">
        <f t="shared" si="25"/>
        <v>19.211008165948066</v>
      </c>
      <c r="O121" s="341" t="str">
        <f t="shared" si="26"/>
        <v>R</v>
      </c>
      <c r="P121" s="342">
        <f t="shared" si="27"/>
        <v>0.15136650315346878</v>
      </c>
      <c r="Q121" s="343">
        <f t="shared" si="28"/>
        <v>4.8087808664891725</v>
      </c>
      <c r="R121" s="10">
        <f t="shared" si="20"/>
        <v>2957.95</v>
      </c>
      <c r="S121" s="337">
        <f t="shared" si="21"/>
        <v>2972.45</v>
      </c>
      <c r="T121" s="9">
        <v>14.5</v>
      </c>
      <c r="U121" s="8" t="s">
        <v>749</v>
      </c>
      <c r="V121" s="202">
        <f>IF(OR(E121="",E121&lt;$U$2),"",ProjTvdAtBit(E121,F121,G121,H121,D121,W121,X121))</f>
        <v>2941.444959535198</v>
      </c>
      <c r="W121" s="344">
        <f>IF(OR(E121="",E121&lt;$U$2),"",ProjIncAtBit(F121,J121,C121,M121,AJ121,IF(AK121="",0,AK121)))</f>
        <v>36.344975824343862</v>
      </c>
      <c r="X121" s="455">
        <f>IF(OR(E121="",E121&lt;$U$2),"",ProjAzmAtBit(F121,G121,J121,C121,M121,AJ121,IF(AK121="",0,AK121)))</f>
        <v>43.05</v>
      </c>
      <c r="Y121" s="461"/>
      <c r="Z121" s="206"/>
      <c r="AA121" s="512" t="str">
        <f t="shared" si="36"/>
        <v/>
      </c>
      <c r="AB121" s="520" t="str">
        <f t="shared" si="37"/>
        <v/>
      </c>
      <c r="AC121" s="510"/>
      <c r="AD121" s="515"/>
      <c r="AE121" s="516"/>
      <c r="AJ121" s="452">
        <f>IF(OR(E121="",D121=""),0,ProjSlideMetersBetween(E121,D121,$R$13:$R$305,$S$13:$S$305))</f>
        <v>17</v>
      </c>
      <c r="AK121" s="452">
        <f>IF(U121="","",ProjParseTF(U121))</f>
        <v>0</v>
      </c>
      <c r="AL121" s="219">
        <f>IF(E121="","",ProjCumN(AL120,E120,F120,G120,E121,F121,G121,FALSE))</f>
        <v>53.783175664331488</v>
      </c>
      <c r="AM121" s="331">
        <f>IF(E121="","",ProjCumE(AM120,E120,F120,G120,E121,F121,G121,FALSE))</f>
        <v>44.886442178141166</v>
      </c>
      <c r="AN121" s="330">
        <f t="shared" si="35"/>
        <v>43.05</v>
      </c>
      <c r="AO121" s="330" t="str">
        <f>IF(OR(E121="",E121&lt;$U$2),"",ProjActiveTargetMdEx(D121,W121,V121,ProjTargets_MD,ProjTargets_INC,ProjTargets_AZM,ProjTargets_TVD,F121,H121))</f>
        <v/>
      </c>
      <c r="AP121" s="207">
        <f>IF(OR(E121="",E121&lt;$U$2),"",ProjBitN(E121,F121,G121,AL121,D121,W121,X121))</f>
        <v>60.904871073679523</v>
      </c>
      <c r="AQ121" s="207">
        <f>IF(OR(E121="",E121&lt;$U$2),"",ProjBitE(E121,F121,G121,AM121,D121,W121,X121))</f>
        <v>51.539159241898297</v>
      </c>
      <c r="AR121" s="207" t="str">
        <f>IF(OR(E121="",E121&lt;$U$2,AO121=""),"",ProjBurr(D121,W121,X121,Q121,C121,ProjTargets_MD,ProjTargets_INC,ProjTargets_AZM,ProjTargets_TVD,V121))</f>
        <v/>
      </c>
      <c r="AS121" s="207" t="str">
        <f>IF(OR(E121="",E121&lt;$U$2,AO121=""),"",ProjMetersToSlide(D121,W121,X121,Q121,C121,ProjTargets_MD,ProjTargets_INC,ProjTargets_AZM,ProjTargets_TVD,V121))</f>
        <v/>
      </c>
      <c r="AT121" s="207" t="str">
        <f>IF(OR(E121="",E121&lt;$U$2,AO121=""),"",ProjRequiredTf(D121,W121,X121,ProjTargets_MD,ProjTargets_INC,ProjTargets_AZM,ProjTargets_TVD,5,V121))</f>
        <v/>
      </c>
    </row>
    <row r="122" spans="2:46" s="209" customFormat="1" ht="15" customHeight="1" x14ac:dyDescent="0.3">
      <c r="B122" s="208">
        <f t="shared" si="22"/>
        <v>17</v>
      </c>
      <c r="C122" s="335">
        <f t="shared" si="29"/>
        <v>14.5</v>
      </c>
      <c r="D122" s="27">
        <v>2972.45</v>
      </c>
      <c r="E122" s="336">
        <f t="shared" si="30"/>
        <v>2955.45</v>
      </c>
      <c r="F122" s="9">
        <v>37.270000000000003</v>
      </c>
      <c r="G122" s="9">
        <v>44.01</v>
      </c>
      <c r="H122" s="337">
        <f t="shared" si="23"/>
        <v>2939.3304602365524</v>
      </c>
      <c r="I122" s="337">
        <f t="shared" si="34"/>
        <v>2167.0804602365524</v>
      </c>
      <c r="J122" s="338">
        <f t="shared" si="31"/>
        <v>7.6388581763450283</v>
      </c>
      <c r="K122" s="339">
        <f t="shared" si="32"/>
        <v>7.5517241379310462</v>
      </c>
      <c r="L122" s="339">
        <f t="shared" si="33"/>
        <v>1.9862068965517259</v>
      </c>
      <c r="M122" s="339">
        <f t="shared" si="24"/>
        <v>14.5</v>
      </c>
      <c r="N122" s="340">
        <f t="shared" si="25"/>
        <v>8.6622560266295743</v>
      </c>
      <c r="O122" s="341" t="str">
        <f t="shared" si="26"/>
        <v>R</v>
      </c>
      <c r="P122" s="342">
        <f t="shared" si="27"/>
        <v>0.25172413793103487</v>
      </c>
      <c r="Q122" s="343">
        <f t="shared" si="28"/>
        <v>7.6388581763450283</v>
      </c>
      <c r="R122" s="10">
        <f t="shared" si="20"/>
        <v>2972.45</v>
      </c>
      <c r="S122" s="337">
        <f t="shared" si="21"/>
        <v>2983.45</v>
      </c>
      <c r="T122" s="9">
        <v>11</v>
      </c>
      <c r="U122" s="8" t="s">
        <v>749</v>
      </c>
      <c r="V122" s="202">
        <f>IF(OR(E122="",E122&lt;$U$2),"",ProjTvdAtBit(E122,F122,G122,H122,D122,W122,X122))</f>
        <v>2952.4573384315399</v>
      </c>
      <c r="W122" s="344">
        <f>IF(OR(E122="",E122&lt;$U$2),"",ProjIncAtBit(F122,J122,C122,M122,AJ122,IF(AK122="",0,AK122)))</f>
        <v>41.59868629992885</v>
      </c>
      <c r="X122" s="455">
        <f>IF(OR(E122="",E122&lt;$U$2),"",ProjAzmAtBit(F122,G122,J122,C122,M122,AJ122,IF(AK122="",0,AK122)))</f>
        <v>44.01</v>
      </c>
      <c r="Y122" s="461"/>
      <c r="Z122" s="206"/>
      <c r="AA122" s="512" t="str">
        <f t="shared" si="36"/>
        <v/>
      </c>
      <c r="AB122" s="520" t="str">
        <f t="shared" si="37"/>
        <v/>
      </c>
      <c r="AC122" s="510"/>
      <c r="AD122" s="515"/>
      <c r="AE122" s="516"/>
      <c r="AJ122" s="452">
        <f>IF(OR(E122="",D122=""),0,ProjSlideMetersBetween(E122,D122,$R$13:$R$305,$S$13:$S$305))</f>
        <v>17</v>
      </c>
      <c r="AK122" s="452">
        <f>IF(U122="","",ProjParseTF(U122))</f>
        <v>0</v>
      </c>
      <c r="AL122" s="219">
        <f>IF(E122="","",ProjCumN(AL121,E121,F121,G121,E122,F122,G122,FALSE))</f>
        <v>59.876345432060134</v>
      </c>
      <c r="AM122" s="331">
        <f>IF(E122="","",ProjCumE(AM121,E121,F121,G121,E122,F122,G122,FALSE))</f>
        <v>50.679059278800437</v>
      </c>
      <c r="AN122" s="330">
        <f t="shared" si="35"/>
        <v>44.01</v>
      </c>
      <c r="AO122" s="330" t="str">
        <f>IF(OR(E122="",E122&lt;$U$2),"",ProjActiveTargetMdEx(D122,W122,V122,ProjTargets_MD,ProjTargets_INC,ProjTargets_AZM,ProjTargets_TVD,F122,H122))</f>
        <v/>
      </c>
      <c r="AP122" s="207">
        <f>IF(OR(E122="",E122&lt;$U$2),"",ProjBitN(E122,F122,G122,AL122,D122,W122,X122))</f>
        <v>67.640829580437313</v>
      </c>
      <c r="AQ122" s="207">
        <f>IF(OR(E122="",E122&lt;$U$2),"",ProjBitE(E122,F122,G122,AM122,D122,W122,X122))</f>
        <v>58.179753821925061</v>
      </c>
      <c r="AR122" s="207" t="str">
        <f>IF(OR(E122="",E122&lt;$U$2,AO122=""),"",ProjBurr(D122,W122,X122,Q122,C122,ProjTargets_MD,ProjTargets_INC,ProjTargets_AZM,ProjTargets_TVD,V122))</f>
        <v/>
      </c>
      <c r="AS122" s="207" t="str">
        <f>IF(OR(E122="",E122&lt;$U$2,AO122=""),"",ProjMetersToSlide(D122,W122,X122,Q122,C122,ProjTargets_MD,ProjTargets_INC,ProjTargets_AZM,ProjTargets_TVD,V122))</f>
        <v/>
      </c>
      <c r="AT122" s="207" t="str">
        <f>IF(OR(E122="",E122&lt;$U$2,AO122=""),"",ProjRequiredTf(D122,W122,X122,ProjTargets_MD,ProjTargets_INC,ProjTargets_AZM,ProjTargets_TVD,5,V122))</f>
        <v/>
      </c>
    </row>
    <row r="123" spans="2:46" s="209" customFormat="1" ht="15" customHeight="1" x14ac:dyDescent="0.3">
      <c r="B123" s="208">
        <f t="shared" si="22"/>
        <v>17</v>
      </c>
      <c r="C123" s="335">
        <f t="shared" si="29"/>
        <v>14.300000000000182</v>
      </c>
      <c r="D123" s="27">
        <v>2986.75</v>
      </c>
      <c r="E123" s="336">
        <f t="shared" si="30"/>
        <v>2969.75</v>
      </c>
      <c r="F123" s="9">
        <v>39.9</v>
      </c>
      <c r="G123" s="9">
        <v>43.98</v>
      </c>
      <c r="H123" s="337">
        <f t="shared" si="23"/>
        <v>2950.5085382466682</v>
      </c>
      <c r="I123" s="337">
        <f t="shared" si="34"/>
        <v>2178.2585382466682</v>
      </c>
      <c r="J123" s="338">
        <f t="shared" si="31"/>
        <v>5.5176219991772113</v>
      </c>
      <c r="K123" s="339">
        <f t="shared" si="32"/>
        <v>5.5174825174824376</v>
      </c>
      <c r="L123" s="339">
        <f t="shared" si="33"/>
        <v>-6.2937062937064525E-2</v>
      </c>
      <c r="M123" s="339">
        <f t="shared" si="24"/>
        <v>14.300000000000182</v>
      </c>
      <c r="N123" s="340">
        <f t="shared" si="25"/>
        <v>0.40740014635126354</v>
      </c>
      <c r="O123" s="341" t="str">
        <f t="shared" si="26"/>
        <v>L</v>
      </c>
      <c r="P123" s="342">
        <f t="shared" si="27"/>
        <v>0.18391608391608125</v>
      </c>
      <c r="Q123" s="343">
        <f t="shared" si="28"/>
        <v>5.5176219991772113</v>
      </c>
      <c r="R123" s="10">
        <f t="shared" si="20"/>
        <v>2986.75</v>
      </c>
      <c r="S123" s="337">
        <f t="shared" si="21"/>
        <v>2986.75</v>
      </c>
      <c r="T123" s="9">
        <v>0</v>
      </c>
      <c r="U123" s="8" t="s">
        <v>749</v>
      </c>
      <c r="V123" s="202">
        <f>IF(OR(E123="",E123&lt;$U$2),"",ProjTvdAtBit(E123,F123,G123,H123,D123,W123,X123))</f>
        <v>2963.3064026300931</v>
      </c>
      <c r="W123" s="344">
        <f>IF(OR(E123="",E123&lt;$U$2),"",ProjIncAtBit(F123,J123,C123,M123,AJ123,IF(AK123="",0,AK123)))</f>
        <v>42.419714046290892</v>
      </c>
      <c r="X123" s="455">
        <f>IF(OR(E123="",E123&lt;$U$2),"",ProjAzmAtBit(F123,G123,J123,C123,M123,AJ123,IF(AK123="",0,AK123)))</f>
        <v>43.98</v>
      </c>
      <c r="Y123" s="461"/>
      <c r="Z123" s="206"/>
      <c r="AA123" s="512" t="str">
        <f t="shared" si="36"/>
        <v/>
      </c>
      <c r="AB123" s="520" t="str">
        <f t="shared" si="37"/>
        <v/>
      </c>
      <c r="AC123" s="510"/>
      <c r="AD123" s="515"/>
      <c r="AE123" s="516"/>
      <c r="AJ123" s="452">
        <f>IF(OR(E123="",D123=""),0,ProjSlideMetersBetween(E123,D123,$R$13:$R$305,$S$13:$S$305))</f>
        <v>13.699999999999818</v>
      </c>
      <c r="AK123" s="452">
        <f>IF(U123="","",ProjParseTF(U123))</f>
        <v>0</v>
      </c>
      <c r="AL123" s="219">
        <f>IF(E123="","",ProjCumN(AL122,E122,F122,G122,E123,F123,G123,FALSE))</f>
        <v>66.291838791972864</v>
      </c>
      <c r="AM123" s="331">
        <f>IF(E123="","",ProjCumE(AM122,E122,F122,G122,E123,F123,G123,FALSE))</f>
        <v>56.873253967573348</v>
      </c>
      <c r="AN123" s="330">
        <f t="shared" si="35"/>
        <v>43.98</v>
      </c>
      <c r="AO123" s="330" t="str">
        <f>IF(OR(E123="",E123&lt;$U$2),"",ProjActiveTargetMdEx(D123,W123,V123,ProjTargets_MD,ProjTargets_INC,ProjTargets_AZM,ProjTargets_TVD,F123,H123))</f>
        <v/>
      </c>
      <c r="AP123" s="207">
        <f>IF(OR(E123="",E123&lt;$U$2),"",ProjBitN(E123,F123,G123,AL123,D123,W123,X123))</f>
        <v>74.342420321713917</v>
      </c>
      <c r="AQ123" s="207">
        <f>IF(OR(E123="",E123&lt;$U$2),"",ProjBitE(E123,F123,G123,AM123,D123,W123,X123))</f>
        <v>64.642181178507101</v>
      </c>
      <c r="AR123" s="207" t="str">
        <f>IF(OR(E123="",E123&lt;$U$2,AO123=""),"",ProjBurr(D123,W123,X123,Q123,C123,ProjTargets_MD,ProjTargets_INC,ProjTargets_AZM,ProjTargets_TVD,V123))</f>
        <v/>
      </c>
      <c r="AS123" s="207" t="str">
        <f>IF(OR(E123="",E123&lt;$U$2,AO123=""),"",ProjMetersToSlide(D123,W123,X123,Q123,C123,ProjTargets_MD,ProjTargets_INC,ProjTargets_AZM,ProjTargets_TVD,V123))</f>
        <v/>
      </c>
      <c r="AT123" s="207" t="str">
        <f>IF(OR(E123="",E123&lt;$U$2,AO123=""),"",ProjRequiredTf(D123,W123,X123,ProjTargets_MD,ProjTargets_INC,ProjTargets_AZM,ProjTargets_TVD,5,V123))</f>
        <v/>
      </c>
    </row>
    <row r="124" spans="2:46" s="209" customFormat="1" x14ac:dyDescent="0.3">
      <c r="B124" s="208">
        <f t="shared" si="22"/>
        <v>17</v>
      </c>
      <c r="C124" s="335">
        <f t="shared" si="29"/>
        <v>5.4499999999998181</v>
      </c>
      <c r="D124" s="27">
        <v>2992.2</v>
      </c>
      <c r="E124" s="336">
        <f t="shared" si="30"/>
        <v>2975.2</v>
      </c>
      <c r="F124" s="9">
        <v>41.26</v>
      </c>
      <c r="G124" s="9">
        <v>43.42</v>
      </c>
      <c r="H124" s="337">
        <f t="shared" si="23"/>
        <v>2954.6478046581678</v>
      </c>
      <c r="I124" s="337">
        <f t="shared" si="34"/>
        <v>2182.3978046581678</v>
      </c>
      <c r="J124" s="338">
        <f t="shared" si="31"/>
        <v>7.7500820778730475</v>
      </c>
      <c r="K124" s="339">
        <f t="shared" si="32"/>
        <v>7.4862385321103382</v>
      </c>
      <c r="L124" s="339">
        <f t="shared" si="33"/>
        <v>-3.0825688073395261</v>
      </c>
      <c r="M124" s="339">
        <f t="shared" si="24"/>
        <v>5.4499999999998181</v>
      </c>
      <c r="N124" s="340">
        <f t="shared" si="25"/>
        <v>14.993311773213678</v>
      </c>
      <c r="O124" s="341" t="str">
        <f t="shared" si="26"/>
        <v>L</v>
      </c>
      <c r="P124" s="342">
        <f t="shared" si="27"/>
        <v>0.24954128440367795</v>
      </c>
      <c r="Q124" s="343">
        <f t="shared" si="28"/>
        <v>7.7500820778730475</v>
      </c>
      <c r="R124" s="10">
        <f t="shared" si="20"/>
        <v>2992.2</v>
      </c>
      <c r="S124" s="337">
        <f t="shared" si="21"/>
        <v>2992.2</v>
      </c>
      <c r="T124" s="9">
        <v>0</v>
      </c>
      <c r="U124" s="8" t="s">
        <v>749</v>
      </c>
      <c r="V124" s="202">
        <f>IF(OR(E124="",E124&lt;$U$2),"",ProjTvdAtBit(E124,F124,G124,H124,D124,W124,X124))</f>
        <v>2967.2156881809301</v>
      </c>
      <c r="W124" s="344">
        <f>IF(OR(E124="",E124&lt;$U$2),"",ProjIncAtBit(F124,J124,C124,M124,AJ124,IF(AK124="",0,AK124)))</f>
        <v>43.391272571415087</v>
      </c>
      <c r="X124" s="455">
        <f>IF(OR(E124="",E124&lt;$U$2),"",ProjAzmAtBit(F124,G124,J124,C124,M124,AJ124,IF(AK124="",0,AK124)))</f>
        <v>43.42</v>
      </c>
      <c r="Y124" s="461"/>
      <c r="Z124" s="206"/>
      <c r="AA124" s="512" t="str">
        <f t="shared" si="36"/>
        <v/>
      </c>
      <c r="AB124" s="520" t="str">
        <f t="shared" si="37"/>
        <v/>
      </c>
      <c r="AC124" s="510"/>
      <c r="AD124" s="515"/>
      <c r="AE124" s="516"/>
      <c r="AJ124" s="452">
        <f>IF(OR(E124="",D124=""),0,ProjSlideMetersBetween(E124,D124,$R$13:$R$305,$S$13:$S$305))</f>
        <v>8.25</v>
      </c>
      <c r="AK124" s="452">
        <f>IF(U124="","",ProjParseTF(U124))</f>
        <v>0</v>
      </c>
      <c r="AL124" s="219">
        <f>IF(E124="","",ProjCumN(AL123,E123,F123,G123,E124,F124,G124,FALSE))</f>
        <v>68.8550397354106</v>
      </c>
      <c r="AM124" s="331">
        <f>IF(E124="","",ProjCumE(AM123,E123,F123,G123,E124,F124,G124,FALSE))</f>
        <v>59.322369917646583</v>
      </c>
      <c r="AN124" s="330">
        <f t="shared" si="35"/>
        <v>43.42</v>
      </c>
      <c r="AO124" s="330" t="str">
        <f>IF(OR(E124="",E124&lt;$U$2),"",ProjActiveTargetMdEx(D124,W124,V124,ProjTargets_MD,ProjTargets_INC,ProjTargets_AZM,ProjTargets_TVD,F124,H124))</f>
        <v/>
      </c>
      <c r="AP124" s="207">
        <f>IF(OR(E124="",E124&lt;$U$2),"",ProjBitN(E124,F124,G124,AL124,D124,W124,X124))</f>
        <v>77.168796722762849</v>
      </c>
      <c r="AQ124" s="207">
        <f>IF(OR(E124="",E124&lt;$U$2),"",ProjBitE(E124,F124,G124,AM124,D124,W124,X124))</f>
        <v>67.189798128258403</v>
      </c>
      <c r="AR124" s="207" t="str">
        <f>IF(OR(E124="",E124&lt;$U$2,AO124=""),"",ProjBurr(D124,W124,X124,Q124,C124,ProjTargets_MD,ProjTargets_INC,ProjTargets_AZM,ProjTargets_TVD,V124))</f>
        <v/>
      </c>
      <c r="AS124" s="207" t="str">
        <f>IF(OR(E124="",E124&lt;$U$2,AO124=""),"",ProjMetersToSlide(D124,W124,X124,Q124,C124,ProjTargets_MD,ProjTargets_INC,ProjTargets_AZM,ProjTargets_TVD,V124))</f>
        <v/>
      </c>
      <c r="AT124" s="207" t="str">
        <f>IF(OR(E124="",E124&lt;$U$2,AO124=""),"",ProjRequiredTf(D124,W124,X124,ProjTargets_MD,ProjTargets_INC,ProjTargets_AZM,ProjTargets_TVD,5,V124))</f>
        <v/>
      </c>
    </row>
    <row r="125" spans="2:46" s="209" customFormat="1" ht="15" customHeight="1" x14ac:dyDescent="0.3">
      <c r="B125" s="208">
        <f t="shared" si="22"/>
        <v>17</v>
      </c>
      <c r="C125" s="335">
        <f t="shared" si="29"/>
        <v>14.5</v>
      </c>
      <c r="D125" s="27">
        <v>3006.7</v>
      </c>
      <c r="E125" s="336">
        <f t="shared" si="30"/>
        <v>2989.7</v>
      </c>
      <c r="F125" s="9">
        <v>41.26</v>
      </c>
      <c r="G125" s="9">
        <v>41.97</v>
      </c>
      <c r="H125" s="337">
        <f t="shared" si="23"/>
        <v>2965.5478130760489</v>
      </c>
      <c r="I125" s="337">
        <f t="shared" si="34"/>
        <v>2193.2978130760489</v>
      </c>
      <c r="J125" s="338">
        <f t="shared" si="31"/>
        <v>1.9784012424240296</v>
      </c>
      <c r="K125" s="339">
        <f t="shared" si="32"/>
        <v>0</v>
      </c>
      <c r="L125" s="339">
        <f t="shared" si="33"/>
        <v>-3.0000000000000062</v>
      </c>
      <c r="M125" s="339">
        <f t="shared" si="24"/>
        <v>8.25</v>
      </c>
      <c r="N125" s="340">
        <f t="shared" si="25"/>
        <v>90</v>
      </c>
      <c r="O125" s="341" t="str">
        <f t="shared" si="26"/>
        <v>L</v>
      </c>
      <c r="P125" s="342">
        <f t="shared" si="27"/>
        <v>0</v>
      </c>
      <c r="Q125" s="343">
        <f t="shared" si="28"/>
        <v>3.4771900624422338</v>
      </c>
      <c r="R125" s="10">
        <v>3013</v>
      </c>
      <c r="S125" s="337">
        <f t="shared" si="21"/>
        <v>3021</v>
      </c>
      <c r="T125" s="9">
        <v>8</v>
      </c>
      <c r="U125" s="8" t="s">
        <v>749</v>
      </c>
      <c r="V125" s="202">
        <f>IF(OR(E125="",E125&lt;$U$2),"",ProjTvdAtBit(E125,F125,G125,H125,D125,W125,X125))</f>
        <v>2978.3271332901163</v>
      </c>
      <c r="W125" s="344">
        <f>IF(OR(E125="",E125&lt;$U$2),"",ProjIncAtBit(F125,J125,C125,M125,AJ125,IF(AK125="",0,AK125)))</f>
        <v>41.26</v>
      </c>
      <c r="X125" s="455">
        <f>IF(OR(E125="",E125&lt;$U$2),"",ProjAzmAtBit(F125,G125,J125,C125,M125,AJ125,IF(AK125="",0,AK125)))</f>
        <v>41.97</v>
      </c>
      <c r="Y125" s="461"/>
      <c r="Z125" s="206"/>
      <c r="AA125" s="512" t="str">
        <f t="shared" si="36"/>
        <v/>
      </c>
      <c r="AB125" s="520" t="str">
        <f t="shared" si="37"/>
        <v/>
      </c>
      <c r="AC125" s="510"/>
      <c r="AD125" s="515"/>
      <c r="AE125" s="516"/>
      <c r="AJ125" s="452">
        <f>IF(OR(E125="",D125=""),0,ProjSlideMetersBetween(E125,D125,$R$13:$R$305,$S$13:$S$305))</f>
        <v>0</v>
      </c>
      <c r="AK125" s="452">
        <f>IF(U125="","",ProjParseTF(U125))</f>
        <v>0</v>
      </c>
      <c r="AL125" s="219">
        <f>IF(E125="","",ProjCumN(AL124,E124,F124,G124,E125,F125,G125,FALSE))</f>
        <v>75.882765821480618</v>
      </c>
      <c r="AM125" s="331">
        <f>IF(E125="","",ProjCumE(AM124,E124,F124,G124,E125,F125,G125,FALSE))</f>
        <v>65.806233489064212</v>
      </c>
      <c r="AN125" s="330">
        <f t="shared" si="35"/>
        <v>41.97</v>
      </c>
      <c r="AO125" s="330" t="str">
        <f>IF(OR(E125="",E125&lt;$U$2),"",ProjActiveTargetMdEx(D125,W125,V125,ProjTargets_MD,ProjTargets_INC,ProjTargets_AZM,ProjTargets_TVD,F125,H125))</f>
        <v/>
      </c>
      <c r="AP125" s="207">
        <f>IF(OR(E125="",E125&lt;$U$2),"",ProjBitN(E125,F125,G125,AL125,D125,W125,X125))</f>
        <v>84.218170526207601</v>
      </c>
      <c r="AQ125" s="207">
        <f>IF(OR(E125="",E125&lt;$U$2),"",ProjBitE(E125,F125,G125,AM125,D125,W125,X125))</f>
        <v>73.303566566548554</v>
      </c>
      <c r="AR125" s="207" t="str">
        <f>IF(OR(E125="",E125&lt;$U$2,AO125=""),"",ProjBurr(D125,W125,X125,Q125,C125,ProjTargets_MD,ProjTargets_INC,ProjTargets_AZM,ProjTargets_TVD,V125))</f>
        <v/>
      </c>
      <c r="AS125" s="207" t="str">
        <f>IF(OR(E125="",E125&lt;$U$2,AO125=""),"",ProjMetersToSlide(D125,W125,X125,Q125,C125,ProjTargets_MD,ProjTargets_INC,ProjTargets_AZM,ProjTargets_TVD,V125))</f>
        <v/>
      </c>
      <c r="AT125" s="207" t="str">
        <f>IF(OR(E125="",E125&lt;$U$2,AO125=""),"",ProjRequiredTf(D125,W125,X125,ProjTargets_MD,ProjTargets_INC,ProjTargets_AZM,ProjTargets_TVD,5,V125))</f>
        <v/>
      </c>
    </row>
    <row r="126" spans="2:46" s="209" customFormat="1" ht="15" customHeight="1" x14ac:dyDescent="0.3">
      <c r="B126" s="208">
        <f t="shared" si="22"/>
        <v>17</v>
      </c>
      <c r="C126" s="335">
        <f t="shared" si="29"/>
        <v>14.300000000000182</v>
      </c>
      <c r="D126" s="27">
        <v>3021</v>
      </c>
      <c r="E126" s="336">
        <f t="shared" si="30"/>
        <v>3004</v>
      </c>
      <c r="F126" s="9">
        <v>39.619999999999997</v>
      </c>
      <c r="G126" s="9">
        <v>41.86</v>
      </c>
      <c r="H126" s="337">
        <f t="shared" si="23"/>
        <v>2976.431337855925</v>
      </c>
      <c r="I126" s="337">
        <f t="shared" si="34"/>
        <v>2204.181337855925</v>
      </c>
      <c r="J126" s="338">
        <f t="shared" si="31"/>
        <v>3.4438130238780591</v>
      </c>
      <c r="K126" s="339">
        <f t="shared" si="32"/>
        <v>-3.4405594405593978</v>
      </c>
      <c r="L126" s="339">
        <f t="shared" si="33"/>
        <v>-0.23076923076922665</v>
      </c>
      <c r="M126" s="339">
        <f t="shared" si="24"/>
        <v>0</v>
      </c>
      <c r="N126" s="340">
        <f t="shared" si="25"/>
        <v>177.50923351961083</v>
      </c>
      <c r="O126" s="341" t="str">
        <f t="shared" si="26"/>
        <v>L</v>
      </c>
      <c r="P126" s="342" t="e">
        <f t="shared" si="27"/>
        <v>#DIV/0!</v>
      </c>
      <c r="Q126" s="343" t="e">
        <f t="shared" si="28"/>
        <v>#DIV/0!</v>
      </c>
      <c r="R126" s="10">
        <f t="shared" si="20"/>
        <v>3021</v>
      </c>
      <c r="S126" s="337">
        <f t="shared" si="21"/>
        <v>3033.5</v>
      </c>
      <c r="T126" s="9">
        <v>12.5</v>
      </c>
      <c r="U126" s="8" t="s">
        <v>762</v>
      </c>
      <c r="V126" s="202">
        <f>IF(OR(E126="",E126&lt;$U$2),"",ProjTvdAtBit(E126,F126,G126,H126,D126,W126,X126))</f>
        <v>2989.5263081358407</v>
      </c>
      <c r="W126" s="344">
        <f>IF(OR(E126="",E126&lt;$U$2),"",ProjIncAtBit(F126,J126,C126,M126,AJ126,IF(AK126="",0,AK126)))</f>
        <v>39.619999999999997</v>
      </c>
      <c r="X126" s="455">
        <f>IF(OR(E126="",E126&lt;$U$2),"",ProjAzmAtBit(F126,G126,J126,C126,M126,AJ126,IF(AK126="",0,AK126)))</f>
        <v>41.400824930149589</v>
      </c>
      <c r="Y126" s="461"/>
      <c r="Z126" s="206"/>
      <c r="AA126" s="512" t="str">
        <f t="shared" si="36"/>
        <v/>
      </c>
      <c r="AB126" s="520" t="str">
        <f t="shared" si="37"/>
        <v/>
      </c>
      <c r="AC126" s="510"/>
      <c r="AD126" s="515"/>
      <c r="AE126" s="516"/>
      <c r="AJ126" s="452">
        <f>IF(OR(E126="",D126=""),0,ProjSlideMetersBetween(E126,D126,$R$13:$R$305,$S$13:$S$305))</f>
        <v>8</v>
      </c>
      <c r="AK126" s="452">
        <f>IF(U126="","",ProjParseTF(U126))</f>
        <v>-30</v>
      </c>
      <c r="AL126" s="219">
        <f>IF(E126="","",ProjCumN(AL125,E125,F125,G125,E126,F126,G126,FALSE))</f>
        <v>82.784827790720996</v>
      </c>
      <c r="AM126" s="331">
        <f>IF(E126="","",ProjCumE(AM125,E125,F125,G125,E126,F126,G126,FALSE))</f>
        <v>72.002562868469113</v>
      </c>
      <c r="AN126" s="330">
        <f t="shared" si="35"/>
        <v>41.400824930149589</v>
      </c>
      <c r="AO126" s="330" t="str">
        <f>IF(OR(E126="",E126&lt;$U$2),"",ProjActiveTargetMdEx(D126,W126,V126,ProjTargets_MD,ProjTargets_INC,ProjTargets_AZM,ProjTargets_TVD,F126,H126))</f>
        <v/>
      </c>
      <c r="AP126" s="207">
        <f>IF(OR(E126="",E126&lt;$U$2),"",ProjBitN(E126,F126,G126,AL126,D126,W126,X126))</f>
        <v>90.887673025166748</v>
      </c>
      <c r="AQ126" s="207">
        <f>IF(OR(E126="",E126&lt;$U$2),"",ProjBitE(E126,F126,G126,AM126,D126,W126,X126))</f>
        <v>79.204300400246879</v>
      </c>
      <c r="AR126" s="207" t="str">
        <f>IF(OR(E126="",E126&lt;$U$2,AO126=""),"",ProjBurr(D126,W126,X126,Q126,C126,ProjTargets_MD,ProjTargets_INC,ProjTargets_AZM,ProjTargets_TVD,V126))</f>
        <v/>
      </c>
      <c r="AS126" s="207" t="str">
        <f>IF(OR(E126="",E126&lt;$U$2,AO126=""),"",ProjMetersToSlide(D126,W126,X126,Q126,C126,ProjTargets_MD,ProjTargets_INC,ProjTargets_AZM,ProjTargets_TVD,V126))</f>
        <v/>
      </c>
      <c r="AT126" s="207" t="str">
        <f>IF(OR(E126="",E126&lt;$U$2,AO126=""),"",ProjRequiredTf(D126,W126,X126,ProjTargets_MD,ProjTargets_INC,ProjTargets_AZM,ProjTargets_TVD,5,V126))</f>
        <v/>
      </c>
    </row>
    <row r="127" spans="2:46" s="209" customFormat="1" ht="15" customHeight="1" x14ac:dyDescent="0.3">
      <c r="B127" s="208">
        <f t="shared" si="22"/>
        <v>17</v>
      </c>
      <c r="C127" s="335">
        <f t="shared" si="29"/>
        <v>14.5</v>
      </c>
      <c r="D127" s="27">
        <v>3035.5</v>
      </c>
      <c r="E127" s="336">
        <f t="shared" si="30"/>
        <v>3018.5</v>
      </c>
      <c r="F127" s="9">
        <v>38.28</v>
      </c>
      <c r="G127" s="9">
        <v>37.840000000000003</v>
      </c>
      <c r="H127" s="337">
        <f t="shared" si="23"/>
        <v>2987.7079131971032</v>
      </c>
      <c r="I127" s="337">
        <f t="shared" si="34"/>
        <v>2215.4579131971032</v>
      </c>
      <c r="J127" s="338">
        <f t="shared" si="31"/>
        <v>5.91696209654177</v>
      </c>
      <c r="K127" s="339">
        <f t="shared" si="32"/>
        <v>-2.7724137931034405</v>
      </c>
      <c r="L127" s="339">
        <f t="shared" si="33"/>
        <v>-8.3172413793103352</v>
      </c>
      <c r="M127" s="339">
        <f t="shared" si="24"/>
        <v>5.5</v>
      </c>
      <c r="N127" s="340">
        <f t="shared" si="25"/>
        <v>117.94044739988513</v>
      </c>
      <c r="O127" s="341" t="str">
        <f t="shared" si="26"/>
        <v>L</v>
      </c>
      <c r="P127" s="342">
        <f t="shared" si="27"/>
        <v>-0.24363636363636296</v>
      </c>
      <c r="Q127" s="343">
        <f t="shared" si="28"/>
        <v>15.599263709064667</v>
      </c>
      <c r="R127" s="10">
        <f t="shared" si="20"/>
        <v>3035.5</v>
      </c>
      <c r="S127" s="337">
        <f t="shared" si="21"/>
        <v>3049.66</v>
      </c>
      <c r="T127" s="9">
        <v>14.16</v>
      </c>
      <c r="U127" s="8" t="s">
        <v>762</v>
      </c>
      <c r="V127" s="202">
        <f>IF(OR(E127="",E127&lt;$U$2),"",ProjTvdAtBit(E127,F127,G127,H127,D127,W127,X127))</f>
        <v>3000.4021352429386</v>
      </c>
      <c r="W127" s="344">
        <f>IF(OR(E127="",E127&lt;$U$2),"",ProjIncAtBit(F127,J127,C127,M127,AJ127,IF(AK127="",0,AK127)))</f>
        <v>45.034679326191338</v>
      </c>
      <c r="X127" s="455">
        <f>IF(OR(E127="",E127&lt;$U$2),"",ProjAzmAtBit(F127,G127,J127,C127,M127,AJ127,IF(AK127="",0,AK127)))</f>
        <v>36.360759475864562</v>
      </c>
      <c r="Y127" s="461"/>
      <c r="Z127" s="206"/>
      <c r="AA127" s="512" t="str">
        <f t="shared" si="36"/>
        <v/>
      </c>
      <c r="AB127" s="520" t="str">
        <f t="shared" si="37"/>
        <v/>
      </c>
      <c r="AC127" s="510"/>
      <c r="AD127" s="515"/>
      <c r="AE127" s="516"/>
      <c r="AJ127" s="452">
        <f>IF(OR(E127="",D127=""),0,ProjSlideMetersBetween(E127,D127,$R$13:$R$305,$S$13:$S$305))</f>
        <v>15</v>
      </c>
      <c r="AK127" s="452">
        <f>IF(U127="","",ProjParseTF(U127))</f>
        <v>-30</v>
      </c>
      <c r="AL127" s="219">
        <f>IF(E127="","",ProjCumN(AL126,E126,F126,G126,E127,F127,G127,FALSE))</f>
        <v>89.776578815732137</v>
      </c>
      <c r="AM127" s="331">
        <f>IF(E127="","",ProjCumE(AM126,E126,F126,G126,E127,F127,G127,FALSE))</f>
        <v>77.844240066376514</v>
      </c>
      <c r="AN127" s="330">
        <f t="shared" si="35"/>
        <v>36.360759475864562</v>
      </c>
      <c r="AO127" s="330" t="str">
        <f>IF(OR(E127="",E127&lt;$U$2),"",ProjActiveTargetMdEx(D127,W127,V127,ProjTargets_MD,ProjTargets_INC,ProjTargets_AZM,ProjTargets_TVD,F127,H127))</f>
        <v/>
      </c>
      <c r="AP127" s="207">
        <f>IF(OR(E127="",E127&lt;$U$2),"",ProjBitN(E127,F127,G127,AL127,D127,W127,X127))</f>
        <v>98.788887978283071</v>
      </c>
      <c r="AQ127" s="207">
        <f>IF(OR(E127="",E127&lt;$U$2),"",ProjBitE(E127,F127,G127,AM127,D127,W127,X127))</f>
        <v>84.648165414519269</v>
      </c>
      <c r="AR127" s="207" t="str">
        <f>IF(OR(E127="",E127&lt;$U$2,AO127=""),"",ProjBurr(D127,W127,X127,Q127,C127,ProjTargets_MD,ProjTargets_INC,ProjTargets_AZM,ProjTargets_TVD,V127))</f>
        <v/>
      </c>
      <c r="AS127" s="207" t="str">
        <f>IF(OR(E127="",E127&lt;$U$2,AO127=""),"",ProjMetersToSlide(D127,W127,X127,Q127,C127,ProjTargets_MD,ProjTargets_INC,ProjTargets_AZM,ProjTargets_TVD,V127))</f>
        <v/>
      </c>
      <c r="AT127" s="207" t="str">
        <f>IF(OR(E127="",E127&lt;$U$2,AO127=""),"",ProjRequiredTf(D127,W127,X127,ProjTargets_MD,ProjTargets_INC,ProjTargets_AZM,ProjTargets_TVD,5,V127))</f>
        <v/>
      </c>
    </row>
    <row r="128" spans="2:46" s="209" customFormat="1" ht="15" customHeight="1" x14ac:dyDescent="0.3">
      <c r="B128" s="208">
        <f t="shared" si="22"/>
        <v>17</v>
      </c>
      <c r="C128" s="335">
        <f t="shared" si="29"/>
        <v>14.159999999999854</v>
      </c>
      <c r="D128" s="27">
        <v>3049.66</v>
      </c>
      <c r="E128" s="336">
        <f t="shared" si="30"/>
        <v>3032.66</v>
      </c>
      <c r="F128" s="9">
        <v>40.01</v>
      </c>
      <c r="G128" s="9">
        <v>33.1</v>
      </c>
      <c r="H128" s="337">
        <f t="shared" si="23"/>
        <v>2998.689713036908</v>
      </c>
      <c r="I128" s="337">
        <f t="shared" si="34"/>
        <v>2226.439713036908</v>
      </c>
      <c r="J128" s="338">
        <f t="shared" si="31"/>
        <v>7.3207893879805601</v>
      </c>
      <c r="K128" s="339">
        <f t="shared" si="32"/>
        <v>3.6652542372881669</v>
      </c>
      <c r="L128" s="339">
        <f t="shared" si="33"/>
        <v>-10.042372881356041</v>
      </c>
      <c r="M128" s="339">
        <f t="shared" si="24"/>
        <v>14.159999999999854</v>
      </c>
      <c r="N128" s="340">
        <f t="shared" si="25"/>
        <v>59.956073589752016</v>
      </c>
      <c r="O128" s="341" t="str">
        <f t="shared" si="26"/>
        <v>L</v>
      </c>
      <c r="P128" s="342">
        <f t="shared" si="27"/>
        <v>0.12217514124293889</v>
      </c>
      <c r="Q128" s="343">
        <f t="shared" si="28"/>
        <v>7.3207893879805601</v>
      </c>
      <c r="R128" s="10">
        <f t="shared" si="20"/>
        <v>3049.66</v>
      </c>
      <c r="S128" s="337">
        <f t="shared" si="21"/>
        <v>3064.16</v>
      </c>
      <c r="T128" s="9">
        <v>14.5</v>
      </c>
      <c r="U128" s="8" t="s">
        <v>754</v>
      </c>
      <c r="V128" s="202">
        <f>IF(OR(E128="",E128&lt;$U$2),"",ProjTvdAtBit(E128,F128,G128,H128,D128,W128,X128))</f>
        <v>3011.3749923434575</v>
      </c>
      <c r="W128" s="344">
        <f>IF(OR(E128="",E128&lt;$U$2),"",ProjIncAtBit(F128,J128,C128,M128,AJ128,IF(AK128="",0,AK128)))</f>
        <v>43.449645883106555</v>
      </c>
      <c r="X128" s="455">
        <f>IF(OR(E128="",E128&lt;$U$2),"",ProjAzmAtBit(F128,G128,J128,C128,M128,AJ128,IF(AK128="",0,AK128)))</f>
        <v>31.848071282132931</v>
      </c>
      <c r="Y128" s="461"/>
      <c r="Z128" s="206"/>
      <c r="AA128" s="512" t="str">
        <f t="shared" si="36"/>
        <v/>
      </c>
      <c r="AB128" s="520" t="str">
        <f t="shared" si="37"/>
        <v/>
      </c>
      <c r="AC128" s="510"/>
      <c r="AD128" s="515"/>
      <c r="AE128" s="516"/>
      <c r="AJ128" s="452">
        <f>IF(OR(E128="",D128=""),0,ProjSlideMetersBetween(E128,D128,$R$13:$R$305,$S$13:$S$305))</f>
        <v>15</v>
      </c>
      <c r="AK128" s="452">
        <f>IF(U128="","",ProjParseTF(U128))</f>
        <v>-20</v>
      </c>
      <c r="AL128" s="219">
        <f>IF(E128="","",ProjCumN(AL127,E127,F127,G127,E128,F128,G128,FALSE))</f>
        <v>97.055800602284663</v>
      </c>
      <c r="AM128" s="331">
        <f>IF(E128="","",ProjCumE(AM127,E127,F127,G127,E128,F128,G128,FALSE))</f>
        <v>83.022289613534952</v>
      </c>
      <c r="AN128" s="330">
        <f t="shared" si="35"/>
        <v>31.848071282132931</v>
      </c>
      <c r="AO128" s="330" t="str">
        <f>IF(OR(E128="",E128&lt;$U$2),"",ProjActiveTargetMdEx(D128,W128,V128,ProjTargets_MD,ProjTargets_INC,ProjTargets_AZM,ProjTargets_TVD,F128,H128))</f>
        <v/>
      </c>
      <c r="AP128" s="207">
        <f>IF(OR(E128="",E128&lt;$U$2),"",ProjBitN(E128,F128,G128,AL128,D128,W128,X128))</f>
        <v>106.60236777190016</v>
      </c>
      <c r="AQ128" s="207">
        <f>IF(OR(E128="",E128&lt;$U$2),"",ProjBitE(E128,F128,G128,AM128,D128,W128,X128))</f>
        <v>89.093111073891635</v>
      </c>
      <c r="AR128" s="207" t="str">
        <f>IF(OR(E128="",E128&lt;$U$2,AO128=""),"",ProjBurr(D128,W128,X128,Q128,C128,ProjTargets_MD,ProjTargets_INC,ProjTargets_AZM,ProjTargets_TVD,V128))</f>
        <v/>
      </c>
      <c r="AS128" s="207" t="str">
        <f>IF(OR(E128="",E128&lt;$U$2,AO128=""),"",ProjMetersToSlide(D128,W128,X128,Q128,C128,ProjTargets_MD,ProjTargets_INC,ProjTargets_AZM,ProjTargets_TVD,V128))</f>
        <v/>
      </c>
      <c r="AT128" s="207" t="str">
        <f>IF(OR(E128="",E128&lt;$U$2,AO128=""),"",ProjRequiredTf(D128,W128,X128,ProjTargets_MD,ProjTargets_INC,ProjTargets_AZM,ProjTargets_TVD,5,V128))</f>
        <v/>
      </c>
    </row>
    <row r="129" spans="2:46" s="209" customFormat="1" ht="15" customHeight="1" x14ac:dyDescent="0.3">
      <c r="B129" s="208">
        <f t="shared" si="22"/>
        <v>17</v>
      </c>
      <c r="C129" s="335">
        <f t="shared" si="29"/>
        <v>14.5</v>
      </c>
      <c r="D129" s="27">
        <v>3064.16</v>
      </c>
      <c r="E129" s="336">
        <f t="shared" si="30"/>
        <v>3047.16</v>
      </c>
      <c r="F129" s="9">
        <v>42.62</v>
      </c>
      <c r="G129" s="9">
        <v>30.004999999999999</v>
      </c>
      <c r="H129" s="337">
        <f t="shared" si="23"/>
        <v>3009.5805371729562</v>
      </c>
      <c r="I129" s="337">
        <f t="shared" si="34"/>
        <v>2237.3305371729562</v>
      </c>
      <c r="J129" s="338">
        <f t="shared" si="31"/>
        <v>6.8567193143423291</v>
      </c>
      <c r="K129" s="339">
        <f t="shared" si="32"/>
        <v>5.3999999999999986</v>
      </c>
      <c r="L129" s="339">
        <f t="shared" si="33"/>
        <v>-6.4034482758620737</v>
      </c>
      <c r="M129" s="339">
        <f t="shared" si="24"/>
        <v>12.5</v>
      </c>
      <c r="N129" s="340">
        <f t="shared" si="25"/>
        <v>38.04298500609633</v>
      </c>
      <c r="O129" s="341" t="str">
        <f t="shared" si="26"/>
        <v>L</v>
      </c>
      <c r="P129" s="342">
        <f t="shared" si="27"/>
        <v>0.20879999999999996</v>
      </c>
      <c r="Q129" s="343">
        <f t="shared" si="28"/>
        <v>7.953794404637101</v>
      </c>
      <c r="R129" s="10">
        <f t="shared" si="20"/>
        <v>3064.16</v>
      </c>
      <c r="S129" s="337">
        <f t="shared" si="21"/>
        <v>3078.41</v>
      </c>
      <c r="T129" s="9">
        <v>14.25</v>
      </c>
      <c r="U129" s="8" t="s">
        <v>755</v>
      </c>
      <c r="V129" s="202">
        <f>IF(OR(E129="",E129&lt;$U$2),"",ProjTvdAtBit(E129,F129,G129,H129,D129,W129,X129))</f>
        <v>3021.632067435316</v>
      </c>
      <c r="W129" s="344">
        <f>IF(OR(E129="",E129&lt;$U$2),"",ProjIncAtBit(F129,J129,C129,M129,AJ129,IF(AK129="",0,AK129)))</f>
        <v>47.058676424145979</v>
      </c>
      <c r="X129" s="455">
        <f>IF(OR(E129="",E129&lt;$U$2),"",ProjAzmAtBit(F129,G129,J129,C129,M129,AJ129,IF(AK129="",0,AK129)))</f>
        <v>29.330294472231458</v>
      </c>
      <c r="Y129" s="461"/>
      <c r="Z129" s="206"/>
      <c r="AA129" s="512" t="str">
        <f t="shared" si="36"/>
        <v/>
      </c>
      <c r="AB129" s="520" t="str">
        <f t="shared" si="37"/>
        <v/>
      </c>
      <c r="AC129" s="510"/>
      <c r="AD129" s="515"/>
      <c r="AE129" s="516"/>
      <c r="AJ129" s="452">
        <f>IF(OR(E129="",D129=""),0,ProjSlideMetersBetween(E129,D129,$R$13:$R$305,$S$13:$S$305))</f>
        <v>17</v>
      </c>
      <c r="AK129" s="452">
        <f>IF(U129="","",ProjParseTF(U129))</f>
        <v>-10</v>
      </c>
      <c r="AL129" s="219">
        <f>IF(E129="","",ProjCumN(AL128,E128,F128,G128,E129,F129,G129,FALSE))</f>
        <v>105.21412179656713</v>
      </c>
      <c r="AM129" s="331">
        <f>IF(E129="","",ProjCumE(AM128,E128,F128,G128,E129,F129,G129,FALSE))</f>
        <v>88.024141129431996</v>
      </c>
      <c r="AN129" s="330">
        <f t="shared" si="35"/>
        <v>29.330294472231458</v>
      </c>
      <c r="AO129" s="330" t="str">
        <f>IF(OR(E129="",E129&lt;$U$2),"",ProjActiveTargetMdEx(D129,W129,V129,ProjTargets_MD,ProjTargets_INC,ProjTargets_AZM,ProjTargets_TVD,F129,H129))</f>
        <v/>
      </c>
      <c r="AP129" s="207">
        <f>IF(OR(E129="",E129&lt;$U$2),"",ProjBitN(E129,F129,G129,AL129,D129,W129,X129))</f>
        <v>115.62844845217008</v>
      </c>
      <c r="AQ129" s="207">
        <f>IF(OR(E129="",E129&lt;$U$2),"",ProjBitE(E129,F129,G129,AM129,D129,W129,X129))</f>
        <v>93.953412110939482</v>
      </c>
      <c r="AR129" s="207" t="str">
        <f>IF(OR(E129="",E129&lt;$U$2,AO129=""),"",ProjBurr(D129,W129,X129,Q129,C129,ProjTargets_MD,ProjTargets_INC,ProjTargets_AZM,ProjTargets_TVD,V129))</f>
        <v/>
      </c>
      <c r="AS129" s="207" t="str">
        <f>IF(OR(E129="",E129&lt;$U$2,AO129=""),"",ProjMetersToSlide(D129,W129,X129,Q129,C129,ProjTargets_MD,ProjTargets_INC,ProjTargets_AZM,ProjTargets_TVD,V129))</f>
        <v/>
      </c>
      <c r="AT129" s="207" t="str">
        <f>IF(OR(E129="",E129&lt;$U$2,AO129=""),"",ProjRequiredTf(D129,W129,X129,ProjTargets_MD,ProjTargets_INC,ProjTargets_AZM,ProjTargets_TVD,5,V129))</f>
        <v/>
      </c>
    </row>
    <row r="130" spans="2:46" s="209" customFormat="1" ht="15" customHeight="1" x14ac:dyDescent="0.3">
      <c r="B130" s="208">
        <f t="shared" si="22"/>
        <v>17</v>
      </c>
      <c r="C130" s="335">
        <f t="shared" si="29"/>
        <v>14.25</v>
      </c>
      <c r="D130" s="27">
        <v>3078.41</v>
      </c>
      <c r="E130" s="336">
        <f t="shared" si="30"/>
        <v>3061.41</v>
      </c>
      <c r="F130" s="9">
        <v>45.96</v>
      </c>
      <c r="G130" s="9">
        <v>29.84</v>
      </c>
      <c r="H130" s="337">
        <f t="shared" si="23"/>
        <v>3019.7808954974862</v>
      </c>
      <c r="I130" s="337">
        <f t="shared" si="34"/>
        <v>2247.5308954974862</v>
      </c>
      <c r="J130" s="338">
        <f t="shared" si="31"/>
        <v>7.0357565743486923</v>
      </c>
      <c r="K130" s="339">
        <f t="shared" si="32"/>
        <v>7.0315789473684287</v>
      </c>
      <c r="L130" s="339">
        <f t="shared" si="33"/>
        <v>-0.34736842105262977</v>
      </c>
      <c r="M130" s="339">
        <f t="shared" si="24"/>
        <v>14.25</v>
      </c>
      <c r="N130" s="340">
        <f t="shared" si="25"/>
        <v>1.9745518795786543</v>
      </c>
      <c r="O130" s="341" t="str">
        <f t="shared" si="26"/>
        <v>L</v>
      </c>
      <c r="P130" s="342">
        <f t="shared" si="27"/>
        <v>0.23438596491228095</v>
      </c>
      <c r="Q130" s="343">
        <f t="shared" si="28"/>
        <v>7.0357565743486923</v>
      </c>
      <c r="R130" s="10">
        <f t="shared" si="20"/>
        <v>3078.41</v>
      </c>
      <c r="S130" s="337">
        <f t="shared" si="21"/>
        <v>3092.91</v>
      </c>
      <c r="T130" s="9">
        <v>14.5</v>
      </c>
      <c r="U130" s="8" t="s">
        <v>763</v>
      </c>
      <c r="V130" s="202">
        <f>IF(OR(E130="",E130&lt;$U$2),"",ProjTvdAtBit(E130,F130,G130,H130,D130,W130,X130))</f>
        <v>3031.1793548191972</v>
      </c>
      <c r="W130" s="344">
        <f>IF(OR(E130="",E130&lt;$U$2),"",ProjIncAtBit(F130,J130,C130,M130,AJ130,IF(AK130="",0,AK130)))</f>
        <v>49.81107742349969</v>
      </c>
      <c r="X130" s="455">
        <f>IF(OR(E130="",E130&lt;$U$2),"",ProjAzmAtBit(F130,G130,J130,C130,M130,AJ130,IF(AK130="",0,AK130)))</f>
        <v>28.808106914383533</v>
      </c>
      <c r="Y130" s="461"/>
      <c r="Z130" s="206"/>
      <c r="AA130" s="512" t="str">
        <f t="shared" si="36"/>
        <v/>
      </c>
      <c r="AB130" s="520" t="str">
        <f t="shared" si="37"/>
        <v/>
      </c>
      <c r="AC130" s="510"/>
      <c r="AD130" s="515"/>
      <c r="AE130" s="516"/>
      <c r="AJ130" s="452">
        <f>IF(OR(E130="",D130=""),0,ProjSlideMetersBetween(E130,D130,$R$13:$R$305,$S$13:$S$305))</f>
        <v>17</v>
      </c>
      <c r="AK130" s="452">
        <f>IF(U130="","",ProjParseTF(U130))</f>
        <v>-15</v>
      </c>
      <c r="AL130" s="219">
        <f>IF(E130="","",ProjCumN(AL129,E129,F129,G129,E130,F130,G130,FALSE))</f>
        <v>113.83733516171218</v>
      </c>
      <c r="AM130" s="331">
        <f>IF(E130="","",ProjCumE(AM129,E129,F129,G129,E130,F130,G130,FALSE))</f>
        <v>92.986721781907093</v>
      </c>
      <c r="AN130" s="330">
        <f t="shared" si="35"/>
        <v>28.808106914383533</v>
      </c>
      <c r="AO130" s="330" t="str">
        <f>IF(OR(E130="",E130&lt;$U$2),"",ProjActiveTargetMdEx(D130,W130,V130,ProjTargets_MD,ProjTargets_INC,ProjTargets_AZM,ProjTargets_TVD,F130,H130))</f>
        <v/>
      </c>
      <c r="AP130" s="207">
        <f>IF(OR(E130="",E130&lt;$U$2),"",ProjBitN(E130,F130,G130,AL130,D130,W130,X130))</f>
        <v>124.83149616121686</v>
      </c>
      <c r="AQ130" s="207">
        <f>IF(OR(E130="",E130&lt;$U$2),"",ProjBitE(E130,F130,G130,AM130,D130,W130,X130))</f>
        <v>99.158469675375514</v>
      </c>
      <c r="AR130" s="207" t="str">
        <f>IF(OR(E130="",E130&lt;$U$2,AO130=""),"",ProjBurr(D130,W130,X130,Q130,C130,ProjTargets_MD,ProjTargets_INC,ProjTargets_AZM,ProjTargets_TVD,V130))</f>
        <v/>
      </c>
      <c r="AS130" s="207" t="str">
        <f>IF(OR(E130="",E130&lt;$U$2,AO130=""),"",ProjMetersToSlide(D130,W130,X130,Q130,C130,ProjTargets_MD,ProjTargets_INC,ProjTargets_AZM,ProjTargets_TVD,V130))</f>
        <v/>
      </c>
      <c r="AT130" s="207" t="str">
        <f>IF(OR(E130="",E130&lt;$U$2,AO130=""),"",ProjRequiredTf(D130,W130,X130,ProjTargets_MD,ProjTargets_INC,ProjTargets_AZM,ProjTargets_TVD,5,V130))</f>
        <v/>
      </c>
    </row>
    <row r="131" spans="2:46" s="209" customFormat="1" ht="15" customHeight="1" x14ac:dyDescent="0.3">
      <c r="B131" s="208">
        <f t="shared" si="22"/>
        <v>17</v>
      </c>
      <c r="C131" s="335">
        <f t="shared" si="29"/>
        <v>14.5</v>
      </c>
      <c r="D131" s="27">
        <v>3092.91</v>
      </c>
      <c r="E131" s="336">
        <f t="shared" si="30"/>
        <v>3075.91</v>
      </c>
      <c r="F131" s="9">
        <v>50.25</v>
      </c>
      <c r="G131" s="9">
        <v>30.25</v>
      </c>
      <c r="H131" s="337">
        <f t="shared" si="23"/>
        <v>3029.4635256901274</v>
      </c>
      <c r="I131" s="337">
        <f t="shared" si="34"/>
        <v>2257.2135256901274</v>
      </c>
      <c r="J131" s="338">
        <f t="shared" si="31"/>
        <v>8.8982580064427115</v>
      </c>
      <c r="K131" s="339">
        <f t="shared" si="32"/>
        <v>8.8758620689655157</v>
      </c>
      <c r="L131" s="339">
        <f t="shared" si="33"/>
        <v>0.84827586206896577</v>
      </c>
      <c r="M131" s="339">
        <f t="shared" si="24"/>
        <v>14.5</v>
      </c>
      <c r="N131" s="340">
        <f t="shared" si="25"/>
        <v>4.0659392715847771</v>
      </c>
      <c r="O131" s="341" t="str">
        <f t="shared" si="26"/>
        <v>R</v>
      </c>
      <c r="P131" s="342">
        <f t="shared" si="27"/>
        <v>0.2958620689655172</v>
      </c>
      <c r="Q131" s="343">
        <f t="shared" si="28"/>
        <v>8.8982580064427115</v>
      </c>
      <c r="R131" s="10">
        <f t="shared" si="20"/>
        <v>3092.91</v>
      </c>
      <c r="S131" s="337">
        <f t="shared" si="21"/>
        <v>3107.21</v>
      </c>
      <c r="T131" s="9">
        <v>14.3</v>
      </c>
      <c r="U131" s="8" t="s">
        <v>763</v>
      </c>
      <c r="V131" s="202">
        <f>IF(OR(E131="",E131&lt;$U$2),"",ProjTvdAtBit(E131,F131,G131,H131,D131,W131,X131))</f>
        <v>3039.7659846234656</v>
      </c>
      <c r="W131" s="344">
        <f>IF(OR(E131="",E131&lt;$U$2),"",ProjIncAtBit(F131,J131,C131,M131,AJ131,IF(AK131="",0,AK131)))</f>
        <v>55.120532423197012</v>
      </c>
      <c r="X131" s="455">
        <f>IF(OR(E131="",E131&lt;$U$2),"",ProjAzmAtBit(F131,G131,J131,C131,M131,AJ131,IF(AK131="",0,AK131)))</f>
        <v>28.944944770494761</v>
      </c>
      <c r="Y131" s="461"/>
      <c r="Z131" s="206"/>
      <c r="AA131" s="512" t="str">
        <f t="shared" si="36"/>
        <v/>
      </c>
      <c r="AB131" s="520" t="str">
        <f t="shared" si="37"/>
        <v/>
      </c>
      <c r="AC131" s="510"/>
      <c r="AD131" s="515"/>
      <c r="AE131" s="516"/>
      <c r="AJ131" s="452">
        <f>IF(OR(E131="",D131=""),0,ProjSlideMetersBetween(E131,D131,$R$13:$R$305,$S$13:$S$305))</f>
        <v>17</v>
      </c>
      <c r="AK131" s="452">
        <f>IF(U131="","",ProjParseTF(U131))</f>
        <v>-15</v>
      </c>
      <c r="AL131" s="219">
        <f>IF(E131="","",ProjCumN(AL130,E130,F130,G130,E131,F131,G131,FALSE))</f>
        <v>123.17755023292268</v>
      </c>
      <c r="AM131" s="331">
        <f>IF(E131="","",ProjCumE(AM130,E130,F130,G130,E131,F131,G131,FALSE))</f>
        <v>98.390581597165067</v>
      </c>
      <c r="AN131" s="330">
        <f t="shared" si="35"/>
        <v>28.944944770494761</v>
      </c>
      <c r="AO131" s="330" t="str">
        <f>IF(OR(E131="",E131&lt;$U$2),"",ProjActiveTargetMdEx(D131,W131,V131,ProjTargets_MD,ProjTargets_INC,ProjTargets_AZM,ProjTargets_TVD,F131,H131))</f>
        <v/>
      </c>
      <c r="AP131" s="207">
        <f>IF(OR(E131="",E131&lt;$U$2),"",ProjBitN(E131,F131,G131,AL131,D131,W131,X131))</f>
        <v>134.93224785110053</v>
      </c>
      <c r="AQ131" s="207">
        <f>IF(OR(E131="",E131&lt;$U$2),"",ProjBitE(E131,F131,G131,AM131,D131,W131,X131))</f>
        <v>105.06175461602355</v>
      </c>
      <c r="AR131" s="207" t="str">
        <f>IF(OR(E131="",E131&lt;$U$2,AO131=""),"",ProjBurr(D131,W131,X131,Q131,C131,ProjTargets_MD,ProjTargets_INC,ProjTargets_AZM,ProjTargets_TVD,V131))</f>
        <v/>
      </c>
      <c r="AS131" s="207" t="str">
        <f>IF(OR(E131="",E131&lt;$U$2,AO131=""),"",ProjMetersToSlide(D131,W131,X131,Q131,C131,ProjTargets_MD,ProjTargets_INC,ProjTargets_AZM,ProjTargets_TVD,V131))</f>
        <v/>
      </c>
      <c r="AT131" s="207" t="str">
        <f>IF(OR(E131="",E131&lt;$U$2,AO131=""),"",ProjRequiredTf(D131,W131,X131,ProjTargets_MD,ProjTargets_INC,ProjTargets_AZM,ProjTargets_TVD,5,V131))</f>
        <v/>
      </c>
    </row>
    <row r="132" spans="2:46" s="209" customFormat="1" ht="15" customHeight="1" x14ac:dyDescent="0.3">
      <c r="B132" s="208">
        <f t="shared" si="22"/>
        <v>17</v>
      </c>
      <c r="C132" s="335">
        <f t="shared" si="29"/>
        <v>14.300000000000182</v>
      </c>
      <c r="D132" s="27">
        <v>3107.21</v>
      </c>
      <c r="E132" s="336">
        <f t="shared" si="30"/>
        <v>3090.21</v>
      </c>
      <c r="F132" s="9">
        <v>54.14</v>
      </c>
      <c r="G132" s="9">
        <v>29.67</v>
      </c>
      <c r="H132" s="337">
        <f t="shared" si="23"/>
        <v>3038.2290825666605</v>
      </c>
      <c r="I132" s="337">
        <f t="shared" si="34"/>
        <v>2265.9790825666605</v>
      </c>
      <c r="J132" s="338">
        <f t="shared" si="31"/>
        <v>8.217210739739004</v>
      </c>
      <c r="K132" s="339">
        <f t="shared" si="32"/>
        <v>8.1608391608390587</v>
      </c>
      <c r="L132" s="339">
        <f t="shared" si="33"/>
        <v>-1.2167832167831978</v>
      </c>
      <c r="M132" s="339">
        <f t="shared" si="24"/>
        <v>14.300000000000182</v>
      </c>
      <c r="N132" s="340">
        <f t="shared" si="25"/>
        <v>6.7151251094407369</v>
      </c>
      <c r="O132" s="341" t="str">
        <f t="shared" si="26"/>
        <v>L</v>
      </c>
      <c r="P132" s="342">
        <f t="shared" si="27"/>
        <v>0.27202797202796863</v>
      </c>
      <c r="Q132" s="343">
        <f t="shared" si="28"/>
        <v>8.217210739739004</v>
      </c>
      <c r="R132" s="10">
        <f t="shared" si="20"/>
        <v>3107.21</v>
      </c>
      <c r="S132" s="337">
        <f t="shared" si="21"/>
        <v>3121.71</v>
      </c>
      <c r="T132" s="9">
        <v>14.5</v>
      </c>
      <c r="U132" s="8" t="s">
        <v>762</v>
      </c>
      <c r="V132" s="202">
        <f>IF(OR(E132="",E132&lt;$U$2),"",ProjTvdAtBit(E132,F132,G132,H132,D132,W132,X132))</f>
        <v>3047.6958268205781</v>
      </c>
      <c r="W132" s="344">
        <f>IF(OR(E132="",E132&lt;$U$2),"",ProjIncAtBit(F132,J132,C132,M132,AJ132,IF(AK132="",0,AK132)))</f>
        <v>58.172577507689773</v>
      </c>
      <c r="X132" s="455">
        <f>IF(OR(E132="",E132&lt;$U$2),"",ProjAzmAtBit(F132,G132,J132,C132,M132,AJ132,IF(AK132="",0,AK132)))</f>
        <v>27.341790290407285</v>
      </c>
      <c r="Y132" s="461"/>
      <c r="Z132" s="206"/>
      <c r="AA132" s="512" t="str">
        <f t="shared" si="36"/>
        <v/>
      </c>
      <c r="AB132" s="520" t="str">
        <f t="shared" si="37"/>
        <v/>
      </c>
      <c r="AC132" s="510"/>
      <c r="AD132" s="515"/>
      <c r="AE132" s="516"/>
      <c r="AJ132" s="452">
        <f>IF(OR(E132="",D132=""),0,ProjSlideMetersBetween(E132,D132,$R$13:$R$305,$S$13:$S$305))</f>
        <v>17</v>
      </c>
      <c r="AK132" s="452">
        <f>IF(U132="","",ProjParseTF(U132))</f>
        <v>-30</v>
      </c>
      <c r="AL132" s="219">
        <f>IF(E132="","",ProjCumN(AL131,E131,F131,G131,E132,F132,G132,FALSE))</f>
        <v>132.96503714920289</v>
      </c>
      <c r="AM132" s="331">
        <f>IF(E132="","",ProjCumE(AM131,E131,F131,G131,E132,F132,G132,FALSE))</f>
        <v>104.03054414337737</v>
      </c>
      <c r="AN132" s="330">
        <f t="shared" si="35"/>
        <v>27.341790290407285</v>
      </c>
      <c r="AO132" s="330" t="str">
        <f>IF(OR(E132="",E132&lt;$U$2),"",ProjActiveTargetMdEx(D132,W132,V132,ProjTargets_MD,ProjTargets_INC,ProjTargets_AZM,ProjTargets_TVD,F132,H132))</f>
        <v/>
      </c>
      <c r="AP132" s="207">
        <f>IF(OR(E132="",E132&lt;$U$2),"",ProjBitN(E132,F132,G132,AL132,D132,W132,X132))</f>
        <v>145.372104269522</v>
      </c>
      <c r="AQ132" s="207">
        <f>IF(OR(E132="",E132&lt;$U$2),"",ProjBitE(E132,F132,G132,AM132,D132,W132,X132))</f>
        <v>110.76097988546795</v>
      </c>
      <c r="AR132" s="207" t="str">
        <f>IF(OR(E132="",E132&lt;$U$2,AO132=""),"",ProjBurr(D132,W132,X132,Q132,C132,ProjTargets_MD,ProjTargets_INC,ProjTargets_AZM,ProjTargets_TVD,V132))</f>
        <v/>
      </c>
      <c r="AS132" s="207" t="str">
        <f>IF(OR(E132="",E132&lt;$U$2,AO132=""),"",ProjMetersToSlide(D132,W132,X132,Q132,C132,ProjTargets_MD,ProjTargets_INC,ProjTargets_AZM,ProjTargets_TVD,V132))</f>
        <v/>
      </c>
      <c r="AT132" s="207" t="str">
        <f>IF(OR(E132="",E132&lt;$U$2,AO132=""),"",ProjRequiredTf(D132,W132,X132,ProjTargets_MD,ProjTargets_INC,ProjTargets_AZM,ProjTargets_TVD,5,V132))</f>
        <v/>
      </c>
    </row>
    <row r="133" spans="2:46" s="209" customFormat="1" ht="15" customHeight="1" x14ac:dyDescent="0.3">
      <c r="B133" s="208">
        <f t="shared" si="22"/>
        <v>17</v>
      </c>
      <c r="C133" s="335">
        <f t="shared" si="29"/>
        <v>14.499999999999545</v>
      </c>
      <c r="D133" s="27">
        <v>3121.7099999999996</v>
      </c>
      <c r="E133" s="336">
        <f t="shared" si="30"/>
        <v>3104.71</v>
      </c>
      <c r="F133" s="9">
        <v>58.04</v>
      </c>
      <c r="G133" s="9">
        <v>28.78</v>
      </c>
      <c r="H133" s="337">
        <f t="shared" si="23"/>
        <v>3046.3184870585237</v>
      </c>
      <c r="I133" s="337">
        <f t="shared" si="34"/>
        <v>2274.0684870585237</v>
      </c>
      <c r="J133" s="338">
        <f t="shared" si="31"/>
        <v>8.2122727906092656</v>
      </c>
      <c r="K133" s="339">
        <f t="shared" si="32"/>
        <v>8.0689655172413772</v>
      </c>
      <c r="L133" s="339">
        <f t="shared" si="33"/>
        <v>-1.8413793103448288</v>
      </c>
      <c r="M133" s="339">
        <f t="shared" si="24"/>
        <v>14.5</v>
      </c>
      <c r="N133" s="340">
        <f t="shared" si="25"/>
        <v>10.71947815871275</v>
      </c>
      <c r="O133" s="341" t="str">
        <f t="shared" si="26"/>
        <v>L</v>
      </c>
      <c r="P133" s="342">
        <f t="shared" si="27"/>
        <v>0.26896551724137924</v>
      </c>
      <c r="Q133" s="343">
        <f t="shared" si="28"/>
        <v>8.2122727906090081</v>
      </c>
      <c r="R133" s="10">
        <f t="shared" si="20"/>
        <v>3121.7099999999996</v>
      </c>
      <c r="S133" s="337">
        <f t="shared" si="21"/>
        <v>3135.97</v>
      </c>
      <c r="T133" s="9">
        <v>14.26</v>
      </c>
      <c r="U133" s="8" t="s">
        <v>764</v>
      </c>
      <c r="V133" s="202">
        <f>IF(OR(E133="",E133&lt;$U$2),"",ProjTvdAtBit(E133,F133,G133,H133,D133,W133,X133))</f>
        <v>3055.0243979589131</v>
      </c>
      <c r="W133" s="344">
        <f>IF(OR(E133="",E133&lt;$U$2),"",ProjIncAtBit(F133,J133,C133,M133,AJ133,IF(AK133="",0,AK133)))</f>
        <v>60.366810624005829</v>
      </c>
      <c r="X133" s="455">
        <f>IF(OR(E133="",E133&lt;$U$2),"",ProjAzmAtBit(F133,G133,J133,C133,M133,AJ133,IF(AK133="",0,AK133)))</f>
        <v>24.749845779630746</v>
      </c>
      <c r="Y133" s="461"/>
      <c r="Z133" s="206"/>
      <c r="AA133" s="512" t="str">
        <f t="shared" si="36"/>
        <v/>
      </c>
      <c r="AB133" s="520" t="str">
        <f t="shared" si="37"/>
        <v/>
      </c>
      <c r="AC133" s="510"/>
      <c r="AD133" s="515"/>
      <c r="AE133" s="516"/>
      <c r="AJ133" s="452">
        <f>IF(OR(E133="",D133=""),0,ProjSlideMetersBetween(E133,D133,$R$13:$R$305,$S$13:$S$305))</f>
        <v>16.999999999999545</v>
      </c>
      <c r="AK133" s="452">
        <f>IF(U133="","",ProjParseTF(U133))</f>
        <v>-60</v>
      </c>
      <c r="AL133" s="219">
        <f>IF(E133="","",ProjCumN(AL132,E132,F132,G132,E133,F133,G133,FALSE))</f>
        <v>143.46586051302657</v>
      </c>
      <c r="AM133" s="331">
        <f>IF(E133="","",ProjCumE(AM132,E132,F132,G132,E133,F133,G133,FALSE))</f>
        <v>109.90281975036153</v>
      </c>
      <c r="AN133" s="330">
        <f t="shared" si="35"/>
        <v>24.749845779630746</v>
      </c>
      <c r="AO133" s="330" t="str">
        <f>IF(OR(E133="",E133&lt;$U$2),"",ProjActiveTargetMdEx(D133,W133,V133,ProjTargets_MD,ProjTargets_INC,ProjTargets_AZM,ProjTargets_TVD,F133,H133))</f>
        <v/>
      </c>
      <c r="AP133" s="207">
        <f>IF(OR(E133="",E133&lt;$U$2),"",ProjBitN(E133,F133,G133,AL133,D133,W133,X133))</f>
        <v>156.50197878930987</v>
      </c>
      <c r="AQ133" s="207">
        <f>IF(OR(E133="",E133&lt;$U$2),"",ProjBitE(E133,F133,G133,AM133,D133,W133,X133))</f>
        <v>116.47086005324485</v>
      </c>
      <c r="AR133" s="207" t="str">
        <f>IF(OR(E133="",E133&lt;$U$2,AO133=""),"",ProjBurr(D133,W133,X133,Q133,C133,ProjTargets_MD,ProjTargets_INC,ProjTargets_AZM,ProjTargets_TVD,V133))</f>
        <v/>
      </c>
      <c r="AS133" s="207" t="str">
        <f>IF(OR(E133="",E133&lt;$U$2,AO133=""),"",ProjMetersToSlide(D133,W133,X133,Q133,C133,ProjTargets_MD,ProjTargets_INC,ProjTargets_AZM,ProjTargets_TVD,V133))</f>
        <v/>
      </c>
      <c r="AT133" s="207" t="str">
        <f>IF(OR(E133="",E133&lt;$U$2,AO133=""),"",ProjRequiredTf(D133,W133,X133,ProjTargets_MD,ProjTargets_INC,ProjTargets_AZM,ProjTargets_TVD,5,V133))</f>
        <v/>
      </c>
    </row>
    <row r="134" spans="2:46" s="209" customFormat="1" ht="15" customHeight="1" x14ac:dyDescent="0.3">
      <c r="B134" s="208">
        <f t="shared" si="22"/>
        <v>17</v>
      </c>
      <c r="C134" s="335">
        <f t="shared" si="29"/>
        <v>14.260000000000218</v>
      </c>
      <c r="D134" s="27">
        <v>3135.97</v>
      </c>
      <c r="E134" s="336">
        <f t="shared" si="30"/>
        <v>3118.97</v>
      </c>
      <c r="F134" s="9">
        <v>61.34</v>
      </c>
      <c r="G134" s="9">
        <v>26.46</v>
      </c>
      <c r="H134" s="337">
        <f t="shared" si="23"/>
        <v>3053.5151997174976</v>
      </c>
      <c r="I134" s="337">
        <f t="shared" si="34"/>
        <v>2281.2651997174976</v>
      </c>
      <c r="J134" s="338">
        <f t="shared" si="31"/>
        <v>8.1204851519463954</v>
      </c>
      <c r="K134" s="339">
        <f t="shared" si="32"/>
        <v>6.942496493688763</v>
      </c>
      <c r="L134" s="339">
        <f t="shared" si="33"/>
        <v>-4.8807854137448219</v>
      </c>
      <c r="M134" s="339">
        <f t="shared" si="24"/>
        <v>14.259999999999764</v>
      </c>
      <c r="N134" s="340">
        <f t="shared" si="25"/>
        <v>31.247315900381047</v>
      </c>
      <c r="O134" s="341" t="str">
        <f t="shared" si="26"/>
        <v>L</v>
      </c>
      <c r="P134" s="342">
        <f t="shared" si="27"/>
        <v>0.23141654978962545</v>
      </c>
      <c r="Q134" s="343">
        <f t="shared" si="28"/>
        <v>8.1204851519466548</v>
      </c>
      <c r="R134" s="10">
        <f t="shared" si="20"/>
        <v>3135.97</v>
      </c>
      <c r="S134" s="337">
        <f t="shared" si="21"/>
        <v>3150.47</v>
      </c>
      <c r="T134" s="9">
        <v>14.5</v>
      </c>
      <c r="U134" s="8" t="s">
        <v>764</v>
      </c>
      <c r="V134" s="202">
        <f>IF(OR(E134="",E134&lt;$U$2),"",ProjTvdAtBit(E134,F134,G134,H134,D134,W134,X134))</f>
        <v>3061.3694150563883</v>
      </c>
      <c r="W134" s="344">
        <f>IF(OR(E134="",E134&lt;$U$2),"",ProjIncAtBit(F134,J134,C134,M134,AJ134,IF(AK134="",0,AK134)))</f>
        <v>63.640804126384957</v>
      </c>
      <c r="X134" s="455">
        <f>IF(OR(E134="",E134&lt;$U$2),"",ProjAzmAtBit(F134,G134,J134,C134,M134,AJ134,IF(AK134="",0,AK134)))</f>
        <v>22.474890354837278</v>
      </c>
      <c r="Y134" s="461"/>
      <c r="Z134" s="206"/>
      <c r="AA134" s="512" t="str">
        <f t="shared" si="36"/>
        <v/>
      </c>
      <c r="AB134" s="520" t="str">
        <f t="shared" si="37"/>
        <v/>
      </c>
      <c r="AC134" s="510"/>
      <c r="AD134" s="515"/>
      <c r="AE134" s="516"/>
      <c r="AJ134" s="452">
        <f>IF(OR(E134="",D134=""),0,ProjSlideMetersBetween(E134,D134,$R$13:$R$305,$S$13:$S$305))</f>
        <v>17.000000000000455</v>
      </c>
      <c r="AK134" s="452">
        <f>IF(U134="","",ProjParseTF(U134))</f>
        <v>-60</v>
      </c>
      <c r="AL134" s="219">
        <f>IF(E134="","",ProjCumN(AL133,E133,F133,G133,E134,F134,G134,FALSE))</f>
        <v>154.37302577961839</v>
      </c>
      <c r="AM134" s="331">
        <f>IF(E134="","",ProjCumE(AM133,E133,F133,G133,E134,F134,G134,FALSE))</f>
        <v>115.60506029142171</v>
      </c>
      <c r="AN134" s="330">
        <f t="shared" si="35"/>
        <v>22.474890354837278</v>
      </c>
      <c r="AO134" s="330" t="str">
        <f>IF(OR(E134="",E134&lt;$U$2),"",ProjActiveTargetMdEx(D134,W134,V134,ProjTargets_MD,ProjTargets_INC,ProjTargets_AZM,ProjTargets_TVD,F134,H134))</f>
        <v/>
      </c>
      <c r="AP134" s="207">
        <f>IF(OR(E134="",E134&lt;$U$2),"",ProjBitN(E134,F134,G134,AL134,D134,W134,X134))</f>
        <v>168.09425515863148</v>
      </c>
      <c r="AQ134" s="207">
        <f>IF(OR(E134="",E134&lt;$U$2),"",ProjBitE(E134,F134,G134,AM134,D134,W134,X134))</f>
        <v>121.84274684546428</v>
      </c>
      <c r="AR134" s="207" t="str">
        <f>IF(OR(E134="",E134&lt;$U$2,AO134=""),"",ProjBurr(D134,W134,X134,Q134,C134,ProjTargets_MD,ProjTargets_INC,ProjTargets_AZM,ProjTargets_TVD,V134))</f>
        <v/>
      </c>
      <c r="AS134" s="207" t="str">
        <f>IF(OR(E134="",E134&lt;$U$2,AO134=""),"",ProjMetersToSlide(D134,W134,X134,Q134,C134,ProjTargets_MD,ProjTargets_INC,ProjTargets_AZM,ProjTargets_TVD,V134))</f>
        <v/>
      </c>
      <c r="AT134" s="207" t="str">
        <f>IF(OR(E134="",E134&lt;$U$2,AO134=""),"",ProjRequiredTf(D134,W134,X134,ProjTargets_MD,ProjTargets_INC,ProjTargets_AZM,ProjTargets_TVD,5,V134))</f>
        <v/>
      </c>
    </row>
    <row r="135" spans="2:46" s="209" customFormat="1" ht="15" customHeight="1" x14ac:dyDescent="0.3">
      <c r="B135" s="208">
        <f t="shared" si="22"/>
        <v>17</v>
      </c>
      <c r="C135" s="335">
        <f t="shared" si="29"/>
        <v>14.5</v>
      </c>
      <c r="D135" s="27">
        <v>3150.47</v>
      </c>
      <c r="E135" s="336">
        <f t="shared" si="30"/>
        <v>3133.47</v>
      </c>
      <c r="F135" s="9">
        <v>65.180000000000007</v>
      </c>
      <c r="G135" s="9">
        <v>24.07</v>
      </c>
      <c r="H135" s="337">
        <f t="shared" si="23"/>
        <v>3060.0393671268553</v>
      </c>
      <c r="I135" s="337">
        <f t="shared" si="34"/>
        <v>2287.7893671268553</v>
      </c>
      <c r="J135" s="338">
        <f t="shared" si="31"/>
        <v>9.0888966662504611</v>
      </c>
      <c r="K135" s="339">
        <f t="shared" si="32"/>
        <v>7.9448275862069035</v>
      </c>
      <c r="L135" s="339">
        <f t="shared" si="33"/>
        <v>-4.9448275862068973</v>
      </c>
      <c r="M135" s="339">
        <f t="shared" si="24"/>
        <v>14.500000000000455</v>
      </c>
      <c r="N135" s="340">
        <f t="shared" si="25"/>
        <v>29.058466453315123</v>
      </c>
      <c r="O135" s="341" t="str">
        <f t="shared" si="26"/>
        <v>L</v>
      </c>
      <c r="P135" s="342">
        <f t="shared" si="27"/>
        <v>0.26482758620688845</v>
      </c>
      <c r="Q135" s="343">
        <f t="shared" si="28"/>
        <v>9.0888966662501769</v>
      </c>
      <c r="R135" s="10">
        <f t="shared" si="20"/>
        <v>3150.47</v>
      </c>
      <c r="S135" s="337">
        <f t="shared" si="21"/>
        <v>3162.47</v>
      </c>
      <c r="T135" s="9">
        <v>12</v>
      </c>
      <c r="U135" s="8" t="s">
        <v>764</v>
      </c>
      <c r="V135" s="202">
        <f>IF(OR(E135="",E135&lt;$U$2),"",ProjTvdAtBit(E135,F135,G135,H135,D135,W135,X135))</f>
        <v>3066.8292289163905</v>
      </c>
      <c r="W135" s="344">
        <f>IF(OR(E135="",E135&lt;$U$2),"",ProjIncAtBit(F135,J135,C135,M135,AJ135,IF(AK135="",0,AK135)))</f>
        <v>67.755187388770892</v>
      </c>
      <c r="X135" s="455">
        <f>IF(OR(E135="",E135&lt;$U$2),"",ProjAzmAtBit(F135,G135,J135,C135,M135,AJ135,IF(AK135="",0,AK135)))</f>
        <v>19.609644603638067</v>
      </c>
      <c r="Y135" s="461"/>
      <c r="Z135" s="206"/>
      <c r="AA135" s="512" t="str">
        <f t="shared" si="36"/>
        <v/>
      </c>
      <c r="AB135" s="520" t="str">
        <f t="shared" si="37"/>
        <v/>
      </c>
      <c r="AC135" s="510"/>
      <c r="AD135" s="515"/>
      <c r="AE135" s="516"/>
      <c r="AJ135" s="452">
        <f>IF(OR(E135="",D135=""),0,ProjSlideMetersBetween(E135,D135,$R$13:$R$305,$S$13:$S$305))</f>
        <v>17</v>
      </c>
      <c r="AK135" s="452">
        <f>IF(U135="","",ProjParseTF(U135))</f>
        <v>-60</v>
      </c>
      <c r="AL135" s="219">
        <f>IF(E135="","",ProjCumN(AL134,E134,F134,G134,E135,F135,G135,FALSE))</f>
        <v>166.08223282236838</v>
      </c>
      <c r="AM135" s="331">
        <f>IF(E135="","",ProjCumE(AM134,E134,F134,G134,E135,F135,G135,FALSE))</f>
        <v>121.12618533847683</v>
      </c>
      <c r="AN135" s="330">
        <f t="shared" si="35"/>
        <v>19.609644603638067</v>
      </c>
      <c r="AO135" s="330" t="str">
        <f>IF(OR(E135="",E135&lt;$U$2),"",ProjActiveTargetMdEx(D135,W135,V135,ProjTargets_MD,ProjTargets_INC,ProjTargets_AZM,ProjTargets_TVD,F135,H135))</f>
        <v/>
      </c>
      <c r="AP135" s="207">
        <f>IF(OR(E135="",E135&lt;$U$2),"",ProjBitN(E135,F135,G135,AL135,D135,W135,X135))</f>
        <v>180.54593118010135</v>
      </c>
      <c r="AQ135" s="207">
        <f>IF(OR(E135="",E135&lt;$U$2),"",ProjBitE(E135,F135,G135,AM135,D135,W135,X135))</f>
        <v>126.91651812138254</v>
      </c>
      <c r="AR135" s="207" t="str">
        <f>IF(OR(E135="",E135&lt;$U$2,AO135=""),"",ProjBurr(D135,W135,X135,Q135,C135,ProjTargets_MD,ProjTargets_INC,ProjTargets_AZM,ProjTargets_TVD,V135))</f>
        <v/>
      </c>
      <c r="AS135" s="207" t="str">
        <f>IF(OR(E135="",E135&lt;$U$2,AO135=""),"",ProjMetersToSlide(D135,W135,X135,Q135,C135,ProjTargets_MD,ProjTargets_INC,ProjTargets_AZM,ProjTargets_TVD,V135))</f>
        <v/>
      </c>
      <c r="AT135" s="207" t="str">
        <f>IF(OR(E135="",E135&lt;$U$2,AO135=""),"",ProjRequiredTf(D135,W135,X135,ProjTargets_MD,ProjTargets_INC,ProjTargets_AZM,ProjTargets_TVD,5,V135))</f>
        <v/>
      </c>
    </row>
    <row r="136" spans="2:46" s="209" customFormat="1" ht="15" customHeight="1" x14ac:dyDescent="0.3">
      <c r="B136" s="208">
        <f t="shared" si="22"/>
        <v>17</v>
      </c>
      <c r="C136" s="335">
        <f t="shared" si="29"/>
        <v>14.269999999999982</v>
      </c>
      <c r="D136" s="27">
        <v>3164.74</v>
      </c>
      <c r="E136" s="336">
        <f t="shared" si="30"/>
        <v>3147.74</v>
      </c>
      <c r="F136" s="9">
        <v>66.94</v>
      </c>
      <c r="G136" s="9">
        <v>19.82</v>
      </c>
      <c r="H136" s="337">
        <f t="shared" si="23"/>
        <v>3065.8298442687519</v>
      </c>
      <c r="I136" s="337">
        <f t="shared" si="34"/>
        <v>2293.5798442687519</v>
      </c>
      <c r="J136" s="338">
        <f t="shared" si="31"/>
        <v>8.9645701090517136</v>
      </c>
      <c r="K136" s="339">
        <f t="shared" si="32"/>
        <v>3.7000700770847788</v>
      </c>
      <c r="L136" s="339">
        <f t="shared" si="33"/>
        <v>-8.9348283111422671</v>
      </c>
      <c r="M136" s="339">
        <f t="shared" si="24"/>
        <v>14.269999999999982</v>
      </c>
      <c r="N136" s="340">
        <f t="shared" si="25"/>
        <v>65.622691631582256</v>
      </c>
      <c r="O136" s="341" t="str">
        <f t="shared" si="26"/>
        <v>L</v>
      </c>
      <c r="P136" s="342">
        <f t="shared" si="27"/>
        <v>0.1233356692361593</v>
      </c>
      <c r="Q136" s="343">
        <f t="shared" si="28"/>
        <v>8.9645701090517136</v>
      </c>
      <c r="R136" s="10">
        <f t="shared" si="20"/>
        <v>3164.74</v>
      </c>
      <c r="S136" s="337">
        <f t="shared" si="21"/>
        <v>3179.24</v>
      </c>
      <c r="T136" s="9">
        <v>14.5</v>
      </c>
      <c r="U136" s="8" t="s">
        <v>765</v>
      </c>
      <c r="V136" s="202">
        <f>IF(OR(E136="",E136&lt;$U$2),"",ProjTvdAtBit(E136,F136,G136,H136,D136,W136,X136))</f>
        <v>3072.101397547448</v>
      </c>
      <c r="W136" s="344">
        <f>IF(OR(E136="",E136&lt;$U$2),"",ProjIncAtBit(F136,J136,C136,M136,AJ136,IF(AK136="",0,AK136)))</f>
        <v>69.769296464801997</v>
      </c>
      <c r="X136" s="455">
        <f>IF(OR(E136="",E136&lt;$U$2),"",ProjAzmAtBit(F136,G136,J136,C136,M136,AJ136,IF(AK136="",0,AK136)))</f>
        <v>16.448175773558127</v>
      </c>
      <c r="Y136" s="461"/>
      <c r="Z136" s="206"/>
      <c r="AA136" s="512" t="str">
        <f t="shared" si="36"/>
        <v/>
      </c>
      <c r="AB136" s="520" t="str">
        <f t="shared" si="37"/>
        <v/>
      </c>
      <c r="AC136" s="510"/>
      <c r="AD136" s="515"/>
      <c r="AE136" s="516"/>
      <c r="AJ136" s="452">
        <f>IF(OR(E136="",D136=""),0,ProjSlideMetersBetween(E136,D136,$R$13:$R$305,$S$13:$S$305))</f>
        <v>14.730000000000018</v>
      </c>
      <c r="AK136" s="452">
        <f>IF(U136="","",ProjParseTF(U136))</f>
        <v>-50</v>
      </c>
      <c r="AL136" s="219">
        <f>IF(E136="","",ProjCumN(AL135,E135,F135,G135,E136,F136,G136,FALSE))</f>
        <v>178.17665734440888</v>
      </c>
      <c r="AM136" s="331">
        <f>IF(E136="","",ProjCumE(AM135,E135,F135,G135,E136,F136,G136,FALSE))</f>
        <v>125.99559348707703</v>
      </c>
      <c r="AN136" s="330">
        <f t="shared" si="35"/>
        <v>16.448175773558127</v>
      </c>
      <c r="AO136" s="330" t="str">
        <f>IF(OR(E136="",E136&lt;$U$2),"",ProjActiveTargetMdEx(D136,W136,V136,ProjTargets_MD,ProjTargets_INC,ProjTargets_AZM,ProjTargets_TVD,F136,H136))</f>
        <v/>
      </c>
      <c r="AP136" s="207">
        <f>IF(OR(E136="",E136&lt;$U$2),"",ProjBitN(E136,F136,G136,AL136,D136,W136,X136))</f>
        <v>193.19019898749781</v>
      </c>
      <c r="AQ136" s="207">
        <f>IF(OR(E136="",E136&lt;$U$2),"",ProjBitE(E136,F136,G136,AM136,D136,W136,X136))</f>
        <v>130.90786898444233</v>
      </c>
      <c r="AR136" s="207" t="str">
        <f>IF(OR(E136="",E136&lt;$U$2,AO136=""),"",ProjBurr(D136,W136,X136,Q136,C136,ProjTargets_MD,ProjTargets_INC,ProjTargets_AZM,ProjTargets_TVD,V136))</f>
        <v/>
      </c>
      <c r="AS136" s="207" t="str">
        <f>IF(OR(E136="",E136&lt;$U$2,AO136=""),"",ProjMetersToSlide(D136,W136,X136,Q136,C136,ProjTargets_MD,ProjTargets_INC,ProjTargets_AZM,ProjTargets_TVD,V136))</f>
        <v/>
      </c>
      <c r="AT136" s="207" t="str">
        <f>IF(OR(E136="",E136&lt;$U$2,AO136=""),"",ProjRequiredTf(D136,W136,X136,ProjTargets_MD,ProjTargets_INC,ProjTargets_AZM,ProjTargets_TVD,5,V136))</f>
        <v/>
      </c>
    </row>
    <row r="137" spans="2:46" s="209" customFormat="1" ht="15" customHeight="1" x14ac:dyDescent="0.3">
      <c r="B137" s="208">
        <f t="shared" si="22"/>
        <v>17</v>
      </c>
      <c r="C137" s="335">
        <f t="shared" si="29"/>
        <v>14.5</v>
      </c>
      <c r="D137" s="27">
        <v>3179.24</v>
      </c>
      <c r="E137" s="336">
        <f t="shared" si="30"/>
        <v>3162.24</v>
      </c>
      <c r="F137" s="9">
        <v>69.55</v>
      </c>
      <c r="G137" s="9">
        <v>16.22</v>
      </c>
      <c r="H137" s="337">
        <f t="shared" si="23"/>
        <v>3071.2041023740835</v>
      </c>
      <c r="I137" s="337">
        <f t="shared" si="34"/>
        <v>2298.9541023740835</v>
      </c>
      <c r="J137" s="338">
        <f t="shared" si="31"/>
        <v>8.7750446534813236</v>
      </c>
      <c r="K137" s="339">
        <f t="shared" si="32"/>
        <v>5.3999999999999986</v>
      </c>
      <c r="L137" s="339">
        <f t="shared" si="33"/>
        <v>-7.4482758620689689</v>
      </c>
      <c r="M137" s="339">
        <f t="shared" si="24"/>
        <v>14.5</v>
      </c>
      <c r="N137" s="340">
        <f t="shared" si="25"/>
        <v>52.020355181891212</v>
      </c>
      <c r="O137" s="341" t="str">
        <f t="shared" si="26"/>
        <v>L</v>
      </c>
      <c r="P137" s="342">
        <f t="shared" si="27"/>
        <v>0.17999999999999997</v>
      </c>
      <c r="Q137" s="343">
        <f t="shared" si="28"/>
        <v>8.7750446534813236</v>
      </c>
      <c r="R137" s="10">
        <f t="shared" si="20"/>
        <v>3179.24</v>
      </c>
      <c r="S137" s="337">
        <f t="shared" si="21"/>
        <v>3192.24</v>
      </c>
      <c r="T137" s="9">
        <v>13</v>
      </c>
      <c r="U137" s="8" t="s">
        <v>765</v>
      </c>
      <c r="V137" s="202">
        <f>IF(OR(E137="",E137&lt;$U$2),"",ProjTvdAtBit(E137,F137,G137,H137,D137,W137,X137))</f>
        <v>3076.7578968280709</v>
      </c>
      <c r="W137" s="344">
        <f>IF(OR(E137="",E137&lt;$U$2),"",ProjIncAtBit(F137,J137,C137,M137,AJ137,IF(AK137="",0,AK137)))</f>
        <v>72.319480579052623</v>
      </c>
      <c r="X137" s="455">
        <f>IF(OR(E137="",E137&lt;$U$2),"",ProjAzmAtBit(F137,G137,J137,C137,M137,AJ137,IF(AK137="",0,AK137)))</f>
        <v>12.919461570294146</v>
      </c>
      <c r="Y137" s="461"/>
      <c r="Z137" s="206"/>
      <c r="AA137" s="512" t="str">
        <f t="shared" si="36"/>
        <v/>
      </c>
      <c r="AB137" s="520" t="str">
        <f t="shared" si="37"/>
        <v/>
      </c>
      <c r="AC137" s="510"/>
      <c r="AD137" s="515"/>
      <c r="AE137" s="516"/>
      <c r="AJ137" s="452">
        <f>IF(OR(E137="",D137=""),0,ProjSlideMetersBetween(E137,D137,$R$13:$R$305,$S$13:$S$305))</f>
        <v>14.730000000000018</v>
      </c>
      <c r="AK137" s="452">
        <f>IF(U137="","",ProjParseTF(U137))</f>
        <v>-50</v>
      </c>
      <c r="AL137" s="219">
        <f>IF(E137="","",ProjCumN(AL136,E136,F136,G136,E137,F137,G137,FALSE))</f>
        <v>190.98073555256494</v>
      </c>
      <c r="AM137" s="331">
        <f>IF(E137="","",ProjCumE(AM136,E136,F136,G136,E137,F137,G137,FALSE))</f>
        <v>130.15678784885006</v>
      </c>
      <c r="AN137" s="330">
        <f t="shared" si="35"/>
        <v>12.919461570294146</v>
      </c>
      <c r="AO137" s="330" t="str">
        <f>IF(OR(E137="",E137&lt;$U$2),"",ProjActiveTargetMdEx(D137,W137,V137,ProjTargets_MD,ProjTargets_INC,ProjTargets_AZM,ProjTargets_TVD,F137,H137))</f>
        <v/>
      </c>
      <c r="AP137" s="207">
        <f>IF(OR(E137="",E137&lt;$U$2),"",ProjBitN(E137,F137,G137,AL137,D137,W137,X137))</f>
        <v>206.52839145732031</v>
      </c>
      <c r="AQ137" s="207">
        <f>IF(OR(E137="",E137&lt;$U$2),"",ProjBitE(E137,F137,G137,AM137,D137,W137,X137))</f>
        <v>134.19388424754754</v>
      </c>
      <c r="AR137" s="207" t="str">
        <f>IF(OR(E137="",E137&lt;$U$2,AO137=""),"",ProjBurr(D137,W137,X137,Q137,C137,ProjTargets_MD,ProjTargets_INC,ProjTargets_AZM,ProjTargets_TVD,V137))</f>
        <v/>
      </c>
      <c r="AS137" s="207" t="str">
        <f>IF(OR(E137="",E137&lt;$U$2,AO137=""),"",ProjMetersToSlide(D137,W137,X137,Q137,C137,ProjTargets_MD,ProjTargets_INC,ProjTargets_AZM,ProjTargets_TVD,V137))</f>
        <v/>
      </c>
      <c r="AT137" s="207" t="str">
        <f>IF(OR(E137="",E137&lt;$U$2,AO137=""),"",ProjRequiredTf(D137,W137,X137,ProjTargets_MD,ProjTargets_INC,ProjTargets_AZM,ProjTargets_TVD,5,V137))</f>
        <v/>
      </c>
    </row>
    <row r="138" spans="2:46" s="209" customFormat="1" ht="15" customHeight="1" x14ac:dyDescent="0.3">
      <c r="B138" s="208">
        <f t="shared" si="22"/>
        <v>17</v>
      </c>
      <c r="C138" s="335">
        <f t="shared" si="29"/>
        <v>13.610000000000127</v>
      </c>
      <c r="D138" s="27">
        <v>3192.85</v>
      </c>
      <c r="E138" s="336">
        <f t="shared" si="30"/>
        <v>3175.85</v>
      </c>
      <c r="F138" s="9">
        <v>72.03</v>
      </c>
      <c r="G138" s="9">
        <v>13.46</v>
      </c>
      <c r="H138" s="337">
        <f t="shared" si="23"/>
        <v>3075.6822206331376</v>
      </c>
      <c r="I138" s="337">
        <f t="shared" si="34"/>
        <v>2303.4322206331376</v>
      </c>
      <c r="J138" s="338">
        <f t="shared" si="31"/>
        <v>7.9297422087067853</v>
      </c>
      <c r="K138" s="339">
        <f t="shared" si="32"/>
        <v>5.46656869948563</v>
      </c>
      <c r="L138" s="339">
        <f t="shared" si="33"/>
        <v>-6.0837619397501221</v>
      </c>
      <c r="M138" s="339">
        <f t="shared" si="24"/>
        <v>11.340000000000146</v>
      </c>
      <c r="N138" s="340">
        <f t="shared" si="25"/>
        <v>46.419318379931937</v>
      </c>
      <c r="O138" s="341" t="str">
        <f t="shared" si="26"/>
        <v>L</v>
      </c>
      <c r="P138" s="342">
        <f t="shared" si="27"/>
        <v>0.21869488536154957</v>
      </c>
      <c r="Q138" s="343">
        <f t="shared" si="28"/>
        <v>9.5170891940475286</v>
      </c>
      <c r="R138" s="10">
        <f t="shared" si="20"/>
        <v>3192.85</v>
      </c>
      <c r="S138" s="337">
        <f t="shared" si="21"/>
        <v>3205.35</v>
      </c>
      <c r="T138" s="9">
        <v>12.5</v>
      </c>
      <c r="U138" s="8" t="s">
        <v>766</v>
      </c>
      <c r="V138" s="202">
        <f>IF(OR(E138="",E138&lt;$U$2),"",ProjTvdAtBit(E138,F138,G138,H138,D138,W138,X138))</f>
        <v>3080.4058332754926</v>
      </c>
      <c r="W138" s="344">
        <f>IF(OR(E138="",E138&lt;$U$2),"",ProjIncAtBit(F138,J138,C138,M138,AJ138,IF(AK138="",0,AK138)))</f>
        <v>75.706603874657844</v>
      </c>
      <c r="X138" s="455">
        <f>IF(OR(E138="",E138&lt;$U$2),"",ProjAzmAtBit(F138,G138,J138,C138,M138,AJ138,IF(AK138="",0,AK138)))</f>
        <v>10.396613670931664</v>
      </c>
      <c r="Y138" s="461"/>
      <c r="Z138" s="206"/>
      <c r="AA138" s="512" t="str">
        <f t="shared" si="36"/>
        <v/>
      </c>
      <c r="AB138" s="520" t="str">
        <f t="shared" si="37"/>
        <v/>
      </c>
      <c r="AC138" s="510"/>
      <c r="AD138" s="515"/>
      <c r="AE138" s="516"/>
      <c r="AJ138" s="452">
        <f>IF(OR(E138="",D138=""),0,ProjSlideMetersBetween(E138,D138,$R$13:$R$305,$S$13:$S$305))</f>
        <v>16.389999999999873</v>
      </c>
      <c r="AK138" s="452">
        <f>IF(U138="","",ProjParseTF(U138))</f>
        <v>-45</v>
      </c>
      <c r="AL138" s="219">
        <f>IF(E138="","",ProjCumN(AL137,E137,F137,G137,E138,F138,G138,FALSE))</f>
        <v>203.40239670745362</v>
      </c>
      <c r="AM138" s="331">
        <f>IF(E138="","",ProjCumE(AM137,E137,F137,G137,E138,F138,G138,FALSE))</f>
        <v>133.44559614219469</v>
      </c>
      <c r="AN138" s="330">
        <f t="shared" si="35"/>
        <v>10.396613670931664</v>
      </c>
      <c r="AO138" s="330" t="str">
        <f>IF(OR(E138="",E138&lt;$U$2),"",ProjActiveTargetMdEx(D138,W138,V138,ProjTargets_MD,ProjTargets_INC,ProjTargets_AZM,ProjTargets_TVD,F138,H138))</f>
        <v/>
      </c>
      <c r="AP138" s="207">
        <f>IF(OR(E138="",E138&lt;$U$2),"",ProjBitN(E138,F138,G138,AL138,D138,W138,X138))</f>
        <v>219.37630407173282</v>
      </c>
      <c r="AQ138" s="207">
        <f>IF(OR(E138="",E138&lt;$U$2),"",ProjBitE(E138,F138,G138,AM138,D138,W138,X138))</f>
        <v>136.81592773553123</v>
      </c>
      <c r="AR138" s="207" t="str">
        <f>IF(OR(E138="",E138&lt;$U$2,AO138=""),"",ProjBurr(D138,W138,X138,Q138,C138,ProjTargets_MD,ProjTargets_INC,ProjTargets_AZM,ProjTargets_TVD,V138))</f>
        <v/>
      </c>
      <c r="AS138" s="207" t="str">
        <f>IF(OR(E138="",E138&lt;$U$2,AO138=""),"",ProjMetersToSlide(D138,W138,X138,Q138,C138,ProjTargets_MD,ProjTargets_INC,ProjTargets_AZM,ProjTargets_TVD,V138))</f>
        <v/>
      </c>
      <c r="AT138" s="207" t="str">
        <f>IF(OR(E138="",E138&lt;$U$2,AO138=""),"",ProjRequiredTf(D138,W138,X138,ProjTargets_MD,ProjTargets_INC,ProjTargets_AZM,ProjTargets_TVD,5,V138))</f>
        <v/>
      </c>
    </row>
    <row r="139" spans="2:46" s="209" customFormat="1" ht="15" customHeight="1" x14ac:dyDescent="0.3">
      <c r="B139" s="208">
        <f t="shared" si="22"/>
        <v>17</v>
      </c>
      <c r="C139" s="335">
        <f t="shared" si="29"/>
        <v>14.5</v>
      </c>
      <c r="D139" s="27">
        <v>3207.35</v>
      </c>
      <c r="E139" s="336">
        <f t="shared" si="30"/>
        <v>3190.35</v>
      </c>
      <c r="F139" s="9">
        <v>75.39</v>
      </c>
      <c r="G139" s="9">
        <v>10.15</v>
      </c>
      <c r="H139" s="337">
        <f t="shared" si="23"/>
        <v>3079.7494588449508</v>
      </c>
      <c r="I139" s="337">
        <f t="shared" si="34"/>
        <v>2307.4994588449508</v>
      </c>
      <c r="J139" s="338">
        <f t="shared" si="31"/>
        <v>9.5665486149303245</v>
      </c>
      <c r="K139" s="339">
        <f t="shared" si="32"/>
        <v>6.9517241379310333</v>
      </c>
      <c r="L139" s="339">
        <f t="shared" si="33"/>
        <v>-6.8482758620689665</v>
      </c>
      <c r="M139" s="339">
        <f t="shared" si="24"/>
        <v>14.5</v>
      </c>
      <c r="N139" s="340">
        <f t="shared" si="25"/>
        <v>43.392047760040086</v>
      </c>
      <c r="O139" s="341" t="str">
        <f t="shared" si="26"/>
        <v>L</v>
      </c>
      <c r="P139" s="342">
        <f t="shared" si="27"/>
        <v>0.23172413793103444</v>
      </c>
      <c r="Q139" s="343">
        <f t="shared" si="28"/>
        <v>9.5665486149303245</v>
      </c>
      <c r="R139" s="10">
        <f t="shared" ref="R139:R144" si="38">IF(T139="", "", D139)</f>
        <v>3207.35</v>
      </c>
      <c r="S139" s="337">
        <f t="shared" ref="S139:S202" si="39">IF(T139="","",SUM(R139+T139))</f>
        <v>3219.85</v>
      </c>
      <c r="T139" s="9">
        <v>12.5</v>
      </c>
      <c r="U139" s="8" t="s">
        <v>755</v>
      </c>
      <c r="V139" s="202">
        <f>IF(OR(E139="",E139&lt;$U$2),"",ProjTvdAtBit(E139,F139,G139,H139,D139,W139,X139))</f>
        <v>3083.384721273022</v>
      </c>
      <c r="W139" s="344">
        <f>IF(OR(E139="",E139&lt;$U$2),"",ProjIncAtBit(F139,J139,C139,M139,AJ139,IF(AK139="",0,AK139)))</f>
        <v>79.909040994116211</v>
      </c>
      <c r="X139" s="455">
        <f>IF(OR(E139="",E139&lt;$U$2),"",ProjAzmAtBit(F139,G139,J139,C139,M139,AJ139,IF(AK139="",0,AK139)))</f>
        <v>9.3531711458097107</v>
      </c>
      <c r="Y139" s="461"/>
      <c r="Z139" s="206"/>
      <c r="AA139" s="512" t="str">
        <f t="shared" si="36"/>
        <v/>
      </c>
      <c r="AB139" s="520" t="str">
        <f t="shared" si="37"/>
        <v/>
      </c>
      <c r="AC139" s="510"/>
      <c r="AD139" s="515"/>
      <c r="AE139" s="516"/>
      <c r="AJ139" s="452">
        <f>IF(OR(E139="",D139=""),0,ProjSlideMetersBetween(E139,D139,$R$13:$R$305,$S$13:$S$305))</f>
        <v>14.389999999999873</v>
      </c>
      <c r="AK139" s="452">
        <f>IF(U139="","",ProjParseTF(U139))</f>
        <v>-10</v>
      </c>
      <c r="AL139" s="219">
        <f>IF(E139="","",ProjCumN(AL138,E138,F138,G138,E139,F139,G139,FALSE))</f>
        <v>217.02247447322114</v>
      </c>
      <c r="AM139" s="331">
        <f>IF(E139="","",ProjCumE(AM138,E138,F138,G138,E139,F139,G139,FALSE))</f>
        <v>136.28869897445199</v>
      </c>
      <c r="AN139" s="330">
        <f t="shared" si="35"/>
        <v>9.3531711458097107</v>
      </c>
      <c r="AO139" s="330" t="str">
        <f>IF(OR(E139="",E139&lt;$U$2),"",ProjActiveTargetMdEx(D139,W139,V139,ProjTargets_MD,ProjTargets_INC,ProjTargets_AZM,ProjTargets_TVD,F139,H139))</f>
        <v/>
      </c>
      <c r="AP139" s="207">
        <f>IF(OR(E139="",E139&lt;$U$2),"",ProjBitN(E139,F139,G139,AL139,D139,W139,X139))</f>
        <v>233.38489298326712</v>
      </c>
      <c r="AQ139" s="207">
        <f>IF(OR(E139="",E139&lt;$U$2),"",ProjBitE(E139,F139,G139,AM139,D139,W139,X139))</f>
        <v>139.09973086121411</v>
      </c>
      <c r="AR139" s="207" t="str">
        <f>IF(OR(E139="",E139&lt;$U$2,AO139=""),"",ProjBurr(D139,W139,X139,Q139,C139,ProjTargets_MD,ProjTargets_INC,ProjTargets_AZM,ProjTargets_TVD,V139))</f>
        <v/>
      </c>
      <c r="AS139" s="207" t="str">
        <f>IF(OR(E139="",E139&lt;$U$2,AO139=""),"",ProjMetersToSlide(D139,W139,X139,Q139,C139,ProjTargets_MD,ProjTargets_INC,ProjTargets_AZM,ProjTargets_TVD,V139))</f>
        <v/>
      </c>
      <c r="AT139" s="207" t="str">
        <f>IF(OR(E139="",E139&lt;$U$2,AO139=""),"",ProjRequiredTf(D139,W139,X139,ProjTargets_MD,ProjTargets_INC,ProjTargets_AZM,ProjTargets_TVD,5,V139))</f>
        <v/>
      </c>
    </row>
    <row r="140" spans="2:46" s="209" customFormat="1" ht="15" customHeight="1" x14ac:dyDescent="0.3">
      <c r="B140" s="208">
        <f t="shared" ref="B140:B145" si="40">IF(ISBLANK(D140),"",B139)</f>
        <v>17</v>
      </c>
      <c r="C140" s="335">
        <f t="shared" si="29"/>
        <v>13.5300000000002</v>
      </c>
      <c r="D140" s="27">
        <v>3220.88</v>
      </c>
      <c r="E140" s="336">
        <f t="shared" si="30"/>
        <v>3203.88</v>
      </c>
      <c r="F140" s="9">
        <v>78.739999999999995</v>
      </c>
      <c r="G140" s="9">
        <v>7.5</v>
      </c>
      <c r="H140" s="337">
        <f t="shared" ref="H140:H203" si="41">IF(ISNUMBER(F140),COS(((F140+F139)/2)*(PI()/180))*(E140-E139)+H139,"")</f>
        <v>3082.7780887582794</v>
      </c>
      <c r="I140" s="337">
        <f t="shared" si="34"/>
        <v>2310.5280887582794</v>
      </c>
      <c r="J140" s="338">
        <f t="shared" si="31"/>
        <v>9.3786237751587738</v>
      </c>
      <c r="K140" s="339">
        <f t="shared" si="32"/>
        <v>7.427937915742671</v>
      </c>
      <c r="L140" s="339">
        <f t="shared" si="33"/>
        <v>-5.8758314855874971</v>
      </c>
      <c r="M140" s="339">
        <f t="shared" ref="M140:M203" si="42">IF(T139="",IF(T138="",IF(T137="",IF(T136="","",IF(E140&lt;R136,"",IF(E140&lt;S136,IF(E139&lt;R136,SUM(E140-R136),IF(E139&lt;S136,IF(E139&lt;E140,SUM(E140-E139),""),"")),IF(E139&lt;R136,T136,IF(E139&lt;S136,SUM(S136-E139),""))))),IF(T136="",IF(E140&lt;R137,"",IF(E140&lt;S137,IF(E139&lt;R137,SUM(E140-R137),IF(E139&lt;S137,IF(E139&lt;E140,SUM(E140-E139),""),"")),IF(E139&lt;R137,T137,IF(E139&lt;S137,SUM(S137-E139),""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139&lt;R136,SUM(T136+T137),IF(E139&lt;S136,SUM(S136-E139+T137),IF(E139&lt;R137,T137,IF(E139&lt;S137,SUM(S137-E139),"")))))))))),IF(T137="",IF(T136="",IF(E140&lt;R138,"",IF(E140&lt;S138,IF(E139&lt;R138,SUM(E140-R138),IF(E139&lt;S138,IF(E139&lt;E140,SUM(E140-E139),""),"")),IF(E139&lt;R138,T138,IF(E139&lt;S138,SUM(S138-E139),""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139&lt;R136,SUM(T136+T138),IF(E139&lt;S136,SUM(S136-E139+T138),IF(E139&lt;R138,T138,IF(E139&lt;S138,SUM(S138-E139),""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139&lt;R137,SUM(T137+T138),IF(E139&lt;S137,SUM(S137-E139+T138),IF(E139&lt;R138,T138,IF(E139&lt;S138,SUM(S138-E139),""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139&lt;R136,SUM(T136+T137+T138),IF(E139&lt;S136,SUM(S136-E139+T137+T138),IF(E139&lt;R137,SUM(T137+T138),IF(E139&lt;S137,SUM(S137-E139+T138),IF(E139&lt;R138,T138,IF(E139&lt;S138,SUM(S138-E139),""))))))))))))))),IF(T138="",IF(T137="",IF(T136="",IF(E140&lt;R139,"",IF(E140&lt;S139,SUM(E140-R139),T139)),IF(E140&lt;R136,"",IF(E140&lt;S136,IF(E139&lt;R136,SUM(E140-R136),IF(E139&lt;S136,IF(E139&lt;E140,SUM(E140-E139),""),"")),IF(E140&lt;R139,IF(E139&lt;R136,T136,IF(E139&lt;S136,SUM(S136-E139),"")),IF(E140&lt;S139,IF(E139&lt;R136,SUM(T136+E140-R139),IF(E139&lt;S136,SUM(S136-E139+E140-R139),SUM(E140-R139))),IF(E139&lt;R136,SUM(T136+T139),IF(E139&lt;S136,SUM(S136-E139+T139),T139))))))),IF(T136="",IF(E140&lt;R137,"",IF(E140&lt;S137,IF(E139&lt;R137,SUM(E140-R137),IF(E139&lt;S137,IF(E139&lt;E140,SUM(E140-E139),""),"")),IF(E140&lt;R139,IF(E139&lt;R137,T137,IF(E139&lt;S137,SUM(S137-E139),"")),IF(E140&lt;S139,IF(E139&lt;R137,SUM(T137+E140-R139),IF(E139&lt;S137,SUM(S137-E139+E140-R139),SUM(E140-R139))),IF(E139&lt;R137,SUM(T137+T139),IF(E139&lt;S137,SUM(S137-E139+T139),T139)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139,IF(E139&lt;R136,SUM(T136+T137),IF(E139&lt;S136,SUM(S136-E139+T137),IF(E139&lt;R137,T137,IF(E139&lt;S137,SUM(S137-E139),"")))),IF(E140&lt;S139,IF(E139&lt;R136,SUM(T136+T137+E140-R139),IF(E139&lt;S136,SUM(S136-E139+T137+E140-R139),IF(E139&lt;R137,SUM(T137+E140-R139),IF(E139&lt;S137,SUM(S137-E139+E140-R139),SUM(E140-R139))))),IF(E139&lt;R136,SUM(T136+T137+T139),IF(E139&lt;S136,SUM(S136-E139+T137+T139),IF(E139&lt;R137,SUM(T137+T139),IF(E139&lt;S137,SUM(S137-E139+T139),T139)))))))))))),IF(T137="",IF(T136="",IF(E140&lt;R138,"",IF(E140&lt;S138,IF(E139&lt;R138,SUM(E140-R138),IF(E139&lt;S138,IF(E139&lt;E140,SUM(E140-E139),""),"")),IF(E140&lt;R139,IF(E139&lt;R138,T138,IF(E139&lt;S138,SUM(S138-E139),"")),IF(E140&lt;S139,IF(E139&lt;R138,SUM(T138+E140-R139),IF(E139&lt;S138,SUM(S138-E139+E140-R139),SUM(E140-R139))),IF(E139&lt;R138,SUM(T138+T139),IF(E139&lt;S138,SUM(S138-E139+T139),T139))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140&lt;R139,IF(E139&lt;R136,SUM(T136+T138),IF(E139&lt;S136,SUM(S136-E139+T138),IF(E139&lt;R138,T138,IF(E139&lt;S138,SUM(S138-E139),"")))),IF(E140&lt;S139,IF(E139&lt;R136,SUM(T136+T138+E140-R139),IF(E139&lt;S136,SUM(S136-E139+T138+E140-R139),IF(E139&lt;R138,SUM(T138+E140-R139),IF(E139&lt;S138,SUM(S138-E139+E140-R139),SUM(E140-R139))))),IF(E139&lt;R136,SUM(T136+T138+T139),IF(E139&lt;S136,SUM(S136-E139+T138+T139),IF(E139&lt;R138,SUM(T138+T139),IF(E139&lt;S138,SUM(S138-E139+T139),T139))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140&lt;R139,IF(E139&lt;R137,SUM(T137+T138),IF(E139&lt;S137,SUM(S137-E139+T138),IF(E139&lt;R138,T138,IF(E139&lt;S138,SUM(S138-E139),"")))),IF(E140&lt;S139,IF(E139&lt;R137,SUM(T137+T138+E140-R139),IF(E139&lt;S137,SUM(S137-E139+T138+E140-R139),IF(E139&lt;R138,SUM(T138+E140-R139),IF(E139&lt;S138,SUM(S138-E139+E140-R139),SUM(E140-R139))))),IF(E139&lt;R137,SUM(T137+T138+T139),IF(E139&lt;S137,SUM(S137-E139+T138+T139),IF(E139&lt;R138,SUM(T138+T139),IF(E139&lt;S138,SUM(S138-E139+T139),T139))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140&lt;R139,IF(E139&lt;R136,SUM(T136+T137+T138),IF(E139&lt;S136,SUM(S136-E139+T137+T138),IF(E139&lt;R137,SUM(T137+T138),IF(E139&lt;S137,SUM(S137-E139+T138),IF(E139&lt;R138,T138,IF(E139&lt;S138,SUM(S138-E139),"")))))),IF(E140&lt;S139,IF(E139&lt;R136,SUM(T136+T137+T138+E140-R139),IF(E139&lt;S136,SUM(S136-E139+T137+T138+E140-R139),IF(E139&lt;R137,SUM(T137+T138+E140-R139),IF(E139&lt;S137,SUM(S137-E139+T138+E140-R139),IF(E139&lt;R138,SUM(T138+E140-R139),IF(E139&lt;S138,SUM(S138-E139+E140-R139),SUM(E140-R139))))))),IF(E139&lt;R136,SUM(T136+T137+T138+T139),IF(E139&lt;S136,SUM(S136-E139+T137+T138+T139),IF(E139&lt;R137,SUM(T137+T138+T139),IF(E139&lt;S137,SUM(S137-E139+T138+T139),IF(E139&lt;R138,SUM(T138+T139),IF(E139&lt;S138,SUM(S138-E139+T139),T139))))))))))))))))))</f>
        <v>12.920000000000073</v>
      </c>
      <c r="N140" s="340">
        <f t="shared" ref="N140:N203" si="43">IF(J140=0,"",IF(AND(ISNUMBER(F140),ISNUMBER(J140)),(IF(AND(F140&gt;F139,G140=G139),0,IF(AND(F140&lt;F139,G140=G139),180,IF(AND(G139=0,G140&gt;0),G140,ACOS((C140*K140/30)/(C140*J140/30))*180/PI())))),""))</f>
        <v>37.626511323168891</v>
      </c>
      <c r="O140" s="341" t="str">
        <f t="shared" ref="O140:O203" si="44">IF(F140="","",IF(N140="","",IF(F140&lt;5,"Mag",IF(L140&lt;0,"L",IF(N140=0,"HS",IF(N140=360,"HS",IF(N140=180,"LS","R")))))))</f>
        <v>L</v>
      </c>
      <c r="P140" s="342">
        <f t="shared" ref="P140:P203" si="45">IF(F140="","",IF(M140="","",SUM((F140-F139)/M140)))</f>
        <v>0.25928792569659254</v>
      </c>
      <c r="Q140" s="343">
        <f t="shared" ref="Q140:Q203" si="46">IF(ISBLANK(F140),"",IF(J140="", "", IF(M140="","",SUM(C140*J140/M140))))</f>
        <v>9.8214225756888052</v>
      </c>
      <c r="R140" s="10">
        <f t="shared" si="38"/>
        <v>3220.88</v>
      </c>
      <c r="S140" s="337">
        <f t="shared" si="39"/>
        <v>3235.38</v>
      </c>
      <c r="T140" s="9">
        <v>14.5</v>
      </c>
      <c r="U140" s="8" t="s">
        <v>762</v>
      </c>
      <c r="V140" s="202">
        <f>IF(OR(E140="",E140&lt;$U$2),"",ProjTvdAtBit(E140,F140,G140,H140,D140,W140,X140))</f>
        <v>3085.5191613597276</v>
      </c>
      <c r="W140" s="344">
        <f>IF(OR(E140="",E140&lt;$U$2),"",ProjIncAtBit(F140,J140,C140,M140,AJ140,IF(AK140="",0,AK140)))</f>
        <v>82.700775076077392</v>
      </c>
      <c r="X140" s="455">
        <f>IF(OR(E140="",E140&lt;$U$2),"",ProjAzmAtBit(F140,G140,J140,C140,M140,AJ140,IF(AK140="",0,AK140)))</f>
        <v>5.3163437643505658</v>
      </c>
      <c r="Y140" s="461"/>
      <c r="Z140" s="206"/>
      <c r="AA140" s="512" t="str">
        <f t="shared" si="36"/>
        <v/>
      </c>
      <c r="AB140" s="520" t="str">
        <f t="shared" si="37"/>
        <v/>
      </c>
      <c r="AC140" s="510"/>
      <c r="AD140" s="515"/>
      <c r="AE140" s="516"/>
      <c r="AJ140" s="452">
        <f>IF(OR(E140="",D140=""),0,ProjSlideMetersBetween(E140,D140,$R$13:$R$305,$S$13:$S$305))</f>
        <v>13.9699999999998</v>
      </c>
      <c r="AK140" s="452">
        <f>IF(U140="","",ProjParseTF(U140))</f>
        <v>-30</v>
      </c>
      <c r="AL140" s="219">
        <f>IF(E140="","",ProjCumN(AL139,E139,F139,G139,E140,F140,G140,FALSE))</f>
        <v>230.05021654466998</v>
      </c>
      <c r="AM140" s="331">
        <f>IF(E140="","",ProjCumE(AM139,E139,F139,G139,E140,F140,G140,FALSE))</f>
        <v>138.30924852340178</v>
      </c>
      <c r="AN140" s="330">
        <f t="shared" si="35"/>
        <v>5.3163437643505658</v>
      </c>
      <c r="AO140" s="330" t="str">
        <f>IF(OR(E140="",E140&lt;$U$2),"",ProjActiveTargetMdEx(D140,W140,V140,ProjTargets_MD,ProjTargets_INC,ProjTargets_AZM,ProjTargets_TVD,F140,H140))</f>
        <v/>
      </c>
      <c r="AP140" s="207">
        <f>IF(OR(E140="",E140&lt;$U$2),"",ProjBitN(E140,F140,G140,AL140,D140,W140,X140))</f>
        <v>246.71873534869539</v>
      </c>
      <c r="AQ140" s="207">
        <f>IF(OR(E140="",E140&lt;$U$2),"",ProjBitE(E140,F140,G140,AM140,D140,W140,X140))</f>
        <v>140.17951240202444</v>
      </c>
      <c r="AR140" s="207" t="str">
        <f>IF(OR(E140="",E140&lt;$U$2,AO140=""),"",ProjBurr(D140,W140,X140,Q140,C140,ProjTargets_MD,ProjTargets_INC,ProjTargets_AZM,ProjTargets_TVD,V140))</f>
        <v/>
      </c>
      <c r="AS140" s="207" t="str">
        <f>IF(OR(E140="",E140&lt;$U$2,AO140=""),"",ProjMetersToSlide(D140,W140,X140,Q140,C140,ProjTargets_MD,ProjTargets_INC,ProjTargets_AZM,ProjTargets_TVD,V140))</f>
        <v/>
      </c>
      <c r="AT140" s="207" t="str">
        <f>IF(OR(E140="",E140&lt;$U$2,AO140=""),"",ProjRequiredTf(D140,W140,X140,ProjTargets_MD,ProjTargets_INC,ProjTargets_AZM,ProjTargets_TVD,5,V140))</f>
        <v/>
      </c>
    </row>
    <row r="141" spans="2:46" s="209" customFormat="1" x14ac:dyDescent="0.3">
      <c r="B141" s="208">
        <f t="shared" si="40"/>
        <v>17</v>
      </c>
      <c r="C141" s="335">
        <f t="shared" ref="C141:C204" si="47">IF(ISBLANK(D141),"",D141-D140)</f>
        <v>14.5</v>
      </c>
      <c r="D141" s="27">
        <v>3235.38</v>
      </c>
      <c r="E141" s="336">
        <f t="shared" ref="E141:E204" si="48">IF(D141="","",(ROUND(SUM(D141-B141),2)))</f>
        <v>3218.38</v>
      </c>
      <c r="F141" s="9">
        <v>82.03</v>
      </c>
      <c r="G141" s="9">
        <v>6.87</v>
      </c>
      <c r="H141" s="337">
        <f t="shared" si="41"/>
        <v>3085.1999784335553</v>
      </c>
      <c r="I141" s="337">
        <f t="shared" si="34"/>
        <v>2312.9499784335553</v>
      </c>
      <c r="J141" s="338">
        <f t="shared" ref="J141:J204" si="49">IF(AND(ISNUMBER(E141),ISNUMBER(F141),ISNUMBER(G141)),ACOS(SIN(F140*PI()/180)*SIN(F141*PI()/180)*COS((G141*PI()/180)-(G140*PI()/180))+COS(F140*PI()/180)*COS(F141*PI()/180))*30/(E141-E140)*180/PI(),"")</f>
        <v>6.9271153209683822</v>
      </c>
      <c r="K141" s="339">
        <f t="shared" ref="K141:K204" si="50">IF(F141=0," ",SUM(F141-F140)/SUM(E141-E140)*30)</f>
        <v>6.8068965517241509</v>
      </c>
      <c r="L141" s="339">
        <f t="shared" ref="L141:L204" si="51">IF(J141="","",IF(G140&lt;180,IF(AND(G141&gt;G140,G141&lt;SUM(G140+180)),SUM(((G141-G140)/SUM(E141-E140)*30)),IF(G141&lt;G140,SUM(((G141-G140)/SUM(E141-E140)*30)),SUM(((G140+(360-G141))*(-1))/SUM(E141-E140)*30))),IF(G141&gt;G140,SUM(((G141-G140)/SUM(E141-E140)*30)),IF(G141&gt;SUM(G140-180),SUM(((G141-G140)/SUM(E141-E140)*30)),SUM(((360-G140+G141)/SUM(E141-E140)*30))))))</f>
        <v>-1.3034482758620687</v>
      </c>
      <c r="M141" s="339">
        <f t="shared" si="42"/>
        <v>12.5</v>
      </c>
      <c r="N141" s="340">
        <f t="shared" si="43"/>
        <v>10.689998878963234</v>
      </c>
      <c r="O141" s="341" t="str">
        <f t="shared" si="44"/>
        <v>L</v>
      </c>
      <c r="P141" s="342">
        <f t="shared" si="45"/>
        <v>0.26320000000000049</v>
      </c>
      <c r="Q141" s="343">
        <f t="shared" si="46"/>
        <v>8.0354537723233239</v>
      </c>
      <c r="R141" s="10">
        <f t="shared" si="38"/>
        <v>3235.38</v>
      </c>
      <c r="S141" s="337">
        <f t="shared" si="39"/>
        <v>3246.38</v>
      </c>
      <c r="T141" s="9">
        <v>11</v>
      </c>
      <c r="U141" s="8" t="s">
        <v>755</v>
      </c>
      <c r="V141" s="202">
        <f>IF(OR(E141="",E141&lt;$U$2),"",ProjTvdAtBit(E141,F141,G141,H141,D141,W141,X141))</f>
        <v>3086.9363712919708</v>
      </c>
      <c r="W141" s="344">
        <f>IF(OR(E141="",E141&lt;$U$2),"",ProjIncAtBit(F141,J141,C141,M141,AJ141,IF(AK141="",0,AK141)))</f>
        <v>86.242554448935437</v>
      </c>
      <c r="X141" s="455">
        <f>IF(OR(E141="",E141&lt;$U$2),"",ProjAzmAtBit(F141,G141,J141,C141,M141,AJ141,IF(AK141="",0,AK141)))</f>
        <v>6.2296663732320727</v>
      </c>
      <c r="Y141" s="461"/>
      <c r="Z141" s="206"/>
      <c r="AA141" s="512" t="str">
        <f t="shared" si="36"/>
        <v/>
      </c>
      <c r="AB141" s="520" t="str">
        <f t="shared" si="37"/>
        <v/>
      </c>
      <c r="AC141" s="510"/>
      <c r="AD141" s="515"/>
      <c r="AE141" s="516"/>
      <c r="AJ141" s="452">
        <f>IF(OR(E141="",D141=""),0,ProjSlideMetersBetween(E141,D141,$R$13:$R$305,$S$13:$S$305))</f>
        <v>15.9699999999998</v>
      </c>
      <c r="AK141" s="452">
        <f>IF(U141="","",ProjParseTF(U141))</f>
        <v>-10</v>
      </c>
      <c r="AL141" s="219">
        <f>IF(E141="","",ProjCumN(AL140,E140,F140,G140,E141,F141,G141,FALSE))</f>
        <v>244.23228728854184</v>
      </c>
      <c r="AM141" s="331">
        <f>IF(E141="","",ProjCumE(AM140,E140,F140,G140,E141,F141,G141,FALSE))</f>
        <v>140.09670335493945</v>
      </c>
      <c r="AN141" s="330">
        <f t="shared" si="35"/>
        <v>6.2296663732320727</v>
      </c>
      <c r="AO141" s="330" t="str">
        <f>IF(OR(E141="",E141&lt;$U$2),"",ProjActiveTargetMdEx(D141,W141,V141,ProjTargets_MD,ProjTargets_INC,ProjTargets_AZM,ProjTargets_TVD,F141,H141))</f>
        <v/>
      </c>
      <c r="AP141" s="207">
        <f>IF(OR(E141="",E141&lt;$U$2),"",ProjBitN(E141,F141,G141,AL141,D141,W141,X141))</f>
        <v>261.02912780320099</v>
      </c>
      <c r="AQ141" s="207">
        <f>IF(OR(E141="",E141&lt;$U$2),"",ProjBitE(E141,F141,G141,AM141,D141,W141,X141))</f>
        <v>142.02490262155254</v>
      </c>
      <c r="AR141" s="207" t="str">
        <f>IF(OR(E141="",E141&lt;$U$2,AO141=""),"",ProjBurr(D141,W141,X141,Q141,C141,ProjTargets_MD,ProjTargets_INC,ProjTargets_AZM,ProjTargets_TVD,V141))</f>
        <v/>
      </c>
      <c r="AS141" s="207" t="str">
        <f>IF(OR(E141="",E141&lt;$U$2,AO141=""),"",ProjMetersToSlide(D141,W141,X141,Q141,C141,ProjTargets_MD,ProjTargets_INC,ProjTargets_AZM,ProjTargets_TVD,V141))</f>
        <v/>
      </c>
      <c r="AT141" s="207" t="str">
        <f>IF(OR(E141="",E141&lt;$U$2,AO141=""),"",ProjRequiredTf(D141,W141,X141,ProjTargets_MD,ProjTargets_INC,ProjTargets_AZM,ProjTargets_TVD,5,V141))</f>
        <v/>
      </c>
    </row>
    <row r="142" spans="2:46" s="209" customFormat="1" ht="15" customHeight="1" x14ac:dyDescent="0.3">
      <c r="B142" s="208">
        <f t="shared" si="40"/>
        <v>17</v>
      </c>
      <c r="C142" s="335">
        <f t="shared" si="47"/>
        <v>13.489999999999782</v>
      </c>
      <c r="D142" s="27">
        <v>3248.87</v>
      </c>
      <c r="E142" s="336">
        <f t="shared" si="48"/>
        <v>3231.87</v>
      </c>
      <c r="F142" s="9">
        <v>86.92</v>
      </c>
      <c r="G142" s="9">
        <v>4.8099999999999996</v>
      </c>
      <c r="H142" s="337">
        <f t="shared" si="41"/>
        <v>3086.4987965361465</v>
      </c>
      <c r="I142" s="337">
        <f t="shared" ref="I142:I205" si="52">IF(ISBLANK(F142),"  ",H142-$R$4)</f>
        <v>2314.2487965361465</v>
      </c>
      <c r="J142" s="338">
        <f t="shared" si="49"/>
        <v>11.791486887540232</v>
      </c>
      <c r="K142" s="339">
        <f t="shared" si="50"/>
        <v>10.874722016308555</v>
      </c>
      <c r="L142" s="339">
        <f t="shared" si="51"/>
        <v>-4.5811712379541154</v>
      </c>
      <c r="M142" s="339">
        <f t="shared" si="42"/>
        <v>12.459999999999582</v>
      </c>
      <c r="N142" s="340">
        <f t="shared" si="43"/>
        <v>22.742442745404155</v>
      </c>
      <c r="O142" s="341" t="str">
        <f t="shared" si="44"/>
        <v>L</v>
      </c>
      <c r="P142" s="342">
        <f t="shared" si="45"/>
        <v>0.39245585874800681</v>
      </c>
      <c r="Q142" s="343">
        <f t="shared" si="46"/>
        <v>12.766224567650122</v>
      </c>
      <c r="R142" s="10" t="str">
        <f t="shared" si="38"/>
        <v/>
      </c>
      <c r="S142" s="337" t="str">
        <f t="shared" si="39"/>
        <v/>
      </c>
      <c r="T142" s="9"/>
      <c r="U142" s="8"/>
      <c r="V142" s="202">
        <f>IF(OR(E142="",E142&lt;$U$2),"",ProjTvdAtBit(E142,F142,G142,H142,D142,W142,X142))</f>
        <v>3086.496632033462</v>
      </c>
      <c r="W142" s="344">
        <f>IF(OR(E142="",E142&lt;$U$2),"",ProjIncAtBit(F142,J142,C142,M142,AJ142,IF(AK142="",0,AK142)))</f>
        <v>93.094597282553536</v>
      </c>
      <c r="X142" s="455">
        <f>IF(OR(E142="",E142&lt;$U$2),"",ProjAzmAtBit(F142,G142,J142,C142,M142,AJ142,IF(AK142="",0,AK142)))</f>
        <v>4.8099999999999996</v>
      </c>
      <c r="Y142" s="461"/>
      <c r="Z142" s="206"/>
      <c r="AA142" s="512">
        <f t="shared" si="36"/>
        <v>90.341048320583724</v>
      </c>
      <c r="AB142" s="520">
        <f t="shared" si="37"/>
        <v>-0.50397510757511554</v>
      </c>
      <c r="AC142" s="510"/>
      <c r="AD142" s="515"/>
      <c r="AE142" s="516"/>
      <c r="AJ142" s="452">
        <f>IF(OR(E142="",D142=""),0,ProjSlideMetersBetween(E142,D142,$R$13:$R$305,$S$13:$S$305))</f>
        <v>14.510000000000218</v>
      </c>
      <c r="AK142" s="452" t="str">
        <f>IF(U142="","",ProjParseTF(U142))</f>
        <v/>
      </c>
      <c r="AL142" s="219">
        <f>IF(E142="","",ProjCumN(AL141,E141,F141,G141,E142,F142,G142,FALSE))</f>
        <v>257.58524306853002</v>
      </c>
      <c r="AM142" s="331">
        <f>IF(E142="","",ProjCumE(AM141,E141,F141,G141,E142,F142,G142,FALSE))</f>
        <v>141.46146419368782</v>
      </c>
      <c r="AN142" s="330">
        <f t="shared" ref="AN142:AN205" si="53">IF(X142="","",X142)</f>
        <v>4.8099999999999996</v>
      </c>
      <c r="AO142" s="330" t="str">
        <f>IF(OR(E142="",E142&lt;$U$2),"",ProjActiveTargetMdEx(D142,W142,V142,ProjTargets_MD,ProjTargets_INC,ProjTargets_AZM,ProjTargets_TVD,F142,H142))</f>
        <v/>
      </c>
      <c r="AP142" s="207">
        <f>IF(OR(E142="",E142&lt;$U$2),"",ProjBitN(E142,F142,G142,AL142,D142,W142,X142))</f>
        <v>274.51717676709336</v>
      </c>
      <c r="AQ142" s="207">
        <f>IF(OR(E142="",E142&lt;$U$2),"",ProjBitE(E142,F142,G142,AM142,D142,W142,X142))</f>
        <v>142.88625445312962</v>
      </c>
      <c r="AR142" s="207" t="str">
        <f>IF(OR(E142="",E142&lt;$U$2,AO142=""),"",ProjBurr(D142,W142,X142,Q142,C142,ProjTargets_MD,ProjTargets_INC,ProjTargets_AZM,ProjTargets_TVD,V142))</f>
        <v/>
      </c>
      <c r="AS142" s="207" t="str">
        <f>IF(OR(E142="",E142&lt;$U$2,AO142=""),"",ProjMetersToSlide(D142,W142,X142,Q142,C142,ProjTargets_MD,ProjTargets_INC,ProjTargets_AZM,ProjTargets_TVD,V142))</f>
        <v/>
      </c>
      <c r="AT142" s="207" t="str">
        <f>IF(OR(E142="",E142&lt;$U$2,AO142=""),"",ProjRequiredTf(D142,W142,X142,ProjTargets_MD,ProjTargets_INC,ProjTargets_AZM,ProjTargets_TVD,5,V142))</f>
        <v/>
      </c>
    </row>
    <row r="143" spans="2:46" s="209" customFormat="1" ht="15" customHeight="1" x14ac:dyDescent="0.3">
      <c r="B143" s="208">
        <f t="shared" si="40"/>
        <v>17</v>
      </c>
      <c r="C143" s="335">
        <f t="shared" si="47"/>
        <v>28.099999999999909</v>
      </c>
      <c r="D143" s="27">
        <v>3276.97</v>
      </c>
      <c r="E143" s="336">
        <f t="shared" si="48"/>
        <v>3259.97</v>
      </c>
      <c r="F143" s="9">
        <v>91.39</v>
      </c>
      <c r="G143" s="9">
        <v>4.2300000000000004</v>
      </c>
      <c r="H143" s="337">
        <f t="shared" si="41"/>
        <v>3086.9132012175278</v>
      </c>
      <c r="I143" s="337">
        <f t="shared" si="52"/>
        <v>2314.6632012175278</v>
      </c>
      <c r="J143" s="338">
        <f t="shared" si="49"/>
        <v>4.8122183508506948</v>
      </c>
      <c r="K143" s="339">
        <f t="shared" si="50"/>
        <v>4.7722419928825763</v>
      </c>
      <c r="L143" s="339">
        <f t="shared" si="51"/>
        <v>-0.61921708185053492</v>
      </c>
      <c r="M143" s="339">
        <f t="shared" si="42"/>
        <v>14.510000000000218</v>
      </c>
      <c r="N143" s="340">
        <f t="shared" si="43"/>
        <v>7.3903956492264955</v>
      </c>
      <c r="O143" s="341" t="str">
        <f t="shared" si="44"/>
        <v>L</v>
      </c>
      <c r="P143" s="342">
        <f t="shared" si="45"/>
        <v>0.30806340454858244</v>
      </c>
      <c r="Q143" s="343">
        <f t="shared" si="46"/>
        <v>9.319320169462582</v>
      </c>
      <c r="R143" s="10">
        <f t="shared" si="38"/>
        <v>3276.97</v>
      </c>
      <c r="S143" s="337">
        <f t="shared" si="39"/>
        <v>3281.97</v>
      </c>
      <c r="T143" s="9">
        <v>5</v>
      </c>
      <c r="U143" s="8" t="s">
        <v>768</v>
      </c>
      <c r="V143" s="202">
        <f>IF(OR(E143="",E143&lt;$U$2),"",ProjTvdAtBit(E143,F143,G143,H143,D143,W143,X143))</f>
        <v>3086.5008203692746</v>
      </c>
      <c r="W143" s="344">
        <f>IF(OR(E143="",E143&lt;$U$2),"",ProjIncAtBit(F143,J143,C143,M143,AJ143,IF(AK143="",0,AK143)))</f>
        <v>91.39</v>
      </c>
      <c r="X143" s="455">
        <f>IF(OR(E143="",E143&lt;$U$2),"",ProjAzmAtBit(F143,G143,J143,C143,M143,AJ143,IF(AK143="",0,AK143)))</f>
        <v>4.2300000000000004</v>
      </c>
      <c r="Y143" s="461"/>
      <c r="Z143" s="206"/>
      <c r="AA143" s="512">
        <f t="shared" si="36"/>
        <v>90.341048320583724</v>
      </c>
      <c r="AB143" s="520">
        <f t="shared" si="37"/>
        <v>-1.0856416937181166</v>
      </c>
      <c r="AC143" s="510"/>
      <c r="AD143" s="515"/>
      <c r="AE143" s="516"/>
      <c r="AJ143" s="452">
        <f>IF(OR(E143="",D143=""),0,ProjSlideMetersBetween(E143,D143,$R$13:$R$305,$S$13:$S$305))</f>
        <v>0</v>
      </c>
      <c r="AK143" s="452">
        <f>IF(U143="","",ProjParseTF(U143))</f>
        <v>-110</v>
      </c>
      <c r="AL143" s="219">
        <f>IF(E143="","",ProjCumN(AL142,E142,F142,G142,E143,F143,G143,FALSE))</f>
        <v>285.58758652374934</v>
      </c>
      <c r="AM143" s="331">
        <f>IF(E143="","",ProjCumE(AM142,E142,F142,G142,E143,F143,G143,FALSE))</f>
        <v>143.67504979940307</v>
      </c>
      <c r="AN143" s="330">
        <f t="shared" si="53"/>
        <v>4.2300000000000004</v>
      </c>
      <c r="AO143" s="330" t="str">
        <f>IF(OR(E143="",E143&lt;$U$2),"",ProjActiveTargetMdEx(D143,W143,V143,ProjTargets_MD,ProjTargets_INC,ProjTargets_AZM,ProjTargets_TVD,F143,H143))</f>
        <v/>
      </c>
      <c r="AP143" s="207">
        <f>IF(OR(E143="",E143&lt;$U$2),"",ProjBitN(E143,F143,G143,AL143,D143,W143,X143))</f>
        <v>302.53628959206151</v>
      </c>
      <c r="AQ143" s="207">
        <f>IF(OR(E143="",E143&lt;$U$2),"",ProjBitE(E143,F143,G143,AM143,D143,W143,X143))</f>
        <v>144.92860727242876</v>
      </c>
      <c r="AR143" s="207" t="str">
        <f>IF(OR(E143="",E143&lt;$U$2,AO143=""),"",ProjBurr(D143,W143,X143,Q143,C143,ProjTargets_MD,ProjTargets_INC,ProjTargets_AZM,ProjTargets_TVD,V143))</f>
        <v/>
      </c>
      <c r="AS143" s="207" t="str">
        <f>IF(OR(E143="",E143&lt;$U$2,AO143=""),"",ProjMetersToSlide(D143,W143,X143,Q143,C143,ProjTargets_MD,ProjTargets_INC,ProjTargets_AZM,ProjTargets_TVD,V143))</f>
        <v/>
      </c>
      <c r="AT143" s="207" t="str">
        <f>IF(OR(E143="",E143&lt;$U$2,AO143=""),"",ProjRequiredTf(D143,W143,X143,ProjTargets_MD,ProjTargets_INC,ProjTargets_AZM,ProjTargets_TVD,5,V143))</f>
        <v/>
      </c>
    </row>
    <row r="144" spans="2:46" s="209" customFormat="1" ht="15" customHeight="1" x14ac:dyDescent="0.3">
      <c r="B144" s="208">
        <f t="shared" si="40"/>
        <v>17</v>
      </c>
      <c r="C144" s="335">
        <f t="shared" si="47"/>
        <v>28.090000000000146</v>
      </c>
      <c r="D144" s="27">
        <v>3305.06</v>
      </c>
      <c r="E144" s="336">
        <f t="shared" si="48"/>
        <v>3288.06</v>
      </c>
      <c r="F144" s="9">
        <v>92.05</v>
      </c>
      <c r="G144" s="9">
        <v>2.2400000000000002</v>
      </c>
      <c r="H144" s="337">
        <f t="shared" si="41"/>
        <v>3086.0700755280932</v>
      </c>
      <c r="I144" s="337">
        <f t="shared" si="52"/>
        <v>2313.8200755280932</v>
      </c>
      <c r="J144" s="338">
        <f t="shared" si="49"/>
        <v>2.2382316675307101</v>
      </c>
      <c r="K144" s="339">
        <f t="shared" si="50"/>
        <v>0.70487718049127079</v>
      </c>
      <c r="L144" s="339">
        <f t="shared" si="51"/>
        <v>-2.1253114987539941</v>
      </c>
      <c r="M144" s="339">
        <f t="shared" si="42"/>
        <v>5</v>
      </c>
      <c r="N144" s="340">
        <f t="shared" si="43"/>
        <v>71.643657926722369</v>
      </c>
      <c r="O144" s="341" t="str">
        <f t="shared" si="44"/>
        <v>L</v>
      </c>
      <c r="P144" s="342">
        <f t="shared" si="45"/>
        <v>0.13199999999999931</v>
      </c>
      <c r="Q144" s="343">
        <f t="shared" si="46"/>
        <v>12.574385508187595</v>
      </c>
      <c r="R144" s="10">
        <f t="shared" si="38"/>
        <v>3305.06</v>
      </c>
      <c r="S144" s="337">
        <f t="shared" si="39"/>
        <v>3310.06</v>
      </c>
      <c r="T144" s="9">
        <v>5</v>
      </c>
      <c r="U144" s="8" t="s">
        <v>767</v>
      </c>
      <c r="V144" s="202">
        <f>IF(OR(E144="",E144&lt;$U$2),"",ProjTvdAtBit(E144,F144,G144,H144,D144,W144,X144))</f>
        <v>3085.4619580505623</v>
      </c>
      <c r="W144" s="344">
        <f>IF(OR(E144="",E144&lt;$U$2),"",ProjIncAtBit(F144,J144,C144,M144,AJ144,IF(AK144="",0,AK144)))</f>
        <v>92.05</v>
      </c>
      <c r="X144" s="455">
        <f>IF(OR(E144="",E144&lt;$U$2),"",ProjAzmAtBit(F144,G144,J144,C144,M144,AJ144,IF(AK144="",0,AK144)))</f>
        <v>2.2400000000000002</v>
      </c>
      <c r="Y144" s="461"/>
      <c r="Z144" s="206"/>
      <c r="AA144" s="512">
        <f t="shared" ref="AA144:AA207" si="54">IFERROR(IF(D144="","",IF(COUNT($AC$14:$AC$33)=0,"",IF(D144&lt;_xlfn.AGGREGATE(5,6,$AC$14:$AC$33),"",INDEX($AE$15:$AE$33,MATCH(D144,$AC$14:$AC$33,1))))),"")</f>
        <v>90.341048320583724</v>
      </c>
      <c r="AB144" s="520">
        <f t="shared" ref="AB144:AB207" si="55">IF(OR(D144="",H144=""),"",IF(COUNT($AC$14:$AC$33)&lt;2,"",IF(OR(D144&lt;_xlfn.AGGREGATE(5,6,$AC$14:$AC$33),D144&gt;_xlfn.AGGREGATE(4,6,$AC$14:$AC$33)),"",IFERROR((INDEX($AD$14:$AD$33,MATCH(D144,$AC$14:$AC$33,1))+(D144-INDEX($AC$14:$AC$33,MATCH(D144,$AC$14:$AC$33,1)))*(INDEX($AD$14:$AD$33,MATCH(D144,$AC$14:$AC$33,1)+1)-INDEX($AD$14:$AD$33,MATCH(D144,$AC$14:$AC$33,1)))/(INDEX($AC$14:$AC$33,MATCH(D144,$AC$14:$AC$33,1)+1)-INDEX($AC$14:$AC$33,MATCH(D144,$AC$14:$AC$33,1))))-H144,""))))</f>
        <v>-0.40971838523591941</v>
      </c>
      <c r="AC144" s="510"/>
      <c r="AD144" s="515"/>
      <c r="AE144" s="516"/>
      <c r="AJ144" s="452">
        <f>IF(OR(E144="",D144=""),0,ProjSlideMetersBetween(E144,D144,$R$13:$R$305,$S$13:$S$305))</f>
        <v>0</v>
      </c>
      <c r="AK144" s="452">
        <f>IF(U144="","",ProjParseTF(U144))</f>
        <v>-120</v>
      </c>
      <c r="AL144" s="219">
        <f>IF(E144="","",ProjCumN(AL143,E143,F143,G143,E144,F144,G144,FALSE))</f>
        <v>313.61861729674894</v>
      </c>
      <c r="AM144" s="331">
        <f>IF(E144="","",ProjCumE(AM143,E143,F143,G143,E144,F144,G144,FALSE))</f>
        <v>145.25948948768661</v>
      </c>
      <c r="AN144" s="330">
        <f t="shared" si="53"/>
        <v>2.2400000000000002</v>
      </c>
      <c r="AO144" s="330" t="str">
        <f>IF(OR(E144="",E144&lt;$U$2),"",ProjActiveTargetMdEx(D144,W144,V144,ProjTargets_MD,ProjTargets_INC,ProjTargets_AZM,ProjTargets_TVD,F144,H144))</f>
        <v/>
      </c>
      <c r="AP144" s="207">
        <f>IF(OR(E144="",E144&lt;$U$2),"",ProjBitN(E144,F144,G144,AL144,D144,W144,X144))</f>
        <v>330.59475529990948</v>
      </c>
      <c r="AQ144" s="207">
        <f>IF(OR(E144="",E144&lt;$U$2),"",ProjBitE(E144,F144,G144,AM144,D144,W144,X144))</f>
        <v>145.92351631784427</v>
      </c>
      <c r="AR144" s="207" t="str">
        <f>IF(OR(E144="",E144&lt;$U$2,AO144=""),"",ProjBurr(D144,W144,X144,Q144,C144,ProjTargets_MD,ProjTargets_INC,ProjTargets_AZM,ProjTargets_TVD,V144))</f>
        <v/>
      </c>
      <c r="AS144" s="207" t="str">
        <f>IF(OR(E144="",E144&lt;$U$2,AO144=""),"",ProjMetersToSlide(D144,W144,X144,Q144,C144,ProjTargets_MD,ProjTargets_INC,ProjTargets_AZM,ProjTargets_TVD,V144))</f>
        <v/>
      </c>
      <c r="AT144" s="207" t="str">
        <f>IF(OR(E144="",E144&lt;$U$2,AO144=""),"",ProjRequiredTf(D144,W144,X144,ProjTargets_MD,ProjTargets_INC,ProjTargets_AZM,ProjTargets_TVD,5,V144))</f>
        <v/>
      </c>
    </row>
    <row r="145" spans="2:46" s="209" customFormat="1" ht="15" customHeight="1" x14ac:dyDescent="0.3">
      <c r="B145" s="208">
        <f t="shared" si="40"/>
        <v>17</v>
      </c>
      <c r="C145" s="335">
        <f t="shared" si="47"/>
        <v>28.090000000000146</v>
      </c>
      <c r="D145" s="27">
        <v>3333.15</v>
      </c>
      <c r="E145" s="336">
        <f t="shared" si="48"/>
        <v>3316.15</v>
      </c>
      <c r="F145" s="9">
        <v>91.78</v>
      </c>
      <c r="G145" s="9">
        <v>0.59</v>
      </c>
      <c r="H145" s="337">
        <f t="shared" si="41"/>
        <v>3085.131396697438</v>
      </c>
      <c r="I145" s="337">
        <f t="shared" si="52"/>
        <v>2312.881396697438</v>
      </c>
      <c r="J145" s="338">
        <f t="shared" si="49"/>
        <v>1.7846571533628142</v>
      </c>
      <c r="K145" s="339">
        <f t="shared" si="50"/>
        <v>-0.28835884656460797</v>
      </c>
      <c r="L145" s="339">
        <f t="shared" si="51"/>
        <v>-1.7621929512281862</v>
      </c>
      <c r="M145" s="339">
        <f t="shared" si="42"/>
        <v>5</v>
      </c>
      <c r="N145" s="340">
        <f t="shared" si="43"/>
        <v>99.298419951664513</v>
      </c>
      <c r="O145" s="341" t="str">
        <f t="shared" si="44"/>
        <v>L</v>
      </c>
      <c r="P145" s="342">
        <f t="shared" si="45"/>
        <v>-5.3999999999999201E-2</v>
      </c>
      <c r="Q145" s="343">
        <f t="shared" si="46"/>
        <v>10.026203887592342</v>
      </c>
      <c r="R145" s="10">
        <f t="shared" ref="R145:R208" si="56">IF(T145="", "", D145)</f>
        <v>3333.15</v>
      </c>
      <c r="S145" s="337">
        <f t="shared" si="39"/>
        <v>3337.15</v>
      </c>
      <c r="T145" s="9">
        <v>4</v>
      </c>
      <c r="U145" s="8" t="s">
        <v>770</v>
      </c>
      <c r="V145" s="202">
        <f>IF(OR(E145="",E145&lt;$U$2),"",ProjTvdAtBit(E145,F145,G145,H145,D145,W145,X145))</f>
        <v>3084.6033450168484</v>
      </c>
      <c r="W145" s="344">
        <f>IF(OR(E145="",E145&lt;$U$2),"",ProjIncAtBit(F145,J145,C145,M145,AJ145,IF(AK145="",0,AK145)))</f>
        <v>91.78</v>
      </c>
      <c r="X145" s="455">
        <f>IF(OR(E145="",E145&lt;$U$2),"",ProjAzmAtBit(F145,G145,J145,C145,M145,AJ145,IF(AK145="",0,AK145)))</f>
        <v>0.59</v>
      </c>
      <c r="Y145" s="461" t="s">
        <v>787</v>
      </c>
      <c r="Z145" s="206"/>
      <c r="AA145" s="512">
        <f t="shared" si="54"/>
        <v>90.341048320583724</v>
      </c>
      <c r="AB145" s="520">
        <f t="shared" si="55"/>
        <v>0.36175806446681236</v>
      </c>
      <c r="AC145" s="510"/>
      <c r="AD145" s="515"/>
      <c r="AE145" s="516"/>
      <c r="AJ145" s="452">
        <f>IF(OR(E145="",D145=""),0,ProjSlideMetersBetween(E145,D145,$R$13:$R$305,$S$13:$S$305))</f>
        <v>0</v>
      </c>
      <c r="AK145" s="452">
        <f>IF(U145="","",ProjParseTF(U145))</f>
        <v>180</v>
      </c>
      <c r="AL145" s="219">
        <f>IF(E145="","",ProjCumN(AL144,E144,F144,G144,E145,F145,G145,FALSE))</f>
        <v>341.68337092674187</v>
      </c>
      <c r="AM145" s="331">
        <f>IF(E145="","",ProjCumE(AM144,E144,F144,G144,E145,F145,G145,FALSE))</f>
        <v>145.95269720652499</v>
      </c>
      <c r="AN145" s="330">
        <f t="shared" si="53"/>
        <v>0.59</v>
      </c>
      <c r="AO145" s="330" t="str">
        <f>IF(OR(E145="",E145&lt;$U$2),"",ProjActiveTargetMdEx(D145,W145,V145,ProjTargets_MD,ProjTargets_INC,ProjTargets_AZM,ProjTargets_TVD,F145,H145))</f>
        <v/>
      </c>
      <c r="AP145" s="207">
        <f>IF(OR(E145="",E145&lt;$U$2),"",ProjBitN(E145,F145,G145,AL145,D145,W145,X145))</f>
        <v>358.67426693859011</v>
      </c>
      <c r="AQ145" s="207">
        <f>IF(OR(E145="",E145&lt;$U$2),"",ProjBitE(E145,F145,G145,AM145,D145,W145,X145))</f>
        <v>146.12766616716189</v>
      </c>
      <c r="AR145" s="207" t="str">
        <f>IF(OR(E145="",E145&lt;$U$2,AO145=""),"",ProjBurr(D145,W145,X145,Q145,C145,ProjTargets_MD,ProjTargets_INC,ProjTargets_AZM,ProjTargets_TVD,V145))</f>
        <v/>
      </c>
      <c r="AS145" s="207" t="str">
        <f>IF(OR(E145="",E145&lt;$U$2,AO145=""),"",ProjMetersToSlide(D145,W145,X145,Q145,C145,ProjTargets_MD,ProjTargets_INC,ProjTargets_AZM,ProjTargets_TVD,V145))</f>
        <v/>
      </c>
      <c r="AT145" s="207" t="str">
        <f>IF(OR(E145="",E145&lt;$U$2,AO145=""),"",ProjRequiredTf(D145,W145,X145,ProjTargets_MD,ProjTargets_INC,ProjTargets_AZM,ProjTargets_TVD,5,V145))</f>
        <v/>
      </c>
    </row>
    <row r="146" spans="2:46" s="209" customFormat="1" ht="15" customHeight="1" x14ac:dyDescent="0.3">
      <c r="B146" s="208">
        <f t="shared" ref="B146:B203" si="57">IF(ISBLANK(D146),"",B145)</f>
        <v>17</v>
      </c>
      <c r="C146" s="335">
        <f t="shared" si="47"/>
        <v>28.059999999999945</v>
      </c>
      <c r="D146" s="27">
        <v>3361.21</v>
      </c>
      <c r="E146" s="336">
        <f t="shared" si="48"/>
        <v>3344.21</v>
      </c>
      <c r="F146" s="9">
        <v>92.02</v>
      </c>
      <c r="G146" s="9">
        <v>0.65</v>
      </c>
      <c r="H146" s="337">
        <f t="shared" si="41"/>
        <v>3084.2010623918559</v>
      </c>
      <c r="I146" s="337">
        <f t="shared" si="52"/>
        <v>2311.9510623918559</v>
      </c>
      <c r="J146" s="338">
        <f t="shared" si="49"/>
        <v>0.264481463019271</v>
      </c>
      <c r="K146" s="339">
        <f t="shared" si="50"/>
        <v>0.25659301496792086</v>
      </c>
      <c r="L146" s="339">
        <f t="shared" si="51"/>
        <v>6.4148253741981659E-2</v>
      </c>
      <c r="M146" s="339">
        <f t="shared" si="42"/>
        <v>4</v>
      </c>
      <c r="N146" s="340">
        <f t="shared" si="43"/>
        <v>14.028821507238321</v>
      </c>
      <c r="O146" s="341" t="str">
        <f t="shared" si="44"/>
        <v>R</v>
      </c>
      <c r="P146" s="342">
        <f t="shared" si="45"/>
        <v>5.9999999999998721E-2</v>
      </c>
      <c r="Q146" s="343">
        <f t="shared" si="46"/>
        <v>1.8553374630801824</v>
      </c>
      <c r="R146" s="10">
        <f t="shared" si="56"/>
        <v>3361.21</v>
      </c>
      <c r="S146" s="337">
        <f t="shared" si="39"/>
        <v>3364.21</v>
      </c>
      <c r="T146" s="9">
        <v>3</v>
      </c>
      <c r="U146" s="8" t="s">
        <v>782</v>
      </c>
      <c r="V146" s="202">
        <f>IF(OR(E146="",E146&lt;$U$2),"",ProjTvdAtBit(E146,F146,G146,H146,D146,W146,X146))</f>
        <v>3083.6018404796278</v>
      </c>
      <c r="W146" s="344">
        <f>IF(OR(E146="",E146&lt;$U$2),"",ProjIncAtBit(F146,J146,C146,M146,AJ146,IF(AK146="",0,AK146)))</f>
        <v>92.02</v>
      </c>
      <c r="X146" s="455">
        <f>IF(OR(E146="",E146&lt;$U$2),"",ProjAzmAtBit(F146,G146,J146,C146,M146,AJ146,IF(AK146="",0,AK146)))</f>
        <v>0.65</v>
      </c>
      <c r="Y146" s="461"/>
      <c r="Z146" s="206"/>
      <c r="AA146" s="512">
        <f t="shared" si="54"/>
        <v>90.341048320583724</v>
      </c>
      <c r="AB146" s="520">
        <f t="shared" si="55"/>
        <v>1.125068560525051</v>
      </c>
      <c r="AC146" s="510"/>
      <c r="AD146" s="515"/>
      <c r="AE146" s="516"/>
      <c r="AJ146" s="452">
        <f>IF(OR(E146="",D146=""),0,ProjSlideMetersBetween(E146,D146,$R$13:$R$305,$S$13:$S$305))</f>
        <v>0</v>
      </c>
      <c r="AK146" s="452">
        <f>IF(U146="","",ProjParseTF(U146))</f>
        <v>-140</v>
      </c>
      <c r="AL146" s="219">
        <f>IF(E146="","",ProjCumN(AL145,E145,F145,G145,E146,F146,G146,FALSE))</f>
        <v>369.7262802885412</v>
      </c>
      <c r="AM146" s="331">
        <f>IF(E146="","",ProjCumE(AM145,E145,F145,G145,E146,F146,G146,FALSE))</f>
        <v>146.2561615132073</v>
      </c>
      <c r="AN146" s="330">
        <f t="shared" si="53"/>
        <v>0.65</v>
      </c>
      <c r="AO146" s="330" t="str">
        <f>IF(OR(E146="",E146&lt;$U$2),"",ProjActiveTargetMdEx(D146,W146,V146,ProjTargets_MD,ProjTargets_INC,ProjTargets_AZM,ProjTargets_TVD,F146,H146))</f>
        <v/>
      </c>
      <c r="AP146" s="207">
        <f>IF(OR(E146="",E146&lt;$U$2),"",ProjBitN(E146,F146,G146,AL146,D146,W146,X146))</f>
        <v>386.71462294923862</v>
      </c>
      <c r="AQ146" s="207">
        <f>IF(OR(E146="",E146&lt;$U$2),"",ProjBitE(E146,F146,G146,AM146,D146,W146,X146))</f>
        <v>146.44889641568682</v>
      </c>
      <c r="AR146" s="207" t="str">
        <f>IF(OR(E146="",E146&lt;$U$2,AO146=""),"",ProjBurr(D146,W146,X146,Q146,C146,ProjTargets_MD,ProjTargets_INC,ProjTargets_AZM,ProjTargets_TVD,V146))</f>
        <v/>
      </c>
      <c r="AS146" s="207" t="str">
        <f>IF(OR(E146="",E146&lt;$U$2,AO146=""),"",ProjMetersToSlide(D146,W146,X146,Q146,C146,ProjTargets_MD,ProjTargets_INC,ProjTargets_AZM,ProjTargets_TVD,V146))</f>
        <v/>
      </c>
      <c r="AT146" s="207" t="str">
        <f>IF(OR(E146="",E146&lt;$U$2,AO146=""),"",ProjRequiredTf(D146,W146,X146,ProjTargets_MD,ProjTargets_INC,ProjTargets_AZM,ProjTargets_TVD,5,V146))</f>
        <v/>
      </c>
    </row>
    <row r="147" spans="2:46" s="209" customFormat="1" ht="15" customHeight="1" x14ac:dyDescent="0.3">
      <c r="B147" s="208">
        <f t="shared" si="57"/>
        <v>17</v>
      </c>
      <c r="C147" s="335">
        <f t="shared" si="47"/>
        <v>28.039999999999964</v>
      </c>
      <c r="D147" s="27">
        <v>3389.25</v>
      </c>
      <c r="E147" s="336">
        <f t="shared" si="48"/>
        <v>3372.25</v>
      </c>
      <c r="F147" s="9">
        <v>91.27</v>
      </c>
      <c r="G147" s="9">
        <v>359.82</v>
      </c>
      <c r="H147" s="337">
        <f t="shared" si="41"/>
        <v>3083.3961259075481</v>
      </c>
      <c r="I147" s="337">
        <f t="shared" si="52"/>
        <v>2311.1461259075481</v>
      </c>
      <c r="J147" s="338">
        <f t="shared" si="49"/>
        <v>1.1965781711867516</v>
      </c>
      <c r="K147" s="339">
        <f t="shared" si="50"/>
        <v>-0.80242510699001535</v>
      </c>
      <c r="L147" s="339">
        <f t="shared" si="51"/>
        <v>-0.88801711840229092</v>
      </c>
      <c r="M147" s="339">
        <f t="shared" si="42"/>
        <v>3</v>
      </c>
      <c r="N147" s="340">
        <f t="shared" si="43"/>
        <v>132.11337613999132</v>
      </c>
      <c r="O147" s="341" t="str">
        <f t="shared" si="44"/>
        <v>L</v>
      </c>
      <c r="P147" s="342">
        <f t="shared" si="45"/>
        <v>-0.25</v>
      </c>
      <c r="Q147" s="343">
        <f t="shared" si="46"/>
        <v>11.184017306692157</v>
      </c>
      <c r="R147" s="10" t="str">
        <f t="shared" si="56"/>
        <v/>
      </c>
      <c r="S147" s="337" t="str">
        <f t="shared" si="39"/>
        <v/>
      </c>
      <c r="T147" s="9"/>
      <c r="U147" s="8"/>
      <c r="V147" s="202">
        <f>IF(OR(E147="",E147&lt;$U$2),"",ProjTvdAtBit(E147,F147,G147,H147,D147,W147,X147))</f>
        <v>3083.0193401773777</v>
      </c>
      <c r="W147" s="344">
        <f>IF(OR(E147="",E147&lt;$U$2),"",ProjIncAtBit(F147,J147,C147,M147,AJ147,IF(AK147="",0,AK147)))</f>
        <v>91.27</v>
      </c>
      <c r="X147" s="455">
        <f>IF(OR(E147="",E147&lt;$U$2),"",ProjAzmAtBit(F147,G147,J147,C147,M147,AJ147,IF(AK147="",0,AK147)))</f>
        <v>359.82</v>
      </c>
      <c r="Y147" s="461"/>
      <c r="Z147" s="206"/>
      <c r="AA147" s="521">
        <f t="shared" si="54"/>
        <v>90.341048320583724</v>
      </c>
      <c r="AB147" s="520">
        <f t="shared" si="55"/>
        <v>1.7631002829280078</v>
      </c>
      <c r="AC147" s="510"/>
      <c r="AD147" s="515"/>
      <c r="AE147" s="516"/>
      <c r="AJ147" s="452">
        <f>IF(OR(E147="",D147=""),0,ProjSlideMetersBetween(E147,D147,$R$13:$R$305,$S$13:$S$305))</f>
        <v>0</v>
      </c>
      <c r="AK147" s="452" t="str">
        <f>IF(U147="","",ProjParseTF(U147))</f>
        <v/>
      </c>
      <c r="AL147" s="219">
        <f>IF(E147="","",ProjCumN(AL146,E146,F146,G146,E147,F147,G147,FALSE))</f>
        <v>397.75404318836576</v>
      </c>
      <c r="AM147" s="331">
        <f>IF(E147="","",ProjCumE(AM146,E146,F146,G146,E147,F147,G147,FALSE))</f>
        <v>146.37108053298954</v>
      </c>
      <c r="AN147" s="330">
        <f t="shared" si="53"/>
        <v>359.82</v>
      </c>
      <c r="AO147" s="330" t="str">
        <f>IF(OR(E147="",E147&lt;$U$2),"",ProjActiveTargetMdEx(D147,W147,V147,ProjTargets_MD,ProjTargets_INC,ProjTargets_AZM,ProjTargets_TVD,F147,H147))</f>
        <v/>
      </c>
      <c r="AP147" s="207">
        <f>IF(OR(E147="",E147&lt;$U$2),"",ProjBitN(E147,F147,G147,AL147,D147,W147,X147))</f>
        <v>414.74978329017978</v>
      </c>
      <c r="AQ147" s="207">
        <f>IF(OR(E147="",E147&lt;$U$2),"",ProjBitE(E147,F147,G147,AM147,D147,W147,X147))</f>
        <v>146.31768666508435</v>
      </c>
      <c r="AR147" s="207" t="str">
        <f>IF(OR(E147="",E147&lt;$U$2,AO147=""),"",ProjBurr(D147,W147,X147,Q147,C147,ProjTargets_MD,ProjTargets_INC,ProjTargets_AZM,ProjTargets_TVD,V147))</f>
        <v/>
      </c>
      <c r="AS147" s="207" t="str">
        <f>IF(OR(E147="",E147&lt;$U$2,AO147=""),"",ProjMetersToSlide(D147,W147,X147,Q147,C147,ProjTargets_MD,ProjTargets_INC,ProjTargets_AZM,ProjTargets_TVD,V147))</f>
        <v/>
      </c>
      <c r="AT147" s="207" t="str">
        <f>IF(OR(E147="",E147&lt;$U$2,AO147=""),"",ProjRequiredTf(D147,W147,X147,ProjTargets_MD,ProjTargets_INC,ProjTargets_AZM,ProjTargets_TVD,5,V147))</f>
        <v/>
      </c>
    </row>
    <row r="148" spans="2:46" s="209" customFormat="1" ht="15" customHeight="1" x14ac:dyDescent="0.3">
      <c r="B148" s="208">
        <f t="shared" si="57"/>
        <v>17</v>
      </c>
      <c r="C148" s="335">
        <f t="shared" si="47"/>
        <v>28.109999999999673</v>
      </c>
      <c r="D148" s="27">
        <v>3417.3599999999997</v>
      </c>
      <c r="E148" s="336">
        <f t="shared" si="48"/>
        <v>3400.36</v>
      </c>
      <c r="F148" s="9">
        <v>89.5</v>
      </c>
      <c r="G148" s="9">
        <v>359.99</v>
      </c>
      <c r="H148" s="337">
        <f t="shared" si="41"/>
        <v>3083.2072416886667</v>
      </c>
      <c r="I148" s="337">
        <f t="shared" si="52"/>
        <v>2310.9572416886667</v>
      </c>
      <c r="J148" s="338">
        <f t="shared" si="49"/>
        <v>1.8976991330548367</v>
      </c>
      <c r="K148" s="339">
        <f t="shared" si="50"/>
        <v>-1.8890074706510012</v>
      </c>
      <c r="L148" s="339">
        <f t="shared" si="51"/>
        <v>0.18143009605124349</v>
      </c>
      <c r="M148" s="339" t="str">
        <f t="shared" si="42"/>
        <v/>
      </c>
      <c r="N148" s="340">
        <f t="shared" si="43"/>
        <v>174.51418352728589</v>
      </c>
      <c r="O148" s="341" t="str">
        <f t="shared" si="44"/>
        <v>R</v>
      </c>
      <c r="P148" s="342" t="str">
        <f t="shared" si="45"/>
        <v/>
      </c>
      <c r="Q148" s="343" t="str">
        <f t="shared" si="46"/>
        <v/>
      </c>
      <c r="R148" s="10" t="str">
        <f t="shared" si="56"/>
        <v/>
      </c>
      <c r="S148" s="337" t="str">
        <f t="shared" si="39"/>
        <v/>
      </c>
      <c r="T148" s="9"/>
      <c r="U148" s="8"/>
      <c r="V148" s="202">
        <f>IF(OR(E148="",E148&lt;$U$2),"",ProjTvdAtBit(E148,F148,G148,H148,D148,W148,X148))</f>
        <v>3083.3555927921393</v>
      </c>
      <c r="W148" s="344">
        <f>IF(OR(E148="",E148&lt;$U$2),"",ProjIncAtBit(F148,J148,C148,M148,AJ148,IF(AK148="",0,AK148)))</f>
        <v>89.5</v>
      </c>
      <c r="X148" s="455">
        <f>IF(OR(E148="",E148&lt;$U$2),"",ProjAzmAtBit(F148,G148,J148,C148,M148,AJ148,IF(AK148="",0,AK148)))</f>
        <v>359.99</v>
      </c>
      <c r="Y148" s="461"/>
      <c r="Z148" s="206"/>
      <c r="AA148" s="512">
        <f t="shared" si="54"/>
        <v>90.341048320583724</v>
      </c>
      <c r="AB148" s="520">
        <f t="shared" si="55"/>
        <v>1.7846630732378799</v>
      </c>
      <c r="AC148" s="510"/>
      <c r="AD148" s="515"/>
      <c r="AE148" s="516"/>
      <c r="AJ148" s="452">
        <f>IF(OR(E148="",D148=""),0,ProjSlideMetersBetween(E148,D148,$R$13:$R$305,$S$13:$S$305))</f>
        <v>0</v>
      </c>
      <c r="AK148" s="452" t="str">
        <f>IF(U148="","",ProjParseTF(U148))</f>
        <v/>
      </c>
      <c r="AL148" s="219">
        <f>IF(E148="","",ProjCumN(AL147,E147,F147,G147,E148,F148,G148,FALSE))</f>
        <v>425.86224191251659</v>
      </c>
      <c r="AM148" s="331">
        <f>IF(E148="","",ProjCumE(AM147,E147,F147,G147,E148,F148,G148,FALSE))</f>
        <v>146.32447966033169</v>
      </c>
      <c r="AN148" s="330">
        <f t="shared" si="53"/>
        <v>359.99</v>
      </c>
      <c r="AO148" s="330" t="str">
        <f>IF(OR(E148="",E148&lt;$U$2),"",ProjActiveTargetMdEx(D148,W148,V148,ProjTargets_MD,ProjTargets_INC,ProjTargets_AZM,ProjTargets_TVD,F148,H148))</f>
        <v/>
      </c>
      <c r="AP148" s="207">
        <f>IF(OR(E148="",E148&lt;$U$2),"",ProjBitN(E148,F148,G148,AL148,D148,W148,X148))</f>
        <v>442.86159434569208</v>
      </c>
      <c r="AQ148" s="207">
        <f>IF(OR(E148="",E148&lt;$U$2),"",ProjBitE(E148,F148,G148,AM148,D148,W148,X148))</f>
        <v>146.32151271359479</v>
      </c>
      <c r="AR148" s="207" t="str">
        <f>IF(OR(E148="",E148&lt;$U$2,AO148=""),"",ProjBurr(D148,W148,X148,Q148,C148,ProjTargets_MD,ProjTargets_INC,ProjTargets_AZM,ProjTargets_TVD,V148))</f>
        <v/>
      </c>
      <c r="AS148" s="207" t="str">
        <f>IF(OR(E148="",E148&lt;$U$2,AO148=""),"",ProjMetersToSlide(D148,W148,X148,Q148,C148,ProjTargets_MD,ProjTargets_INC,ProjTargets_AZM,ProjTargets_TVD,V148))</f>
        <v/>
      </c>
      <c r="AT148" s="207" t="str">
        <f>IF(OR(E148="",E148&lt;$U$2,AO148=""),"",ProjRequiredTf(D148,W148,X148,ProjTargets_MD,ProjTargets_INC,ProjTargets_AZM,ProjTargets_TVD,5,V148))</f>
        <v/>
      </c>
    </row>
    <row r="149" spans="2:46" s="209" customFormat="1" ht="15" customHeight="1" x14ac:dyDescent="0.3">
      <c r="B149" s="208">
        <f t="shared" si="57"/>
        <v>17</v>
      </c>
      <c r="C149" s="335">
        <f t="shared" si="47"/>
        <v>28.080000000000382</v>
      </c>
      <c r="D149" s="27">
        <v>3445.44</v>
      </c>
      <c r="E149" s="336">
        <f t="shared" si="48"/>
        <v>3428.44</v>
      </c>
      <c r="F149" s="9">
        <v>90.32</v>
      </c>
      <c r="G149" s="9">
        <v>359.88</v>
      </c>
      <c r="H149" s="337">
        <f t="shared" si="41"/>
        <v>3083.2513496313845</v>
      </c>
      <c r="I149" s="337">
        <f t="shared" si="52"/>
        <v>2311.0013496313845</v>
      </c>
      <c r="J149" s="338">
        <f t="shared" si="49"/>
        <v>0.88391560770807054</v>
      </c>
      <c r="K149" s="339">
        <f t="shared" si="50"/>
        <v>0.87606837606837107</v>
      </c>
      <c r="L149" s="339">
        <f t="shared" si="51"/>
        <v>-0.11752136752138241</v>
      </c>
      <c r="M149" s="339" t="str">
        <f t="shared" si="42"/>
        <v/>
      </c>
      <c r="N149" s="340">
        <f t="shared" si="43"/>
        <v>7.6403330096088142</v>
      </c>
      <c r="O149" s="341" t="str">
        <f t="shared" si="44"/>
        <v>L</v>
      </c>
      <c r="P149" s="342" t="str">
        <f t="shared" si="45"/>
        <v/>
      </c>
      <c r="Q149" s="343" t="str">
        <f t="shared" si="46"/>
        <v/>
      </c>
      <c r="R149" s="10" t="str">
        <f t="shared" si="56"/>
        <v/>
      </c>
      <c r="S149" s="337" t="str">
        <f t="shared" si="39"/>
        <v/>
      </c>
      <c r="T149" s="9"/>
      <c r="U149" s="8"/>
      <c r="V149" s="202">
        <f>IF(OR(E149="",E149&lt;$U$2),"",ProjTvdAtBit(E149,F149,G149,H149,D149,W149,X149))</f>
        <v>3083.1564042136806</v>
      </c>
      <c r="W149" s="344">
        <f>IF(OR(E149="",E149&lt;$U$2),"",ProjIncAtBit(F149,J149,C149,M149,AJ149,IF(AK149="",0,AK149)))</f>
        <v>90.32</v>
      </c>
      <c r="X149" s="455">
        <f>IF(OR(E149="",E149&lt;$U$2),"",ProjAzmAtBit(F149,G149,J149,C149,M149,AJ149,IF(AK149="",0,AK149)))</f>
        <v>359.88</v>
      </c>
      <c r="Y149" s="461"/>
      <c r="Z149" s="206"/>
      <c r="AA149" s="512">
        <f t="shared" si="54"/>
        <v>90.341048320583724</v>
      </c>
      <c r="AB149" s="520">
        <f t="shared" si="55"/>
        <v>1.5734122733774711</v>
      </c>
      <c r="AC149" s="510"/>
      <c r="AD149" s="515"/>
      <c r="AE149" s="516"/>
      <c r="AJ149" s="452">
        <f>IF(OR(E149="",D149=""),0,ProjSlideMetersBetween(E149,D149,$R$13:$R$305,$S$13:$S$305))</f>
        <v>0</v>
      </c>
      <c r="AK149" s="452" t="str">
        <f>IF(U149="","",ProjParseTF(U149))</f>
        <v/>
      </c>
      <c r="AL149" s="219">
        <f>IF(E149="","",ProjCumN(AL148,E148,F148,G148,E149,F149,G149,FALSE))</f>
        <v>453.9419452440082</v>
      </c>
      <c r="AM149" s="331">
        <f>IF(E149="","",ProjCumE(AM148,E148,F148,G148,E149,F149,G149,FALSE))</f>
        <v>146.29262393073208</v>
      </c>
      <c r="AN149" s="330">
        <f t="shared" si="53"/>
        <v>359.88</v>
      </c>
      <c r="AO149" s="330" t="str">
        <f>IF(OR(E149="",E149&lt;$U$2),"",ProjActiveTargetMdEx(D149,W149,V149,ProjTargets_MD,ProjTargets_INC,ProjTargets_AZM,ProjTargets_TVD,F149,H149))</f>
        <v/>
      </c>
      <c r="AP149" s="207">
        <f>IF(OR(E149="",E149&lt;$U$2),"",ProjBitN(E149,F149,G149,AL149,D149,W149,X149))</f>
        <v>470.94164282111819</v>
      </c>
      <c r="AQ149" s="207">
        <f>IF(OR(E149="",E149&lt;$U$2),"",ProjBitE(E149,F149,G149,AM149,D149,W149,X149))</f>
        <v>146.25701979532522</v>
      </c>
      <c r="AR149" s="207" t="str">
        <f>IF(OR(E149="",E149&lt;$U$2,AO149=""),"",ProjBurr(D149,W149,X149,Q149,C149,ProjTargets_MD,ProjTargets_INC,ProjTargets_AZM,ProjTargets_TVD,V149))</f>
        <v/>
      </c>
      <c r="AS149" s="207" t="str">
        <f>IF(OR(E149="",E149&lt;$U$2,AO149=""),"",ProjMetersToSlide(D149,W149,X149,Q149,C149,ProjTargets_MD,ProjTargets_INC,ProjTargets_AZM,ProjTargets_TVD,V149))</f>
        <v/>
      </c>
      <c r="AT149" s="207" t="str">
        <f>IF(OR(E149="",E149&lt;$U$2,AO149=""),"",ProjRequiredTf(D149,W149,X149,ProjTargets_MD,ProjTargets_INC,ProjTargets_AZM,ProjTargets_TVD,5,V149))</f>
        <v/>
      </c>
    </row>
    <row r="150" spans="2:46" s="209" customFormat="1" ht="15" customHeight="1" x14ac:dyDescent="0.3">
      <c r="B150" s="208">
        <f t="shared" si="57"/>
        <v>17</v>
      </c>
      <c r="C150" s="335">
        <f t="shared" si="47"/>
        <v>28.039999999999964</v>
      </c>
      <c r="D150" s="27">
        <v>3473.48</v>
      </c>
      <c r="E150" s="336">
        <f t="shared" si="48"/>
        <v>3456.48</v>
      </c>
      <c r="F150" s="9">
        <v>91.62</v>
      </c>
      <c r="G150" s="9">
        <v>0.02</v>
      </c>
      <c r="H150" s="337">
        <f t="shared" si="41"/>
        <v>3082.7766636948659</v>
      </c>
      <c r="I150" s="337">
        <f t="shared" si="52"/>
        <v>2310.5266636948659</v>
      </c>
      <c r="J150" s="338">
        <f t="shared" si="49"/>
        <v>1.3989096938886214</v>
      </c>
      <c r="K150" s="339">
        <f t="shared" si="50"/>
        <v>1.3908701854493721</v>
      </c>
      <c r="L150" s="339">
        <f t="shared" si="51"/>
        <v>0.14978601997147437</v>
      </c>
      <c r="M150" s="339" t="str">
        <f t="shared" si="42"/>
        <v/>
      </c>
      <c r="N150" s="340">
        <f t="shared" si="43"/>
        <v>6.1456206317639657</v>
      </c>
      <c r="O150" s="341" t="str">
        <f t="shared" si="44"/>
        <v>R</v>
      </c>
      <c r="P150" s="342" t="str">
        <f t="shared" si="45"/>
        <v/>
      </c>
      <c r="Q150" s="343" t="str">
        <f t="shared" si="46"/>
        <v/>
      </c>
      <c r="R150" s="10">
        <f t="shared" si="56"/>
        <v>3473.48</v>
      </c>
      <c r="S150" s="337">
        <f t="shared" si="39"/>
        <v>3476.98</v>
      </c>
      <c r="T150" s="9">
        <v>3.5</v>
      </c>
      <c r="U150" s="8" t="s">
        <v>782</v>
      </c>
      <c r="V150" s="202">
        <f>IF(OR(E150="",E150&lt;$U$2),"",ProjTvdAtBit(E150,F150,G150,H150,D150,W150,X150))</f>
        <v>3082.2960640597712</v>
      </c>
      <c r="W150" s="344">
        <f>IF(OR(E150="",E150&lt;$U$2),"",ProjIncAtBit(F150,J150,C150,M150,AJ150,IF(AK150="",0,AK150)))</f>
        <v>91.62</v>
      </c>
      <c r="X150" s="455">
        <f>IF(OR(E150="",E150&lt;$U$2),"",ProjAzmAtBit(F150,G150,J150,C150,M150,AJ150,IF(AK150="",0,AK150)))</f>
        <v>0.02</v>
      </c>
      <c r="Y150" s="461"/>
      <c r="Z150" s="206"/>
      <c r="AA150" s="512">
        <f t="shared" si="54"/>
        <v>90.341048320583724</v>
      </c>
      <c r="AB150" s="520">
        <f t="shared" si="55"/>
        <v>1.8811934479913361</v>
      </c>
      <c r="AC150" s="510"/>
      <c r="AD150" s="515"/>
      <c r="AE150" s="516"/>
      <c r="AJ150" s="452">
        <f>IF(OR(E150="",D150=""),0,ProjSlideMetersBetween(E150,D150,$R$13:$R$305,$S$13:$S$305))</f>
        <v>0</v>
      </c>
      <c r="AK150" s="452">
        <f>IF(U150="","",ProjParseTF(U150))</f>
        <v>-140</v>
      </c>
      <c r="AL150" s="219">
        <f>IF(E150="","",ProjCumN(AL149,E149,F149,G149,E150,F150,G150,FALSE))</f>
        <v>481.97730797334754</v>
      </c>
      <c r="AM150" s="331">
        <f>IF(E150="","",ProjCumE(AM149,E149,F149,G149,E150,F150,G150,FALSE))</f>
        <v>146.26815187585427</v>
      </c>
      <c r="AN150" s="330">
        <f t="shared" si="53"/>
        <v>0.02</v>
      </c>
      <c r="AO150" s="330" t="str">
        <f>IF(OR(E150="",E150&lt;$U$2),"",ProjActiveTargetMdEx(D150,W150,V150,ProjTargets_MD,ProjTargets_INC,ProjTargets_AZM,ProjTargets_TVD,F150,H150))</f>
        <v/>
      </c>
      <c r="AP150" s="207">
        <f>IF(OR(E150="",E150&lt;$U$2),"",ProjBitN(E150,F150,G150,AL150,D150,W150,X150))</f>
        <v>498.97051216811667</v>
      </c>
      <c r="AQ150" s="207">
        <f>IF(OR(E150="",E150&lt;$U$2),"",ProjBitE(E150,F150,G150,AM150,D150,W150,X150))</f>
        <v>146.27408362336845</v>
      </c>
      <c r="AR150" s="207" t="str">
        <f>IF(OR(E150="",E150&lt;$U$2,AO150=""),"",ProjBurr(D150,W150,X150,Q150,C150,ProjTargets_MD,ProjTargets_INC,ProjTargets_AZM,ProjTargets_TVD,V150))</f>
        <v/>
      </c>
      <c r="AS150" s="207" t="str">
        <f>IF(OR(E150="",E150&lt;$U$2,AO150=""),"",ProjMetersToSlide(D150,W150,X150,Q150,C150,ProjTargets_MD,ProjTargets_INC,ProjTargets_AZM,ProjTargets_TVD,V150))</f>
        <v/>
      </c>
      <c r="AT150" s="207" t="str">
        <f>IF(OR(E150="",E150&lt;$U$2,AO150=""),"",ProjRequiredTf(D150,W150,X150,ProjTargets_MD,ProjTargets_INC,ProjTargets_AZM,ProjTargets_TVD,5,V150))</f>
        <v/>
      </c>
    </row>
    <row r="151" spans="2:46" s="209" customFormat="1" ht="15" customHeight="1" x14ac:dyDescent="0.3">
      <c r="B151" s="208">
        <f t="shared" si="57"/>
        <v>17</v>
      </c>
      <c r="C151" s="335">
        <f t="shared" si="47"/>
        <v>28.059999999999945</v>
      </c>
      <c r="D151" s="27">
        <v>3501.54</v>
      </c>
      <c r="E151" s="336">
        <f t="shared" si="48"/>
        <v>3484.54</v>
      </c>
      <c r="F151" s="9">
        <v>91.96</v>
      </c>
      <c r="G151" s="9">
        <v>358.91</v>
      </c>
      <c r="H151" s="337">
        <f t="shared" si="41"/>
        <v>3081.9001727858458</v>
      </c>
      <c r="I151" s="337">
        <f t="shared" si="52"/>
        <v>2309.6501727858458</v>
      </c>
      <c r="J151" s="338">
        <f t="shared" si="49"/>
        <v>1.2406115693309681</v>
      </c>
      <c r="K151" s="339">
        <f t="shared" si="50"/>
        <v>0.36350677120455077</v>
      </c>
      <c r="L151" s="339">
        <f t="shared" si="51"/>
        <v>-1.1867426942266328</v>
      </c>
      <c r="M151" s="339">
        <f t="shared" si="42"/>
        <v>3.5</v>
      </c>
      <c r="N151" s="340">
        <f t="shared" si="43"/>
        <v>72.96198649843312</v>
      </c>
      <c r="O151" s="341" t="str">
        <f t="shared" si="44"/>
        <v>L</v>
      </c>
      <c r="P151" s="342">
        <f t="shared" si="45"/>
        <v>9.7142857142854061E-2</v>
      </c>
      <c r="Q151" s="343">
        <f t="shared" si="46"/>
        <v>9.9461601815505407</v>
      </c>
      <c r="R151" s="10">
        <f t="shared" si="56"/>
        <v>3501.54</v>
      </c>
      <c r="S151" s="337">
        <f t="shared" si="39"/>
        <v>3505.54</v>
      </c>
      <c r="T151" s="9">
        <v>4</v>
      </c>
      <c r="U151" s="8" t="s">
        <v>783</v>
      </c>
      <c r="V151" s="202">
        <f>IF(OR(E151="",E151&lt;$U$2),"",ProjTvdAtBit(E151,F151,G151,H151,D151,W151,X151))</f>
        <v>3081.3187424946245</v>
      </c>
      <c r="W151" s="344">
        <f>IF(OR(E151="",E151&lt;$U$2),"",ProjIncAtBit(F151,J151,C151,M151,AJ151,IF(AK151="",0,AK151)))</f>
        <v>91.96</v>
      </c>
      <c r="X151" s="455">
        <f>IF(OR(E151="",E151&lt;$U$2),"",ProjAzmAtBit(F151,G151,J151,C151,M151,AJ151,IF(AK151="",0,AK151)))</f>
        <v>358.91</v>
      </c>
      <c r="Y151" s="461"/>
      <c r="Z151" s="206"/>
      <c r="AA151" s="512">
        <f t="shared" si="54"/>
        <v>90.429722375059583</v>
      </c>
      <c r="AB151" s="520">
        <f t="shared" si="55"/>
        <v>2.5882772141540045</v>
      </c>
      <c r="AC151" s="510"/>
      <c r="AD151" s="515"/>
      <c r="AE151" s="516"/>
      <c r="AJ151" s="452">
        <f>IF(OR(E151="",D151=""),0,ProjSlideMetersBetween(E151,D151,$R$13:$R$305,$S$13:$S$305))</f>
        <v>0</v>
      </c>
      <c r="AK151" s="452">
        <f>IF(U151="","",ProjParseTF(U151))</f>
        <v>-170</v>
      </c>
      <c r="AL151" s="219">
        <f>IF(E151="","",ProjCumN(AL150,E150,F150,G150,E151,F151,G151,FALSE))</f>
        <v>510.0219124601557</v>
      </c>
      <c r="AM151" s="331">
        <f>IF(E151="","",ProjCumE(AM150,E150,F150,G150,E151,F151,G151,FALSE))</f>
        <v>146.00630264053567</v>
      </c>
      <c r="AN151" s="330">
        <f t="shared" si="53"/>
        <v>358.91</v>
      </c>
      <c r="AO151" s="330" t="str">
        <f>IF(OR(E151="",E151&lt;$U$2),"",ProjActiveTargetMdEx(D151,W151,V151,ProjTargets_MD,ProjTargets_INC,ProjTargets_AZM,ProjTargets_TVD,F151,H151))</f>
        <v/>
      </c>
      <c r="AP151" s="207">
        <f>IF(OR(E151="",E151&lt;$U$2),"",ProjBitN(E151,F151,G151,AL151,D151,W151,X151))</f>
        <v>527.00889218162024</v>
      </c>
      <c r="AQ151" s="207">
        <f>IF(OR(E151="",E151&lt;$U$2),"",ProjBitE(E151,F151,G151,AM151,D151,W151,X151))</f>
        <v>145.68310183762665</v>
      </c>
      <c r="AR151" s="207" t="str">
        <f>IF(OR(E151="",E151&lt;$U$2,AO151=""),"",ProjBurr(D151,W151,X151,Q151,C151,ProjTargets_MD,ProjTargets_INC,ProjTargets_AZM,ProjTargets_TVD,V151))</f>
        <v/>
      </c>
      <c r="AS151" s="207" t="str">
        <f>IF(OR(E151="",E151&lt;$U$2,AO151=""),"",ProjMetersToSlide(D151,W151,X151,Q151,C151,ProjTargets_MD,ProjTargets_INC,ProjTargets_AZM,ProjTargets_TVD,V151))</f>
        <v/>
      </c>
      <c r="AT151" s="207" t="str">
        <f>IF(OR(E151="",E151&lt;$U$2,AO151=""),"",ProjRequiredTf(D151,W151,X151,ProjTargets_MD,ProjTargets_INC,ProjTargets_AZM,ProjTargets_TVD,5,V151))</f>
        <v/>
      </c>
    </row>
    <row r="152" spans="2:46" s="209" customFormat="1" ht="15" customHeight="1" x14ac:dyDescent="0.3">
      <c r="B152" s="208">
        <f t="shared" si="57"/>
        <v>17</v>
      </c>
      <c r="C152" s="335">
        <f t="shared" si="47"/>
        <v>28.0300000000002</v>
      </c>
      <c r="D152" s="27">
        <v>3529.57</v>
      </c>
      <c r="E152" s="336">
        <f t="shared" si="48"/>
        <v>3512.57</v>
      </c>
      <c r="F152" s="9">
        <v>90.52</v>
      </c>
      <c r="G152" s="9">
        <v>358.23</v>
      </c>
      <c r="H152" s="337">
        <f t="shared" si="41"/>
        <v>3081.2935925613078</v>
      </c>
      <c r="I152" s="337">
        <f t="shared" si="52"/>
        <v>2309.0435925613078</v>
      </c>
      <c r="J152" s="338">
        <f t="shared" si="49"/>
        <v>1.7043239714229448</v>
      </c>
      <c r="K152" s="339">
        <f t="shared" si="50"/>
        <v>-1.54120585087405</v>
      </c>
      <c r="L152" s="339">
        <f t="shared" si="51"/>
        <v>-0.72779165180164329</v>
      </c>
      <c r="M152" s="339">
        <f t="shared" si="42"/>
        <v>4</v>
      </c>
      <c r="N152" s="340">
        <f t="shared" si="43"/>
        <v>154.72804184067488</v>
      </c>
      <c r="O152" s="341" t="str">
        <f t="shared" si="44"/>
        <v>L</v>
      </c>
      <c r="P152" s="342">
        <f t="shared" si="45"/>
        <v>-0.35999999999999943</v>
      </c>
      <c r="Q152" s="343">
        <f t="shared" si="46"/>
        <v>11.943050229746371</v>
      </c>
      <c r="R152" s="10">
        <f t="shared" si="56"/>
        <v>3529.57</v>
      </c>
      <c r="S152" s="337">
        <f t="shared" si="39"/>
        <v>3531.57</v>
      </c>
      <c r="T152" s="9">
        <v>2</v>
      </c>
      <c r="U152" s="8" t="s">
        <v>770</v>
      </c>
      <c r="V152" s="202">
        <f>IF(OR(E152="",E152&lt;$U$2),"",ProjTvdAtBit(E152,F152,G152,H152,D152,W152,X152))</f>
        <v>3081.1393075734904</v>
      </c>
      <c r="W152" s="344">
        <f>IF(OR(E152="",E152&lt;$U$2),"",ProjIncAtBit(F152,J152,C152,M152,AJ152,IF(AK152="",0,AK152)))</f>
        <v>90.52</v>
      </c>
      <c r="X152" s="455">
        <f>IF(OR(E152="",E152&lt;$U$2),"",ProjAzmAtBit(F152,G152,J152,C152,M152,AJ152,IF(AK152="",0,AK152)))</f>
        <v>358.23</v>
      </c>
      <c r="Y152" s="461"/>
      <c r="Z152" s="206"/>
      <c r="AA152" s="512">
        <f t="shared" si="54"/>
        <v>90.429722375059583</v>
      </c>
      <c r="AB152" s="520">
        <f t="shared" si="55"/>
        <v>2.9846324386921879</v>
      </c>
      <c r="AC152" s="510"/>
      <c r="AD152" s="515"/>
      <c r="AE152" s="516"/>
      <c r="AJ152" s="452">
        <f>IF(OR(E152="",D152=""),0,ProjSlideMetersBetween(E152,D152,$R$13:$R$305,$S$13:$S$305))</f>
        <v>0</v>
      </c>
      <c r="AK152" s="452">
        <f>IF(U152="","",ProjParseTF(U152))</f>
        <v>180</v>
      </c>
      <c r="AL152" s="219">
        <f>IF(E152="","",ProjCumN(AL151,E151,F151,G151,E152,F152,G152,FALSE))</f>
        <v>538.03571775743751</v>
      </c>
      <c r="AM152" s="331">
        <f>IF(E152="","",ProjCumE(AM151,E151,F151,G151,E152,F152,G152,FALSE))</f>
        <v>145.30693779318278</v>
      </c>
      <c r="AN152" s="330">
        <f t="shared" si="53"/>
        <v>358.23</v>
      </c>
      <c r="AO152" s="330" t="str">
        <f>IF(OR(E152="",E152&lt;$U$2),"",ProjActiveTargetMdEx(D152,W152,V152,ProjTargets_MD,ProjTargets_INC,ProjTargets_AZM,ProjTargets_TVD,F152,H152))</f>
        <v/>
      </c>
      <c r="AP152" s="207">
        <f>IF(OR(E152="",E152&lt;$U$2),"",ProjBitN(E152,F152,G152,AL152,D152,W152,X152))</f>
        <v>555.02690675344388</v>
      </c>
      <c r="AQ152" s="207">
        <f>IF(OR(E152="",E152&lt;$U$2),"",ProjBitE(E152,F152,G152,AM152,D152,W152,X152))</f>
        <v>144.78187337377548</v>
      </c>
      <c r="AR152" s="207" t="str">
        <f>IF(OR(E152="",E152&lt;$U$2,AO152=""),"",ProjBurr(D152,W152,X152,Q152,C152,ProjTargets_MD,ProjTargets_INC,ProjTargets_AZM,ProjTargets_TVD,V152))</f>
        <v/>
      </c>
      <c r="AS152" s="207" t="str">
        <f>IF(OR(E152="",E152&lt;$U$2,AO152=""),"",ProjMetersToSlide(D152,W152,X152,Q152,C152,ProjTargets_MD,ProjTargets_INC,ProjTargets_AZM,ProjTargets_TVD,V152))</f>
        <v/>
      </c>
      <c r="AT152" s="207" t="str">
        <f>IF(OR(E152="",E152&lt;$U$2,AO152=""),"",ProjRequiredTf(D152,W152,X152,ProjTargets_MD,ProjTargets_INC,ProjTargets_AZM,ProjTargets_TVD,5,V152))</f>
        <v/>
      </c>
    </row>
    <row r="153" spans="2:46" s="209" customFormat="1" ht="15" customHeight="1" x14ac:dyDescent="0.3">
      <c r="B153" s="208">
        <f t="shared" si="57"/>
        <v>17</v>
      </c>
      <c r="C153" s="335">
        <f t="shared" si="47"/>
        <v>28.029999999999745</v>
      </c>
      <c r="D153" s="27">
        <v>3557.6</v>
      </c>
      <c r="E153" s="336">
        <f t="shared" si="48"/>
        <v>3540.6</v>
      </c>
      <c r="F153" s="9">
        <v>89.02</v>
      </c>
      <c r="G153" s="9">
        <v>357.96</v>
      </c>
      <c r="H153" s="337">
        <f t="shared" si="41"/>
        <v>3081.4061118906598</v>
      </c>
      <c r="I153" s="337">
        <f t="shared" si="52"/>
        <v>2309.1561118906598</v>
      </c>
      <c r="J153" s="338">
        <f t="shared" si="49"/>
        <v>1.6312214171620891</v>
      </c>
      <c r="K153" s="339">
        <f t="shared" si="50"/>
        <v>-1.6054227613271639</v>
      </c>
      <c r="L153" s="339">
        <f t="shared" si="51"/>
        <v>-0.2889760970389309</v>
      </c>
      <c r="M153" s="339">
        <f t="shared" si="42"/>
        <v>2</v>
      </c>
      <c r="N153" s="340">
        <f t="shared" si="43"/>
        <v>169.79639206620902</v>
      </c>
      <c r="O153" s="341" t="str">
        <f t="shared" si="44"/>
        <v>L</v>
      </c>
      <c r="P153" s="342">
        <f t="shared" si="45"/>
        <v>-0.75</v>
      </c>
      <c r="Q153" s="343">
        <f t="shared" si="46"/>
        <v>22.861568161526471</v>
      </c>
      <c r="R153" s="10" t="str">
        <f t="shared" si="56"/>
        <v/>
      </c>
      <c r="S153" s="337" t="str">
        <f t="shared" si="39"/>
        <v/>
      </c>
      <c r="T153" s="9"/>
      <c r="U153" s="8"/>
      <c r="V153" s="202">
        <f>IF(OR(E153="",E153&lt;$U$2),"",ProjTvdAtBit(E153,F153,G153,H153,D153,W153,X153))</f>
        <v>3081.6968695664768</v>
      </c>
      <c r="W153" s="344">
        <f>IF(OR(E153="",E153&lt;$U$2),"",ProjIncAtBit(F153,J153,C153,M153,AJ153,IF(AK153="",0,AK153)))</f>
        <v>89.02</v>
      </c>
      <c r="X153" s="455">
        <f>IF(OR(E153="",E153&lt;$U$2),"",ProjAzmAtBit(F153,G153,J153,C153,M153,AJ153,IF(AK153="",0,AK153)))</f>
        <v>357.96</v>
      </c>
      <c r="Y153" s="461"/>
      <c r="Z153" s="206"/>
      <c r="AA153" s="512">
        <f t="shared" si="54"/>
        <v>90.429722375059583</v>
      </c>
      <c r="AB153" s="520">
        <f t="shared" si="55"/>
        <v>2.6618881093404525</v>
      </c>
      <c r="AC153" s="510"/>
      <c r="AD153" s="515"/>
      <c r="AE153" s="516"/>
      <c r="AJ153" s="452">
        <f>IF(OR(E153="",D153=""),0,ProjSlideMetersBetween(E153,D153,$R$13:$R$305,$S$13:$S$305))</f>
        <v>0</v>
      </c>
      <c r="AK153" s="452" t="str">
        <f>IF(U153="","",ProjParseTF(U153))</f>
        <v/>
      </c>
      <c r="AL153" s="219">
        <f>IF(E153="","",ProjCumN(AL152,E152,F152,G152,E153,F153,G153,FALSE))</f>
        <v>566.04917456095768</v>
      </c>
      <c r="AM153" s="331">
        <f>IF(E153="","",ProjCumE(AM152,E152,F152,G152,E153,F153,G153,FALSE))</f>
        <v>144.37519185988506</v>
      </c>
      <c r="AN153" s="330">
        <f t="shared" si="53"/>
        <v>357.96</v>
      </c>
      <c r="AO153" s="330" t="str">
        <f>IF(OR(E153="",E153&lt;$U$2),"",ProjActiveTargetMdEx(D153,W153,V153,ProjTargets_MD,ProjTargets_INC,ProjTargets_AZM,ProjTargets_TVD,F153,H153))</f>
        <v/>
      </c>
      <c r="AP153" s="207">
        <f>IF(OR(E153="",E153&lt;$U$2),"",ProjBitN(E153,F153,G153,AL153,D153,W153,X153))</f>
        <v>583.03591520725126</v>
      </c>
      <c r="AQ153" s="207">
        <f>IF(OR(E153="",E153&lt;$U$2),"",ProjBitE(E153,F153,G153,AM153,D153,W153,X153))</f>
        <v>143.77012807026284</v>
      </c>
      <c r="AR153" s="207" t="str">
        <f>IF(OR(E153="",E153&lt;$U$2,AO153=""),"",ProjBurr(D153,W153,X153,Q153,C153,ProjTargets_MD,ProjTargets_INC,ProjTargets_AZM,ProjTargets_TVD,V153))</f>
        <v/>
      </c>
      <c r="AS153" s="207" t="str">
        <f>IF(OR(E153="",E153&lt;$U$2,AO153=""),"",ProjMetersToSlide(D153,W153,X153,Q153,C153,ProjTargets_MD,ProjTargets_INC,ProjTargets_AZM,ProjTargets_TVD,V153))</f>
        <v/>
      </c>
      <c r="AT153" s="207" t="str">
        <f>IF(OR(E153="",E153&lt;$U$2,AO153=""),"",ProjRequiredTf(D153,W153,X153,ProjTargets_MD,ProjTargets_INC,ProjTargets_AZM,ProjTargets_TVD,5,V153))</f>
        <v/>
      </c>
    </row>
    <row r="154" spans="2:46" s="209" customFormat="1" ht="15" customHeight="1" x14ac:dyDescent="0.3">
      <c r="B154" s="208">
        <f t="shared" si="57"/>
        <v>17</v>
      </c>
      <c r="C154" s="335">
        <f t="shared" si="47"/>
        <v>28.050000000000182</v>
      </c>
      <c r="D154" s="27">
        <v>3585.65</v>
      </c>
      <c r="E154" s="336">
        <f t="shared" si="48"/>
        <v>3568.65</v>
      </c>
      <c r="F154" s="9">
        <v>89.02</v>
      </c>
      <c r="G154" s="9">
        <v>358.04</v>
      </c>
      <c r="H154" s="337">
        <f t="shared" si="41"/>
        <v>3081.885862055758</v>
      </c>
      <c r="I154" s="337">
        <f t="shared" si="52"/>
        <v>2309.635862055758</v>
      </c>
      <c r="J154" s="338">
        <f t="shared" si="49"/>
        <v>8.5548981924349288E-2</v>
      </c>
      <c r="K154" s="339">
        <f t="shared" si="50"/>
        <v>0</v>
      </c>
      <c r="L154" s="339">
        <f t="shared" si="51"/>
        <v>8.5561497326246433E-2</v>
      </c>
      <c r="M154" s="339" t="str">
        <f t="shared" si="42"/>
        <v/>
      </c>
      <c r="N154" s="340">
        <f t="shared" si="43"/>
        <v>90</v>
      </c>
      <c r="O154" s="341" t="str">
        <f t="shared" si="44"/>
        <v>R</v>
      </c>
      <c r="P154" s="342" t="str">
        <f t="shared" si="45"/>
        <v/>
      </c>
      <c r="Q154" s="343" t="str">
        <f t="shared" si="46"/>
        <v/>
      </c>
      <c r="R154" s="10" t="str">
        <f t="shared" si="56"/>
        <v/>
      </c>
      <c r="S154" s="337" t="str">
        <f t="shared" si="39"/>
        <v/>
      </c>
      <c r="T154" s="9"/>
      <c r="U154" s="8"/>
      <c r="V154" s="202">
        <f>IF(OR(E154="",E154&lt;$U$2),"",ProjTvdAtBit(E154,F154,G154,H154,D154,W154,X154))</f>
        <v>3082.1766197315751</v>
      </c>
      <c r="W154" s="344">
        <f>IF(OR(E154="",E154&lt;$U$2),"",ProjIncAtBit(F154,J154,C154,M154,AJ154,IF(AK154="",0,AK154)))</f>
        <v>89.02</v>
      </c>
      <c r="X154" s="455">
        <f>IF(OR(E154="",E154&lt;$U$2),"",ProjAzmAtBit(F154,G154,J154,C154,M154,AJ154,IF(AK154="",0,AK154)))</f>
        <v>358.04</v>
      </c>
      <c r="Y154" s="461"/>
      <c r="Z154" s="206"/>
      <c r="AA154" s="512">
        <f t="shared" si="54"/>
        <v>90.429722375059583</v>
      </c>
      <c r="AB154" s="520">
        <f t="shared" si="55"/>
        <v>1.971762944242073</v>
      </c>
      <c r="AC154" s="510"/>
      <c r="AD154" s="515"/>
      <c r="AE154" s="516"/>
      <c r="AJ154" s="452">
        <f>IF(OR(E154="",D154=""),0,ProjSlideMetersBetween(E154,D154,$R$13:$R$305,$S$13:$S$305))</f>
        <v>0</v>
      </c>
      <c r="AK154" s="452" t="str">
        <f>IF(U154="","",ProjParseTF(U154))</f>
        <v/>
      </c>
      <c r="AL154" s="219">
        <f>IF(E154="","",ProjCumN(AL153,E153,F153,G153,E154,F154,G154,FALSE))</f>
        <v>594.07798450230405</v>
      </c>
      <c r="AM154" s="331">
        <f>IF(E154="","",ProjCumE(AM153,E153,F153,G153,E154,F154,G154,FALSE))</f>
        <v>143.39640424879511</v>
      </c>
      <c r="AN154" s="330">
        <f t="shared" si="53"/>
        <v>358.04</v>
      </c>
      <c r="AO154" s="330" t="str">
        <f>IF(OR(E154="",E154&lt;$U$2),"",ProjActiveTargetMdEx(D154,W154,V154,ProjTargets_MD,ProjTargets_INC,ProjTargets_AZM,ProjTargets_TVD,F154,H154))</f>
        <v/>
      </c>
      <c r="AP154" s="207">
        <f>IF(OR(E154="",E154&lt;$U$2),"",ProjBitN(E154,F154,G154,AL154,D154,W154,X154))</f>
        <v>611.06555341848809</v>
      </c>
      <c r="AQ154" s="207">
        <f>IF(OR(E154="",E154&lt;$U$2),"",ProjBitE(E154,F154,G154,AM154,D154,W154,X154))</f>
        <v>142.81505900554455</v>
      </c>
      <c r="AR154" s="207" t="str">
        <f>IF(OR(E154="",E154&lt;$U$2,AO154=""),"",ProjBurr(D154,W154,X154,Q154,C154,ProjTargets_MD,ProjTargets_INC,ProjTargets_AZM,ProjTargets_TVD,V154))</f>
        <v/>
      </c>
      <c r="AS154" s="207" t="str">
        <f>IF(OR(E154="",E154&lt;$U$2,AO154=""),"",ProjMetersToSlide(D154,W154,X154,Q154,C154,ProjTargets_MD,ProjTargets_INC,ProjTargets_AZM,ProjTargets_TVD,V154))</f>
        <v/>
      </c>
      <c r="AT154" s="207" t="str">
        <f>IF(OR(E154="",E154&lt;$U$2,AO154=""),"",ProjRequiredTf(D154,W154,X154,ProjTargets_MD,ProjTargets_INC,ProjTargets_AZM,ProjTargets_TVD,5,V154))</f>
        <v/>
      </c>
    </row>
    <row r="155" spans="2:46" s="209" customFormat="1" ht="15" customHeight="1" x14ac:dyDescent="0.3">
      <c r="B155" s="208">
        <f t="shared" si="57"/>
        <v>17</v>
      </c>
      <c r="C155" s="335">
        <f t="shared" si="47"/>
        <v>28.090000000000146</v>
      </c>
      <c r="D155" s="27">
        <v>3613.7400000000002</v>
      </c>
      <c r="E155" s="336">
        <f t="shared" si="48"/>
        <v>3596.74</v>
      </c>
      <c r="F155" s="9">
        <v>89</v>
      </c>
      <c r="G155" s="9">
        <v>358.11</v>
      </c>
      <c r="H155" s="337">
        <f t="shared" si="41"/>
        <v>3082.3711982619648</v>
      </c>
      <c r="I155" s="337">
        <f t="shared" si="52"/>
        <v>2310.1211982619648</v>
      </c>
      <c r="J155" s="338">
        <f t="shared" si="49"/>
        <v>7.7740532003160417E-2</v>
      </c>
      <c r="K155" s="339">
        <f t="shared" si="50"/>
        <v>-2.1359914560337742E-2</v>
      </c>
      <c r="L155" s="339">
        <f t="shared" si="51"/>
        <v>7.4759700961189696E-2</v>
      </c>
      <c r="M155" s="339" t="str">
        <f t="shared" si="42"/>
        <v/>
      </c>
      <c r="N155" s="340">
        <f t="shared" si="43"/>
        <v>105.94765551311205</v>
      </c>
      <c r="O155" s="341" t="str">
        <f t="shared" si="44"/>
        <v>R</v>
      </c>
      <c r="P155" s="342" t="str">
        <f t="shared" si="45"/>
        <v/>
      </c>
      <c r="Q155" s="343" t="str">
        <f t="shared" si="46"/>
        <v/>
      </c>
      <c r="R155" s="10" t="str">
        <f t="shared" si="56"/>
        <v/>
      </c>
      <c r="S155" s="337" t="str">
        <f t="shared" si="39"/>
        <v/>
      </c>
      <c r="T155" s="9"/>
      <c r="U155" s="8"/>
      <c r="V155" s="202">
        <f>IF(OR(E155="",E155&lt;$U$2),"",ProjTvdAtBit(E155,F155,G155,H155,D155,W155,X155))</f>
        <v>3082.6678891713987</v>
      </c>
      <c r="W155" s="344">
        <f>IF(OR(E155="",E155&lt;$U$2),"",ProjIncAtBit(F155,J155,C155,M155,AJ155,IF(AK155="",0,AK155)))</f>
        <v>89</v>
      </c>
      <c r="X155" s="455">
        <f>IF(OR(E155="",E155&lt;$U$2),"",ProjAzmAtBit(F155,G155,J155,C155,M155,AJ155,IF(AK155="",0,AK155)))</f>
        <v>358.11</v>
      </c>
      <c r="Y155" s="461"/>
      <c r="Z155" s="206"/>
      <c r="AA155" s="512">
        <f t="shared" si="54"/>
        <v>90.429722375059583</v>
      </c>
      <c r="AB155" s="520">
        <f t="shared" si="55"/>
        <v>1.2757517380350691</v>
      </c>
      <c r="AC155" s="510"/>
      <c r="AD155" s="515"/>
      <c r="AE155" s="516"/>
      <c r="AJ155" s="452">
        <f>IF(OR(E155="",D155=""),0,ProjSlideMetersBetween(E155,D155,$R$13:$R$305,$S$13:$S$305))</f>
        <v>0</v>
      </c>
      <c r="AK155" s="452" t="str">
        <f>IF(U155="","",ProjParseTF(U155))</f>
        <v/>
      </c>
      <c r="AL155" s="219">
        <f>IF(E155="","",ProjCumN(AL154,E154,F154,G154,E155,F155,G155,FALSE))</f>
        <v>622.14793939388881</v>
      </c>
      <c r="AM155" s="331">
        <f>IF(E155="","",ProjCumE(AM154,E154,F154,G154,E155,F155,G155,FALSE))</f>
        <v>142.45296640430519</v>
      </c>
      <c r="AN155" s="330">
        <f t="shared" si="53"/>
        <v>358.11</v>
      </c>
      <c r="AO155" s="330" t="str">
        <f>IF(OR(E155="",E155&lt;$U$2),"",ProjActiveTargetMdEx(D155,W155,V155,ProjTargets_MD,ProjTargets_INC,ProjTargets_AZM,ProjTargets_TVD,F155,H155))</f>
        <v/>
      </c>
      <c r="AP155" s="207">
        <f>IF(OR(E155="",E155&lt;$U$2),"",ProjBitN(E155,F155,G155,AL155,D155,W155,X155))</f>
        <v>639.13610340571722</v>
      </c>
      <c r="AQ155" s="207">
        <f>IF(OR(E155="",E155&lt;$U$2),"",ProjBitE(E155,F155,G155,AM155,D155,W155,X155))</f>
        <v>141.892379201908</v>
      </c>
      <c r="AR155" s="207" t="str">
        <f>IF(OR(E155="",E155&lt;$U$2,AO155=""),"",ProjBurr(D155,W155,X155,Q155,C155,ProjTargets_MD,ProjTargets_INC,ProjTargets_AZM,ProjTargets_TVD,V155))</f>
        <v/>
      </c>
      <c r="AS155" s="207" t="str">
        <f>IF(OR(E155="",E155&lt;$U$2,AO155=""),"",ProjMetersToSlide(D155,W155,X155,Q155,C155,ProjTargets_MD,ProjTargets_INC,ProjTargets_AZM,ProjTargets_TVD,V155))</f>
        <v/>
      </c>
      <c r="AT155" s="207" t="str">
        <f>IF(OR(E155="",E155&lt;$U$2,AO155=""),"",ProjRequiredTf(D155,W155,X155,ProjTargets_MD,ProjTargets_INC,ProjTargets_AZM,ProjTargets_TVD,5,V155))</f>
        <v/>
      </c>
    </row>
    <row r="156" spans="2:46" s="209" customFormat="1" ht="15" customHeight="1" x14ac:dyDescent="0.3">
      <c r="B156" s="208">
        <f t="shared" si="57"/>
        <v>17</v>
      </c>
      <c r="C156" s="335">
        <f t="shared" si="47"/>
        <v>28.049999999999727</v>
      </c>
      <c r="D156" s="27">
        <v>3641.79</v>
      </c>
      <c r="E156" s="336">
        <f t="shared" si="48"/>
        <v>3624.79</v>
      </c>
      <c r="F156" s="9">
        <v>89.27</v>
      </c>
      <c r="G156" s="9">
        <v>357.88</v>
      </c>
      <c r="H156" s="337">
        <f t="shared" si="41"/>
        <v>3082.7946557753648</v>
      </c>
      <c r="I156" s="337">
        <f t="shared" si="52"/>
        <v>2310.5446557753648</v>
      </c>
      <c r="J156" s="338">
        <f t="shared" si="49"/>
        <v>0.37932173562176819</v>
      </c>
      <c r="K156" s="339">
        <f t="shared" si="50"/>
        <v>0.28877005347592971</v>
      </c>
      <c r="L156" s="339">
        <f t="shared" si="51"/>
        <v>-0.24598930481285208</v>
      </c>
      <c r="M156" s="339" t="str">
        <f t="shared" si="42"/>
        <v/>
      </c>
      <c r="N156" s="340">
        <f t="shared" si="43"/>
        <v>40.422829230383023</v>
      </c>
      <c r="O156" s="341" t="str">
        <f t="shared" si="44"/>
        <v>L</v>
      </c>
      <c r="P156" s="342" t="str">
        <f t="shared" si="45"/>
        <v/>
      </c>
      <c r="Q156" s="343" t="str">
        <f t="shared" si="46"/>
        <v/>
      </c>
      <c r="R156" s="10">
        <f t="shared" si="56"/>
        <v>3641.79</v>
      </c>
      <c r="S156" s="337">
        <f t="shared" si="39"/>
        <v>3643.79</v>
      </c>
      <c r="T156" s="9">
        <v>2</v>
      </c>
      <c r="U156" s="8" t="s">
        <v>785</v>
      </c>
      <c r="V156" s="202">
        <f>IF(OR(E156="",E156&lt;$U$2),"",ProjTvdAtBit(E156,F156,G156,H156,D156,W156,X156))</f>
        <v>3083.0112452755748</v>
      </c>
      <c r="W156" s="344">
        <f>IF(OR(E156="",E156&lt;$U$2),"",ProjIncAtBit(F156,J156,C156,M156,AJ156,IF(AK156="",0,AK156)))</f>
        <v>89.27</v>
      </c>
      <c r="X156" s="455">
        <f>IF(OR(E156="",E156&lt;$U$2),"",ProjAzmAtBit(F156,G156,J156,C156,M156,AJ156,IF(AK156="",0,AK156)))</f>
        <v>357.88</v>
      </c>
      <c r="Y156" s="461"/>
      <c r="Z156" s="206"/>
      <c r="AA156" s="512">
        <f t="shared" si="54"/>
        <v>90.429722375059583</v>
      </c>
      <c r="AB156" s="520">
        <f t="shared" si="55"/>
        <v>0.64191922463533047</v>
      </c>
      <c r="AC156" s="510"/>
      <c r="AD156" s="515"/>
      <c r="AE156" s="516"/>
      <c r="AJ156" s="452">
        <f>IF(OR(E156="",D156=""),0,ProjSlideMetersBetween(E156,D156,$R$13:$R$305,$S$13:$S$305))</f>
        <v>0</v>
      </c>
      <c r="AK156" s="452" t="e">
        <f>IF(U156="","",ProjParseTF(U156))</f>
        <v>#VALUE!</v>
      </c>
      <c r="AL156" s="219">
        <f>IF(E156="","",ProjCumN(AL155,E155,F155,G155,E156,F156,G156,FALSE))</f>
        <v>650.17752713010339</v>
      </c>
      <c r="AM156" s="331">
        <f>IF(E156="","",ProjCumE(AM155,E155,F155,G155,E156,F156,G156,FALSE))</f>
        <v>141.47170059488963</v>
      </c>
      <c r="AN156" s="330">
        <f t="shared" si="53"/>
        <v>357.88</v>
      </c>
      <c r="AO156" s="330" t="str">
        <f>IF(OR(E156="",E156&lt;$U$2),"",ProjActiveTargetMdEx(D156,W156,V156,ProjTargets_MD,ProjTargets_INC,ProjTargets_AZM,ProjTargets_TVD,F156,H156))</f>
        <v/>
      </c>
      <c r="AP156" s="207">
        <f>IF(OR(E156="",E156&lt;$U$2),"",ProjBitN(E156,F156,G156,AL156,D156,W156,X156))</f>
        <v>667.16451249397596</v>
      </c>
      <c r="AQ156" s="207">
        <f>IF(OR(E156="",E156&lt;$U$2),"",ProjBitE(E156,F156,G156,AM156,D156,W156,X156))</f>
        <v>140.84287849287927</v>
      </c>
      <c r="AR156" s="207" t="str">
        <f>IF(OR(E156="",E156&lt;$U$2,AO156=""),"",ProjBurr(D156,W156,X156,Q156,C156,ProjTargets_MD,ProjTargets_INC,ProjTargets_AZM,ProjTargets_TVD,V156))</f>
        <v/>
      </c>
      <c r="AS156" s="207" t="str">
        <f>IF(OR(E156="",E156&lt;$U$2,AO156=""),"",ProjMetersToSlide(D156,W156,X156,Q156,C156,ProjTargets_MD,ProjTargets_INC,ProjTargets_AZM,ProjTargets_TVD,V156))</f>
        <v/>
      </c>
      <c r="AT156" s="207" t="str">
        <f>IF(OR(E156="",E156&lt;$U$2,AO156=""),"",ProjRequiredTf(D156,W156,X156,ProjTargets_MD,ProjTargets_INC,ProjTargets_AZM,ProjTargets_TVD,5,V156))</f>
        <v/>
      </c>
    </row>
    <row r="157" spans="2:46" s="209" customFormat="1" ht="15" customHeight="1" x14ac:dyDescent="0.3">
      <c r="B157" s="208">
        <f t="shared" si="57"/>
        <v>17</v>
      </c>
      <c r="C157" s="335">
        <f t="shared" si="47"/>
        <v>28.079999999999927</v>
      </c>
      <c r="D157" s="27">
        <v>3669.87</v>
      </c>
      <c r="E157" s="336">
        <f t="shared" si="48"/>
        <v>3652.87</v>
      </c>
      <c r="F157" s="9">
        <v>91.51</v>
      </c>
      <c r="G157" s="9">
        <v>358.11</v>
      </c>
      <c r="H157" s="337">
        <f t="shared" si="41"/>
        <v>3082.6035227542675</v>
      </c>
      <c r="I157" s="337">
        <f t="shared" si="52"/>
        <v>2310.3535227542675</v>
      </c>
      <c r="J157" s="338">
        <f t="shared" si="49"/>
        <v>2.4057425592583543</v>
      </c>
      <c r="K157" s="339">
        <f t="shared" si="50"/>
        <v>2.3931623931624091</v>
      </c>
      <c r="L157" s="339">
        <f t="shared" si="51"/>
        <v>0.24572649572651581</v>
      </c>
      <c r="M157" s="339">
        <f t="shared" si="42"/>
        <v>2</v>
      </c>
      <c r="N157" s="340">
        <f t="shared" si="43"/>
        <v>5.8619981333124578</v>
      </c>
      <c r="O157" s="341" t="str">
        <f t="shared" si="44"/>
        <v>R</v>
      </c>
      <c r="P157" s="342">
        <f t="shared" si="45"/>
        <v>1.1200000000000045</v>
      </c>
      <c r="Q157" s="343">
        <f t="shared" si="46"/>
        <v>33.776625531987207</v>
      </c>
      <c r="R157" s="10">
        <v>3691</v>
      </c>
      <c r="S157" s="337">
        <f t="shared" si="39"/>
        <v>3696</v>
      </c>
      <c r="T157" s="9">
        <v>5</v>
      </c>
      <c r="U157" s="8" t="s">
        <v>786</v>
      </c>
      <c r="V157" s="202">
        <f>IF(OR(E157="",E157&lt;$U$2),"",ProjTvdAtBit(E157,F157,G157,H157,D157,W157,X157))</f>
        <v>3082.1555485968356</v>
      </c>
      <c r="W157" s="344">
        <f>IF(OR(E157="",E157&lt;$U$2),"",ProjIncAtBit(F157,J157,C157,M157,AJ157,IF(AK157="",0,AK157)))</f>
        <v>91.51</v>
      </c>
      <c r="X157" s="455">
        <f>IF(OR(E157="",E157&lt;$U$2),"",ProjAzmAtBit(F157,G157,J157,C157,M157,AJ157,IF(AK157="",0,AK157)))</f>
        <v>358.11</v>
      </c>
      <c r="Y157" s="461"/>
      <c r="Z157" s="206"/>
      <c r="AA157" s="512">
        <f t="shared" si="54"/>
        <v>90.429722375059583</v>
      </c>
      <c r="AB157" s="520">
        <f t="shared" si="55"/>
        <v>0.62245224573234736</v>
      </c>
      <c r="AC157" s="510"/>
      <c r="AD157" s="515"/>
      <c r="AE157" s="516"/>
      <c r="AJ157" s="452">
        <f>IF(OR(E157="",D157=""),0,ProjSlideMetersBetween(E157,D157,$R$13:$R$305,$S$13:$S$305))</f>
        <v>0</v>
      </c>
      <c r="AK157" s="452">
        <f>IF(U157="","",ProjParseTF(U157))</f>
        <v>160</v>
      </c>
      <c r="AL157" s="219">
        <f>IF(E157="","",ProjCumN(AL156,E156,F156,G156,E157,F157,G157,FALSE))</f>
        <v>678.23787960495292</v>
      </c>
      <c r="AM157" s="331">
        <f>IF(E157="","",ProjCumE(AM156,E156,F156,G156,E157,F157,G157,FALSE))</f>
        <v>140.48935226882662</v>
      </c>
      <c r="AN157" s="330">
        <f t="shared" si="53"/>
        <v>358.11</v>
      </c>
      <c r="AO157" s="330" t="str">
        <f>IF(OR(E157="",E157&lt;$U$2),"",ProjActiveTargetMdEx(D157,W157,V157,ProjTargets_MD,ProjTargets_INC,ProjTargets_AZM,ProjTargets_TVD,F157,H157))</f>
        <v/>
      </c>
      <c r="AP157" s="207">
        <f>IF(OR(E157="",E157&lt;$U$2),"",ProjBitN(E157,F157,G157,AL157,D157,W157,X157))</f>
        <v>695.22273119927968</v>
      </c>
      <c r="AQ157" s="207">
        <f>IF(OR(E157="",E157&lt;$U$2),"",ProjBitE(E157,F157,G157,AM157,D157,W157,X157))</f>
        <v>139.92887437187639</v>
      </c>
      <c r="AR157" s="207" t="str">
        <f>IF(OR(E157="",E157&lt;$U$2,AO157=""),"",ProjBurr(D157,W157,X157,Q157,C157,ProjTargets_MD,ProjTargets_INC,ProjTargets_AZM,ProjTargets_TVD,V157))</f>
        <v/>
      </c>
      <c r="AS157" s="207" t="str">
        <f>IF(OR(E157="",E157&lt;$U$2,AO157=""),"",ProjMetersToSlide(D157,W157,X157,Q157,C157,ProjTargets_MD,ProjTargets_INC,ProjTargets_AZM,ProjTargets_TVD,V157))</f>
        <v/>
      </c>
      <c r="AT157" s="207" t="str">
        <f>IF(OR(E157="",E157&lt;$U$2,AO157=""),"",ProjRequiredTf(D157,W157,X157,ProjTargets_MD,ProjTargets_INC,ProjTargets_AZM,ProjTargets_TVD,5,V157))</f>
        <v/>
      </c>
    </row>
    <row r="158" spans="2:46" s="209" customFormat="1" ht="15" customHeight="1" x14ac:dyDescent="0.3">
      <c r="B158" s="208">
        <f t="shared" si="57"/>
        <v>17</v>
      </c>
      <c r="C158" s="335">
        <f t="shared" si="47"/>
        <v>28.100000000000364</v>
      </c>
      <c r="D158" s="27">
        <v>3697.9700000000003</v>
      </c>
      <c r="E158" s="336">
        <f t="shared" si="48"/>
        <v>3680.97</v>
      </c>
      <c r="F158" s="9">
        <v>93.04</v>
      </c>
      <c r="G158" s="9">
        <v>357.92</v>
      </c>
      <c r="H158" s="337">
        <f t="shared" si="41"/>
        <v>3081.488070551587</v>
      </c>
      <c r="I158" s="337">
        <f t="shared" si="52"/>
        <v>2309.238070551587</v>
      </c>
      <c r="J158" s="338">
        <f t="shared" si="49"/>
        <v>1.6459784025627182</v>
      </c>
      <c r="K158" s="339">
        <f t="shared" si="50"/>
        <v>1.6334519572953803</v>
      </c>
      <c r="L158" s="339">
        <f t="shared" si="51"/>
        <v>-0.20284697508896621</v>
      </c>
      <c r="M158" s="339" t="str">
        <f t="shared" si="42"/>
        <v/>
      </c>
      <c r="N158" s="340">
        <f t="shared" si="43"/>
        <v>7.0731895867622585</v>
      </c>
      <c r="O158" s="341" t="str">
        <f t="shared" si="44"/>
        <v>L</v>
      </c>
      <c r="P158" s="342" t="str">
        <f t="shared" si="45"/>
        <v/>
      </c>
      <c r="Q158" s="343" t="str">
        <f t="shared" si="46"/>
        <v/>
      </c>
      <c r="R158" s="10">
        <v>3703</v>
      </c>
      <c r="S158" s="337">
        <f t="shared" si="39"/>
        <v>3707</v>
      </c>
      <c r="T158" s="9">
        <v>4</v>
      </c>
      <c r="U158" s="8" t="s">
        <v>770</v>
      </c>
      <c r="V158" s="202">
        <f>IF(OR(E158="",E158&lt;$U$2),"",ProjTvdAtBit(E158,F158,G158,H158,D158,W158,X158))</f>
        <v>3080.5865075393322</v>
      </c>
      <c r="W158" s="344">
        <f>IF(OR(E158="",E158&lt;$U$2),"",ProjIncAtBit(F158,J158,C158,M158,AJ158,IF(AK158="",0,AK158)))</f>
        <v>93.04</v>
      </c>
      <c r="X158" s="455">
        <f>IF(OR(E158="",E158&lt;$U$2),"",ProjAzmAtBit(F158,G158,J158,C158,M158,AJ158,IF(AK158="",0,AK158)))</f>
        <v>357.92</v>
      </c>
      <c r="Y158" s="461"/>
      <c r="Z158" s="206"/>
      <c r="AA158" s="512">
        <f t="shared" si="54"/>
        <v>90.429722375059583</v>
      </c>
      <c r="AB158" s="520">
        <f t="shared" si="55"/>
        <v>1.5271544484130573</v>
      </c>
      <c r="AC158" s="510"/>
      <c r="AD158" s="515"/>
      <c r="AE158" s="516"/>
      <c r="AJ158" s="452">
        <f>IF(OR(E158="",D158=""),0,ProjSlideMetersBetween(E158,D158,$R$13:$R$305,$S$13:$S$305))</f>
        <v>5</v>
      </c>
      <c r="AK158" s="452">
        <f>IF(U158="","",ProjParseTF(U158))</f>
        <v>180</v>
      </c>
      <c r="AL158" s="219">
        <f>IF(E158="","",ProjCumN(AL157,E157,F157,G157,E158,F158,G158,FALSE))</f>
        <v>706.29803702386755</v>
      </c>
      <c r="AM158" s="331">
        <f>IF(E158="","",ProjCumE(AM157,E157,F157,G157,E158,F158,G158,FALSE))</f>
        <v>139.51684971250663</v>
      </c>
      <c r="AN158" s="330">
        <f t="shared" si="53"/>
        <v>357.92</v>
      </c>
      <c r="AO158" s="330" t="str">
        <f>IF(OR(E158="",E158&lt;$U$2),"",ProjActiveTargetMdEx(D158,W158,V158,ProjTargets_MD,ProjTargets_INC,ProjTargets_AZM,ProjTargets_TVD,F158,H158))</f>
        <v/>
      </c>
      <c r="AP158" s="207">
        <f>IF(OR(E158="",E158&lt;$U$2),"",ProjBitN(E158,F158,G158,AL158,D158,W158,X158))</f>
        <v>723.26292871177975</v>
      </c>
      <c r="AQ158" s="207">
        <f>IF(OR(E158="",E158&lt;$U$2),"",ProjBitE(E158,F158,G158,AM158,D158,W158,X158))</f>
        <v>138.90070512528899</v>
      </c>
      <c r="AR158" s="207" t="str">
        <f>IF(OR(E158="",E158&lt;$U$2,AO158=""),"",ProjBurr(D158,W158,X158,Q158,C158,ProjTargets_MD,ProjTargets_INC,ProjTargets_AZM,ProjTargets_TVD,V158))</f>
        <v/>
      </c>
      <c r="AS158" s="207" t="str">
        <f>IF(OR(E158="",E158&lt;$U$2,AO158=""),"",ProjMetersToSlide(D158,W158,X158,Q158,C158,ProjTargets_MD,ProjTargets_INC,ProjTargets_AZM,ProjTargets_TVD,V158))</f>
        <v/>
      </c>
      <c r="AT158" s="207" t="str">
        <f>IF(OR(E158="",E158&lt;$U$2,AO158=""),"",ProjRequiredTf(D158,W158,X158,ProjTargets_MD,ProjTargets_INC,ProjTargets_AZM,ProjTargets_TVD,5,V158))</f>
        <v/>
      </c>
    </row>
    <row r="159" spans="2:46" s="209" customFormat="1" ht="15" customHeight="1" x14ac:dyDescent="0.3">
      <c r="B159" s="208">
        <f t="shared" si="57"/>
        <v>17</v>
      </c>
      <c r="C159" s="335">
        <f t="shared" si="47"/>
        <v>28.099999999999909</v>
      </c>
      <c r="D159" s="27">
        <v>3726.07</v>
      </c>
      <c r="E159" s="336">
        <f t="shared" si="48"/>
        <v>3709.07</v>
      </c>
      <c r="F159" s="9">
        <v>90.01</v>
      </c>
      <c r="G159" s="9">
        <v>359.07</v>
      </c>
      <c r="H159" s="337">
        <f t="shared" si="41"/>
        <v>3080.7402416380678</v>
      </c>
      <c r="I159" s="337">
        <f t="shared" si="52"/>
        <v>2308.4902416380678</v>
      </c>
      <c r="J159" s="338">
        <f t="shared" si="49"/>
        <v>3.4598250517306344</v>
      </c>
      <c r="K159" s="339">
        <f t="shared" si="50"/>
        <v>-3.2348754448398171</v>
      </c>
      <c r="L159" s="339">
        <f t="shared" si="51"/>
        <v>1.2277580071173975</v>
      </c>
      <c r="M159" s="339">
        <f t="shared" si="42"/>
        <v>9</v>
      </c>
      <c r="N159" s="340">
        <f t="shared" si="43"/>
        <v>159.22529774256699</v>
      </c>
      <c r="O159" s="341" t="str">
        <f t="shared" si="44"/>
        <v>R</v>
      </c>
      <c r="P159" s="342">
        <f t="shared" si="45"/>
        <v>-0.33666666666666678</v>
      </c>
      <c r="Q159" s="343">
        <f t="shared" si="46"/>
        <v>10.802342661514501</v>
      </c>
      <c r="R159" s="10">
        <f t="shared" si="56"/>
        <v>3726.07</v>
      </c>
      <c r="S159" s="337">
        <f t="shared" si="39"/>
        <v>3729.07</v>
      </c>
      <c r="T159" s="9">
        <v>3</v>
      </c>
      <c r="U159" s="8" t="s">
        <v>770</v>
      </c>
      <c r="V159" s="202">
        <f>IF(OR(E159="",E159&lt;$U$2),"",ProjTvdAtBit(E159,F159,G159,H159,D159,W159,X159))</f>
        <v>3080.7372745783546</v>
      </c>
      <c r="W159" s="344">
        <f>IF(OR(E159="",E159&lt;$U$2),"",ProjIncAtBit(F159,J159,C159,M159,AJ159,IF(AK159="",0,AK159)))</f>
        <v>90.01</v>
      </c>
      <c r="X159" s="455">
        <f>IF(OR(E159="",E159&lt;$U$2),"",ProjAzmAtBit(F159,G159,J159,C159,M159,AJ159,IF(AK159="",0,AK159)))</f>
        <v>359.07</v>
      </c>
      <c r="Y159" s="461"/>
      <c r="Z159" s="206"/>
      <c r="AA159" s="512">
        <f t="shared" si="54"/>
        <v>91.575832599752175</v>
      </c>
      <c r="AB159" s="520">
        <f t="shared" si="55"/>
        <v>1.5428333619320256</v>
      </c>
      <c r="AC159" s="510"/>
      <c r="AD159" s="515"/>
      <c r="AE159" s="516"/>
      <c r="AJ159" s="452">
        <f>IF(OR(E159="",D159=""),0,ProjSlideMetersBetween(E159,D159,$R$13:$R$305,$S$13:$S$305))</f>
        <v>0</v>
      </c>
      <c r="AK159" s="452">
        <f>IF(U159="","",ProjParseTF(U159))</f>
        <v>180</v>
      </c>
      <c r="AL159" s="219">
        <f>IF(E159="","",ProjCumN(AL158,E158,F158,G158,E159,F159,G159,FALSE))</f>
        <v>734.37465551482683</v>
      </c>
      <c r="AM159" s="331">
        <f>IF(E159="","",ProjCumE(AM158,E158,F158,G158,E159,F159,G159,FALSE))</f>
        <v>138.77938428863243</v>
      </c>
      <c r="AN159" s="330">
        <f t="shared" si="53"/>
        <v>359.07</v>
      </c>
      <c r="AO159" s="330" t="str">
        <f>IF(OR(E159="",E159&lt;$U$2),"",ProjActiveTargetMdEx(D159,W159,V159,ProjTargets_MD,ProjTargets_INC,ProjTargets_AZM,ProjTargets_TVD,F159,H159))</f>
        <v/>
      </c>
      <c r="AP159" s="207">
        <f>IF(OR(E159="",E159&lt;$U$2),"",ProjBitN(E159,F159,G159,AL159,D159,W159,X159))</f>
        <v>751.37241586444907</v>
      </c>
      <c r="AQ159" s="207">
        <f>IF(OR(E159="",E159&lt;$U$2),"",ProjBitE(E159,F159,G159,AM159,D159,W159,X159))</f>
        <v>138.50345985447495</v>
      </c>
      <c r="AR159" s="207" t="str">
        <f>IF(OR(E159="",E159&lt;$U$2,AO159=""),"",ProjBurr(D159,W159,X159,Q159,C159,ProjTargets_MD,ProjTargets_INC,ProjTargets_AZM,ProjTargets_TVD,V159))</f>
        <v/>
      </c>
      <c r="AS159" s="207" t="str">
        <f>IF(OR(E159="",E159&lt;$U$2,AO159=""),"",ProjMetersToSlide(D159,W159,X159,Q159,C159,ProjTargets_MD,ProjTargets_INC,ProjTargets_AZM,ProjTargets_TVD,V159))</f>
        <v/>
      </c>
      <c r="AT159" s="207" t="str">
        <f>IF(OR(E159="",E159&lt;$U$2,AO159=""),"",ProjRequiredTf(D159,W159,X159,ProjTargets_MD,ProjTargets_INC,ProjTargets_AZM,ProjTargets_TVD,5,V159))</f>
        <v/>
      </c>
    </row>
    <row r="160" spans="2:46" s="209" customFormat="1" ht="15" customHeight="1" x14ac:dyDescent="0.3">
      <c r="B160" s="208">
        <f t="shared" si="57"/>
        <v>17</v>
      </c>
      <c r="C160" s="335">
        <f t="shared" si="47"/>
        <v>28.699999999999818</v>
      </c>
      <c r="D160" s="27">
        <v>3754.77</v>
      </c>
      <c r="E160" s="336">
        <f t="shared" si="48"/>
        <v>3737.77</v>
      </c>
      <c r="F160" s="9">
        <v>88.02</v>
      </c>
      <c r="G160" s="9">
        <v>359.49</v>
      </c>
      <c r="H160" s="337">
        <f t="shared" si="41"/>
        <v>3081.2336131876727</v>
      </c>
      <c r="I160" s="337">
        <f t="shared" si="52"/>
        <v>2308.9836131876727</v>
      </c>
      <c r="J160" s="338">
        <f t="shared" si="49"/>
        <v>2.1259458786348993</v>
      </c>
      <c r="K160" s="339">
        <f t="shared" si="50"/>
        <v>-2.0801393728223223</v>
      </c>
      <c r="L160" s="339">
        <f t="shared" si="51"/>
        <v>0.43902439024392187</v>
      </c>
      <c r="M160" s="339">
        <f t="shared" si="42"/>
        <v>3</v>
      </c>
      <c r="N160" s="340">
        <f t="shared" si="43"/>
        <v>168.08461718837754</v>
      </c>
      <c r="O160" s="341" t="str">
        <f t="shared" si="44"/>
        <v>R</v>
      </c>
      <c r="P160" s="342">
        <f t="shared" si="45"/>
        <v>-0.66333333333333633</v>
      </c>
      <c r="Q160" s="343">
        <f t="shared" si="46"/>
        <v>20.338215572273743</v>
      </c>
      <c r="R160" s="10" t="str">
        <f t="shared" si="56"/>
        <v/>
      </c>
      <c r="S160" s="337" t="str">
        <f t="shared" si="39"/>
        <v/>
      </c>
      <c r="T160" s="9"/>
      <c r="U160" s="8"/>
      <c r="V160" s="202">
        <f>IF(OR(E160="",E160&lt;$U$2),"",ProjTvdAtBit(E160,F160,G160,H160,D160,W160,X160))</f>
        <v>3081.8209740910388</v>
      </c>
      <c r="W160" s="344">
        <f>IF(OR(E160="",E160&lt;$U$2),"",ProjIncAtBit(F160,J160,C160,M160,AJ160,IF(AK160="",0,AK160)))</f>
        <v>88.02</v>
      </c>
      <c r="X160" s="455">
        <f>IF(OR(E160="",E160&lt;$U$2),"",ProjAzmAtBit(F160,G160,J160,C160,M160,AJ160,IF(AK160="",0,AK160)))</f>
        <v>359.49</v>
      </c>
      <c r="Y160" s="461"/>
      <c r="Z160" s="206"/>
      <c r="AA160" s="512">
        <f t="shared" si="54"/>
        <v>91.575832599752175</v>
      </c>
      <c r="AB160" s="520">
        <f t="shared" si="55"/>
        <v>0.26021181232727031</v>
      </c>
      <c r="AC160" s="510"/>
      <c r="AD160" s="515"/>
      <c r="AE160" s="516"/>
      <c r="AJ160" s="452">
        <f>IF(OR(E160="",D160=""),0,ProjSlideMetersBetween(E160,D160,$R$13:$R$305,$S$13:$S$305))</f>
        <v>0</v>
      </c>
      <c r="AK160" s="452" t="str">
        <f>IF(U160="","",ProjParseTF(U160))</f>
        <v/>
      </c>
      <c r="AL160" s="219">
        <f>IF(E160="","",ProjCumN(AL159,E159,F159,G159,E160,F160,G160,FALSE))</f>
        <v>763.06664194651978</v>
      </c>
      <c r="AM160" s="331">
        <f>IF(E160="","",ProjCumE(AM159,E159,F159,G159,E160,F160,G160,FALSE))</f>
        <v>138.41877976632756</v>
      </c>
      <c r="AN160" s="330">
        <f t="shared" si="53"/>
        <v>359.49</v>
      </c>
      <c r="AO160" s="330" t="str">
        <f>IF(OR(E160="",E160&lt;$U$2),"",ProjActiveTargetMdEx(D160,W160,V160,ProjTargets_MD,ProjTargets_INC,ProjTargets_AZM,ProjTargets_TVD,F160,H160))</f>
        <v/>
      </c>
      <c r="AP160" s="207">
        <f>IF(OR(E160="",E160&lt;$U$2),"",ProjBitN(E160,F160,G160,AL160,D160,W160,X160))</f>
        <v>780.05581901166818</v>
      </c>
      <c r="AQ160" s="207">
        <f>IF(OR(E160="",E160&lt;$U$2),"",ProjBitE(E160,F160,G160,AM160,D160,W160,X160))</f>
        <v>138.26755206306728</v>
      </c>
      <c r="AR160" s="207" t="str">
        <f>IF(OR(E160="",E160&lt;$U$2,AO160=""),"",ProjBurr(D160,W160,X160,Q160,C160,ProjTargets_MD,ProjTargets_INC,ProjTargets_AZM,ProjTargets_TVD,V160))</f>
        <v/>
      </c>
      <c r="AS160" s="207" t="str">
        <f>IF(OR(E160="",E160&lt;$U$2,AO160=""),"",ProjMetersToSlide(D160,W160,X160,Q160,C160,ProjTargets_MD,ProjTargets_INC,ProjTargets_AZM,ProjTargets_TVD,V160))</f>
        <v/>
      </c>
      <c r="AT160" s="207" t="str">
        <f>IF(OR(E160="",E160&lt;$U$2,AO160=""),"",ProjRequiredTf(D160,W160,X160,ProjTargets_MD,ProjTargets_INC,ProjTargets_AZM,ProjTargets_TVD,5,V160))</f>
        <v/>
      </c>
    </row>
    <row r="161" spans="2:46" s="209" customFormat="1" ht="15" customHeight="1" x14ac:dyDescent="0.3">
      <c r="B161" s="208">
        <f t="shared" si="57"/>
        <v>17</v>
      </c>
      <c r="C161" s="335">
        <f t="shared" si="47"/>
        <v>28.75</v>
      </c>
      <c r="D161" s="27">
        <v>3783.52</v>
      </c>
      <c r="E161" s="336">
        <f t="shared" si="48"/>
        <v>3766.52</v>
      </c>
      <c r="F161" s="9">
        <v>87.69</v>
      </c>
      <c r="G161" s="9">
        <v>359.24</v>
      </c>
      <c r="H161" s="337">
        <f t="shared" si="41"/>
        <v>3082.3096845179352</v>
      </c>
      <c r="I161" s="337">
        <f t="shared" si="52"/>
        <v>2310.0596845179352</v>
      </c>
      <c r="J161" s="338">
        <f t="shared" si="49"/>
        <v>0.43189446788528729</v>
      </c>
      <c r="K161" s="339">
        <f t="shared" si="50"/>
        <v>-0.34434782608695474</v>
      </c>
      <c r="L161" s="339">
        <f t="shared" si="51"/>
        <v>-0.2608695652173913</v>
      </c>
      <c r="M161" s="339" t="str">
        <f t="shared" si="42"/>
        <v/>
      </c>
      <c r="N161" s="340">
        <f t="shared" si="43"/>
        <v>142.87268042412438</v>
      </c>
      <c r="O161" s="341" t="str">
        <f t="shared" si="44"/>
        <v>L</v>
      </c>
      <c r="P161" s="342" t="str">
        <f t="shared" si="45"/>
        <v/>
      </c>
      <c r="Q161" s="343" t="str">
        <f t="shared" si="46"/>
        <v/>
      </c>
      <c r="R161" s="10">
        <f t="shared" si="56"/>
        <v>3783.52</v>
      </c>
      <c r="S161" s="337">
        <f t="shared" si="39"/>
        <v>3787.52</v>
      </c>
      <c r="T161" s="9">
        <v>4</v>
      </c>
      <c r="U161" s="8" t="s">
        <v>433</v>
      </c>
      <c r="V161" s="202">
        <f>IF(OR(E161="",E161&lt;$U$2),"",ProjTvdAtBit(E161,F161,G161,H161,D161,W161,X161))</f>
        <v>3082.9948896500332</v>
      </c>
      <c r="W161" s="344">
        <f>IF(OR(E161="",E161&lt;$U$2),"",ProjIncAtBit(F161,J161,C161,M161,AJ161,IF(AK161="",0,AK161)))</f>
        <v>87.69</v>
      </c>
      <c r="X161" s="455">
        <f>IF(OR(E161="",E161&lt;$U$2),"",ProjAzmAtBit(F161,G161,J161,C161,M161,AJ161,IF(AK161="",0,AK161)))</f>
        <v>359.24</v>
      </c>
      <c r="Y161" s="461"/>
      <c r="Z161" s="206"/>
      <c r="AA161" s="512">
        <f t="shared" si="54"/>
        <v>91.575832599752175</v>
      </c>
      <c r="AB161" s="520">
        <f t="shared" si="55"/>
        <v>-1.6064845179353142</v>
      </c>
      <c r="AC161" s="510"/>
      <c r="AD161" s="515"/>
      <c r="AE161" s="516"/>
      <c r="AJ161" s="452">
        <f>IF(OR(E161="",D161=""),0,ProjSlideMetersBetween(E161,D161,$R$13:$R$305,$S$13:$S$305))</f>
        <v>0</v>
      </c>
      <c r="AK161" s="452">
        <f>IF(U161="","",ProjParseTF(U161))</f>
        <v>20</v>
      </c>
      <c r="AL161" s="219">
        <f>IF(E161="","",ProjCumN(AL160,E160,F160,G160,E161,F161,G161,FALSE))</f>
        <v>791.79467008142979</v>
      </c>
      <c r="AM161" s="331">
        <f>IF(E161="","",ProjCumE(AM160,E160,F160,G160,E161,F161,G161,FALSE))</f>
        <v>138.10038533009703</v>
      </c>
      <c r="AN161" s="330">
        <f t="shared" si="53"/>
        <v>359.24</v>
      </c>
      <c r="AO161" s="330" t="str">
        <f>IF(OR(E161="",E161&lt;$U$2),"",ProjActiveTargetMdEx(D161,W161,V161,ProjTargets_MD,ProjTargets_INC,ProjTargets_AZM,ProjTargets_TVD,F161,H161))</f>
        <v/>
      </c>
      <c r="AP161" s="207">
        <f>IF(OR(E161="",E161&lt;$U$2),"",ProjBitN(E161,F161,G161,AL161,D161,W161,X161))</f>
        <v>808.77936115378054</v>
      </c>
      <c r="AQ161" s="207">
        <f>IF(OR(E161="",E161&lt;$U$2),"",ProjBitE(E161,F161,G161,AM161,D161,W161,X161))</f>
        <v>137.87507864187691</v>
      </c>
      <c r="AR161" s="207" t="str">
        <f>IF(OR(E161="",E161&lt;$U$2,AO161=""),"",ProjBurr(D161,W161,X161,Q161,C161,ProjTargets_MD,ProjTargets_INC,ProjTargets_AZM,ProjTargets_TVD,V161))</f>
        <v/>
      </c>
      <c r="AS161" s="207" t="str">
        <f>IF(OR(E161="",E161&lt;$U$2,AO161=""),"",ProjMetersToSlide(D161,W161,X161,Q161,C161,ProjTargets_MD,ProjTargets_INC,ProjTargets_AZM,ProjTargets_TVD,V161))</f>
        <v/>
      </c>
      <c r="AT161" s="207" t="str">
        <f>IF(OR(E161="",E161&lt;$U$2,AO161=""),"",ProjRequiredTf(D161,W161,X161,ProjTargets_MD,ProjTargets_INC,ProjTargets_AZM,ProjTargets_TVD,5,V161))</f>
        <v/>
      </c>
    </row>
    <row r="162" spans="2:46" s="209" customFormat="1" ht="15" customHeight="1" x14ac:dyDescent="0.3">
      <c r="B162" s="208">
        <f t="shared" si="57"/>
        <v>17</v>
      </c>
      <c r="C162" s="335">
        <f t="shared" si="47"/>
        <v>28.829999999999927</v>
      </c>
      <c r="D162" s="27">
        <v>3812.35</v>
      </c>
      <c r="E162" s="336">
        <f t="shared" si="48"/>
        <v>3795.35</v>
      </c>
      <c r="F162" s="9">
        <v>89.16</v>
      </c>
      <c r="G162" s="9">
        <v>0.43</v>
      </c>
      <c r="H162" s="337">
        <f t="shared" si="41"/>
        <v>3083.1020907300649</v>
      </c>
      <c r="I162" s="337">
        <f t="shared" si="52"/>
        <v>2310.8520907300649</v>
      </c>
      <c r="J162" s="338">
        <f t="shared" si="49"/>
        <v>1.9677340580500469</v>
      </c>
      <c r="K162" s="339">
        <f t="shared" si="50"/>
        <v>1.5296566077003149</v>
      </c>
      <c r="L162" s="339">
        <f t="shared" si="51"/>
        <v>1.2382934443288178</v>
      </c>
      <c r="M162" s="339">
        <f t="shared" si="42"/>
        <v>4</v>
      </c>
      <c r="N162" s="340">
        <f t="shared" si="43"/>
        <v>38.979635990631898</v>
      </c>
      <c r="O162" s="341" t="str">
        <f t="shared" si="44"/>
        <v>R</v>
      </c>
      <c r="P162" s="342">
        <f t="shared" si="45"/>
        <v>0.36749999999999972</v>
      </c>
      <c r="Q162" s="343">
        <f t="shared" si="46"/>
        <v>14.182443223395676</v>
      </c>
      <c r="R162" s="10" t="str">
        <f t="shared" si="56"/>
        <v/>
      </c>
      <c r="S162" s="337" t="str">
        <f t="shared" si="39"/>
        <v/>
      </c>
      <c r="T162" s="9"/>
      <c r="U162" s="8"/>
      <c r="V162" s="202">
        <f>IF(OR(E162="",E162&lt;$U$2),"",ProjTvdAtBit(E162,F162,G162,H162,D162,W162,X162))</f>
        <v>3083.3513148190691</v>
      </c>
      <c r="W162" s="344">
        <f>IF(OR(E162="",E162&lt;$U$2),"",ProjIncAtBit(F162,J162,C162,M162,AJ162,IF(AK162="",0,AK162)))</f>
        <v>89.16</v>
      </c>
      <c r="X162" s="455">
        <f>IF(OR(E162="",E162&lt;$U$2),"",ProjAzmAtBit(F162,G162,J162,C162,M162,AJ162,IF(AK162="",0,AK162)))</f>
        <v>0.43</v>
      </c>
      <c r="Y162" s="461"/>
      <c r="Z162" s="206"/>
      <c r="AA162" s="512">
        <f t="shared" si="54"/>
        <v>91.575832599752175</v>
      </c>
      <c r="AB162" s="520">
        <f t="shared" si="55"/>
        <v>-3.1917157300649706</v>
      </c>
      <c r="AC162" s="510"/>
      <c r="AD162" s="515"/>
      <c r="AE162" s="516"/>
      <c r="AJ162" s="452">
        <f>IF(OR(E162="",D162=""),0,ProjSlideMetersBetween(E162,D162,$R$13:$R$305,$S$13:$S$305))</f>
        <v>0</v>
      </c>
      <c r="AK162" s="452" t="str">
        <f>IF(U162="","",ProjParseTF(U162))</f>
        <v/>
      </c>
      <c r="AL162" s="219">
        <f>IF(E162="","",ProjCumN(AL161,E161,F161,G161,E162,F162,G162,FALSE))</f>
        <v>820.61234985801252</v>
      </c>
      <c r="AM162" s="331">
        <f>IF(E162="","",ProjCumE(AM161,E161,F161,G161,E162,F162,G162,FALSE))</f>
        <v>138.01750170758314</v>
      </c>
      <c r="AN162" s="330">
        <f t="shared" si="53"/>
        <v>0.43</v>
      </c>
      <c r="AO162" s="330" t="str">
        <f>IF(OR(E162="",E162&lt;$U$2),"",ProjActiveTargetMdEx(D162,W162,V162,ProjTargets_MD,ProjTargets_INC,ProjTargets_AZM,ProjTargets_TVD,F162,H162))</f>
        <v/>
      </c>
      <c r="AP162" s="207">
        <f>IF(OR(E162="",E162&lt;$U$2),"",ProjBitN(E162,F162,G162,AL162,D162,W162,X162))</f>
        <v>837.6100442190284</v>
      </c>
      <c r="AQ162" s="207">
        <f>IF(OR(E162="",E162&lt;$U$2),"",ProjBitE(E162,F162,G162,AM162,D162,W162,X162))</f>
        <v>138.14507036733542</v>
      </c>
      <c r="AR162" s="207" t="str">
        <f>IF(OR(E162="",E162&lt;$U$2,AO162=""),"",ProjBurr(D162,W162,X162,Q162,C162,ProjTargets_MD,ProjTargets_INC,ProjTargets_AZM,ProjTargets_TVD,V162))</f>
        <v/>
      </c>
      <c r="AS162" s="207" t="str">
        <f>IF(OR(E162="",E162&lt;$U$2,AO162=""),"",ProjMetersToSlide(D162,W162,X162,Q162,C162,ProjTargets_MD,ProjTargets_INC,ProjTargets_AZM,ProjTargets_TVD,V162))</f>
        <v/>
      </c>
      <c r="AT162" s="207" t="str">
        <f>IF(OR(E162="",E162&lt;$U$2,AO162=""),"",ProjRequiredTf(D162,W162,X162,ProjTargets_MD,ProjTargets_INC,ProjTargets_AZM,ProjTargets_TVD,5,V162))</f>
        <v/>
      </c>
    </row>
    <row r="163" spans="2:46" s="209" customFormat="1" ht="15" customHeight="1" x14ac:dyDescent="0.3">
      <c r="B163" s="208">
        <f t="shared" si="57"/>
        <v>17</v>
      </c>
      <c r="C163" s="335">
        <f t="shared" si="47"/>
        <v>28.769999999999982</v>
      </c>
      <c r="D163" s="27">
        <v>3841.12</v>
      </c>
      <c r="E163" s="336">
        <f t="shared" si="48"/>
        <v>3824.12</v>
      </c>
      <c r="F163" s="9">
        <v>90.76</v>
      </c>
      <c r="G163" s="9">
        <v>0.64</v>
      </c>
      <c r="H163" s="337">
        <f t="shared" si="41"/>
        <v>3083.1221759774653</v>
      </c>
      <c r="I163" s="337">
        <f t="shared" si="52"/>
        <v>2310.8721759774653</v>
      </c>
      <c r="J163" s="338">
        <f t="shared" si="49"/>
        <v>1.6827127322671487</v>
      </c>
      <c r="K163" s="339">
        <f t="shared" si="50"/>
        <v>1.6684045881126273</v>
      </c>
      <c r="L163" s="339">
        <f t="shared" si="51"/>
        <v>0.21897810218978117</v>
      </c>
      <c r="M163" s="339" t="str">
        <f t="shared" si="42"/>
        <v/>
      </c>
      <c r="N163" s="340">
        <f t="shared" si="43"/>
        <v>7.4770882894550983</v>
      </c>
      <c r="O163" s="341" t="str">
        <f t="shared" si="44"/>
        <v>R</v>
      </c>
      <c r="P163" s="342" t="str">
        <f t="shared" si="45"/>
        <v/>
      </c>
      <c r="Q163" s="343" t="str">
        <f t="shared" si="46"/>
        <v/>
      </c>
      <c r="R163" s="10">
        <f t="shared" si="56"/>
        <v>3841.12</v>
      </c>
      <c r="S163" s="337">
        <f t="shared" si="39"/>
        <v>3844.12</v>
      </c>
      <c r="T163" s="9">
        <v>3</v>
      </c>
      <c r="U163" s="8" t="s">
        <v>433</v>
      </c>
      <c r="V163" s="202">
        <f>IF(OR(E163="",E163&lt;$U$2),"",ProjTvdAtBit(E163,F163,G163,H163,D163,W163,X163))</f>
        <v>3082.8966860506234</v>
      </c>
      <c r="W163" s="344">
        <f>IF(OR(E163="",E163&lt;$U$2),"",ProjIncAtBit(F163,J163,C163,M163,AJ163,IF(AK163="",0,AK163)))</f>
        <v>90.76</v>
      </c>
      <c r="X163" s="455">
        <f>IF(OR(E163="",E163&lt;$U$2),"",ProjAzmAtBit(F163,G163,J163,C163,M163,AJ163,IF(AK163="",0,AK163)))</f>
        <v>0.64</v>
      </c>
      <c r="Y163" s="461"/>
      <c r="Z163" s="206"/>
      <c r="AA163" s="512">
        <f t="shared" si="54"/>
        <v>91.575832599752175</v>
      </c>
      <c r="AB163" s="520">
        <f t="shared" si="55"/>
        <v>-4.0029759774652121</v>
      </c>
      <c r="AC163" s="510"/>
      <c r="AD163" s="515"/>
      <c r="AE163" s="516"/>
      <c r="AJ163" s="452">
        <f>IF(OR(E163="",D163=""),0,ProjSlideMetersBetween(E163,D163,$R$13:$R$305,$S$13:$S$305))</f>
        <v>0</v>
      </c>
      <c r="AK163" s="452">
        <f>IF(U163="","",ProjParseTF(U163))</f>
        <v>20</v>
      </c>
      <c r="AL163" s="219">
        <f>IF(E163="","",ProjCumN(AL162,E162,F162,G162,E163,F163,G163,FALSE))</f>
        <v>849.38013777469803</v>
      </c>
      <c r="AM163" s="331">
        <f>IF(E163="","",ProjCumE(AM162,E162,F162,G162,E163,F163,G163,FALSE))</f>
        <v>138.28612957918315</v>
      </c>
      <c r="AN163" s="330">
        <f t="shared" si="53"/>
        <v>0.64</v>
      </c>
      <c r="AO163" s="330" t="str">
        <f>IF(OR(E163="",E163&lt;$U$2),"",ProjActiveTargetMdEx(D163,W163,V163,ProjTargets_MD,ProjTargets_INC,ProjTargets_AZM,ProjTargets_TVD,F163,H163))</f>
        <v/>
      </c>
      <c r="AP163" s="207">
        <f>IF(OR(E163="",E163&lt;$U$2),"",ProjBitN(E163,F163,G163,AL163,D163,W163,X163))</f>
        <v>866.37758179525883</v>
      </c>
      <c r="AQ163" s="207">
        <f>IF(OR(E163="",E163&lt;$U$2),"",ProjBitE(E163,F163,G163,AM163,D163,W163,X163))</f>
        <v>138.47600074812533</v>
      </c>
      <c r="AR163" s="207" t="str">
        <f>IF(OR(E163="",E163&lt;$U$2,AO163=""),"",ProjBurr(D163,W163,X163,Q163,C163,ProjTargets_MD,ProjTargets_INC,ProjTargets_AZM,ProjTargets_TVD,V163))</f>
        <v/>
      </c>
      <c r="AS163" s="207" t="str">
        <f>IF(OR(E163="",E163&lt;$U$2,AO163=""),"",ProjMetersToSlide(D163,W163,X163,Q163,C163,ProjTargets_MD,ProjTargets_INC,ProjTargets_AZM,ProjTargets_TVD,V163))</f>
        <v/>
      </c>
      <c r="AT163" s="207" t="str">
        <f>IF(OR(E163="",E163&lt;$U$2,AO163=""),"",ProjRequiredTf(D163,W163,X163,ProjTargets_MD,ProjTargets_INC,ProjTargets_AZM,ProjTargets_TVD,5,V163))</f>
        <v/>
      </c>
    </row>
    <row r="164" spans="2:46" s="209" customFormat="1" ht="15" customHeight="1" x14ac:dyDescent="0.3">
      <c r="B164" s="208">
        <f t="shared" si="57"/>
        <v>17</v>
      </c>
      <c r="C164" s="335">
        <f t="shared" si="47"/>
        <v>28.7800000000002</v>
      </c>
      <c r="D164" s="27">
        <v>3869.9</v>
      </c>
      <c r="E164" s="336">
        <f t="shared" si="48"/>
        <v>3852.9</v>
      </c>
      <c r="F164" s="9">
        <v>93.21</v>
      </c>
      <c r="G164" s="9">
        <v>1.21</v>
      </c>
      <c r="H164" s="337">
        <f t="shared" si="41"/>
        <v>3082.1252984932162</v>
      </c>
      <c r="I164" s="337">
        <f t="shared" si="52"/>
        <v>2309.8752984932162</v>
      </c>
      <c r="J164" s="338">
        <f t="shared" si="49"/>
        <v>2.6219718746791907</v>
      </c>
      <c r="K164" s="339">
        <f t="shared" si="50"/>
        <v>2.5538568450312424</v>
      </c>
      <c r="L164" s="339">
        <f t="shared" si="51"/>
        <v>0.59416261292563854</v>
      </c>
      <c r="M164" s="339">
        <f t="shared" si="42"/>
        <v>3</v>
      </c>
      <c r="N164" s="340">
        <f t="shared" si="43"/>
        <v>13.088497554236154</v>
      </c>
      <c r="O164" s="341" t="str">
        <f t="shared" si="44"/>
        <v>R</v>
      </c>
      <c r="P164" s="342">
        <f t="shared" si="45"/>
        <v>0.81666666666666288</v>
      </c>
      <c r="Q164" s="343">
        <f t="shared" si="46"/>
        <v>25.153450184422542</v>
      </c>
      <c r="R164" s="10">
        <f t="shared" si="56"/>
        <v>3869.9</v>
      </c>
      <c r="S164" s="337">
        <f t="shared" si="39"/>
        <v>3873.4</v>
      </c>
      <c r="T164" s="9">
        <v>3.5</v>
      </c>
      <c r="U164" s="8" t="s">
        <v>770</v>
      </c>
      <c r="V164" s="202">
        <f>IF(OR(E164="",E164&lt;$U$2),"",ProjTvdAtBit(E164,F164,G164,H164,D164,W164,X164))</f>
        <v>3081.1733704894186</v>
      </c>
      <c r="W164" s="344">
        <f>IF(OR(E164="",E164&lt;$U$2),"",ProjIncAtBit(F164,J164,C164,M164,AJ164,IF(AK164="",0,AK164)))</f>
        <v>93.21</v>
      </c>
      <c r="X164" s="455">
        <f>IF(OR(E164="",E164&lt;$U$2),"",ProjAzmAtBit(F164,G164,J164,C164,M164,AJ164,IF(AK164="",0,AK164)))</f>
        <v>1.21</v>
      </c>
      <c r="Y164" s="461"/>
      <c r="Z164" s="206"/>
      <c r="AA164" s="512">
        <f t="shared" si="54"/>
        <v>91.575832599752175</v>
      </c>
      <c r="AB164" s="520">
        <f t="shared" si="55"/>
        <v>-3.7975484932162544</v>
      </c>
      <c r="AC164" s="510"/>
      <c r="AD164" s="515"/>
      <c r="AE164" s="516"/>
      <c r="AJ164" s="452">
        <f>IF(OR(E164="",D164=""),0,ProjSlideMetersBetween(E164,D164,$R$13:$R$305,$S$13:$S$305))</f>
        <v>0</v>
      </c>
      <c r="AK164" s="452">
        <f>IF(U164="","",ProjParseTF(U164))</f>
        <v>180</v>
      </c>
      <c r="AL164" s="219">
        <f>IF(E164="","",ProjCumN(AL163,E163,F163,G163,E164,F164,G164,FALSE))</f>
        <v>878.136811362392</v>
      </c>
      <c r="AM164" s="331">
        <f>IF(E164="","",ProjCumE(AM163,E163,F163,G163,E164,F164,G164,FALSE))</f>
        <v>138.75032011621659</v>
      </c>
      <c r="AN164" s="330">
        <f t="shared" si="53"/>
        <v>1.21</v>
      </c>
      <c r="AO164" s="330" t="str">
        <f>IF(OR(E164="",E164&lt;$U$2),"",ProjActiveTargetMdEx(D164,W164,V164,ProjTargets_MD,ProjTargets_INC,ProjTargets_AZM,ProjTargets_TVD,F164,H164))</f>
        <v/>
      </c>
      <c r="AP164" s="207">
        <f>IF(OR(E164="",E164&lt;$U$2),"",ProjBitN(E164,F164,G164,AL164,D164,W164,X164))</f>
        <v>895.10635363972563</v>
      </c>
      <c r="AQ164" s="207">
        <f>IF(OR(E164="",E164&lt;$U$2),"",ProjBitE(E164,F164,G164,AM164,D164,W164,X164))</f>
        <v>139.10874440860249</v>
      </c>
      <c r="AR164" s="207" t="str">
        <f>IF(OR(E164="",E164&lt;$U$2,AO164=""),"",ProjBurr(D164,W164,X164,Q164,C164,ProjTargets_MD,ProjTargets_INC,ProjTargets_AZM,ProjTargets_TVD,V164))</f>
        <v/>
      </c>
      <c r="AS164" s="207" t="str">
        <f>IF(OR(E164="",E164&lt;$U$2,AO164=""),"",ProjMetersToSlide(D164,W164,X164,Q164,C164,ProjTargets_MD,ProjTargets_INC,ProjTargets_AZM,ProjTargets_TVD,V164))</f>
        <v/>
      </c>
      <c r="AT164" s="207" t="str">
        <f>IF(OR(E164="",E164&lt;$U$2,AO164=""),"",ProjRequiredTf(D164,W164,X164,ProjTargets_MD,ProjTargets_INC,ProjTargets_AZM,ProjTargets_TVD,5,V164))</f>
        <v/>
      </c>
    </row>
    <row r="165" spans="2:46" s="209" customFormat="1" ht="15" customHeight="1" x14ac:dyDescent="0.3">
      <c r="B165" s="208">
        <f t="shared" si="57"/>
        <v>17</v>
      </c>
      <c r="C165" s="335">
        <f t="shared" si="47"/>
        <v>28.789999999999964</v>
      </c>
      <c r="D165" s="27">
        <v>3898.69</v>
      </c>
      <c r="E165" s="336">
        <f t="shared" si="48"/>
        <v>3881.69</v>
      </c>
      <c r="F165" s="9">
        <v>94.56</v>
      </c>
      <c r="G165" s="9">
        <v>1.88</v>
      </c>
      <c r="H165" s="337">
        <f t="shared" si="41"/>
        <v>3080.1746580922941</v>
      </c>
      <c r="I165" s="337">
        <f t="shared" si="52"/>
        <v>2307.9246580922941</v>
      </c>
      <c r="J165" s="338">
        <f t="shared" si="49"/>
        <v>1.5697384510375618</v>
      </c>
      <c r="K165" s="339">
        <f t="shared" si="50"/>
        <v>1.4067384508510006</v>
      </c>
      <c r="L165" s="339">
        <f t="shared" si="51"/>
        <v>0.69815908301493657</v>
      </c>
      <c r="M165" s="339">
        <f t="shared" si="42"/>
        <v>3.5</v>
      </c>
      <c r="N165" s="340">
        <f t="shared" si="43"/>
        <v>26.342046004419814</v>
      </c>
      <c r="O165" s="341" t="str">
        <f t="shared" si="44"/>
        <v>R</v>
      </c>
      <c r="P165" s="342">
        <f t="shared" si="45"/>
        <v>0.38571428571428817</v>
      </c>
      <c r="Q165" s="343">
        <f t="shared" si="46"/>
        <v>12.912220001534672</v>
      </c>
      <c r="R165" s="10">
        <f t="shared" si="56"/>
        <v>3898.69</v>
      </c>
      <c r="S165" s="337">
        <f t="shared" si="39"/>
        <v>3902.19</v>
      </c>
      <c r="T165" s="9">
        <v>3.5</v>
      </c>
      <c r="U165" s="8" t="s">
        <v>770</v>
      </c>
      <c r="V165" s="202">
        <f>IF(OR(E165="",E165&lt;$U$2),"",ProjTvdAtBit(E165,F165,G165,H165,D165,W165,X165))</f>
        <v>3078.823106719864</v>
      </c>
      <c r="W165" s="344">
        <f>IF(OR(E165="",E165&lt;$U$2),"",ProjIncAtBit(F165,J165,C165,M165,AJ165,IF(AK165="",0,AK165)))</f>
        <v>94.56</v>
      </c>
      <c r="X165" s="455">
        <f>IF(OR(E165="",E165&lt;$U$2),"",ProjAzmAtBit(F165,G165,J165,C165,M165,AJ165,IF(AK165="",0,AK165)))</f>
        <v>1.88</v>
      </c>
      <c r="Y165" s="461"/>
      <c r="Z165" s="206"/>
      <c r="AA165" s="512">
        <f t="shared" si="54"/>
        <v>91.575832599752175</v>
      </c>
      <c r="AB165" s="520">
        <f t="shared" si="55"/>
        <v>-2.6386330922941852</v>
      </c>
      <c r="AC165" s="510"/>
      <c r="AD165" s="515"/>
      <c r="AE165" s="516"/>
      <c r="AJ165" s="452">
        <f>IF(OR(E165="",D165=""),0,ProjSlideMetersBetween(E165,D165,$R$13:$R$305,$S$13:$S$305))</f>
        <v>0</v>
      </c>
      <c r="AK165" s="452">
        <f>IF(U165="","",ProjParseTF(U165))</f>
        <v>180</v>
      </c>
      <c r="AL165" s="219">
        <f>IF(E165="","",ProjCumN(AL164,E164,F164,G164,E165,F165,G165,FALSE))</f>
        <v>906.8493854109912</v>
      </c>
      <c r="AM165" s="331">
        <f>IF(E165="","",ProjCumE(AM164,E164,F164,G164,E165,F165,G165,FALSE))</f>
        <v>139.52461764713249</v>
      </c>
      <c r="AN165" s="330">
        <f t="shared" si="53"/>
        <v>1.88</v>
      </c>
      <c r="AO165" s="330" t="str">
        <f>IF(OR(E165="",E165&lt;$U$2),"",ProjActiveTargetMdEx(D165,W165,V165,ProjTargets_MD,ProjTargets_INC,ProjTargets_AZM,ProjTargets_TVD,F165,H165))</f>
        <v/>
      </c>
      <c r="AP165" s="207">
        <f>IF(OR(E165="",E165&lt;$U$2),"",ProjBitN(E165,F165,G165,AL165,D165,W165,X165))</f>
        <v>923.7864523830134</v>
      </c>
      <c r="AQ165" s="207">
        <f>IF(OR(E165="",E165&lt;$U$2),"",ProjBitE(E165,F165,G165,AM165,D165,W165,X165))</f>
        <v>140.08055943627826</v>
      </c>
      <c r="AR165" s="207" t="str">
        <f>IF(OR(E165="",E165&lt;$U$2,AO165=""),"",ProjBurr(D165,W165,X165,Q165,C165,ProjTargets_MD,ProjTargets_INC,ProjTargets_AZM,ProjTargets_TVD,V165))</f>
        <v/>
      </c>
      <c r="AS165" s="207" t="str">
        <f>IF(OR(E165="",E165&lt;$U$2,AO165=""),"",ProjMetersToSlide(D165,W165,X165,Q165,C165,ProjTargets_MD,ProjTargets_INC,ProjTargets_AZM,ProjTargets_TVD,V165))</f>
        <v/>
      </c>
      <c r="AT165" s="207" t="str">
        <f>IF(OR(E165="",E165&lt;$U$2,AO165=""),"",ProjRequiredTf(D165,W165,X165,ProjTargets_MD,ProjTargets_INC,ProjTargets_AZM,ProjTargets_TVD,5,V165))</f>
        <v/>
      </c>
    </row>
    <row r="166" spans="2:46" s="209" customFormat="1" ht="15" customHeight="1" x14ac:dyDescent="0.3">
      <c r="B166" s="208">
        <f t="shared" si="57"/>
        <v>17</v>
      </c>
      <c r="C166" s="335">
        <f t="shared" si="47"/>
        <v>28.789999999999964</v>
      </c>
      <c r="D166" s="27">
        <v>3927.48</v>
      </c>
      <c r="E166" s="336">
        <f t="shared" si="48"/>
        <v>3910.48</v>
      </c>
      <c r="F166" s="9">
        <v>92.65</v>
      </c>
      <c r="G166" s="9">
        <v>0.78</v>
      </c>
      <c r="H166" s="337">
        <f t="shared" si="41"/>
        <v>3078.3644115981238</v>
      </c>
      <c r="I166" s="337">
        <f t="shared" si="52"/>
        <v>2306.1144115981238</v>
      </c>
      <c r="J166" s="338">
        <f t="shared" si="49"/>
        <v>2.2955873417607631</v>
      </c>
      <c r="K166" s="339">
        <f t="shared" si="50"/>
        <v>-1.9902744008336217</v>
      </c>
      <c r="L166" s="339">
        <f t="shared" si="51"/>
        <v>-1.14623133032303</v>
      </c>
      <c r="M166" s="339">
        <f t="shared" si="42"/>
        <v>3.5</v>
      </c>
      <c r="N166" s="340">
        <f t="shared" si="43"/>
        <v>150.11187852421835</v>
      </c>
      <c r="O166" s="341" t="str">
        <f t="shared" si="44"/>
        <v>L</v>
      </c>
      <c r="P166" s="342">
        <f t="shared" si="45"/>
        <v>-0.54571428571428471</v>
      </c>
      <c r="Q166" s="343">
        <f t="shared" si="46"/>
        <v>18.882845591226367</v>
      </c>
      <c r="R166" s="10">
        <f t="shared" si="56"/>
        <v>3927.48</v>
      </c>
      <c r="S166" s="337">
        <f t="shared" si="39"/>
        <v>3931.98</v>
      </c>
      <c r="T166" s="9">
        <v>4.5</v>
      </c>
      <c r="U166" s="8" t="s">
        <v>770</v>
      </c>
      <c r="V166" s="202">
        <f>IF(OR(E166="",E166&lt;$U$2),"",ProjTvdAtBit(E166,F166,G166,H166,D166,W166,X166))</f>
        <v>3077.5784210687102</v>
      </c>
      <c r="W166" s="344">
        <f>IF(OR(E166="",E166&lt;$U$2),"",ProjIncAtBit(F166,J166,C166,M166,AJ166,IF(AK166="",0,AK166)))</f>
        <v>92.65</v>
      </c>
      <c r="X166" s="455">
        <f>IF(OR(E166="",E166&lt;$U$2),"",ProjAzmAtBit(F166,G166,J166,C166,M166,AJ166,IF(AK166="",0,AK166)))</f>
        <v>0.78</v>
      </c>
      <c r="Y166" s="461"/>
      <c r="Z166" s="206"/>
      <c r="AA166" s="512">
        <f t="shared" si="54"/>
        <v>90.429722375059583</v>
      </c>
      <c r="AB166" s="520">
        <f t="shared" si="55"/>
        <v>-1.0705115981236304</v>
      </c>
      <c r="AC166" s="510"/>
      <c r="AD166" s="515"/>
      <c r="AE166" s="516"/>
      <c r="AJ166" s="452">
        <f>IF(OR(E166="",D166=""),0,ProjSlideMetersBetween(E166,D166,$R$13:$R$305,$S$13:$S$305))</f>
        <v>0</v>
      </c>
      <c r="AK166" s="452">
        <f>IF(U166="","",ProjParseTF(U166))</f>
        <v>180</v>
      </c>
      <c r="AL166" s="219">
        <f>IF(E166="","",ProjCumN(AL165,E165,F165,G165,E166,F166,G166,FALSE))</f>
        <v>935.57290826425026</v>
      </c>
      <c r="AM166" s="331">
        <f>IF(E166="","",ProjCumE(AM165,E165,F165,G165,E166,F166,G166,FALSE))</f>
        <v>140.19120335671883</v>
      </c>
      <c r="AN166" s="330">
        <f t="shared" si="53"/>
        <v>0.78</v>
      </c>
      <c r="AO166" s="330" t="str">
        <f>IF(OR(E166="",E166&lt;$U$2),"",ProjActiveTargetMdEx(D166,W166,V166,ProjTargets_MD,ProjTargets_INC,ProjTargets_AZM,ProjTargets_TVD,F166,H166))</f>
        <v/>
      </c>
      <c r="AP166" s="207">
        <f>IF(OR(E166="",E166&lt;$U$2),"",ProjBitN(E166,F166,G166,AL166,D166,W166,X166))</f>
        <v>952.55315492124362</v>
      </c>
      <c r="AQ166" s="207">
        <f>IF(OR(E166="",E166&lt;$U$2),"",ProjBitE(E166,F166,G166,AM166,D166,W166,X166))</f>
        <v>140.42237938345386</v>
      </c>
      <c r="AR166" s="207" t="str">
        <f>IF(OR(E166="",E166&lt;$U$2,AO166=""),"",ProjBurr(D166,W166,X166,Q166,C166,ProjTargets_MD,ProjTargets_INC,ProjTargets_AZM,ProjTargets_TVD,V166))</f>
        <v/>
      </c>
      <c r="AS166" s="207" t="str">
        <f>IF(OR(E166="",E166&lt;$U$2,AO166=""),"",ProjMetersToSlide(D166,W166,X166,Q166,C166,ProjTargets_MD,ProjTargets_INC,ProjTargets_AZM,ProjTargets_TVD,V166))</f>
        <v/>
      </c>
      <c r="AT166" s="207" t="str">
        <f>IF(OR(E166="",E166&lt;$U$2,AO166=""),"",ProjRequiredTf(D166,W166,X166,ProjTargets_MD,ProjTargets_INC,ProjTargets_AZM,ProjTargets_TVD,5,V166))</f>
        <v/>
      </c>
    </row>
    <row r="167" spans="2:46" s="209" customFormat="1" ht="15" customHeight="1" x14ac:dyDescent="0.3">
      <c r="B167" s="208">
        <f t="shared" si="57"/>
        <v>17</v>
      </c>
      <c r="C167" s="335">
        <f t="shared" si="47"/>
        <v>28.7800000000002</v>
      </c>
      <c r="D167" s="27">
        <v>3956.26</v>
      </c>
      <c r="E167" s="336">
        <f t="shared" si="48"/>
        <v>3939.26</v>
      </c>
      <c r="F167" s="9">
        <v>92.21</v>
      </c>
      <c r="G167" s="9">
        <v>360</v>
      </c>
      <c r="H167" s="337">
        <f t="shared" si="41"/>
        <v>3077.1441744951521</v>
      </c>
      <c r="I167" s="337">
        <f t="shared" si="52"/>
        <v>2304.8941744951521</v>
      </c>
      <c r="J167" s="338">
        <f t="shared" si="49"/>
        <v>0.93286866062384755</v>
      </c>
      <c r="K167" s="339">
        <f t="shared" si="50"/>
        <v>-0.45865184155664579</v>
      </c>
      <c r="L167" s="339">
        <f t="shared" si="51"/>
        <v>-0.81306462821403191</v>
      </c>
      <c r="M167" s="339">
        <f t="shared" si="42"/>
        <v>4.5</v>
      </c>
      <c r="N167" s="340">
        <f t="shared" si="43"/>
        <v>119.44958032087875</v>
      </c>
      <c r="O167" s="341" t="str">
        <f t="shared" si="44"/>
        <v>L</v>
      </c>
      <c r="P167" s="342">
        <f t="shared" si="45"/>
        <v>-9.7777777777780434E-2</v>
      </c>
      <c r="Q167" s="343">
        <f t="shared" si="46"/>
        <v>5.96621334505656</v>
      </c>
      <c r="R167" s="10">
        <f t="shared" si="56"/>
        <v>3956.26</v>
      </c>
      <c r="S167" s="337">
        <f t="shared" si="39"/>
        <v>3961.26</v>
      </c>
      <c r="T167" s="9">
        <v>5</v>
      </c>
      <c r="U167" s="8" t="s">
        <v>770</v>
      </c>
      <c r="V167" s="202">
        <f>IF(OR(E167="",E167&lt;$U$2),"",ProjTvdAtBit(E167,F167,G167,H167,D167,W167,X167))</f>
        <v>3076.4886168778617</v>
      </c>
      <c r="W167" s="344">
        <f>IF(OR(E167="",E167&lt;$U$2),"",ProjIncAtBit(F167,J167,C167,M167,AJ167,IF(AK167="",0,AK167)))</f>
        <v>92.21</v>
      </c>
      <c r="X167" s="455">
        <f>IF(OR(E167="",E167&lt;$U$2),"",ProjAzmAtBit(F167,G167,J167,C167,M167,AJ167,IF(AK167="",0,AK167)))</f>
        <v>0</v>
      </c>
      <c r="Y167" s="461"/>
      <c r="Z167" s="206"/>
      <c r="AA167" s="512">
        <f t="shared" si="54"/>
        <v>90.429722375059583</v>
      </c>
      <c r="AB167" s="520">
        <f t="shared" si="55"/>
        <v>-6.6124495152052987E-2</v>
      </c>
      <c r="AC167" s="510"/>
      <c r="AD167" s="515"/>
      <c r="AE167" s="516"/>
      <c r="AJ167" s="452">
        <f>IF(OR(E167="",D167=""),0,ProjSlideMetersBetween(E167,D167,$R$13:$R$305,$S$13:$S$305))</f>
        <v>0</v>
      </c>
      <c r="AK167" s="452">
        <f>IF(U167="","",ProjParseTF(U167))</f>
        <v>180</v>
      </c>
      <c r="AL167" s="219">
        <f>IF(E167="","",ProjCumN(AL166,E166,F166,G166,E167,F167,G167,FALSE))</f>
        <v>964.32606895234835</v>
      </c>
      <c r="AM167" s="331">
        <f>IF(E167="","",ProjCumE(AM166,E166,F166,G166,E167,F167,G167,FALSE))</f>
        <v>140.38689104255013</v>
      </c>
      <c r="AN167" s="330">
        <f t="shared" si="53"/>
        <v>0</v>
      </c>
      <c r="AO167" s="330" t="str">
        <f>IF(OR(E167="",E167&lt;$U$2),"",ProjActiveTargetMdEx(D167,W167,V167,ProjTargets_MD,ProjTargets_INC,ProjTargets_AZM,ProjTargets_TVD,F167,H167))</f>
        <v/>
      </c>
      <c r="AP167" s="207">
        <f>IF(OR(E167="",E167&lt;$U$2),"",ProjBitN(E167,F167,G167,AL167,D167,W167,X167))</f>
        <v>981.31342437367312</v>
      </c>
      <c r="AQ167" s="207">
        <f>IF(OR(E167="",E167&lt;$U$2),"",ProjBitE(E167,F167,G167,AM167,D167,W167,X167))</f>
        <v>140.38689104255008</v>
      </c>
      <c r="AR167" s="207" t="str">
        <f>IF(OR(E167="",E167&lt;$U$2,AO167=""),"",ProjBurr(D167,W167,X167,Q167,C167,ProjTargets_MD,ProjTargets_INC,ProjTargets_AZM,ProjTargets_TVD,V167))</f>
        <v/>
      </c>
      <c r="AS167" s="207" t="str">
        <f>IF(OR(E167="",E167&lt;$U$2,AO167=""),"",ProjMetersToSlide(D167,W167,X167,Q167,C167,ProjTargets_MD,ProjTargets_INC,ProjTargets_AZM,ProjTargets_TVD,V167))</f>
        <v/>
      </c>
      <c r="AT167" s="207" t="str">
        <f>IF(OR(E167="",E167&lt;$U$2,AO167=""),"",ProjRequiredTf(D167,W167,X167,ProjTargets_MD,ProjTargets_INC,ProjTargets_AZM,ProjTargets_TVD,5,V167))</f>
        <v/>
      </c>
    </row>
    <row r="168" spans="2:46" s="209" customFormat="1" ht="15" customHeight="1" x14ac:dyDescent="0.3">
      <c r="B168" s="208">
        <f t="shared" si="57"/>
        <v>17</v>
      </c>
      <c r="C168" s="335">
        <f t="shared" si="47"/>
        <v>28.759999999999764</v>
      </c>
      <c r="D168" s="27">
        <v>3985.02</v>
      </c>
      <c r="E168" s="336">
        <f t="shared" si="48"/>
        <v>3968.02</v>
      </c>
      <c r="F168" s="9">
        <v>90.84</v>
      </c>
      <c r="G168" s="9">
        <v>7.0000000000000007E-2</v>
      </c>
      <c r="H168" s="337">
        <f t="shared" si="41"/>
        <v>3076.3787809167602</v>
      </c>
      <c r="I168" s="337">
        <f t="shared" si="52"/>
        <v>2304.1287809167602</v>
      </c>
      <c r="J168" s="338">
        <f t="shared" si="49"/>
        <v>1.4309309513312793</v>
      </c>
      <c r="K168" s="339">
        <f t="shared" si="50"/>
        <v>-1.4290681502086247</v>
      </c>
      <c r="L168" s="339">
        <f t="shared" si="51"/>
        <v>7.3018080667594493E-2</v>
      </c>
      <c r="M168" s="339">
        <f t="shared" si="42"/>
        <v>5</v>
      </c>
      <c r="N168" s="340">
        <f t="shared" si="43"/>
        <v>177.07612594047356</v>
      </c>
      <c r="O168" s="341" t="str">
        <f t="shared" si="44"/>
        <v>R</v>
      </c>
      <c r="P168" s="342">
        <f t="shared" si="45"/>
        <v>-0.27399999999999808</v>
      </c>
      <c r="Q168" s="343">
        <f t="shared" si="46"/>
        <v>8.2307148320574512</v>
      </c>
      <c r="R168" s="10" t="str">
        <f t="shared" si="56"/>
        <v/>
      </c>
      <c r="S168" s="337" t="str">
        <f t="shared" si="39"/>
        <v/>
      </c>
      <c r="T168" s="9"/>
      <c r="U168" s="8"/>
      <c r="V168" s="202">
        <f>IF(OR(E168="",E168&lt;$U$2),"",ProjTvdAtBit(E168,F168,G168,H168,D168,W168,X168))</f>
        <v>3076.129556827756</v>
      </c>
      <c r="W168" s="344">
        <f>IF(OR(E168="",E168&lt;$U$2),"",ProjIncAtBit(F168,J168,C168,M168,AJ168,IF(AK168="",0,AK168)))</f>
        <v>90.84</v>
      </c>
      <c r="X168" s="455">
        <f>IF(OR(E168="",E168&lt;$U$2),"",ProjAzmAtBit(F168,G168,J168,C168,M168,AJ168,IF(AK168="",0,AK168)))</f>
        <v>7.0000000000000007E-2</v>
      </c>
      <c r="Y168" s="461"/>
      <c r="Z168" s="206"/>
      <c r="AA168" s="512">
        <f t="shared" si="54"/>
        <v>90.429722375059583</v>
      </c>
      <c r="AB168" s="520">
        <f t="shared" si="55"/>
        <v>0.48356908323967218</v>
      </c>
      <c r="AC168" s="510"/>
      <c r="AD168" s="515"/>
      <c r="AE168" s="516"/>
      <c r="AJ168" s="452">
        <f>IF(OR(E168="",D168=""),0,ProjSlideMetersBetween(E168,D168,$R$13:$R$305,$S$13:$S$305))</f>
        <v>0</v>
      </c>
      <c r="AK168" s="452" t="str">
        <f>IF(U168="","",ProjParseTF(U168))</f>
        <v/>
      </c>
      <c r="AL168" s="219">
        <f>IF(E168="","",ProjCumN(AL167,E167,F167,G167,E168,F168,G168,FALSE))</f>
        <v>993.07519034839356</v>
      </c>
      <c r="AM168" s="331">
        <f>IF(E168="","",ProjCumE(AM167,E167,F167,G167,E168,F168,G168,FALSE))</f>
        <v>140.40445847358302</v>
      </c>
      <c r="AN168" s="330">
        <f t="shared" si="53"/>
        <v>7.0000000000000007E-2</v>
      </c>
      <c r="AO168" s="330" t="str">
        <f>IF(OR(E168="",E168&lt;$U$2),"",ProjActiveTargetMdEx(D168,W168,V168,ProjTargets_MD,ProjTargets_INC,ProjTargets_AZM,ProjTargets_TVD,F168,H168))</f>
        <v/>
      </c>
      <c r="AP168" s="207">
        <f>IF(OR(E168="",E168&lt;$U$2),"",ProjBitN(E168,F168,G168,AL168,D168,W168,X168))</f>
        <v>1010.0733507217298</v>
      </c>
      <c r="AQ168" s="207">
        <f>IF(OR(E168="",E168&lt;$U$2),"",ProjBitE(E168,F168,G168,AM168,D168,W168,X168))</f>
        <v>140.42522565448633</v>
      </c>
      <c r="AR168" s="207" t="str">
        <f>IF(OR(E168="",E168&lt;$U$2,AO168=""),"",ProjBurr(D168,W168,X168,Q168,C168,ProjTargets_MD,ProjTargets_INC,ProjTargets_AZM,ProjTargets_TVD,V168))</f>
        <v/>
      </c>
      <c r="AS168" s="207" t="str">
        <f>IF(OR(E168="",E168&lt;$U$2,AO168=""),"",ProjMetersToSlide(D168,W168,X168,Q168,C168,ProjTargets_MD,ProjTargets_INC,ProjTargets_AZM,ProjTargets_TVD,V168))</f>
        <v/>
      </c>
      <c r="AT168" s="207" t="str">
        <f>IF(OR(E168="",E168&lt;$U$2,AO168=""),"",ProjRequiredTf(D168,W168,X168,ProjTargets_MD,ProjTargets_INC,ProjTargets_AZM,ProjTargets_TVD,5,V168))</f>
        <v/>
      </c>
    </row>
    <row r="169" spans="2:46" s="209" customFormat="1" ht="15" customHeight="1" x14ac:dyDescent="0.3">
      <c r="B169" s="208">
        <f t="shared" si="57"/>
        <v>17</v>
      </c>
      <c r="C169" s="335">
        <f t="shared" si="47"/>
        <v>28.760000000000218</v>
      </c>
      <c r="D169" s="27">
        <v>4013.78</v>
      </c>
      <c r="E169" s="336">
        <f t="shared" si="48"/>
        <v>3996.78</v>
      </c>
      <c r="F169" s="9">
        <v>91.33</v>
      </c>
      <c r="G169" s="9">
        <v>359.55</v>
      </c>
      <c r="H169" s="337">
        <f t="shared" si="41"/>
        <v>3075.8341904550052</v>
      </c>
      <c r="I169" s="337">
        <f t="shared" si="52"/>
        <v>2303.5841904550052</v>
      </c>
      <c r="J169" s="338">
        <f t="shared" si="49"/>
        <v>0.74522651656504624</v>
      </c>
      <c r="K169" s="339">
        <f t="shared" si="50"/>
        <v>0.51112656467314799</v>
      </c>
      <c r="L169" s="339">
        <f t="shared" si="51"/>
        <v>-0.54242002781639576</v>
      </c>
      <c r="M169" s="339" t="str">
        <f t="shared" si="42"/>
        <v/>
      </c>
      <c r="N169" s="340">
        <f t="shared" si="43"/>
        <v>46.696139434941202</v>
      </c>
      <c r="O169" s="341" t="str">
        <f t="shared" si="44"/>
        <v>L</v>
      </c>
      <c r="P169" s="342" t="str">
        <f t="shared" si="45"/>
        <v/>
      </c>
      <c r="Q169" s="343" t="str">
        <f t="shared" si="46"/>
        <v/>
      </c>
      <c r="R169" s="10">
        <f t="shared" si="56"/>
        <v>4013.78</v>
      </c>
      <c r="S169" s="337">
        <f t="shared" si="39"/>
        <v>4016.78</v>
      </c>
      <c r="T169" s="9">
        <v>3</v>
      </c>
      <c r="U169" s="8" t="s">
        <v>770</v>
      </c>
      <c r="V169" s="202">
        <f>IF(OR(E169="",E169&lt;$U$2),"",ProjTvdAtBit(E169,F169,G169,H169,D169,W169,X169))</f>
        <v>3075.4396069494387</v>
      </c>
      <c r="W169" s="344">
        <f>IF(OR(E169="",E169&lt;$U$2),"",ProjIncAtBit(F169,J169,C169,M169,AJ169,IF(AK169="",0,AK169)))</f>
        <v>91.33</v>
      </c>
      <c r="X169" s="455">
        <f>IF(OR(E169="",E169&lt;$U$2),"",ProjAzmAtBit(F169,G169,J169,C169,M169,AJ169,IF(AK169="",0,AK169)))</f>
        <v>359.55</v>
      </c>
      <c r="Y169" s="461"/>
      <c r="Z169" s="206"/>
      <c r="AA169" s="512">
        <f t="shared" si="54"/>
        <v>90.429722375059583</v>
      </c>
      <c r="AB169" s="520">
        <f t="shared" si="55"/>
        <v>0.81245954499490836</v>
      </c>
      <c r="AC169" s="510"/>
      <c r="AD169" s="515"/>
      <c r="AE169" s="516"/>
      <c r="AJ169" s="452">
        <f>IF(OR(E169="",D169=""),0,ProjSlideMetersBetween(E169,D169,$R$13:$R$305,$S$13:$S$305))</f>
        <v>0</v>
      </c>
      <c r="AK169" s="452">
        <f>IF(U169="","",ProjParseTF(U169))</f>
        <v>180</v>
      </c>
      <c r="AL169" s="219">
        <f>IF(E169="","",ProjCumN(AL168,E168,F168,G168,E169,F169,G169,FALSE))</f>
        <v>1021.8296893342022</v>
      </c>
      <c r="AM169" s="331">
        <f>IF(E169="","",ProjCumE(AM168,E168,F168,G168,E169,F169,G169,FALSE))</f>
        <v>140.30911516189539</v>
      </c>
      <c r="AN169" s="330">
        <f t="shared" si="53"/>
        <v>359.55</v>
      </c>
      <c r="AO169" s="330" t="str">
        <f>IF(OR(E169="",E169&lt;$U$2),"",ProjActiveTargetMdEx(D169,W169,V169,ProjTargets_MD,ProjTargets_INC,ProjTargets_AZM,ProjTargets_TVD,F169,H169))</f>
        <v/>
      </c>
      <c r="AP169" s="207">
        <f>IF(OR(E169="",E169&lt;$U$2),"",ProjBitN(E169,F169,G169,AL169,D169,W169,X169))</f>
        <v>1038.8245852401692</v>
      </c>
      <c r="AQ169" s="207">
        <f>IF(OR(E169="",E169&lt;$U$2),"",ProjBitE(E169,F169,G169,AM169,D169,W169,X169))</f>
        <v>140.17563481698764</v>
      </c>
      <c r="AR169" s="207" t="str">
        <f>IF(OR(E169="",E169&lt;$U$2,AO169=""),"",ProjBurr(D169,W169,X169,Q169,C169,ProjTargets_MD,ProjTargets_INC,ProjTargets_AZM,ProjTargets_TVD,V169))</f>
        <v/>
      </c>
      <c r="AS169" s="207" t="str">
        <f>IF(OR(E169="",E169&lt;$U$2,AO169=""),"",ProjMetersToSlide(D169,W169,X169,Q169,C169,ProjTargets_MD,ProjTargets_INC,ProjTargets_AZM,ProjTargets_TVD,V169))</f>
        <v/>
      </c>
      <c r="AT169" s="207" t="str">
        <f>IF(OR(E169="",E169&lt;$U$2,AO169=""),"",ProjRequiredTf(D169,W169,X169,ProjTargets_MD,ProjTargets_INC,ProjTargets_AZM,ProjTargets_TVD,5,V169))</f>
        <v/>
      </c>
    </row>
    <row r="170" spans="2:46" s="209" customFormat="1" ht="15" customHeight="1" x14ac:dyDescent="0.3">
      <c r="B170" s="208">
        <f t="shared" si="57"/>
        <v>17</v>
      </c>
      <c r="C170" s="335">
        <f t="shared" si="47"/>
        <v>28.819999999999709</v>
      </c>
      <c r="D170" s="27">
        <v>4042.6</v>
      </c>
      <c r="E170" s="336">
        <f t="shared" si="48"/>
        <v>4025.6</v>
      </c>
      <c r="F170" s="9">
        <v>90.53</v>
      </c>
      <c r="G170" s="9">
        <v>359.55</v>
      </c>
      <c r="H170" s="337">
        <f t="shared" si="41"/>
        <v>3075.3664173777383</v>
      </c>
      <c r="I170" s="337">
        <f t="shared" si="52"/>
        <v>2303.1164173777383</v>
      </c>
      <c r="J170" s="338">
        <f t="shared" si="49"/>
        <v>0.83275503122868078</v>
      </c>
      <c r="K170" s="339">
        <f t="shared" si="50"/>
        <v>-0.83275503122831918</v>
      </c>
      <c r="L170" s="339">
        <f t="shared" si="51"/>
        <v>0</v>
      </c>
      <c r="M170" s="339">
        <f t="shared" si="42"/>
        <v>3</v>
      </c>
      <c r="N170" s="340">
        <f t="shared" si="43"/>
        <v>180</v>
      </c>
      <c r="O170" s="341" t="str">
        <f t="shared" si="44"/>
        <v>LS</v>
      </c>
      <c r="P170" s="342">
        <f t="shared" si="45"/>
        <v>-0.26666666666666572</v>
      </c>
      <c r="Q170" s="343">
        <f t="shared" si="46"/>
        <v>8.0000000000034461</v>
      </c>
      <c r="R170" s="10" t="str">
        <f t="shared" si="56"/>
        <v/>
      </c>
      <c r="S170" s="337" t="str">
        <f t="shared" si="39"/>
        <v/>
      </c>
      <c r="T170" s="9"/>
      <c r="U170" s="8"/>
      <c r="V170" s="202">
        <f>IF(OR(E170="",E170&lt;$U$2),"",ProjTvdAtBit(E170,F170,G170,H170,D170,W170,X170))</f>
        <v>3075.209165454753</v>
      </c>
      <c r="W170" s="344">
        <f>IF(OR(E170="",E170&lt;$U$2),"",ProjIncAtBit(F170,J170,C170,M170,AJ170,IF(AK170="",0,AK170)))</f>
        <v>90.53</v>
      </c>
      <c r="X170" s="455">
        <f>IF(OR(E170="",E170&lt;$U$2),"",ProjAzmAtBit(F170,G170,J170,C170,M170,AJ170,IF(AK170="",0,AK170)))</f>
        <v>359.55</v>
      </c>
      <c r="Y170" s="461"/>
      <c r="Z170" s="206"/>
      <c r="AA170" s="512">
        <f t="shared" si="54"/>
        <v>90.429722375059583</v>
      </c>
      <c r="AB170" s="520">
        <f t="shared" si="55"/>
        <v>1.0640826222615942</v>
      </c>
      <c r="AC170" s="510"/>
      <c r="AD170" s="515"/>
      <c r="AE170" s="516"/>
      <c r="AJ170" s="452">
        <f>IF(OR(E170="",D170=""),0,ProjSlideMetersBetween(E170,D170,$R$13:$R$305,$S$13:$S$305))</f>
        <v>0</v>
      </c>
      <c r="AK170" s="452" t="str">
        <f>IF(U170="","",ProjParseTF(U170))</f>
        <v/>
      </c>
      <c r="AL170" s="219">
        <f>IF(E170="","",ProjCumN(AL169,E169,F169,G169,E170,F170,G170,FALSE))</f>
        <v>1050.6447700773881</v>
      </c>
      <c r="AM170" s="331">
        <f>IF(E170="","",ProjCumE(AM169,E169,F169,G169,E170,F170,G170,FALSE))</f>
        <v>140.08279739346503</v>
      </c>
      <c r="AN170" s="330">
        <f t="shared" si="53"/>
        <v>359.55</v>
      </c>
      <c r="AO170" s="330" t="str">
        <f>IF(OR(E170="",E170&lt;$U$2),"",ProjActiveTargetMdEx(D170,W170,V170,ProjTargets_MD,ProjTargets_INC,ProjTargets_AZM,ProjTargets_TVD,F170,H170))</f>
        <v/>
      </c>
      <c r="AP170" s="207">
        <f>IF(OR(E170="",E170&lt;$U$2),"",ProjBitN(E170,F170,G170,AL170,D170,W170,X170))</f>
        <v>1067.6435184651855</v>
      </c>
      <c r="AQ170" s="207">
        <f>IF(OR(E170="",E170&lt;$U$2),"",ProjBitE(E170,F170,G170,AM170,D170,W170,X170))</f>
        <v>139.9492867906136</v>
      </c>
      <c r="AR170" s="207" t="str">
        <f>IF(OR(E170="",E170&lt;$U$2,AO170=""),"",ProjBurr(D170,W170,X170,Q170,C170,ProjTargets_MD,ProjTargets_INC,ProjTargets_AZM,ProjTargets_TVD,V170))</f>
        <v/>
      </c>
      <c r="AS170" s="207" t="str">
        <f>IF(OR(E170="",E170&lt;$U$2,AO170=""),"",ProjMetersToSlide(D170,W170,X170,Q170,C170,ProjTargets_MD,ProjTargets_INC,ProjTargets_AZM,ProjTargets_TVD,V170))</f>
        <v/>
      </c>
      <c r="AT170" s="207" t="str">
        <f>IF(OR(E170="",E170&lt;$U$2,AO170=""),"",ProjRequiredTf(D170,W170,X170,ProjTargets_MD,ProjTargets_INC,ProjTargets_AZM,ProjTargets_TVD,5,V170))</f>
        <v/>
      </c>
    </row>
    <row r="171" spans="2:46" s="209" customFormat="1" ht="15" customHeight="1" x14ac:dyDescent="0.3">
      <c r="B171" s="208">
        <f t="shared" si="57"/>
        <v>17</v>
      </c>
      <c r="C171" s="335">
        <f t="shared" si="47"/>
        <v>28.650000000000091</v>
      </c>
      <c r="D171" s="27">
        <v>4071.25</v>
      </c>
      <c r="E171" s="336">
        <f t="shared" si="48"/>
        <v>4054.25</v>
      </c>
      <c r="F171" s="9">
        <v>91.64</v>
      </c>
      <c r="G171" s="9">
        <v>358.39</v>
      </c>
      <c r="H171" s="337">
        <f t="shared" si="41"/>
        <v>3074.8239098419494</v>
      </c>
      <c r="I171" s="337">
        <f t="shared" si="52"/>
        <v>2302.5739098419494</v>
      </c>
      <c r="J171" s="338">
        <f t="shared" si="49"/>
        <v>1.6810034935838085</v>
      </c>
      <c r="K171" s="339">
        <f t="shared" si="50"/>
        <v>1.1623036649214618</v>
      </c>
      <c r="L171" s="339">
        <f t="shared" si="51"/>
        <v>-1.2146596858638965</v>
      </c>
      <c r="M171" s="339" t="str">
        <f t="shared" si="42"/>
        <v/>
      </c>
      <c r="N171" s="340">
        <f t="shared" si="43"/>
        <v>46.256237337444936</v>
      </c>
      <c r="O171" s="341" t="str">
        <f t="shared" si="44"/>
        <v>L</v>
      </c>
      <c r="P171" s="342" t="str">
        <f t="shared" si="45"/>
        <v/>
      </c>
      <c r="Q171" s="343" t="str">
        <f t="shared" si="46"/>
        <v/>
      </c>
      <c r="R171" s="10">
        <f t="shared" si="56"/>
        <v>4071.25</v>
      </c>
      <c r="S171" s="337">
        <f t="shared" si="39"/>
        <v>4074.25</v>
      </c>
      <c r="T171" s="9">
        <v>3</v>
      </c>
      <c r="U171" s="8" t="s">
        <v>770</v>
      </c>
      <c r="V171" s="202">
        <f>IF(OR(E171="",E171&lt;$U$2),"",ProjTvdAtBit(E171,F171,G171,H171,D171,W171,X171))</f>
        <v>3074.3373784886203</v>
      </c>
      <c r="W171" s="344">
        <f>IF(OR(E171="",E171&lt;$U$2),"",ProjIncAtBit(F171,J171,C171,M171,AJ171,IF(AK171="",0,AK171)))</f>
        <v>91.64</v>
      </c>
      <c r="X171" s="455">
        <f>IF(OR(E171="",E171&lt;$U$2),"",ProjAzmAtBit(F171,G171,J171,C171,M171,AJ171,IF(AK171="",0,AK171)))</f>
        <v>358.39</v>
      </c>
      <c r="Y171" s="461"/>
      <c r="Z171" s="206"/>
      <c r="AA171" s="512">
        <f t="shared" si="54"/>
        <v>90.429722375059583</v>
      </c>
      <c r="AB171" s="520">
        <f t="shared" si="55"/>
        <v>1.3917151580503742</v>
      </c>
      <c r="AC171" s="510"/>
      <c r="AD171" s="515"/>
      <c r="AE171" s="516"/>
      <c r="AJ171" s="452">
        <f>IF(OR(E171="",D171=""),0,ProjSlideMetersBetween(E171,D171,$R$13:$R$305,$S$13:$S$305))</f>
        <v>0</v>
      </c>
      <c r="AK171" s="452">
        <f>IF(U171="","",ProjParseTF(U171))</f>
        <v>180</v>
      </c>
      <c r="AL171" s="219">
        <f>IF(E171="","",ProjCumN(AL170,E170,F170,G170,E171,F171,G171,FALSE))</f>
        <v>1079.284068405879</v>
      </c>
      <c r="AM171" s="331">
        <f>IF(E171="","",ProjCumE(AM170,E170,F170,G170,E171,F171,G171,FALSE))</f>
        <v>139.56794957946485</v>
      </c>
      <c r="AN171" s="330">
        <f t="shared" si="53"/>
        <v>358.39</v>
      </c>
      <c r="AO171" s="330" t="str">
        <f>IF(OR(E171="",E171&lt;$U$2),"",ProjActiveTargetMdEx(D171,W171,V171,ProjTargets_MD,ProjTargets_INC,ProjTargets_AZM,ProjTargets_TVD,F171,H171))</f>
        <v/>
      </c>
      <c r="AP171" s="207">
        <f>IF(OR(E171="",E171&lt;$U$2),"",ProjBitN(E171,F171,G171,AL171,D171,W171,X171))</f>
        <v>1096.2703964404548</v>
      </c>
      <c r="AQ171" s="207">
        <f>IF(OR(E171="",E171&lt;$U$2),"",ProjBitE(E171,F171,G171,AM171,D171,W171,X171))</f>
        <v>139.09051147456526</v>
      </c>
      <c r="AR171" s="207" t="str">
        <f>IF(OR(E171="",E171&lt;$U$2,AO171=""),"",ProjBurr(D171,W171,X171,Q171,C171,ProjTargets_MD,ProjTargets_INC,ProjTargets_AZM,ProjTargets_TVD,V171))</f>
        <v/>
      </c>
      <c r="AS171" s="207" t="str">
        <f>IF(OR(E171="",E171&lt;$U$2,AO171=""),"",ProjMetersToSlide(D171,W171,X171,Q171,C171,ProjTargets_MD,ProjTargets_INC,ProjTargets_AZM,ProjTargets_TVD,V171))</f>
        <v/>
      </c>
      <c r="AT171" s="207" t="str">
        <f>IF(OR(E171="",E171&lt;$U$2,AO171=""),"",ProjRequiredTf(D171,W171,X171,ProjTargets_MD,ProjTargets_INC,ProjTargets_AZM,ProjTargets_TVD,5,V171))</f>
        <v/>
      </c>
    </row>
    <row r="172" spans="2:46" s="209" customFormat="1" ht="15" customHeight="1" x14ac:dyDescent="0.3">
      <c r="B172" s="208">
        <f t="shared" si="57"/>
        <v>17</v>
      </c>
      <c r="C172" s="335">
        <f t="shared" si="47"/>
        <v>28.729999999999563</v>
      </c>
      <c r="D172" s="27">
        <v>4099.9799999999996</v>
      </c>
      <c r="E172" s="336">
        <f t="shared" si="48"/>
        <v>4082.98</v>
      </c>
      <c r="F172" s="9">
        <v>90.9</v>
      </c>
      <c r="G172" s="9">
        <v>358.07</v>
      </c>
      <c r="H172" s="337">
        <f t="shared" si="41"/>
        <v>3074.1871419579616</v>
      </c>
      <c r="I172" s="337">
        <f t="shared" si="52"/>
        <v>2301.9371419579616</v>
      </c>
      <c r="J172" s="338">
        <f t="shared" si="49"/>
        <v>0.84183121553288009</v>
      </c>
      <c r="K172" s="339">
        <f t="shared" si="50"/>
        <v>-0.77271145144447728</v>
      </c>
      <c r="L172" s="339">
        <f t="shared" si="51"/>
        <v>-0.33414549251652592</v>
      </c>
      <c r="M172" s="339">
        <f t="shared" si="42"/>
        <v>3</v>
      </c>
      <c r="N172" s="340">
        <f t="shared" si="43"/>
        <v>156.62005191845986</v>
      </c>
      <c r="O172" s="341" t="str">
        <f t="shared" si="44"/>
        <v>L</v>
      </c>
      <c r="P172" s="342">
        <f t="shared" si="45"/>
        <v>-0.24666666666666495</v>
      </c>
      <c r="Q172" s="343">
        <f t="shared" si="46"/>
        <v>8.0619369407530925</v>
      </c>
      <c r="R172" s="10" t="str">
        <f t="shared" si="56"/>
        <v/>
      </c>
      <c r="S172" s="337" t="str">
        <f t="shared" si="39"/>
        <v/>
      </c>
      <c r="T172" s="9"/>
      <c r="U172" s="8"/>
      <c r="V172" s="202">
        <f>IF(OR(E172="",E172&lt;$U$2),"",ProjTvdAtBit(E172,F172,G172,H172,D172,W172,X172))</f>
        <v>3073.9201175636608</v>
      </c>
      <c r="W172" s="344">
        <f>IF(OR(E172="",E172&lt;$U$2),"",ProjIncAtBit(F172,J172,C172,M172,AJ172,IF(AK172="",0,AK172)))</f>
        <v>90.9</v>
      </c>
      <c r="X172" s="455">
        <f>IF(OR(E172="",E172&lt;$U$2),"",ProjAzmAtBit(F172,G172,J172,C172,M172,AJ172,IF(AK172="",0,AK172)))</f>
        <v>358.07</v>
      </c>
      <c r="Y172" s="461"/>
      <c r="Z172" s="206"/>
      <c r="AA172" s="512">
        <f t="shared" si="54"/>
        <v>90.429722375059583</v>
      </c>
      <c r="AB172" s="520">
        <f t="shared" si="55"/>
        <v>1.813008042038291</v>
      </c>
      <c r="AC172" s="510"/>
      <c r="AD172" s="515"/>
      <c r="AE172" s="516"/>
      <c r="AJ172" s="452">
        <f>IF(OR(E172="",D172=""),0,ProjSlideMetersBetween(E172,D172,$R$13:$R$305,$S$13:$S$305))</f>
        <v>0</v>
      </c>
      <c r="AK172" s="452" t="str">
        <f>IF(U172="","",ProjParseTF(U172))</f>
        <v/>
      </c>
      <c r="AL172" s="219">
        <f>IF(E172="","",ProjCumN(AL171,E171,F171,G171,E172,F172,G172,FALSE))</f>
        <v>1107.9930690989763</v>
      </c>
      <c r="AM172" s="331">
        <f>IF(E172="","",ProjCumE(AM171,E171,F171,G171,E172,F172,G172,FALSE))</f>
        <v>138.6807679943621</v>
      </c>
      <c r="AN172" s="330">
        <f t="shared" si="53"/>
        <v>358.07</v>
      </c>
      <c r="AO172" s="330" t="str">
        <f>IF(OR(E172="",E172&lt;$U$2),"",ProjActiveTargetMdEx(D172,W172,V172,ProjTargets_MD,ProjTargets_INC,ProjTargets_AZM,ProjTargets_TVD,F172,H172))</f>
        <v/>
      </c>
      <c r="AP172" s="207">
        <f>IF(OR(E172="",E172&lt;$U$2),"",ProjBitN(E172,F172,G172,AL172,D172,W172,X172))</f>
        <v>1124.9813292626907</v>
      </c>
      <c r="AQ172" s="207">
        <f>IF(OR(E172="",E172&lt;$U$2),"",ProjBitE(E172,F172,G172,AM172,D172,W172,X172))</f>
        <v>138.10830438609548</v>
      </c>
      <c r="AR172" s="207" t="str">
        <f>IF(OR(E172="",E172&lt;$U$2,AO172=""),"",ProjBurr(D172,W172,X172,Q172,C172,ProjTargets_MD,ProjTargets_INC,ProjTargets_AZM,ProjTargets_TVD,V172))</f>
        <v/>
      </c>
      <c r="AS172" s="207" t="str">
        <f>IF(OR(E172="",E172&lt;$U$2,AO172=""),"",ProjMetersToSlide(D172,W172,X172,Q172,C172,ProjTargets_MD,ProjTargets_INC,ProjTargets_AZM,ProjTargets_TVD,V172))</f>
        <v/>
      </c>
      <c r="AT172" s="207" t="str">
        <f>IF(OR(E172="",E172&lt;$U$2,AO172=""),"",ProjRequiredTf(D172,W172,X172,ProjTargets_MD,ProjTargets_INC,ProjTargets_AZM,ProjTargets_TVD,5,V172))</f>
        <v/>
      </c>
    </row>
    <row r="173" spans="2:46" s="209" customFormat="1" ht="15" customHeight="1" x14ac:dyDescent="0.3">
      <c r="B173" s="208">
        <f t="shared" si="57"/>
        <v>17</v>
      </c>
      <c r="C173" s="335">
        <f t="shared" si="47"/>
        <v>28.8100000000004</v>
      </c>
      <c r="D173" s="27">
        <v>4128.79</v>
      </c>
      <c r="E173" s="336">
        <f t="shared" si="48"/>
        <v>4111.79</v>
      </c>
      <c r="F173" s="9">
        <v>91.53</v>
      </c>
      <c r="G173" s="9">
        <v>357.88</v>
      </c>
      <c r="H173" s="337">
        <f t="shared" si="41"/>
        <v>3073.5762500757041</v>
      </c>
      <c r="I173" s="337">
        <f t="shared" si="52"/>
        <v>2301.3262500757041</v>
      </c>
      <c r="J173" s="338">
        <f t="shared" si="49"/>
        <v>0.68519411153893583</v>
      </c>
      <c r="K173" s="339">
        <f t="shared" si="50"/>
        <v>0.65602221450884768</v>
      </c>
      <c r="L173" s="339">
        <f t="shared" si="51"/>
        <v>-0.19784796945504834</v>
      </c>
      <c r="M173" s="339" t="str">
        <f t="shared" si="42"/>
        <v/>
      </c>
      <c r="N173" s="340">
        <f t="shared" si="43"/>
        <v>16.779003044221252</v>
      </c>
      <c r="O173" s="341" t="str">
        <f t="shared" si="44"/>
        <v>L</v>
      </c>
      <c r="P173" s="342" t="str">
        <f t="shared" si="45"/>
        <v/>
      </c>
      <c r="Q173" s="343" t="str">
        <f t="shared" si="46"/>
        <v/>
      </c>
      <c r="R173" s="10" t="str">
        <f t="shared" si="56"/>
        <v/>
      </c>
      <c r="S173" s="337" t="str">
        <f t="shared" si="39"/>
        <v/>
      </c>
      <c r="T173" s="9"/>
      <c r="U173" s="8"/>
      <c r="V173" s="202">
        <f>IF(OR(E173="",E173&lt;$U$2),"",ProjTvdAtBit(E173,F173,G173,H173,D173,W173,X173))</f>
        <v>3073.1223438869042</v>
      </c>
      <c r="W173" s="344">
        <f>IF(OR(E173="",E173&lt;$U$2),"",ProjIncAtBit(F173,J173,C173,M173,AJ173,IF(AK173="",0,AK173)))</f>
        <v>91.53</v>
      </c>
      <c r="X173" s="455">
        <f>IF(OR(E173="",E173&lt;$U$2),"",ProjAzmAtBit(F173,G173,J173,C173,M173,AJ173,IF(AK173="",0,AK173)))</f>
        <v>357.88</v>
      </c>
      <c r="Y173" s="461"/>
      <c r="Z173" s="206"/>
      <c r="AA173" s="512">
        <f t="shared" si="54"/>
        <v>90.429722375059583</v>
      </c>
      <c r="AB173" s="520">
        <f t="shared" si="55"/>
        <v>2.2078249242958918</v>
      </c>
      <c r="AC173" s="510"/>
      <c r="AD173" s="515"/>
      <c r="AE173" s="516"/>
      <c r="AJ173" s="452">
        <f>IF(OR(E173="",D173=""),0,ProjSlideMetersBetween(E173,D173,$R$13:$R$305,$S$13:$S$305))</f>
        <v>0</v>
      </c>
      <c r="AK173" s="452" t="str">
        <f>IF(U173="","",ProjParseTF(U173))</f>
        <v/>
      </c>
      <c r="AL173" s="219">
        <f>IF(E173="","",ProjCumN(AL172,E172,F172,G172,E173,F173,G173,FALSE))</f>
        <v>1136.7784459498932</v>
      </c>
      <c r="AM173" s="331">
        <f>IF(E173="","",ProjCumE(AM172,E172,F172,G172,E173,F173,G173,FALSE))</f>
        <v>137.66299055794016</v>
      </c>
      <c r="AN173" s="330">
        <f t="shared" si="53"/>
        <v>357.88</v>
      </c>
      <c r="AO173" s="330" t="str">
        <f>IF(OR(E173="",E173&lt;$U$2),"",ProjActiveTargetMdEx(D173,W173,V173,ProjTargets_MD,ProjTargets_INC,ProjTargets_AZM,ProjTargets_TVD,F173,H173))</f>
        <v/>
      </c>
      <c r="AP173" s="207">
        <f>IF(OR(E173="",E173&lt;$U$2),"",ProjBitN(E173,F173,G173,AL173,D173,W173,X173))</f>
        <v>1153.7607534987208</v>
      </c>
      <c r="AQ173" s="207">
        <f>IF(OR(E173="",E173&lt;$U$2),"",ProjBitE(E173,F173,G173,AM173,D173,W173,X173))</f>
        <v>137.03434161870274</v>
      </c>
      <c r="AR173" s="207" t="str">
        <f>IF(OR(E173="",E173&lt;$U$2,AO173=""),"",ProjBurr(D173,W173,X173,Q173,C173,ProjTargets_MD,ProjTargets_INC,ProjTargets_AZM,ProjTargets_TVD,V173))</f>
        <v/>
      </c>
      <c r="AS173" s="207" t="str">
        <f>IF(OR(E173="",E173&lt;$U$2,AO173=""),"",ProjMetersToSlide(D173,W173,X173,Q173,C173,ProjTargets_MD,ProjTargets_INC,ProjTargets_AZM,ProjTargets_TVD,V173))</f>
        <v/>
      </c>
      <c r="AT173" s="207" t="str">
        <f>IF(OR(E173="",E173&lt;$U$2,AO173=""),"",ProjRequiredTf(D173,W173,X173,ProjTargets_MD,ProjTargets_INC,ProjTargets_AZM,ProjTargets_TVD,5,V173))</f>
        <v/>
      </c>
    </row>
    <row r="174" spans="2:46" s="209" customFormat="1" ht="15" customHeight="1" x14ac:dyDescent="0.3">
      <c r="B174" s="208">
        <f t="shared" si="57"/>
        <v>17</v>
      </c>
      <c r="C174" s="335">
        <f t="shared" si="47"/>
        <v>28.760000000000218</v>
      </c>
      <c r="D174" s="27">
        <v>4157.55</v>
      </c>
      <c r="E174" s="336">
        <f t="shared" si="48"/>
        <v>4140.55</v>
      </c>
      <c r="F174" s="9">
        <v>92.76</v>
      </c>
      <c r="G174" s="9">
        <v>357.72</v>
      </c>
      <c r="H174" s="337">
        <f t="shared" si="41"/>
        <v>3072.4998044597614</v>
      </c>
      <c r="I174" s="337">
        <f t="shared" si="52"/>
        <v>2300.2498044597614</v>
      </c>
      <c r="J174" s="338">
        <f t="shared" si="49"/>
        <v>1.2938261432093321</v>
      </c>
      <c r="K174" s="339">
        <f t="shared" si="50"/>
        <v>1.2830319888734298</v>
      </c>
      <c r="L174" s="339">
        <f t="shared" si="51"/>
        <v>-0.16689847009732298</v>
      </c>
      <c r="M174" s="339" t="str">
        <f t="shared" si="42"/>
        <v/>
      </c>
      <c r="N174" s="340">
        <f t="shared" si="43"/>
        <v>7.4062161073388317</v>
      </c>
      <c r="O174" s="341" t="str">
        <f t="shared" si="44"/>
        <v>L</v>
      </c>
      <c r="P174" s="342" t="str">
        <f t="shared" si="45"/>
        <v/>
      </c>
      <c r="Q174" s="343" t="str">
        <f t="shared" si="46"/>
        <v/>
      </c>
      <c r="R174" s="10">
        <f t="shared" si="56"/>
        <v>4157.55</v>
      </c>
      <c r="S174" s="337">
        <f t="shared" si="39"/>
        <v>4160.55</v>
      </c>
      <c r="T174" s="9">
        <v>3</v>
      </c>
      <c r="U174" s="8" t="s">
        <v>864</v>
      </c>
      <c r="V174" s="202">
        <f>IF(OR(E174="",E174&lt;$U$2),"",ProjTvdAtBit(E174,F174,G174,H174,D174,W174,X174))</f>
        <v>3071.6812126445143</v>
      </c>
      <c r="W174" s="344">
        <f>IF(OR(E174="",E174&lt;$U$2),"",ProjIncAtBit(F174,J174,C174,M174,AJ174,IF(AK174="",0,AK174)))</f>
        <v>92.76</v>
      </c>
      <c r="X174" s="455">
        <f>IF(OR(E174="",E174&lt;$U$2),"",ProjAzmAtBit(F174,G174,J174,C174,M174,AJ174,IF(AK174="",0,AK174)))</f>
        <v>357.72</v>
      </c>
      <c r="Y174" s="461"/>
      <c r="Z174" s="206"/>
      <c r="AA174" s="512">
        <f t="shared" si="54"/>
        <v>90.429722375059583</v>
      </c>
      <c r="AB174" s="520">
        <f t="shared" si="55"/>
        <v>3.0685705402383974</v>
      </c>
      <c r="AC174" s="510"/>
      <c r="AD174" s="515"/>
      <c r="AE174" s="516"/>
      <c r="AJ174" s="452">
        <f>IF(OR(E174="",D174=""),0,ProjSlideMetersBetween(E174,D174,$R$13:$R$305,$S$13:$S$305))</f>
        <v>0</v>
      </c>
      <c r="AK174" s="452">
        <f>IF(U174="","",ProjParseTF(U174))</f>
        <v>140</v>
      </c>
      <c r="AL174" s="219">
        <f>IF(E174="","",ProjCumN(AL173,E173,F173,G173,E174,F174,G174,FALSE))</f>
        <v>1165.4965501107856</v>
      </c>
      <c r="AM174" s="331">
        <f>IF(E174="","",ProjCumE(AM173,E173,F173,G173,E174,F174,G174,FALSE))</f>
        <v>136.55976842432207</v>
      </c>
      <c r="AN174" s="330">
        <f t="shared" si="53"/>
        <v>357.72</v>
      </c>
      <c r="AO174" s="330" t="str">
        <f>IF(OR(E174="",E174&lt;$U$2),"",ProjActiveTargetMdEx(D174,W174,V174,ProjTargets_MD,ProjTargets_INC,ProjTargets_AZM,ProjTargets_TVD,F174,H174))</f>
        <v/>
      </c>
      <c r="AP174" s="207">
        <f>IF(OR(E174="",E174&lt;$U$2),"",ProjBitN(E174,F174,G174,AL174,D174,W174,X174))</f>
        <v>1182.4633875088696</v>
      </c>
      <c r="AQ174" s="207">
        <f>IF(OR(E174="",E174&lt;$U$2),"",ProjBitE(E174,F174,G174,AM174,D174,W174,X174))</f>
        <v>135.88424185416622</v>
      </c>
      <c r="AR174" s="207" t="str">
        <f>IF(OR(E174="",E174&lt;$U$2,AO174=""),"",ProjBurr(D174,W174,X174,Q174,C174,ProjTargets_MD,ProjTargets_INC,ProjTargets_AZM,ProjTargets_TVD,V174))</f>
        <v/>
      </c>
      <c r="AS174" s="207" t="str">
        <f>IF(OR(E174="",E174&lt;$U$2,AO174=""),"",ProjMetersToSlide(D174,W174,X174,Q174,C174,ProjTargets_MD,ProjTargets_INC,ProjTargets_AZM,ProjTargets_TVD,V174))</f>
        <v/>
      </c>
      <c r="AT174" s="207" t="str">
        <f>IF(OR(E174="",E174&lt;$U$2,AO174=""),"",ProjRequiredTf(D174,W174,X174,ProjTargets_MD,ProjTargets_INC,ProjTargets_AZM,ProjTargets_TVD,5,V174))</f>
        <v/>
      </c>
    </row>
    <row r="175" spans="2:46" s="209" customFormat="1" ht="15" customHeight="1" x14ac:dyDescent="0.3">
      <c r="B175" s="208">
        <f t="shared" si="57"/>
        <v>17</v>
      </c>
      <c r="C175" s="335">
        <f t="shared" si="47"/>
        <v>28.699999999999818</v>
      </c>
      <c r="D175" s="27">
        <v>4186.25</v>
      </c>
      <c r="E175" s="336">
        <f t="shared" si="48"/>
        <v>4169.25</v>
      </c>
      <c r="F175" s="9">
        <v>93.13</v>
      </c>
      <c r="G175" s="9">
        <v>357.65</v>
      </c>
      <c r="H175" s="337">
        <f t="shared" si="41"/>
        <v>3071.0252754693001</v>
      </c>
      <c r="I175" s="337">
        <f t="shared" si="52"/>
        <v>2298.7752754693001</v>
      </c>
      <c r="J175" s="338">
        <f t="shared" si="49"/>
        <v>0.39360231070713841</v>
      </c>
      <c r="K175" s="339">
        <f t="shared" si="50"/>
        <v>0.38675958188152543</v>
      </c>
      <c r="L175" s="339">
        <f t="shared" si="51"/>
        <v>-7.3170731707369832E-2</v>
      </c>
      <c r="M175" s="339">
        <f t="shared" si="42"/>
        <v>3</v>
      </c>
      <c r="N175" s="340">
        <f t="shared" si="43"/>
        <v>10.699282880161201</v>
      </c>
      <c r="O175" s="341" t="str">
        <f t="shared" si="44"/>
        <v>L</v>
      </c>
      <c r="P175" s="342">
        <f t="shared" si="45"/>
        <v>0.12333333333333012</v>
      </c>
      <c r="Q175" s="343">
        <f t="shared" si="46"/>
        <v>3.7654621057649336</v>
      </c>
      <c r="R175" s="10">
        <f t="shared" si="56"/>
        <v>4186.25</v>
      </c>
      <c r="S175" s="337">
        <f t="shared" si="39"/>
        <v>4192.25</v>
      </c>
      <c r="T175" s="9">
        <v>6</v>
      </c>
      <c r="U175" s="8" t="s">
        <v>770</v>
      </c>
      <c r="V175" s="202">
        <f>IF(OR(E175="",E175&lt;$U$2),"",ProjTvdAtBit(E175,F175,G175,H175,D175,W175,X175))</f>
        <v>3070.0970476211605</v>
      </c>
      <c r="W175" s="344">
        <f>IF(OR(E175="",E175&lt;$U$2),"",ProjIncAtBit(F175,J175,C175,M175,AJ175,IF(AK175="",0,AK175)))</f>
        <v>93.13</v>
      </c>
      <c r="X175" s="455">
        <f>IF(OR(E175="",E175&lt;$U$2),"",ProjAzmAtBit(F175,G175,J175,C175,M175,AJ175,IF(AK175="",0,AK175)))</f>
        <v>357.65</v>
      </c>
      <c r="Y175" s="461"/>
      <c r="Z175" s="206"/>
      <c r="AA175" s="512">
        <f t="shared" si="54"/>
        <v>90.429722375059583</v>
      </c>
      <c r="AB175" s="520">
        <f t="shared" si="55"/>
        <v>4.3278495306999503</v>
      </c>
      <c r="AC175" s="510"/>
      <c r="AD175" s="515"/>
      <c r="AE175" s="516"/>
      <c r="AJ175" s="452">
        <f>IF(OR(E175="",D175=""),0,ProjSlideMetersBetween(E175,D175,$R$13:$R$305,$S$13:$S$305))</f>
        <v>0</v>
      </c>
      <c r="AK175" s="452">
        <f>IF(U175="","",ProjParseTF(U175))</f>
        <v>180</v>
      </c>
      <c r="AL175" s="219">
        <f>IF(E175="","",ProjCumN(AL174,E174,F174,G174,E175,F175,G175,FALSE))</f>
        <v>1194.1352025305941</v>
      </c>
      <c r="AM175" s="331">
        <f>IF(E175="","",ProjCumE(AM174,E174,F174,G174,E175,F175,G175,FALSE))</f>
        <v>135.40201447745414</v>
      </c>
      <c r="AN175" s="330">
        <f t="shared" si="53"/>
        <v>357.65</v>
      </c>
      <c r="AO175" s="330" t="str">
        <f>IF(OR(E175="",E175&lt;$U$2),"",ProjActiveTargetMdEx(D175,W175,V175,ProjTargets_MD,ProjTargets_INC,ProjTargets_AZM,ProjTargets_TVD,F175,H175))</f>
        <v/>
      </c>
      <c r="AP175" s="207">
        <f>IF(OR(E175="",E175&lt;$U$2),"",ProjBitN(E175,F175,G175,AL175,D175,W175,X175))</f>
        <v>1211.0955664442183</v>
      </c>
      <c r="AQ175" s="207">
        <f>IF(OR(E175="",E175&lt;$U$2),"",ProjBitE(E175,F175,G175,AM175,D175,W175,X175))</f>
        <v>134.70599078578118</v>
      </c>
      <c r="AR175" s="207" t="str">
        <f>IF(OR(E175="",E175&lt;$U$2,AO175=""),"",ProjBurr(D175,W175,X175,Q175,C175,ProjTargets_MD,ProjTargets_INC,ProjTargets_AZM,ProjTargets_TVD,V175))</f>
        <v/>
      </c>
      <c r="AS175" s="207" t="str">
        <f>IF(OR(E175="",E175&lt;$U$2,AO175=""),"",ProjMetersToSlide(D175,W175,X175,Q175,C175,ProjTargets_MD,ProjTargets_INC,ProjTargets_AZM,ProjTargets_TVD,V175))</f>
        <v/>
      </c>
      <c r="AT175" s="207" t="str">
        <f>IF(OR(E175="",E175&lt;$U$2,AO175=""),"",ProjRequiredTf(D175,W175,X175,ProjTargets_MD,ProjTargets_INC,ProjTargets_AZM,ProjTargets_TVD,5,V175))</f>
        <v/>
      </c>
    </row>
    <row r="176" spans="2:46" s="209" customFormat="1" ht="15" customHeight="1" x14ac:dyDescent="0.3">
      <c r="B176" s="208">
        <f t="shared" si="57"/>
        <v>17</v>
      </c>
      <c r="C176" s="335">
        <f t="shared" si="47"/>
        <v>28.8100000000004</v>
      </c>
      <c r="D176" s="27">
        <v>4215.0600000000004</v>
      </c>
      <c r="E176" s="336">
        <f t="shared" si="48"/>
        <v>4198.0600000000004</v>
      </c>
      <c r="F176" s="9">
        <v>91.95</v>
      </c>
      <c r="G176" s="9">
        <v>358.08</v>
      </c>
      <c r="H176" s="337">
        <f t="shared" si="41"/>
        <v>3069.7485071961664</v>
      </c>
      <c r="I176" s="337">
        <f t="shared" si="52"/>
        <v>2297.4985071961664</v>
      </c>
      <c r="J176" s="338">
        <f t="shared" si="49"/>
        <v>1.307628100948182</v>
      </c>
      <c r="K176" s="339">
        <f t="shared" si="50"/>
        <v>-1.2287400208260775</v>
      </c>
      <c r="L176" s="339">
        <f t="shared" si="51"/>
        <v>0.44776119402985159</v>
      </c>
      <c r="M176" s="339">
        <f t="shared" si="42"/>
        <v>6</v>
      </c>
      <c r="N176" s="340">
        <f t="shared" si="43"/>
        <v>159.99635474256732</v>
      </c>
      <c r="O176" s="341" t="str">
        <f t="shared" si="44"/>
        <v>R</v>
      </c>
      <c r="P176" s="342">
        <f t="shared" si="45"/>
        <v>-0.19666666666666544</v>
      </c>
      <c r="Q176" s="343">
        <f t="shared" si="46"/>
        <v>6.2787942647196076</v>
      </c>
      <c r="R176" s="10">
        <f t="shared" si="56"/>
        <v>4215.0600000000004</v>
      </c>
      <c r="S176" s="337">
        <f t="shared" si="39"/>
        <v>4222.0600000000004</v>
      </c>
      <c r="T176" s="9">
        <v>7</v>
      </c>
      <c r="U176" s="8" t="s">
        <v>770</v>
      </c>
      <c r="V176" s="202">
        <f>IF(OR(E176="",E176&lt;$U$2),"",ProjTvdAtBit(E176,F176,G176,H176,D176,W176,X176))</f>
        <v>3069.1700422376298</v>
      </c>
      <c r="W176" s="344">
        <f>IF(OR(E176="",E176&lt;$U$2),"",ProjIncAtBit(F176,J176,C176,M176,AJ176,IF(AK176="",0,AK176)))</f>
        <v>91.95</v>
      </c>
      <c r="X176" s="455">
        <f>IF(OR(E176="",E176&lt;$U$2),"",ProjAzmAtBit(F176,G176,J176,C176,M176,AJ176,IF(AK176="",0,AK176)))</f>
        <v>358.08</v>
      </c>
      <c r="Y176" s="461"/>
      <c r="Z176" s="206"/>
      <c r="AA176" s="512">
        <f t="shared" si="54"/>
        <v>90.429722375059583</v>
      </c>
      <c r="AB176" s="520">
        <f t="shared" si="55"/>
        <v>5.3885428038333885</v>
      </c>
      <c r="AC176" s="510"/>
      <c r="AD176" s="515"/>
      <c r="AE176" s="516"/>
      <c r="AJ176" s="452">
        <f>IF(OR(E176="",D176=""),0,ProjSlideMetersBetween(E176,D176,$R$13:$R$305,$S$13:$S$305))</f>
        <v>0</v>
      </c>
      <c r="AK176" s="452">
        <f>IF(U176="","",ProjParseTF(U176))</f>
        <v>180</v>
      </c>
      <c r="AL176" s="219">
        <f>IF(E176="","",ProjCumN(AL175,E175,F175,G175,E176,F176,G176,FALSE))</f>
        <v>1222.8963436415922</v>
      </c>
      <c r="AM176" s="331">
        <f>IF(E176="","",ProjCumE(AM175,E175,F175,G175,E176,F176,G176,FALSE))</f>
        <v>134.32984747901784</v>
      </c>
      <c r="AN176" s="330">
        <f t="shared" si="53"/>
        <v>358.08</v>
      </c>
      <c r="AO176" s="330" t="str">
        <f>IF(OR(E176="",E176&lt;$U$2),"",ProjActiveTargetMdEx(D176,W176,V176,ProjTargets_MD,ProjTargets_INC,ProjTargets_AZM,ProjTargets_TVD,F176,H176))</f>
        <v/>
      </c>
      <c r="AP176" s="207">
        <f>IF(OR(E176="",E176&lt;$U$2),"",ProjBitN(E176,F176,G176,AL176,D176,W176,X176))</f>
        <v>1239.8769603922008</v>
      </c>
      <c r="AQ176" s="207">
        <f>IF(OR(E176="",E176&lt;$U$2),"",ProjBitE(E176,F176,G176,AM176,D176,W176,X176))</f>
        <v>133.76060846006632</v>
      </c>
      <c r="AR176" s="207" t="str">
        <f>IF(OR(E176="",E176&lt;$U$2,AO176=""),"",ProjBurr(D176,W176,X176,Q176,C176,ProjTargets_MD,ProjTargets_INC,ProjTargets_AZM,ProjTargets_TVD,V176))</f>
        <v/>
      </c>
      <c r="AS176" s="207" t="str">
        <f>IF(OR(E176="",E176&lt;$U$2,AO176=""),"",ProjMetersToSlide(D176,W176,X176,Q176,C176,ProjTargets_MD,ProjTargets_INC,ProjTargets_AZM,ProjTargets_TVD,V176))</f>
        <v/>
      </c>
      <c r="AT176" s="207" t="str">
        <f>IF(OR(E176="",E176&lt;$U$2,AO176=""),"",ProjRequiredTf(D176,W176,X176,ProjTargets_MD,ProjTargets_INC,ProjTargets_AZM,ProjTargets_TVD,5,V176))</f>
        <v/>
      </c>
    </row>
    <row r="177" spans="2:46" s="209" customFormat="1" ht="15" customHeight="1" x14ac:dyDescent="0.3">
      <c r="B177" s="208">
        <f t="shared" si="57"/>
        <v>17</v>
      </c>
      <c r="C177" s="335">
        <f t="shared" si="47"/>
        <v>28.729999999999563</v>
      </c>
      <c r="D177" s="27">
        <v>4243.79</v>
      </c>
      <c r="E177" s="336">
        <f t="shared" si="48"/>
        <v>4226.79</v>
      </c>
      <c r="F177" s="9">
        <v>89.02</v>
      </c>
      <c r="G177" s="9">
        <v>358.5</v>
      </c>
      <c r="H177" s="337">
        <f t="shared" si="41"/>
        <v>3069.5053150498202</v>
      </c>
      <c r="I177" s="337">
        <f t="shared" si="52"/>
        <v>2297.2553150498202</v>
      </c>
      <c r="J177" s="338">
        <f t="shared" si="49"/>
        <v>3.0907838780364361</v>
      </c>
      <c r="K177" s="339">
        <f t="shared" si="50"/>
        <v>-3.0595196658545607</v>
      </c>
      <c r="L177" s="339">
        <f t="shared" si="51"/>
        <v>0.43856595892797318</v>
      </c>
      <c r="M177" s="339">
        <f t="shared" si="42"/>
        <v>7</v>
      </c>
      <c r="N177" s="340">
        <f t="shared" si="43"/>
        <v>171.84368816271856</v>
      </c>
      <c r="O177" s="341" t="str">
        <f t="shared" si="44"/>
        <v>R</v>
      </c>
      <c r="P177" s="342">
        <f t="shared" si="45"/>
        <v>-0.41857142857142954</v>
      </c>
      <c r="Q177" s="343">
        <f t="shared" si="46"/>
        <v>12.685460116569351</v>
      </c>
      <c r="R177" s="10">
        <f t="shared" si="56"/>
        <v>4243.79</v>
      </c>
      <c r="S177" s="337">
        <f t="shared" si="39"/>
        <v>4246.29</v>
      </c>
      <c r="T177" s="9">
        <v>2.5</v>
      </c>
      <c r="U177" s="8" t="s">
        <v>864</v>
      </c>
      <c r="V177" s="202">
        <f>IF(OR(E177="",E177&lt;$U$2),"",ProjTvdAtBit(E177,F177,G177,H177,D177,W177,X177))</f>
        <v>3069.7960727256373</v>
      </c>
      <c r="W177" s="344">
        <f>IF(OR(E177="",E177&lt;$U$2),"",ProjIncAtBit(F177,J177,C177,M177,AJ177,IF(AK177="",0,AK177)))</f>
        <v>89.02</v>
      </c>
      <c r="X177" s="455">
        <f>IF(OR(E177="",E177&lt;$U$2),"",ProjAzmAtBit(F177,G177,J177,C177,M177,AJ177,IF(AK177="",0,AK177)))</f>
        <v>358.5</v>
      </c>
      <c r="Y177" s="461"/>
      <c r="Z177" s="206"/>
      <c r="AA177" s="512">
        <f t="shared" si="54"/>
        <v>90.429722375059583</v>
      </c>
      <c r="AB177" s="520">
        <f t="shared" si="55"/>
        <v>5.4162599501796649</v>
      </c>
      <c r="AC177" s="510"/>
      <c r="AD177" s="515"/>
      <c r="AE177" s="516"/>
      <c r="AJ177" s="452">
        <f>IF(OR(E177="",D177=""),0,ProjSlideMetersBetween(E177,D177,$R$13:$R$305,$S$13:$S$305))</f>
        <v>0</v>
      </c>
      <c r="AK177" s="452">
        <f>IF(U177="","",ProjParseTF(U177))</f>
        <v>140</v>
      </c>
      <c r="AL177" s="219">
        <f>IF(E177="","",ProjCumN(AL176,E176,F176,G176,E177,F177,G177,FALSE))</f>
        <v>1251.6093278884341</v>
      </c>
      <c r="AM177" s="331">
        <f>IF(E177="","",ProjCumE(AM176,E176,F176,G176,E177,F177,G177,FALSE))</f>
        <v>133.47267300298222</v>
      </c>
      <c r="AN177" s="330">
        <f t="shared" si="53"/>
        <v>358.5</v>
      </c>
      <c r="AO177" s="330" t="str">
        <f>IF(OR(E177="",E177&lt;$U$2),"",ProjActiveTargetMdEx(D177,W177,V177,ProjTargets_MD,ProjTargets_INC,ProjTargets_AZM,ProjTargets_TVD,F177,H177))</f>
        <v/>
      </c>
      <c r="AP177" s="207">
        <f>IF(OR(E177="",E177&lt;$U$2),"",ProjBitN(E177,F177,G177,AL177,D177,W177,X177))</f>
        <v>1268.6010166119122</v>
      </c>
      <c r="AQ177" s="207">
        <f>IF(OR(E177="",E177&lt;$U$2),"",ProjBitE(E177,F177,G177,AM177,D177,W177,X177))</f>
        <v>133.02772997474108</v>
      </c>
      <c r="AR177" s="207" t="str">
        <f>IF(OR(E177="",E177&lt;$U$2,AO177=""),"",ProjBurr(D177,W177,X177,Q177,C177,ProjTargets_MD,ProjTargets_INC,ProjTargets_AZM,ProjTargets_TVD,V177))</f>
        <v/>
      </c>
      <c r="AS177" s="207" t="str">
        <f>IF(OR(E177="",E177&lt;$U$2,AO177=""),"",ProjMetersToSlide(D177,W177,X177,Q177,C177,ProjTargets_MD,ProjTargets_INC,ProjTargets_AZM,ProjTargets_TVD,V177))</f>
        <v/>
      </c>
      <c r="AT177" s="207" t="str">
        <f>IF(OR(E177="",E177&lt;$U$2,AO177=""),"",ProjRequiredTf(D177,W177,X177,ProjTargets_MD,ProjTargets_INC,ProjTargets_AZM,ProjTargets_TVD,5,V177))</f>
        <v/>
      </c>
    </row>
    <row r="178" spans="2:46" s="209" customFormat="1" ht="15" customHeight="1" x14ac:dyDescent="0.3">
      <c r="B178" s="208">
        <f t="shared" si="57"/>
        <v>17</v>
      </c>
      <c r="C178" s="335">
        <f t="shared" si="47"/>
        <v>28.640000000000327</v>
      </c>
      <c r="D178" s="27">
        <v>4272.43</v>
      </c>
      <c r="E178" s="336">
        <f t="shared" si="48"/>
        <v>4255.43</v>
      </c>
      <c r="F178" s="9">
        <v>87.39</v>
      </c>
      <c r="G178" s="9">
        <v>358.84</v>
      </c>
      <c r="H178" s="337">
        <f t="shared" si="41"/>
        <v>3070.402421108166</v>
      </c>
      <c r="I178" s="337">
        <f t="shared" si="52"/>
        <v>2298.152421108166</v>
      </c>
      <c r="J178" s="338">
        <f t="shared" si="49"/>
        <v>1.744112613542611</v>
      </c>
      <c r="K178" s="339">
        <f t="shared" si="50"/>
        <v>-1.7074022346368474</v>
      </c>
      <c r="L178" s="339">
        <f t="shared" si="51"/>
        <v>0.35614525139661779</v>
      </c>
      <c r="M178" s="339">
        <f t="shared" si="42"/>
        <v>2.5</v>
      </c>
      <c r="N178" s="340">
        <f t="shared" si="43"/>
        <v>168.22368218704193</v>
      </c>
      <c r="O178" s="341" t="str">
        <f t="shared" si="44"/>
        <v>R</v>
      </c>
      <c r="P178" s="342">
        <f t="shared" si="45"/>
        <v>-0.65199999999999814</v>
      </c>
      <c r="Q178" s="343">
        <f t="shared" si="46"/>
        <v>19.980554100744378</v>
      </c>
      <c r="R178" s="10">
        <f t="shared" si="56"/>
        <v>4272.43</v>
      </c>
      <c r="S178" s="337">
        <f t="shared" si="39"/>
        <v>4276.43</v>
      </c>
      <c r="T178" s="9">
        <v>4</v>
      </c>
      <c r="U178" s="8" t="s">
        <v>785</v>
      </c>
      <c r="V178" s="202">
        <f>IF(OR(E178="",E178&lt;$U$2),"",ProjTvdAtBit(E178,F178,G178,H178,D178,W178,X178))</f>
        <v>3071.17655589995</v>
      </c>
      <c r="W178" s="344">
        <f>IF(OR(E178="",E178&lt;$U$2),"",ProjIncAtBit(F178,J178,C178,M178,AJ178,IF(AK178="",0,AK178)))</f>
        <v>87.39</v>
      </c>
      <c r="X178" s="455">
        <f>IF(OR(E178="",E178&lt;$U$2),"",ProjAzmAtBit(F178,G178,J178,C178,M178,AJ178,IF(AK178="",0,AK178)))</f>
        <v>358.84</v>
      </c>
      <c r="Y178" s="461"/>
      <c r="Z178" s="206"/>
      <c r="AA178" s="512">
        <f t="shared" si="54"/>
        <v>90.429722375059583</v>
      </c>
      <c r="AB178" s="520">
        <f t="shared" si="55"/>
        <v>4.3043538918341255</v>
      </c>
      <c r="AC178" s="510"/>
      <c r="AD178" s="515"/>
      <c r="AE178" s="516"/>
      <c r="AJ178" s="452">
        <f>IF(OR(E178="",D178=""),0,ProjSlideMetersBetween(E178,D178,$R$13:$R$305,$S$13:$S$305))</f>
        <v>0</v>
      </c>
      <c r="AK178" s="452" t="e">
        <f>IF(U178="","",ProjParseTF(U178))</f>
        <v>#VALUE!</v>
      </c>
      <c r="AL178" s="219">
        <f>IF(E178="","",ProjCumN(AL177,E177,F177,G177,E178,F178,G178,FALSE))</f>
        <v>1280.2265541359116</v>
      </c>
      <c r="AM178" s="331">
        <f>IF(E178="","",ProjCumE(AM177,E177,F177,G177,E178,F178,G178,FALSE))</f>
        <v>132.80822757739762</v>
      </c>
      <c r="AN178" s="330">
        <f t="shared" si="53"/>
        <v>358.84</v>
      </c>
      <c r="AO178" s="330" t="str">
        <f>IF(OR(E178="",E178&lt;$U$2),"",ProjActiveTargetMdEx(D178,W178,V178,ProjTargets_MD,ProjTargets_INC,ProjTargets_AZM,ProjTargets_TVD,F178,H178))</f>
        <v/>
      </c>
      <c r="AP178" s="207">
        <f>IF(OR(E178="",E178&lt;$U$2),"",ProjBitN(E178,F178,G178,AL178,D178,W178,X178))</f>
        <v>1297.2054386099517</v>
      </c>
      <c r="AQ178" s="207">
        <f>IF(OR(E178="",E178&lt;$U$2),"",ProjBitE(E178,F178,G178,AM178,D178,W178,X178))</f>
        <v>132.46442917520164</v>
      </c>
      <c r="AR178" s="207" t="str">
        <f>IF(OR(E178="",E178&lt;$U$2,AO178=""),"",ProjBurr(D178,W178,X178,Q178,C178,ProjTargets_MD,ProjTargets_INC,ProjTargets_AZM,ProjTargets_TVD,V178))</f>
        <v/>
      </c>
      <c r="AS178" s="207" t="str">
        <f>IF(OR(E178="",E178&lt;$U$2,AO178=""),"",ProjMetersToSlide(D178,W178,X178,Q178,C178,ProjTargets_MD,ProjTargets_INC,ProjTargets_AZM,ProjTargets_TVD,V178))</f>
        <v/>
      </c>
      <c r="AT178" s="207" t="str">
        <f>IF(OR(E178="",E178&lt;$U$2,AO178=""),"",ProjRequiredTf(D178,W178,X178,ProjTargets_MD,ProjTargets_INC,ProjTargets_AZM,ProjTargets_TVD,5,V178))</f>
        <v/>
      </c>
    </row>
    <row r="179" spans="2:46" s="209" customFormat="1" ht="15" customHeight="1" x14ac:dyDescent="0.3">
      <c r="B179" s="208">
        <f t="shared" si="57"/>
        <v>17</v>
      </c>
      <c r="C179" s="335">
        <f t="shared" si="47"/>
        <v>28.779999999999745</v>
      </c>
      <c r="D179" s="27">
        <v>4301.21</v>
      </c>
      <c r="E179" s="336">
        <f t="shared" si="48"/>
        <v>4284.21</v>
      </c>
      <c r="F179" s="27">
        <v>88.53</v>
      </c>
      <c r="G179" s="9">
        <v>358.45</v>
      </c>
      <c r="H179" s="337">
        <f t="shared" si="41"/>
        <v>3071.4269083675699</v>
      </c>
      <c r="I179" s="337">
        <f t="shared" si="52"/>
        <v>2299.1769083675699</v>
      </c>
      <c r="J179" s="338">
        <f t="shared" si="49"/>
        <v>1.2558544805104779</v>
      </c>
      <c r="K179" s="339">
        <f t="shared" si="50"/>
        <v>1.1883252258512969</v>
      </c>
      <c r="L179" s="339">
        <f t="shared" si="51"/>
        <v>-0.40653231410700813</v>
      </c>
      <c r="M179" s="339">
        <f t="shared" si="42"/>
        <v>4</v>
      </c>
      <c r="N179" s="340">
        <f t="shared" si="43"/>
        <v>18.874674910012576</v>
      </c>
      <c r="O179" s="341" t="str">
        <f t="shared" si="44"/>
        <v>L</v>
      </c>
      <c r="P179" s="342">
        <f t="shared" si="45"/>
        <v>0.28500000000000014</v>
      </c>
      <c r="Q179" s="343">
        <f t="shared" si="46"/>
        <v>9.0358729872728087</v>
      </c>
      <c r="R179" s="10" t="str">
        <f t="shared" si="56"/>
        <v/>
      </c>
      <c r="S179" s="337" t="str">
        <f t="shared" si="39"/>
        <v/>
      </c>
      <c r="T179" s="9"/>
      <c r="U179" s="8"/>
      <c r="V179" s="202">
        <f>IF(OR(E179="",E179&lt;$U$2),"",ProjTvdAtBit(E179,F179,G179,H179,D179,W179,X179))</f>
        <v>3071.863018299236</v>
      </c>
      <c r="W179" s="344">
        <f>IF(OR(E179="",E179&lt;$U$2),"",ProjIncAtBit(F179,J179,C179,M179,AJ179,IF(AK179="",0,AK179)))</f>
        <v>88.53</v>
      </c>
      <c r="X179" s="455">
        <f>IF(OR(E179="",E179&lt;$U$2),"",ProjAzmAtBit(F179,G179,J179,C179,M179,AJ179,IF(AK179="",0,AK179)))</f>
        <v>358.45</v>
      </c>
      <c r="Y179" s="461"/>
      <c r="Z179" s="206"/>
      <c r="AA179" s="512">
        <f t="shared" si="54"/>
        <v>90.572967344857148</v>
      </c>
      <c r="AB179" s="520">
        <f t="shared" si="55"/>
        <v>3.0609916324301594</v>
      </c>
      <c r="AC179" s="510"/>
      <c r="AD179" s="515"/>
      <c r="AE179" s="516"/>
      <c r="AJ179" s="452">
        <f>IF(OR(E179="",D179=""),0,ProjSlideMetersBetween(E179,D179,$R$13:$R$305,$S$13:$S$305))</f>
        <v>0</v>
      </c>
      <c r="AK179" s="452" t="str">
        <f>IF(U179="","",ProjParseTF(U179))</f>
        <v/>
      </c>
      <c r="AL179" s="219">
        <f>IF(E179="","",ProjCumN(AL178,E178,F178,G178,E179,F179,G179,FALSE))</f>
        <v>1308.9797405220638</v>
      </c>
      <c r="AM179" s="331">
        <f>IF(E179="","",ProjCumE(AM178,E178,F178,G178,E179,F179,G179,FALSE))</f>
        <v>132.12807589963708</v>
      </c>
      <c r="AN179" s="330">
        <f t="shared" si="53"/>
        <v>358.45</v>
      </c>
      <c r="AO179" s="330" t="str">
        <f>IF(OR(E179="",E179&lt;$U$2),"",ProjActiveTargetMdEx(D179,W179,V179,ProjTargets_MD,ProjTargets_INC,ProjTargets_AZM,ProjTargets_TVD,F179,H179))</f>
        <v/>
      </c>
      <c r="AP179" s="207">
        <f>IF(OR(E179="",E179&lt;$U$2),"",ProjBitN(E179,F179,G179,AL179,D179,W179,X179))</f>
        <v>1325.9679274808404</v>
      </c>
      <c r="AQ179" s="207">
        <f>IF(OR(E179="",E179&lt;$U$2),"",ProjBitE(E179,F179,G179,AM179,D179,W179,X179))</f>
        <v>131.66838907020085</v>
      </c>
      <c r="AR179" s="207" t="str">
        <f>IF(OR(E179="",E179&lt;$U$2,AO179=""),"",ProjBurr(D179,W179,X179,Q179,C179,ProjTargets_MD,ProjTargets_INC,ProjTargets_AZM,ProjTargets_TVD,V179))</f>
        <v/>
      </c>
      <c r="AS179" s="207" t="str">
        <f>IF(OR(E179="",E179&lt;$U$2,AO179=""),"",ProjMetersToSlide(D179,W179,X179,Q179,C179,ProjTargets_MD,ProjTargets_INC,ProjTargets_AZM,ProjTargets_TVD,V179))</f>
        <v/>
      </c>
      <c r="AT179" s="207" t="str">
        <f>IF(OR(E179="",E179&lt;$U$2,AO179=""),"",ProjRequiredTf(D179,W179,X179,ProjTargets_MD,ProjTargets_INC,ProjTargets_AZM,ProjTargets_TVD,5,V179))</f>
        <v/>
      </c>
    </row>
    <row r="180" spans="2:46" s="209" customFormat="1" ht="15" customHeight="1" x14ac:dyDescent="0.3">
      <c r="B180" s="208">
        <f t="shared" si="57"/>
        <v>17</v>
      </c>
      <c r="C180" s="335">
        <f t="shared" si="47"/>
        <v>28.760000000000218</v>
      </c>
      <c r="D180" s="27">
        <v>4329.97</v>
      </c>
      <c r="E180" s="336">
        <f t="shared" si="48"/>
        <v>4312.97</v>
      </c>
      <c r="F180" s="9">
        <v>88.84</v>
      </c>
      <c r="G180" s="9">
        <v>358.68</v>
      </c>
      <c r="H180" s="337">
        <f t="shared" si="41"/>
        <v>3072.0869234710854</v>
      </c>
      <c r="I180" s="337">
        <f t="shared" si="52"/>
        <v>2299.8369234710854</v>
      </c>
      <c r="J180" s="338">
        <f t="shared" si="49"/>
        <v>0.40261014351459773</v>
      </c>
      <c r="K180" s="339">
        <f t="shared" si="50"/>
        <v>0.32336578581362996</v>
      </c>
      <c r="L180" s="339">
        <f t="shared" si="51"/>
        <v>0.23991655076496846</v>
      </c>
      <c r="M180" s="339" t="str">
        <f t="shared" si="42"/>
        <v/>
      </c>
      <c r="N180" s="340">
        <f t="shared" si="43"/>
        <v>36.565776038357491</v>
      </c>
      <c r="O180" s="341" t="str">
        <f t="shared" si="44"/>
        <v>R</v>
      </c>
      <c r="P180" s="342" t="str">
        <f t="shared" si="45"/>
        <v/>
      </c>
      <c r="Q180" s="343" t="str">
        <f t="shared" si="46"/>
        <v/>
      </c>
      <c r="R180" s="10" t="str">
        <f t="shared" si="56"/>
        <v/>
      </c>
      <c r="S180" s="337" t="str">
        <f t="shared" si="39"/>
        <v/>
      </c>
      <c r="T180" s="9"/>
      <c r="U180" s="8"/>
      <c r="V180" s="202">
        <f>IF(OR(E180="",E180&lt;$U$2),"",ProjTvdAtBit(E180,F180,G180,H180,D180,W180,X180))</f>
        <v>3072.4310788872936</v>
      </c>
      <c r="W180" s="344">
        <f>IF(OR(E180="",E180&lt;$U$2),"",ProjIncAtBit(F180,J180,C180,M180,AJ180,IF(AK180="",0,AK180)))</f>
        <v>88.84</v>
      </c>
      <c r="X180" s="455">
        <f>IF(OR(E180="",E180&lt;$U$2),"",ProjAzmAtBit(F180,G180,J180,C180,M180,AJ180,IF(AK180="",0,AK180)))</f>
        <v>358.68</v>
      </c>
      <c r="Y180" s="461"/>
      <c r="Z180" s="206"/>
      <c r="AA180" s="512">
        <f t="shared" si="54"/>
        <v>90.572967344857148</v>
      </c>
      <c r="AB180" s="520">
        <f t="shared" si="55"/>
        <v>2.113376528914614</v>
      </c>
      <c r="AC180" s="510"/>
      <c r="AD180" s="515"/>
      <c r="AE180" s="516"/>
      <c r="AJ180" s="452">
        <f>IF(OR(E180="",D180=""),0,ProjSlideMetersBetween(E180,D180,$R$13:$R$305,$S$13:$S$305))</f>
        <v>0</v>
      </c>
      <c r="AK180" s="452" t="str">
        <f>IF(U180="","",ProjParseTF(U180))</f>
        <v/>
      </c>
      <c r="AL180" s="219">
        <f>IF(E180="","",ProjCumN(AL179,E179,F179,G179,E180,F180,G180,FALSE))</f>
        <v>1337.7230944917869</v>
      </c>
      <c r="AM180" s="331">
        <f>IF(E180="","",ProjCumE(AM179,E179,F179,G179,E180,F180,G180,FALSE))</f>
        <v>131.40803797681053</v>
      </c>
      <c r="AN180" s="330">
        <f t="shared" si="53"/>
        <v>358.68</v>
      </c>
      <c r="AO180" s="330" t="str">
        <f>IF(OR(E180="",E180&lt;$U$2),"",ProjActiveTargetMdEx(D180,W180,V180,ProjTargets_MD,ProjTargets_INC,ProjTargets_AZM,ProjTargets_TVD,F180,H180))</f>
        <v/>
      </c>
      <c r="AP180" s="207">
        <f>IF(OR(E180="",E180&lt;$U$2),"",ProjBitN(E180,F180,G180,AL180,D180,W180,X180))</f>
        <v>1354.7151001368472</v>
      </c>
      <c r="AQ180" s="207">
        <f>IF(OR(E180="",E180&lt;$U$2),"",ProjBitE(E180,F180,G180,AM180,D180,W180,X180))</f>
        <v>131.01650099550133</v>
      </c>
      <c r="AR180" s="207" t="str">
        <f>IF(OR(E180="",E180&lt;$U$2,AO180=""),"",ProjBurr(D180,W180,X180,Q180,C180,ProjTargets_MD,ProjTargets_INC,ProjTargets_AZM,ProjTargets_TVD,V180))</f>
        <v/>
      </c>
      <c r="AS180" s="207" t="str">
        <f>IF(OR(E180="",E180&lt;$U$2,AO180=""),"",ProjMetersToSlide(D180,W180,X180,Q180,C180,ProjTargets_MD,ProjTargets_INC,ProjTargets_AZM,ProjTargets_TVD,V180))</f>
        <v/>
      </c>
      <c r="AT180" s="207" t="str">
        <f>IF(OR(E180="",E180&lt;$U$2,AO180=""),"",ProjRequiredTf(D180,W180,X180,ProjTargets_MD,ProjTargets_INC,ProjTargets_AZM,ProjTargets_TVD,5,V180))</f>
        <v/>
      </c>
    </row>
    <row r="181" spans="2:46" s="209" customFormat="1" ht="15" customHeight="1" x14ac:dyDescent="0.3">
      <c r="B181" s="208">
        <f t="shared" si="57"/>
        <v>17</v>
      </c>
      <c r="C181" s="335">
        <f t="shared" si="47"/>
        <v>28.829999999999927</v>
      </c>
      <c r="D181" s="27">
        <v>4358.8</v>
      </c>
      <c r="E181" s="336">
        <f t="shared" si="48"/>
        <v>4341.8</v>
      </c>
      <c r="F181" s="9">
        <v>88.79</v>
      </c>
      <c r="G181" s="9">
        <v>0.98</v>
      </c>
      <c r="H181" s="337">
        <f t="shared" si="41"/>
        <v>3072.6831473946977</v>
      </c>
      <c r="I181" s="337">
        <f t="shared" si="52"/>
        <v>2300.4331473946977</v>
      </c>
      <c r="J181" s="338">
        <f t="shared" si="49"/>
        <v>2.3933938549824898</v>
      </c>
      <c r="K181" s="339">
        <f t="shared" si="50"/>
        <v>-5.2029136316334323E-2</v>
      </c>
      <c r="L181" s="339">
        <f t="shared" si="51"/>
        <v>2.3933402705515081</v>
      </c>
      <c r="M181" s="339" t="str">
        <f t="shared" si="42"/>
        <v/>
      </c>
      <c r="N181" s="340">
        <f t="shared" si="43"/>
        <v>91.245630658804686</v>
      </c>
      <c r="O181" s="341" t="str">
        <f t="shared" si="44"/>
        <v>R</v>
      </c>
      <c r="P181" s="342" t="str">
        <f t="shared" si="45"/>
        <v/>
      </c>
      <c r="Q181" s="343" t="str">
        <f t="shared" si="46"/>
        <v/>
      </c>
      <c r="R181" s="10" t="str">
        <f t="shared" si="56"/>
        <v/>
      </c>
      <c r="S181" s="337" t="str">
        <f t="shared" si="39"/>
        <v/>
      </c>
      <c r="T181" s="9"/>
      <c r="U181" s="8"/>
      <c r="V181" s="202">
        <f>IF(OR(E181="",E181&lt;$U$2),"",ProjTvdAtBit(E181,F181,G181,H181,D181,W181,X181))</f>
        <v>3073.0421349362805</v>
      </c>
      <c r="W181" s="344">
        <f>IF(OR(E181="",E181&lt;$U$2),"",ProjIncAtBit(F181,J181,C181,M181,AJ181,IF(AK181="",0,AK181)))</f>
        <v>88.79</v>
      </c>
      <c r="X181" s="455">
        <f>IF(OR(E181="",E181&lt;$U$2),"",ProjAzmAtBit(F181,G181,J181,C181,M181,AJ181,IF(AK181="",0,AK181)))</f>
        <v>0.98</v>
      </c>
      <c r="Y181" s="461"/>
      <c r="Z181" s="206"/>
      <c r="AA181" s="512">
        <f t="shared" si="54"/>
        <v>90.572967344857148</v>
      </c>
      <c r="AB181" s="520">
        <f t="shared" si="55"/>
        <v>1.2288526053021087</v>
      </c>
      <c r="AC181" s="510"/>
      <c r="AD181" s="515"/>
      <c r="AE181" s="516"/>
      <c r="AJ181" s="452">
        <f>IF(OR(E181="",D181=""),0,ProjSlideMetersBetween(E181,D181,$R$13:$R$305,$S$13:$S$305))</f>
        <v>0</v>
      </c>
      <c r="AK181" s="452" t="str">
        <f>IF(U181="","",ProjParseTF(U181))</f>
        <v/>
      </c>
      <c r="AL181" s="219">
        <f>IF(E181="","",ProjCumN(AL180,E180,F180,G180,E181,F181,G181,FALSE))</f>
        <v>1366.5448639508413</v>
      </c>
      <c r="AM181" s="331">
        <f>IF(E181="","",ProjCumE(AM180,E180,F180,G180,E181,F181,G181,FALSE))</f>
        <v>131.32251659244776</v>
      </c>
      <c r="AN181" s="330">
        <f t="shared" si="53"/>
        <v>0.98</v>
      </c>
      <c r="AO181" s="330" t="str">
        <f>IF(OR(E181="",E181&lt;$U$2),"",ProjActiveTargetMdEx(D181,W181,V181,ProjTargets_MD,ProjTargets_INC,ProjTargets_AZM,ProjTargets_TVD,F181,H181))</f>
        <v/>
      </c>
      <c r="AP181" s="207">
        <f>IF(OR(E181="",E181&lt;$U$2),"",ProjBitN(E181,F181,G181,AL181,D181,W181,X181))</f>
        <v>1383.538587074906</v>
      </c>
      <c r="AQ181" s="207">
        <f>IF(OR(E181="",E181&lt;$U$2),"",ProjBitE(E181,F181,G181,AM181,D181,W181,X181))</f>
        <v>131.61320943311381</v>
      </c>
      <c r="AR181" s="207" t="str">
        <f>IF(OR(E181="",E181&lt;$U$2,AO181=""),"",ProjBurr(D181,W181,X181,Q181,C181,ProjTargets_MD,ProjTargets_INC,ProjTargets_AZM,ProjTargets_TVD,V181))</f>
        <v/>
      </c>
      <c r="AS181" s="207" t="str">
        <f>IF(OR(E181="",E181&lt;$U$2,AO181=""),"",ProjMetersToSlide(D181,W181,X181,Q181,C181,ProjTargets_MD,ProjTargets_INC,ProjTargets_AZM,ProjTargets_TVD,V181))</f>
        <v/>
      </c>
      <c r="AT181" s="207" t="str">
        <f>IF(OR(E181="",E181&lt;$U$2,AO181=""),"",ProjRequiredTf(D181,W181,X181,ProjTargets_MD,ProjTargets_INC,ProjTargets_AZM,ProjTargets_TVD,5,V181))</f>
        <v/>
      </c>
    </row>
    <row r="182" spans="2:46" s="209" customFormat="1" ht="15" customHeight="1" x14ac:dyDescent="0.3">
      <c r="B182" s="208">
        <f t="shared" si="57"/>
        <v>17</v>
      </c>
      <c r="C182" s="335">
        <f t="shared" si="47"/>
        <v>28.819999999999709</v>
      </c>
      <c r="D182" s="27">
        <v>4387.62</v>
      </c>
      <c r="E182" s="336">
        <f t="shared" si="48"/>
        <v>4370.62</v>
      </c>
      <c r="F182" s="9">
        <v>89.19</v>
      </c>
      <c r="G182" s="9">
        <v>0.44</v>
      </c>
      <c r="H182" s="337">
        <f t="shared" si="41"/>
        <v>3073.1911550133386</v>
      </c>
      <c r="I182" s="337">
        <f t="shared" si="52"/>
        <v>2300.9411550133386</v>
      </c>
      <c r="J182" s="338">
        <f t="shared" si="49"/>
        <v>0.69945552489642326</v>
      </c>
      <c r="K182" s="339">
        <f t="shared" si="50"/>
        <v>0.4163775156141522</v>
      </c>
      <c r="L182" s="339">
        <f t="shared" si="51"/>
        <v>-0.5621096460791174</v>
      </c>
      <c r="M182" s="339" t="str">
        <f t="shared" si="42"/>
        <v/>
      </c>
      <c r="N182" s="340">
        <f t="shared" si="43"/>
        <v>53.466830731385308</v>
      </c>
      <c r="O182" s="341" t="str">
        <f t="shared" si="44"/>
        <v>L</v>
      </c>
      <c r="P182" s="342" t="str">
        <f t="shared" si="45"/>
        <v/>
      </c>
      <c r="Q182" s="343" t="str">
        <f t="shared" si="46"/>
        <v/>
      </c>
      <c r="R182" s="10" t="str">
        <f t="shared" si="56"/>
        <v/>
      </c>
      <c r="S182" s="337" t="str">
        <f t="shared" si="39"/>
        <v/>
      </c>
      <c r="T182" s="9"/>
      <c r="U182" s="8"/>
      <c r="V182" s="202">
        <f>IF(OR(E182="",E182&lt;$U$2),"",ProjTvdAtBit(E182,F182,G182,H182,D182,W182,X182))</f>
        <v>3073.4314788459851</v>
      </c>
      <c r="W182" s="344">
        <f>IF(OR(E182="",E182&lt;$U$2),"",ProjIncAtBit(F182,J182,C182,M182,AJ182,IF(AK182="",0,AK182)))</f>
        <v>89.19</v>
      </c>
      <c r="X182" s="455">
        <f>IF(OR(E182="",E182&lt;$U$2),"",ProjAzmAtBit(F182,G182,J182,C182,M182,AJ182,IF(AK182="",0,AK182)))</f>
        <v>0.44</v>
      </c>
      <c r="Y182" s="461"/>
      <c r="Z182" s="206"/>
      <c r="AA182" s="512">
        <f t="shared" si="54"/>
        <v>90.572967344857148</v>
      </c>
      <c r="AB182" s="520">
        <f t="shared" si="55"/>
        <v>0.43264498666121654</v>
      </c>
      <c r="AC182" s="510"/>
      <c r="AD182" s="515"/>
      <c r="AE182" s="516"/>
      <c r="AJ182" s="452">
        <f>IF(OR(E182="",D182=""),0,ProjSlideMetersBetween(E182,D182,$R$13:$R$305,$S$13:$S$305))</f>
        <v>0</v>
      </c>
      <c r="AK182" s="452" t="str">
        <f>IF(U182="","",ProjParseTF(U182))</f>
        <v/>
      </c>
      <c r="AL182" s="219">
        <f>IF(E182="","",ProjCumN(AL181,E181,F181,G181,E182,F182,G182,FALSE))</f>
        <v>1395.3580087899995</v>
      </c>
      <c r="AM182" s="331">
        <f>IF(E182="","",ProjCumE(AM181,E181,F181,G181,E182,F182,G182,FALSE))</f>
        <v>131.67957432645829</v>
      </c>
      <c r="AN182" s="330">
        <f t="shared" si="53"/>
        <v>0.44</v>
      </c>
      <c r="AO182" s="330" t="str">
        <f>IF(OR(E182="",E182&lt;$U$2),"",ProjActiveTargetMdEx(D182,W182,V182,ProjTargets_MD,ProjTargets_INC,ProjTargets_AZM,ProjTargets_TVD,F182,H182))</f>
        <v/>
      </c>
      <c r="AP182" s="207">
        <f>IF(OR(E182="",E182&lt;$U$2),"",ProjBitN(E182,F182,G182,AL182,D182,W182,X182))</f>
        <v>1412.3558087867643</v>
      </c>
      <c r="AQ182" s="207">
        <f>IF(OR(E182="",E182&lt;$U$2),"",ProjBitE(E182,F182,G182,AM182,D182,W182,X182))</f>
        <v>131.8101106257852</v>
      </c>
      <c r="AR182" s="207" t="str">
        <f>IF(OR(E182="",E182&lt;$U$2,AO182=""),"",ProjBurr(D182,W182,X182,Q182,C182,ProjTargets_MD,ProjTargets_INC,ProjTargets_AZM,ProjTargets_TVD,V182))</f>
        <v/>
      </c>
      <c r="AS182" s="207" t="str">
        <f>IF(OR(E182="",E182&lt;$U$2,AO182=""),"",ProjMetersToSlide(D182,W182,X182,Q182,C182,ProjTargets_MD,ProjTargets_INC,ProjTargets_AZM,ProjTargets_TVD,V182))</f>
        <v/>
      </c>
      <c r="AT182" s="207" t="str">
        <f>IF(OR(E182="",E182&lt;$U$2,AO182=""),"",ProjRequiredTf(D182,W182,X182,ProjTargets_MD,ProjTargets_INC,ProjTargets_AZM,ProjTargets_TVD,5,V182))</f>
        <v/>
      </c>
    </row>
    <row r="183" spans="2:46" s="209" customFormat="1" ht="15" customHeight="1" x14ac:dyDescent="0.3">
      <c r="B183" s="208">
        <f t="shared" si="57"/>
        <v>17</v>
      </c>
      <c r="C183" s="335">
        <f t="shared" si="47"/>
        <v>28.75</v>
      </c>
      <c r="D183" s="27">
        <v>4416.37</v>
      </c>
      <c r="E183" s="336">
        <f t="shared" si="48"/>
        <v>4399.37</v>
      </c>
      <c r="F183" s="9">
        <v>89.75</v>
      </c>
      <c r="G183" s="9">
        <v>0.25</v>
      </c>
      <c r="H183" s="337">
        <f t="shared" si="41"/>
        <v>3073.4570957654464</v>
      </c>
      <c r="I183" s="337">
        <f t="shared" si="52"/>
        <v>2301.2070957654464</v>
      </c>
      <c r="J183" s="338">
        <f t="shared" si="49"/>
        <v>0.61706245872197207</v>
      </c>
      <c r="K183" s="339">
        <f t="shared" si="50"/>
        <v>0.5843478260869589</v>
      </c>
      <c r="L183" s="339">
        <f t="shared" si="51"/>
        <v>-0.19826086956521741</v>
      </c>
      <c r="M183" s="339" t="str">
        <f t="shared" si="42"/>
        <v/>
      </c>
      <c r="N183" s="340">
        <f t="shared" si="43"/>
        <v>18.740525203182084</v>
      </c>
      <c r="O183" s="341" t="str">
        <f t="shared" si="44"/>
        <v>L</v>
      </c>
      <c r="P183" s="342" t="str">
        <f t="shared" si="45"/>
        <v/>
      </c>
      <c r="Q183" s="343" t="str">
        <f t="shared" si="46"/>
        <v/>
      </c>
      <c r="R183" s="10" t="str">
        <f t="shared" si="56"/>
        <v/>
      </c>
      <c r="S183" s="337" t="str">
        <f t="shared" si="39"/>
        <v/>
      </c>
      <c r="T183" s="9"/>
      <c r="U183" s="8"/>
      <c r="V183" s="202">
        <f>IF(OR(E183="",E183&lt;$U$2),"",ProjTvdAtBit(E183,F183,G183,H183,D183,W183,X183))</f>
        <v>3073.5312720232873</v>
      </c>
      <c r="W183" s="344">
        <f>IF(OR(E183="",E183&lt;$U$2),"",ProjIncAtBit(F183,J183,C183,M183,AJ183,IF(AK183="",0,AK183)))</f>
        <v>89.75</v>
      </c>
      <c r="X183" s="455">
        <f>IF(OR(E183="",E183&lt;$U$2),"",ProjAzmAtBit(F183,G183,J183,C183,M183,AJ183,IF(AK183="",0,AK183)))</f>
        <v>0.25</v>
      </c>
      <c r="Y183" s="461"/>
      <c r="Z183" s="206"/>
      <c r="AA183" s="512">
        <f t="shared" si="54"/>
        <v>90.572967344857148</v>
      </c>
      <c r="AB183" s="520">
        <f t="shared" si="55"/>
        <v>-0.12079576544647352</v>
      </c>
      <c r="AC183" s="510"/>
      <c r="AD183" s="515"/>
      <c r="AE183" s="516"/>
      <c r="AJ183" s="452">
        <f>IF(OR(E183="",D183=""),0,ProjSlideMetersBetween(E183,D183,$R$13:$R$305,$S$13:$S$305))</f>
        <v>0</v>
      </c>
      <c r="AK183" s="452" t="str">
        <f>IF(U183="","",ProjParseTF(U183))</f>
        <v/>
      </c>
      <c r="AL183" s="219">
        <f>IF(E183="","",ProjCumN(AL182,E182,F182,G182,E183,F183,G183,FALSE))</f>
        <v>1424.1061300119363</v>
      </c>
      <c r="AM183" s="331">
        <f>IF(E183="","",ProjCumE(AM182,E182,F182,G182,E183,F183,G183,FALSE))</f>
        <v>131.85267779598016</v>
      </c>
      <c r="AN183" s="330">
        <f t="shared" si="53"/>
        <v>0.25</v>
      </c>
      <c r="AO183" s="330" t="str">
        <f>IF(OR(E183="",E183&lt;$U$2),"",ProjActiveTargetMdEx(D183,W183,V183,ProjTargets_MD,ProjTargets_INC,ProjTargets_AZM,ProjTargets_TVD,F183,H183))</f>
        <v/>
      </c>
      <c r="AP183" s="207">
        <f>IF(OR(E183="",E183&lt;$U$2),"",ProjBitN(E183,F183,G183,AL183,D183,W183,X183))</f>
        <v>1441.1058063579817</v>
      </c>
      <c r="AQ183" s="207">
        <f>IF(OR(E183="",E183&lt;$U$2),"",ProjBitE(E183,F183,G183,AM183,D183,W183,X183))</f>
        <v>131.92685334771633</v>
      </c>
      <c r="AR183" s="207" t="str">
        <f>IF(OR(E183="",E183&lt;$U$2,AO183=""),"",ProjBurr(D183,W183,X183,Q183,C183,ProjTargets_MD,ProjTargets_INC,ProjTargets_AZM,ProjTargets_TVD,V183))</f>
        <v/>
      </c>
      <c r="AS183" s="207" t="str">
        <f>IF(OR(E183="",E183&lt;$U$2,AO183=""),"",ProjMetersToSlide(D183,W183,X183,Q183,C183,ProjTargets_MD,ProjTargets_INC,ProjTargets_AZM,ProjTargets_TVD,V183))</f>
        <v/>
      </c>
      <c r="AT183" s="207" t="str">
        <f>IF(OR(E183="",E183&lt;$U$2,AO183=""),"",ProjRequiredTf(D183,W183,X183,ProjTargets_MD,ProjTargets_INC,ProjTargets_AZM,ProjTargets_TVD,5,V183))</f>
        <v/>
      </c>
    </row>
    <row r="184" spans="2:46" s="209" customFormat="1" ht="15" customHeight="1" x14ac:dyDescent="0.3">
      <c r="B184" s="208">
        <f t="shared" si="57"/>
        <v>17</v>
      </c>
      <c r="C184" s="335">
        <f t="shared" si="47"/>
        <v>28.869999999999891</v>
      </c>
      <c r="D184" s="27">
        <v>4445.24</v>
      </c>
      <c r="E184" s="336">
        <f t="shared" si="48"/>
        <v>4428.24</v>
      </c>
      <c r="F184" s="9">
        <v>90.81</v>
      </c>
      <c r="G184" s="9">
        <v>2.48</v>
      </c>
      <c r="H184" s="337">
        <f t="shared" si="41"/>
        <v>3073.3160108915986</v>
      </c>
      <c r="I184" s="337">
        <f t="shared" si="52"/>
        <v>2301.0660108915986</v>
      </c>
      <c r="J184" s="338">
        <f t="shared" si="49"/>
        <v>2.5656976512247303</v>
      </c>
      <c r="K184" s="339">
        <f t="shared" si="50"/>
        <v>1.1014894354000757</v>
      </c>
      <c r="L184" s="339">
        <f t="shared" si="51"/>
        <v>2.3172843782473245</v>
      </c>
      <c r="M184" s="339" t="str">
        <f t="shared" si="42"/>
        <v/>
      </c>
      <c r="N184" s="340">
        <f t="shared" si="43"/>
        <v>64.575979280719309</v>
      </c>
      <c r="O184" s="341" t="str">
        <f t="shared" si="44"/>
        <v>R</v>
      </c>
      <c r="P184" s="342" t="str">
        <f t="shared" si="45"/>
        <v/>
      </c>
      <c r="Q184" s="343" t="str">
        <f t="shared" si="46"/>
        <v/>
      </c>
      <c r="R184" s="10">
        <f t="shared" si="56"/>
        <v>4445.24</v>
      </c>
      <c r="S184" s="337">
        <f t="shared" si="39"/>
        <v>4450.24</v>
      </c>
      <c r="T184" s="9">
        <v>5</v>
      </c>
      <c r="U184" s="8" t="s">
        <v>867</v>
      </c>
      <c r="V184" s="202">
        <f>IF(OR(E184="",E184&lt;$U$2),"",ProjTvdAtBit(E184,F184,G184,H184,D184,W184,X184))</f>
        <v>3073.0756870589521</v>
      </c>
      <c r="W184" s="344">
        <f>IF(OR(E184="",E184&lt;$U$2),"",ProjIncAtBit(F184,J184,C184,M184,AJ184,IF(AK184="",0,AK184)))</f>
        <v>90.81</v>
      </c>
      <c r="X184" s="455">
        <f>IF(OR(E184="",E184&lt;$U$2),"",ProjAzmAtBit(F184,G184,J184,C184,M184,AJ184,IF(AK184="",0,AK184)))</f>
        <v>2.48</v>
      </c>
      <c r="Y184" s="461"/>
      <c r="Z184" s="206"/>
      <c r="AA184" s="512">
        <f t="shared" si="54"/>
        <v>90.572967344857148</v>
      </c>
      <c r="AB184" s="520">
        <f t="shared" si="55"/>
        <v>-0.26841089159870535</v>
      </c>
      <c r="AC184" s="510"/>
      <c r="AD184" s="515"/>
      <c r="AE184" s="516"/>
      <c r="AJ184" s="452">
        <f>IF(OR(E184="",D184=""),0,ProjSlideMetersBetween(E184,D184,$R$13:$R$305,$S$13:$S$305))</f>
        <v>0</v>
      </c>
      <c r="AK184" s="452">
        <f>IF(U184="","",ProjParseTF(U184))</f>
        <v>70</v>
      </c>
      <c r="AL184" s="219">
        <f>IF(E184="","",ProjCumN(AL183,E183,F183,G183,E184,F184,G184,FALSE))</f>
        <v>1452.965360222553</v>
      </c>
      <c r="AM184" s="331">
        <f>IF(E184="","",ProjCumE(AM183,E183,F183,G183,E184,F184,G184,FALSE))</f>
        <v>132.54031741498653</v>
      </c>
      <c r="AN184" s="330">
        <f t="shared" si="53"/>
        <v>2.48</v>
      </c>
      <c r="AO184" s="330" t="str">
        <f>IF(OR(E184="",E184&lt;$U$2),"",ProjActiveTargetMdEx(D184,W184,V184,ProjTargets_MD,ProjTargets_INC,ProjTargets_AZM,ProjTargets_TVD,F184,H184))</f>
        <v/>
      </c>
      <c r="AP184" s="207">
        <f>IF(OR(E184="",E184&lt;$U$2),"",ProjBitN(E184,F184,G184,AL184,D184,W184,X184))</f>
        <v>1469.9477406111143</v>
      </c>
      <c r="AQ184" s="207">
        <f>IF(OR(E184="",E184&lt;$U$2),"",ProjBitE(E184,F184,G184,AM184,D184,W184,X184))</f>
        <v>133.2758449764485</v>
      </c>
      <c r="AR184" s="207" t="str">
        <f>IF(OR(E184="",E184&lt;$U$2,AO184=""),"",ProjBurr(D184,W184,X184,Q184,C184,ProjTargets_MD,ProjTargets_INC,ProjTargets_AZM,ProjTargets_TVD,V184))</f>
        <v/>
      </c>
      <c r="AS184" s="207" t="str">
        <f>IF(OR(E184="",E184&lt;$U$2,AO184=""),"",ProjMetersToSlide(D184,W184,X184,Q184,C184,ProjTargets_MD,ProjTargets_INC,ProjTargets_AZM,ProjTargets_TVD,V184))</f>
        <v/>
      </c>
      <c r="AT184" s="207" t="str">
        <f>IF(OR(E184="",E184&lt;$U$2,AO184=""),"",ProjRequiredTf(D184,W184,X184,ProjTargets_MD,ProjTargets_INC,ProjTargets_AZM,ProjTargets_TVD,5,V184))</f>
        <v/>
      </c>
    </row>
    <row r="185" spans="2:46" s="209" customFormat="1" ht="15" customHeight="1" x14ac:dyDescent="0.3">
      <c r="B185" s="208">
        <f t="shared" si="57"/>
        <v>17</v>
      </c>
      <c r="C185" s="335">
        <f t="shared" si="47"/>
        <v>28.730000000000473</v>
      </c>
      <c r="D185" s="27">
        <v>4473.97</v>
      </c>
      <c r="E185" s="336">
        <f t="shared" si="48"/>
        <v>4456.97</v>
      </c>
      <c r="F185" s="9">
        <v>91.87</v>
      </c>
      <c r="G185" s="9">
        <v>2.08</v>
      </c>
      <c r="H185" s="337">
        <f t="shared" si="41"/>
        <v>3072.6441517973271</v>
      </c>
      <c r="I185" s="337">
        <f t="shared" si="52"/>
        <v>2300.3941517973271</v>
      </c>
      <c r="J185" s="338">
        <f t="shared" si="49"/>
        <v>1.1830004426512071</v>
      </c>
      <c r="K185" s="339">
        <f t="shared" si="50"/>
        <v>1.1068569439610005</v>
      </c>
      <c r="L185" s="339">
        <f t="shared" si="51"/>
        <v>-0.41768186564565957</v>
      </c>
      <c r="M185" s="339">
        <f t="shared" si="42"/>
        <v>5</v>
      </c>
      <c r="N185" s="340">
        <f t="shared" si="43"/>
        <v>20.668978514454761</v>
      </c>
      <c r="O185" s="341" t="str">
        <f t="shared" si="44"/>
        <v>L</v>
      </c>
      <c r="P185" s="342">
        <f t="shared" si="45"/>
        <v>0.21200000000000047</v>
      </c>
      <c r="Q185" s="343">
        <f t="shared" si="46"/>
        <v>6.7975205434739481</v>
      </c>
      <c r="R185" s="10" t="str">
        <f t="shared" si="56"/>
        <v/>
      </c>
      <c r="S185" s="337" t="str">
        <f t="shared" si="39"/>
        <v/>
      </c>
      <c r="T185" s="9"/>
      <c r="U185" s="8"/>
      <c r="V185" s="202">
        <f>IF(OR(E185="",E185&lt;$U$2),"",ProjTvdAtBit(E185,F185,G185,H185,D185,W185,X185))</f>
        <v>3072.0894101270369</v>
      </c>
      <c r="W185" s="344">
        <f>IF(OR(E185="",E185&lt;$U$2),"",ProjIncAtBit(F185,J185,C185,M185,AJ185,IF(AK185="",0,AK185)))</f>
        <v>91.87</v>
      </c>
      <c r="X185" s="455">
        <f>IF(OR(E185="",E185&lt;$U$2),"",ProjAzmAtBit(F185,G185,J185,C185,M185,AJ185,IF(AK185="",0,AK185)))</f>
        <v>2.08</v>
      </c>
      <c r="Y185" s="461"/>
      <c r="Z185" s="206"/>
      <c r="AA185" s="512">
        <f t="shared" si="54"/>
        <v>90.572967344857148</v>
      </c>
      <c r="AB185" s="520">
        <f t="shared" si="55"/>
        <v>0.11614820267277537</v>
      </c>
      <c r="AC185" s="510"/>
      <c r="AD185" s="515"/>
      <c r="AE185" s="516"/>
      <c r="AJ185" s="452">
        <f>IF(OR(E185="",D185=""),0,ProjSlideMetersBetween(E185,D185,$R$13:$R$305,$S$13:$S$305))</f>
        <v>0</v>
      </c>
      <c r="AK185" s="452" t="str">
        <f>IF(U185="","",ProjParseTF(U185))</f>
        <v/>
      </c>
      <c r="AL185" s="219">
        <f>IF(E185="","",ProjCumN(AL184,E184,F184,G184,E185,F185,G185,FALSE))</f>
        <v>1481.6642967602702</v>
      </c>
      <c r="AM185" s="331">
        <f>IF(E185="","",ProjCumE(AM184,E184,F184,G184,E185,F185,G185,FALSE))</f>
        <v>133.68297365003227</v>
      </c>
      <c r="AN185" s="330">
        <f t="shared" si="53"/>
        <v>2.08</v>
      </c>
      <c r="AO185" s="330" t="str">
        <f>IF(OR(E185="",E185&lt;$U$2),"",ProjActiveTargetMdEx(D185,W185,V185,ProjTargets_MD,ProjTargets_INC,ProjTargets_AZM,ProjTargets_TVD,F185,H185))</f>
        <v/>
      </c>
      <c r="AP185" s="207">
        <f>IF(OR(E185="",E185&lt;$U$2),"",ProjBitN(E185,F185,G185,AL185,D185,W185,X185))</f>
        <v>1498.6440482949413</v>
      </c>
      <c r="AQ185" s="207">
        <f>IF(OR(E185="",E185&lt;$U$2),"",ProjBitE(E185,F185,G185,AM185,D185,W185,X185))</f>
        <v>134.29965792912145</v>
      </c>
      <c r="AR185" s="207" t="str">
        <f>IF(OR(E185="",E185&lt;$U$2,AO185=""),"",ProjBurr(D185,W185,X185,Q185,C185,ProjTargets_MD,ProjTargets_INC,ProjTargets_AZM,ProjTargets_TVD,V185))</f>
        <v/>
      </c>
      <c r="AS185" s="207" t="str">
        <f>IF(OR(E185="",E185&lt;$U$2,AO185=""),"",ProjMetersToSlide(D185,W185,X185,Q185,C185,ProjTargets_MD,ProjTargets_INC,ProjTargets_AZM,ProjTargets_TVD,V185))</f>
        <v/>
      </c>
      <c r="AT185" s="207" t="str">
        <f>IF(OR(E185="",E185&lt;$U$2,AO185=""),"",ProjRequiredTf(D185,W185,X185,ProjTargets_MD,ProjTargets_INC,ProjTargets_AZM,ProjTargets_TVD,5,V185))</f>
        <v/>
      </c>
    </row>
    <row r="186" spans="2:46" s="209" customFormat="1" x14ac:dyDescent="0.3">
      <c r="B186" s="208">
        <f t="shared" si="57"/>
        <v>17</v>
      </c>
      <c r="C186" s="335">
        <f t="shared" si="47"/>
        <v>28.809999999999491</v>
      </c>
      <c r="D186" s="27">
        <v>4502.78</v>
      </c>
      <c r="E186" s="336">
        <f t="shared" si="48"/>
        <v>4485.78</v>
      </c>
      <c r="F186" s="9">
        <v>91.74</v>
      </c>
      <c r="G186" s="9">
        <v>1.1599999999999999</v>
      </c>
      <c r="H186" s="337">
        <f t="shared" si="41"/>
        <v>3071.7366949255274</v>
      </c>
      <c r="I186" s="337">
        <f t="shared" si="52"/>
        <v>2299.4866949255274</v>
      </c>
      <c r="J186" s="338">
        <f t="shared" si="49"/>
        <v>0.96704670300539941</v>
      </c>
      <c r="K186" s="339">
        <f t="shared" si="50"/>
        <v>-0.13536966331136266</v>
      </c>
      <c r="L186" s="339">
        <f t="shared" si="51"/>
        <v>-0.95800069420341871</v>
      </c>
      <c r="M186" s="339" t="str">
        <f t="shared" si="42"/>
        <v/>
      </c>
      <c r="N186" s="340">
        <f t="shared" si="43"/>
        <v>98.046836483997282</v>
      </c>
      <c r="O186" s="341" t="str">
        <f t="shared" si="44"/>
        <v>L</v>
      </c>
      <c r="P186" s="342" t="str">
        <f t="shared" si="45"/>
        <v/>
      </c>
      <c r="Q186" s="343" t="str">
        <f t="shared" si="46"/>
        <v/>
      </c>
      <c r="R186" s="10">
        <f t="shared" si="56"/>
        <v>4502.78</v>
      </c>
      <c r="S186" s="337">
        <f t="shared" si="39"/>
        <v>4508.78</v>
      </c>
      <c r="T186" s="9">
        <v>6</v>
      </c>
      <c r="U186" s="8" t="s">
        <v>786</v>
      </c>
      <c r="V186" s="202">
        <f>IF(OR(E186="",E186&lt;$U$2),"",ProjTvdAtBit(E186,F186,G186,H186,D186,W186,X186))</f>
        <v>3071.2205058847171</v>
      </c>
      <c r="W186" s="344">
        <f>IF(OR(E186="",E186&lt;$U$2),"",ProjIncAtBit(F186,J186,C186,M186,AJ186,IF(AK186="",0,AK186)))</f>
        <v>91.74</v>
      </c>
      <c r="X186" s="455">
        <f>IF(OR(E186="",E186&lt;$U$2),"",ProjAzmAtBit(F186,G186,J186,C186,M186,AJ186,IF(AK186="",0,AK186)))</f>
        <v>1.1599999999999999</v>
      </c>
      <c r="Y186" s="461"/>
      <c r="Z186" s="206"/>
      <c r="AA186" s="512">
        <f t="shared" si="54"/>
        <v>90.429722375059583</v>
      </c>
      <c r="AB186" s="520">
        <f t="shared" si="55"/>
        <v>0.742455074472673</v>
      </c>
      <c r="AC186" s="510"/>
      <c r="AD186" s="515"/>
      <c r="AE186" s="516"/>
      <c r="AJ186" s="452">
        <f>IF(OR(E186="",D186=""),0,ProjSlideMetersBetween(E186,D186,$R$13:$R$305,$S$13:$S$305))</f>
        <v>0</v>
      </c>
      <c r="AK186" s="452">
        <f>IF(U186="","",ProjParseTF(U186))</f>
        <v>160</v>
      </c>
      <c r="AL186" s="219">
        <f>IF(E186="","",ProjCumN(AL185,E185,F185,G185,E186,F186,G186,FALSE))</f>
        <v>1510.4481764834818</v>
      </c>
      <c r="AM186" s="331">
        <f>IF(E186="","",ProjCumE(AM185,E185,F185,G185,E186,F186,G186,FALSE))</f>
        <v>134.49702734942795</v>
      </c>
      <c r="AN186" s="330">
        <f t="shared" si="53"/>
        <v>1.1599999999999999</v>
      </c>
      <c r="AO186" s="330" t="str">
        <f>IF(OR(E186="",E186&lt;$U$2),"",ProjActiveTargetMdEx(D186,W186,V186,ProjTargets_MD,ProjTargets_INC,ProjTargets_AZM,ProjTargets_TVD,F186,H186))</f>
        <v/>
      </c>
      <c r="AP186" s="207">
        <f>IF(OR(E186="",E186&lt;$U$2),"",ProjBitN(E186,F186,G186,AL186,D186,W186,X186))</f>
        <v>1527.4368555117412</v>
      </c>
      <c r="AQ186" s="207">
        <f>IF(OR(E186="",E186&lt;$U$2),"",ProjBitE(E186,F186,G186,AM186,D186,W186,X186))</f>
        <v>134.84102407749711</v>
      </c>
      <c r="AR186" s="207" t="str">
        <f>IF(OR(E186="",E186&lt;$U$2,AO186=""),"",ProjBurr(D186,W186,X186,Q186,C186,ProjTargets_MD,ProjTargets_INC,ProjTargets_AZM,ProjTargets_TVD,V186))</f>
        <v/>
      </c>
      <c r="AS186" s="207" t="str">
        <f>IF(OR(E186="",E186&lt;$U$2,AO186=""),"",ProjMetersToSlide(D186,W186,X186,Q186,C186,ProjTargets_MD,ProjTargets_INC,ProjTargets_AZM,ProjTargets_TVD,V186))</f>
        <v/>
      </c>
      <c r="AT186" s="207" t="str">
        <f>IF(OR(E186="",E186&lt;$U$2,AO186=""),"",ProjRequiredTf(D186,W186,X186,ProjTargets_MD,ProjTargets_INC,ProjTargets_AZM,ProjTargets_TVD,5,V186))</f>
        <v/>
      </c>
    </row>
    <row r="187" spans="2:46" s="209" customFormat="1" ht="15" customHeight="1" x14ac:dyDescent="0.3">
      <c r="B187" s="208">
        <f t="shared" si="57"/>
        <v>17</v>
      </c>
      <c r="C187" s="335">
        <f t="shared" si="47"/>
        <v>28.770000000000437</v>
      </c>
      <c r="D187" s="27">
        <v>4531.55</v>
      </c>
      <c r="E187" s="336">
        <f t="shared" si="48"/>
        <v>4514.55</v>
      </c>
      <c r="F187" s="9">
        <v>91.11</v>
      </c>
      <c r="G187" s="9">
        <v>0.94</v>
      </c>
      <c r="H187" s="337">
        <f t="shared" si="41"/>
        <v>3071.0212316940238</v>
      </c>
      <c r="I187" s="337">
        <f t="shared" si="52"/>
        <v>2298.7712316940238</v>
      </c>
      <c r="J187" s="338">
        <f t="shared" si="49"/>
        <v>0.69581358803008719</v>
      </c>
      <c r="K187" s="339">
        <f t="shared" si="50"/>
        <v>-0.65693430656932827</v>
      </c>
      <c r="L187" s="339">
        <f t="shared" si="51"/>
        <v>-0.22940563086548138</v>
      </c>
      <c r="M187" s="339">
        <f t="shared" si="42"/>
        <v>6</v>
      </c>
      <c r="N187" s="340">
        <f t="shared" si="43"/>
        <v>160.75607955308664</v>
      </c>
      <c r="O187" s="341" t="str">
        <f t="shared" si="44"/>
        <v>L</v>
      </c>
      <c r="P187" s="342">
        <f t="shared" si="45"/>
        <v>-0.10499999999999925</v>
      </c>
      <c r="Q187" s="343">
        <f t="shared" si="46"/>
        <v>3.3364261546043186</v>
      </c>
      <c r="R187" s="10">
        <f t="shared" si="56"/>
        <v>4531.55</v>
      </c>
      <c r="S187" s="337">
        <f t="shared" si="39"/>
        <v>4536.55</v>
      </c>
      <c r="T187" s="9">
        <v>5</v>
      </c>
      <c r="U187" s="8" t="s">
        <v>786</v>
      </c>
      <c r="V187" s="202">
        <f>IF(OR(E187="",E187&lt;$U$2),"",ProjTvdAtBit(E187,F187,G187,H187,D187,W187,X187))</f>
        <v>3070.6919086652797</v>
      </c>
      <c r="W187" s="344">
        <f>IF(OR(E187="",E187&lt;$U$2),"",ProjIncAtBit(F187,J187,C187,M187,AJ187,IF(AK187="",0,AK187)))</f>
        <v>91.11</v>
      </c>
      <c r="X187" s="455">
        <f>IF(OR(E187="",E187&lt;$U$2),"",ProjAzmAtBit(F187,G187,J187,C187,M187,AJ187,IF(AK187="",0,AK187)))</f>
        <v>0.94</v>
      </c>
      <c r="Y187" s="461"/>
      <c r="Z187" s="206"/>
      <c r="AA187" s="512">
        <f t="shared" si="54"/>
        <v>90.429722375059583</v>
      </c>
      <c r="AB187" s="520">
        <f t="shared" si="55"/>
        <v>1.2421433059762421</v>
      </c>
      <c r="AC187" s="510"/>
      <c r="AD187" s="515"/>
      <c r="AE187" s="516"/>
      <c r="AJ187" s="452">
        <f>IF(OR(E187="",D187=""),0,ProjSlideMetersBetween(E187,D187,$R$13:$R$305,$S$13:$S$305))</f>
        <v>0</v>
      </c>
      <c r="AK187" s="452">
        <f>IF(U187="","",ProjParseTF(U187))</f>
        <v>160</v>
      </c>
      <c r="AL187" s="219">
        <f>IF(E187="","",ProjCumN(AL186,E186,F186,G186,E187,F187,G187,FALSE))</f>
        <v>1539.2042870520913</v>
      </c>
      <c r="AM187" s="331">
        <f>IF(E187="","",ProjCumE(AM186,E186,F186,G186,E187,F187,G187,FALSE))</f>
        <v>135.0240620484397</v>
      </c>
      <c r="AN187" s="330">
        <f t="shared" si="53"/>
        <v>0.94</v>
      </c>
      <c r="AO187" s="330" t="str">
        <f>IF(OR(E187="",E187&lt;$U$2),"",ProjActiveTargetMdEx(D187,W187,V187,ProjTargets_MD,ProjTargets_INC,ProjTargets_AZM,ProjTargets_TVD,F187,H187))</f>
        <v/>
      </c>
      <c r="AP187" s="207">
        <f>IF(OR(E187="",E187&lt;$U$2),"",ProjBitN(E187,F187,G187,AL187,D187,W187,X187))</f>
        <v>1556.1988095603631</v>
      </c>
      <c r="AQ187" s="207">
        <f>IF(OR(E187="",E187&lt;$U$2),"",ProjBitE(E187,F187,G187,AM187,D187,W187,X187))</f>
        <v>135.30290081651765</v>
      </c>
      <c r="AR187" s="207" t="str">
        <f>IF(OR(E187="",E187&lt;$U$2,AO187=""),"",ProjBurr(D187,W187,X187,Q187,C187,ProjTargets_MD,ProjTargets_INC,ProjTargets_AZM,ProjTargets_TVD,V187))</f>
        <v/>
      </c>
      <c r="AS187" s="207" t="str">
        <f>IF(OR(E187="",E187&lt;$U$2,AO187=""),"",ProjMetersToSlide(D187,W187,X187,Q187,C187,ProjTargets_MD,ProjTargets_INC,ProjTargets_AZM,ProjTargets_TVD,V187))</f>
        <v/>
      </c>
      <c r="AT187" s="207" t="str">
        <f>IF(OR(E187="",E187&lt;$U$2,AO187=""),"",ProjRequiredTf(D187,W187,X187,ProjTargets_MD,ProjTargets_INC,ProjTargets_AZM,ProjTargets_TVD,5,V187))</f>
        <v/>
      </c>
    </row>
    <row r="188" spans="2:46" s="209" customFormat="1" ht="15" customHeight="1" x14ac:dyDescent="0.3">
      <c r="B188" s="208">
        <f t="shared" si="57"/>
        <v>17</v>
      </c>
      <c r="C188" s="335">
        <f t="shared" si="47"/>
        <v>28.840000000000146</v>
      </c>
      <c r="D188" s="27">
        <v>4560.3900000000003</v>
      </c>
      <c r="E188" s="336">
        <f t="shared" si="48"/>
        <v>4543.3900000000003</v>
      </c>
      <c r="F188" s="9">
        <v>90.55</v>
      </c>
      <c r="G188" s="9">
        <v>0.37</v>
      </c>
      <c r="H188" s="337">
        <f t="shared" si="41"/>
        <v>3070.6034633521863</v>
      </c>
      <c r="I188" s="337">
        <f t="shared" si="52"/>
        <v>2298.3534633521863</v>
      </c>
      <c r="J188" s="338">
        <f t="shared" si="49"/>
        <v>0.83115568946031193</v>
      </c>
      <c r="K188" s="339">
        <f t="shared" si="50"/>
        <v>-0.5825242718446596</v>
      </c>
      <c r="L188" s="339">
        <f t="shared" si="51"/>
        <v>-0.59292649098474037</v>
      </c>
      <c r="M188" s="339">
        <f t="shared" si="42"/>
        <v>5</v>
      </c>
      <c r="N188" s="340">
        <f t="shared" si="43"/>
        <v>134.49609057742933</v>
      </c>
      <c r="O188" s="341" t="str">
        <f t="shared" si="44"/>
        <v>L</v>
      </c>
      <c r="P188" s="342">
        <f t="shared" si="45"/>
        <v>-0.11200000000000046</v>
      </c>
      <c r="Q188" s="343">
        <f t="shared" si="46"/>
        <v>4.7941060168071035</v>
      </c>
      <c r="R188" s="10" t="str">
        <f t="shared" si="56"/>
        <v/>
      </c>
      <c r="S188" s="337" t="str">
        <f t="shared" si="39"/>
        <v/>
      </c>
      <c r="T188" s="9"/>
      <c r="U188" s="8"/>
      <c r="V188" s="202">
        <f>IF(OR(E188="",E188&lt;$U$2),"",ProjTvdAtBit(E188,F188,G188,H188,D188,W188,X188))</f>
        <v>3070.4402775733256</v>
      </c>
      <c r="W188" s="344">
        <f>IF(OR(E188="",E188&lt;$U$2),"",ProjIncAtBit(F188,J188,C188,M188,AJ188,IF(AK188="",0,AK188)))</f>
        <v>90.55</v>
      </c>
      <c r="X188" s="455">
        <f>IF(OR(E188="",E188&lt;$U$2),"",ProjAzmAtBit(F188,G188,J188,C188,M188,AJ188,IF(AK188="",0,AK188)))</f>
        <v>0.37</v>
      </c>
      <c r="Y188" s="461"/>
      <c r="Z188" s="206"/>
      <c r="AA188" s="512">
        <f t="shared" si="54"/>
        <v>90.429722375059583</v>
      </c>
      <c r="AB188" s="520">
        <f t="shared" si="55"/>
        <v>1.4436116478136682</v>
      </c>
      <c r="AC188" s="510"/>
      <c r="AD188" s="515"/>
      <c r="AE188" s="516"/>
      <c r="AJ188" s="452">
        <f>IF(OR(E188="",D188=""),0,ProjSlideMetersBetween(E188,D188,$R$13:$R$305,$S$13:$S$305))</f>
        <v>0</v>
      </c>
      <c r="AK188" s="452" t="str">
        <f>IF(U188="","",ProjParseTF(U188))</f>
        <v/>
      </c>
      <c r="AL188" s="219">
        <f>IF(E188="","",ProjCumN(AL187,E187,F187,G187,E188,F188,G188,FALSE))</f>
        <v>1568.0391431301618</v>
      </c>
      <c r="AM188" s="331">
        <f>IF(E188="","",ProjCumE(AM187,E187,F187,G187,E188,F188,G188,FALSE))</f>
        <v>135.35370363459748</v>
      </c>
      <c r="AN188" s="330">
        <f t="shared" si="53"/>
        <v>0.37</v>
      </c>
      <c r="AO188" s="330" t="str">
        <f>IF(OR(E188="",E188&lt;$U$2),"",ProjActiveTargetMdEx(D188,W188,V188,ProjTargets_MD,ProjTargets_INC,ProjTargets_AZM,ProjTargets_TVD,F188,H188))</f>
        <v/>
      </c>
      <c r="AP188" s="207">
        <f>IF(OR(E188="",E188&lt;$U$2),"",ProjBitN(E188,F188,G188,AL188,D188,W188,X188))</f>
        <v>1585.0380054381383</v>
      </c>
      <c r="AQ188" s="207">
        <f>IF(OR(E188="",E188&lt;$U$2),"",ProjBitE(E188,F188,G188,AM188,D188,W188,X188))</f>
        <v>135.4634790236133</v>
      </c>
      <c r="AR188" s="207" t="str">
        <f>IF(OR(E188="",E188&lt;$U$2,AO188=""),"",ProjBurr(D188,W188,X188,Q188,C188,ProjTargets_MD,ProjTargets_INC,ProjTargets_AZM,ProjTargets_TVD,V188))</f>
        <v/>
      </c>
      <c r="AS188" s="207" t="str">
        <f>IF(OR(E188="",E188&lt;$U$2,AO188=""),"",ProjMetersToSlide(D188,W188,X188,Q188,C188,ProjTargets_MD,ProjTargets_INC,ProjTargets_AZM,ProjTargets_TVD,V188))</f>
        <v/>
      </c>
      <c r="AT188" s="207" t="str">
        <f>IF(OR(E188="",E188&lt;$U$2,AO188=""),"",ProjRequiredTf(D188,W188,X188,ProjTargets_MD,ProjTargets_INC,ProjTargets_AZM,ProjTargets_TVD,5,V188))</f>
        <v/>
      </c>
    </row>
    <row r="189" spans="2:46" s="209" customFormat="1" ht="15" customHeight="1" x14ac:dyDescent="0.3">
      <c r="B189" s="208">
        <f t="shared" si="57"/>
        <v>17</v>
      </c>
      <c r="C189" s="335">
        <f t="shared" si="47"/>
        <v>28.909999999999854</v>
      </c>
      <c r="D189" s="27">
        <v>4589.3</v>
      </c>
      <c r="E189" s="336">
        <f t="shared" si="48"/>
        <v>4572.3</v>
      </c>
      <c r="F189" s="9">
        <v>91.47</v>
      </c>
      <c r="G189" s="9">
        <v>359.82</v>
      </c>
      <c r="H189" s="337">
        <f t="shared" si="41"/>
        <v>3070.093869311419</v>
      </c>
      <c r="I189" s="337">
        <f t="shared" si="52"/>
        <v>2297.843869311419</v>
      </c>
      <c r="J189" s="338">
        <f t="shared" si="49"/>
        <v>1.1122317368265255</v>
      </c>
      <c r="K189" s="339">
        <f t="shared" si="50"/>
        <v>0.95468695952958116</v>
      </c>
      <c r="L189" s="339">
        <f t="shared" si="51"/>
        <v>-0.57073676928399475</v>
      </c>
      <c r="M189" s="339" t="str">
        <f t="shared" si="42"/>
        <v/>
      </c>
      <c r="N189" s="340">
        <f t="shared" si="43"/>
        <v>30.867891296639769</v>
      </c>
      <c r="O189" s="341" t="str">
        <f t="shared" si="44"/>
        <v>L</v>
      </c>
      <c r="P189" s="342" t="str">
        <f t="shared" si="45"/>
        <v/>
      </c>
      <c r="Q189" s="343" t="str">
        <f t="shared" si="46"/>
        <v/>
      </c>
      <c r="R189" s="10" t="str">
        <f t="shared" si="56"/>
        <v/>
      </c>
      <c r="S189" s="337" t="str">
        <f t="shared" si="39"/>
        <v/>
      </c>
      <c r="T189" s="9"/>
      <c r="U189" s="8"/>
      <c r="V189" s="202">
        <f>IF(OR(E189="",E189&lt;$U$2),"",ProjTvdAtBit(E189,F189,G189,H189,D189,W189,X189))</f>
        <v>3069.6577593797529</v>
      </c>
      <c r="W189" s="344">
        <f>IF(OR(E189="",E189&lt;$U$2),"",ProjIncAtBit(F189,J189,C189,M189,AJ189,IF(AK189="",0,AK189)))</f>
        <v>91.47</v>
      </c>
      <c r="X189" s="455">
        <f>IF(OR(E189="",E189&lt;$U$2),"",ProjAzmAtBit(F189,G189,J189,C189,M189,AJ189,IF(AK189="",0,AK189)))</f>
        <v>359.82</v>
      </c>
      <c r="Y189" s="461"/>
      <c r="Z189" s="206"/>
      <c r="AA189" s="512">
        <f t="shared" si="54"/>
        <v>90.429722375059583</v>
      </c>
      <c r="AB189" s="520">
        <f t="shared" si="55"/>
        <v>1.7363806885809936</v>
      </c>
      <c r="AC189" s="510"/>
      <c r="AD189" s="515"/>
      <c r="AE189" s="516"/>
      <c r="AJ189" s="452">
        <f>IF(OR(E189="",D189=""),0,ProjSlideMetersBetween(E189,D189,$R$13:$R$305,$S$13:$S$305))</f>
        <v>0</v>
      </c>
      <c r="AK189" s="452" t="str">
        <f>IF(U189="","",ProjParseTF(U189))</f>
        <v/>
      </c>
      <c r="AL189" s="219">
        <f>IF(E189="","",ProjCumN(AL188,E188,F188,G188,E189,F189,G189,FALSE))</f>
        <v>1596.9441901581297</v>
      </c>
      <c r="AM189" s="331">
        <f>IF(E189="","",ProjCumE(AM188,E188,F188,G188,E189,F189,G189,FALSE))</f>
        <v>135.40164969848237</v>
      </c>
      <c r="AN189" s="330">
        <f t="shared" si="53"/>
        <v>359.82</v>
      </c>
      <c r="AO189" s="330" t="str">
        <f>IF(OR(E189="",E189&lt;$U$2),"",ProjActiveTargetMdEx(D189,W189,V189,ProjTargets_MD,ProjTargets_INC,ProjTargets_AZM,ProjTargets_TVD,F189,H189))</f>
        <v/>
      </c>
      <c r="AP189" s="207">
        <f>IF(OR(E189="",E189&lt;$U$2),"",ProjBitN(E189,F189,G189,AL189,D189,W189,X189))</f>
        <v>1613.9385114949271</v>
      </c>
      <c r="AQ189" s="207">
        <f>IF(OR(E189="",E189&lt;$U$2),"",ProjBitE(E189,F189,G189,AM189,D189,W189,X189))</f>
        <v>135.3482602877736</v>
      </c>
      <c r="AR189" s="207" t="str">
        <f>IF(OR(E189="",E189&lt;$U$2,AO189=""),"",ProjBurr(D189,W189,X189,Q189,C189,ProjTargets_MD,ProjTargets_INC,ProjTargets_AZM,ProjTargets_TVD,V189))</f>
        <v/>
      </c>
      <c r="AS189" s="207" t="str">
        <f>IF(OR(E189="",E189&lt;$U$2,AO189=""),"",ProjMetersToSlide(D189,W189,X189,Q189,C189,ProjTargets_MD,ProjTargets_INC,ProjTargets_AZM,ProjTargets_TVD,V189))</f>
        <v/>
      </c>
      <c r="AT189" s="207" t="str">
        <f>IF(OR(E189="",E189&lt;$U$2,AO189=""),"",ProjRequiredTf(D189,W189,X189,ProjTargets_MD,ProjTargets_INC,ProjTargets_AZM,ProjTargets_TVD,5,V189))</f>
        <v/>
      </c>
    </row>
    <row r="190" spans="2:46" s="209" customFormat="1" ht="15" customHeight="1" x14ac:dyDescent="0.3">
      <c r="B190" s="208">
        <f t="shared" si="57"/>
        <v>17</v>
      </c>
      <c r="C190" s="335">
        <f t="shared" si="47"/>
        <v>28.800000000000182</v>
      </c>
      <c r="D190" s="27">
        <v>4618.1000000000004</v>
      </c>
      <c r="E190" s="336">
        <f t="shared" si="48"/>
        <v>4601.1000000000004</v>
      </c>
      <c r="F190" s="9">
        <v>89.93</v>
      </c>
      <c r="G190" s="9">
        <v>359.4</v>
      </c>
      <c r="H190" s="337">
        <f t="shared" si="41"/>
        <v>3069.7420196873641</v>
      </c>
      <c r="I190" s="337">
        <f t="shared" si="52"/>
        <v>2297.4920196873641</v>
      </c>
      <c r="J190" s="338">
        <f t="shared" si="49"/>
        <v>1.6627437713676017</v>
      </c>
      <c r="K190" s="339">
        <f t="shared" si="50"/>
        <v>-1.6041666666666483</v>
      </c>
      <c r="L190" s="339">
        <f t="shared" si="51"/>
        <v>-0.43750000000001382</v>
      </c>
      <c r="M190" s="339" t="str">
        <f t="shared" si="42"/>
        <v/>
      </c>
      <c r="N190" s="340">
        <f t="shared" si="43"/>
        <v>164.74640473792121</v>
      </c>
      <c r="O190" s="341" t="str">
        <f t="shared" si="44"/>
        <v>L</v>
      </c>
      <c r="P190" s="342" t="str">
        <f t="shared" si="45"/>
        <v/>
      </c>
      <c r="Q190" s="343" t="str">
        <f t="shared" si="46"/>
        <v/>
      </c>
      <c r="R190" s="10" t="str">
        <f t="shared" si="56"/>
        <v/>
      </c>
      <c r="S190" s="337" t="str">
        <f t="shared" si="39"/>
        <v/>
      </c>
      <c r="T190" s="9"/>
      <c r="U190" s="8"/>
      <c r="V190" s="202">
        <f>IF(OR(E190="",E190&lt;$U$2),"",ProjTvdAtBit(E190,F190,G190,H190,D190,W190,X190))</f>
        <v>3069.7627891002958</v>
      </c>
      <c r="W190" s="344">
        <f>IF(OR(E190="",E190&lt;$U$2),"",ProjIncAtBit(F190,J190,C190,M190,AJ190,IF(AK190="",0,AK190)))</f>
        <v>89.93</v>
      </c>
      <c r="X190" s="455">
        <f>IF(OR(E190="",E190&lt;$U$2),"",ProjAzmAtBit(F190,G190,J190,C190,M190,AJ190,IF(AK190="",0,AK190)))</f>
        <v>359.4</v>
      </c>
      <c r="Y190" s="461"/>
      <c r="Z190" s="206"/>
      <c r="AA190" s="512">
        <f t="shared" si="54"/>
        <v>90.429722375059583</v>
      </c>
      <c r="AB190" s="520">
        <f t="shared" si="55"/>
        <v>1.8722303126360202</v>
      </c>
      <c r="AC190" s="510"/>
      <c r="AD190" s="515"/>
      <c r="AE190" s="516"/>
      <c r="AJ190" s="452">
        <f>IF(OR(E190="",D190=""),0,ProjSlideMetersBetween(E190,D190,$R$13:$R$305,$S$13:$S$305))</f>
        <v>0</v>
      </c>
      <c r="AK190" s="452" t="str">
        <f>IF(U190="","",ProjParseTF(U190))</f>
        <v/>
      </c>
      <c r="AL190" s="219">
        <f>IF(E190="","",ProjCumN(AL189,E189,F189,G189,E190,F190,G190,FALSE))</f>
        <v>1625.7404422400209</v>
      </c>
      <c r="AM190" s="331">
        <f>IF(E190="","",ProjCumE(AM189,E189,F189,G189,E190,F190,G190,FALSE))</f>
        <v>135.20561946902356</v>
      </c>
      <c r="AN190" s="330">
        <f t="shared" si="53"/>
        <v>359.4</v>
      </c>
      <c r="AO190" s="330" t="str">
        <f>IF(OR(E190="",E190&lt;$U$2),"",ProjActiveTargetMdEx(D190,W190,V190,ProjTargets_MD,ProjTargets_INC,ProjTargets_AZM,ProjTargets_TVD,F190,H190))</f>
        <v/>
      </c>
      <c r="AP190" s="207">
        <f>IF(OR(E190="",E190&lt;$U$2),"",ProjBitN(E190,F190,G190,AL190,D190,W190,X190))</f>
        <v>1642.7394974326164</v>
      </c>
      <c r="AQ190" s="207">
        <f>IF(OR(E190="",E190&lt;$U$2),"",ProjBitE(E190,F190,G190,AM190,D190,W190,X190))</f>
        <v>135.02759927190607</v>
      </c>
      <c r="AR190" s="207" t="str">
        <f>IF(OR(E190="",E190&lt;$U$2,AO190=""),"",ProjBurr(D190,W190,X190,Q190,C190,ProjTargets_MD,ProjTargets_INC,ProjTargets_AZM,ProjTargets_TVD,V190))</f>
        <v/>
      </c>
      <c r="AS190" s="207" t="str">
        <f>IF(OR(E190="",E190&lt;$U$2,AO190=""),"",ProjMetersToSlide(D190,W190,X190,Q190,C190,ProjTargets_MD,ProjTargets_INC,ProjTargets_AZM,ProjTargets_TVD,V190))</f>
        <v/>
      </c>
      <c r="AT190" s="207" t="str">
        <f>IF(OR(E190="",E190&lt;$U$2,AO190=""),"",ProjRequiredTf(D190,W190,X190,ProjTargets_MD,ProjTargets_INC,ProjTargets_AZM,ProjTargets_TVD,5,V190))</f>
        <v/>
      </c>
    </row>
    <row r="191" spans="2:46" s="209" customFormat="1" ht="15" customHeight="1" x14ac:dyDescent="0.3">
      <c r="B191" s="208">
        <f t="shared" si="57"/>
        <v>17</v>
      </c>
      <c r="C191" s="335">
        <f t="shared" si="47"/>
        <v>28.819999999999709</v>
      </c>
      <c r="D191" s="27">
        <v>4646.92</v>
      </c>
      <c r="E191" s="336">
        <f t="shared" si="48"/>
        <v>4629.92</v>
      </c>
      <c r="F191" s="9">
        <v>89.22</v>
      </c>
      <c r="G191" s="9">
        <v>358.98</v>
      </c>
      <c r="H191" s="337">
        <f t="shared" si="41"/>
        <v>3069.9557943804139</v>
      </c>
      <c r="I191" s="337">
        <f t="shared" si="52"/>
        <v>2297.7057943804139</v>
      </c>
      <c r="J191" s="338">
        <f t="shared" si="49"/>
        <v>0.85869221493481551</v>
      </c>
      <c r="K191" s="339">
        <f t="shared" si="50"/>
        <v>-0.73907009021514414</v>
      </c>
      <c r="L191" s="339">
        <f t="shared" si="51"/>
        <v>-0.43719639139482647</v>
      </c>
      <c r="M191" s="339" t="str">
        <f t="shared" si="42"/>
        <v/>
      </c>
      <c r="N191" s="340">
        <f t="shared" si="43"/>
        <v>149.39444436660588</v>
      </c>
      <c r="O191" s="341" t="str">
        <f t="shared" si="44"/>
        <v>L</v>
      </c>
      <c r="P191" s="342" t="str">
        <f t="shared" si="45"/>
        <v/>
      </c>
      <c r="Q191" s="343" t="str">
        <f t="shared" si="46"/>
        <v/>
      </c>
      <c r="R191" s="10" t="str">
        <f t="shared" si="56"/>
        <v/>
      </c>
      <c r="S191" s="337" t="str">
        <f t="shared" si="39"/>
        <v/>
      </c>
      <c r="T191" s="9"/>
      <c r="U191" s="8"/>
      <c r="V191" s="202">
        <f>IF(OR(E191="",E191&lt;$U$2),"",ProjTvdAtBit(E191,F191,G191,H191,D191,W191,X191))</f>
        <v>3070.1872178908166</v>
      </c>
      <c r="W191" s="344">
        <f>IF(OR(E191="",E191&lt;$U$2),"",ProjIncAtBit(F191,J191,C191,M191,AJ191,IF(AK191="",0,AK191)))</f>
        <v>89.22</v>
      </c>
      <c r="X191" s="455">
        <f>IF(OR(E191="",E191&lt;$U$2),"",ProjAzmAtBit(F191,G191,J191,C191,M191,AJ191,IF(AK191="",0,AK191)))</f>
        <v>358.98</v>
      </c>
      <c r="Y191" s="461"/>
      <c r="Z191" s="206"/>
      <c r="AA191" s="512">
        <f t="shared" si="54"/>
        <v>90.429722375059583</v>
      </c>
      <c r="AB191" s="520">
        <f t="shared" si="55"/>
        <v>1.4423056195860227</v>
      </c>
      <c r="AC191" s="510"/>
      <c r="AD191" s="515"/>
      <c r="AE191" s="516"/>
      <c r="AJ191" s="452">
        <f>IF(OR(E191="",D191=""),0,ProjSlideMetersBetween(E191,D191,$R$13:$R$305,$S$13:$S$305))</f>
        <v>0</v>
      </c>
      <c r="AK191" s="452" t="str">
        <f>IF(U191="","",ProjParseTF(U191))</f>
        <v/>
      </c>
      <c r="AL191" s="219">
        <f>IF(E191="","",ProjCumN(AL190,E190,F190,G190,E191,F191,G191,FALSE))</f>
        <v>1654.5565207068812</v>
      </c>
      <c r="AM191" s="331">
        <f>IF(E191="","",ProjCumE(AM190,E190,F190,G190,E191,F191,G191,FALSE))</f>
        <v>134.79821947072986</v>
      </c>
      <c r="AN191" s="330">
        <f t="shared" si="53"/>
        <v>358.98</v>
      </c>
      <c r="AO191" s="330" t="str">
        <f>IF(OR(E191="",E191&lt;$U$2),"",ProjActiveTargetMdEx(D191,W191,V191,ProjTargets_MD,ProjTargets_INC,ProjTargets_AZM,ProjTargets_TVD,F191,H191))</f>
        <v/>
      </c>
      <c r="AP191" s="207">
        <f>IF(OR(E191="",E191&lt;$U$2),"",ProjBitN(E191,F191,G191,AL191,D191,W191,X191))</f>
        <v>1671.5522518997545</v>
      </c>
      <c r="AQ191" s="207">
        <f>IF(OR(E191="",E191&lt;$U$2),"",ProjBitE(E191,F191,G191,AM191,D191,W191,X191))</f>
        <v>134.49562340594474</v>
      </c>
      <c r="AR191" s="207" t="str">
        <f>IF(OR(E191="",E191&lt;$U$2,AO191=""),"",ProjBurr(D191,W191,X191,Q191,C191,ProjTargets_MD,ProjTargets_INC,ProjTargets_AZM,ProjTargets_TVD,V191))</f>
        <v/>
      </c>
      <c r="AS191" s="207" t="str">
        <f>IF(OR(E191="",E191&lt;$U$2,AO191=""),"",ProjMetersToSlide(D191,W191,X191,Q191,C191,ProjTargets_MD,ProjTargets_INC,ProjTargets_AZM,ProjTargets_TVD,V191))</f>
        <v/>
      </c>
      <c r="AT191" s="207" t="str">
        <f>IF(OR(E191="",E191&lt;$U$2,AO191=""),"",ProjRequiredTf(D191,W191,X191,ProjTargets_MD,ProjTargets_INC,ProjTargets_AZM,ProjTargets_TVD,5,V191))</f>
        <v/>
      </c>
    </row>
    <row r="192" spans="2:46" s="209" customFormat="1" ht="15" customHeight="1" x14ac:dyDescent="0.3">
      <c r="B192" s="208">
        <f t="shared" si="57"/>
        <v>17</v>
      </c>
      <c r="C192" s="335">
        <f t="shared" si="47"/>
        <v>28.880000000000109</v>
      </c>
      <c r="D192" s="27">
        <v>4675.8</v>
      </c>
      <c r="E192" s="336">
        <f t="shared" si="48"/>
        <v>4658.8</v>
      </c>
      <c r="F192" s="9">
        <v>88.73</v>
      </c>
      <c r="G192" s="9">
        <v>358.69</v>
      </c>
      <c r="H192" s="337">
        <f t="shared" si="41"/>
        <v>3070.4724191879068</v>
      </c>
      <c r="I192" s="337">
        <f t="shared" si="52"/>
        <v>2298.2224191879068</v>
      </c>
      <c r="J192" s="338">
        <f t="shared" si="49"/>
        <v>0.59144205335521605</v>
      </c>
      <c r="K192" s="339">
        <f t="shared" si="50"/>
        <v>-0.50900277008309525</v>
      </c>
      <c r="L192" s="339">
        <f t="shared" si="51"/>
        <v>-0.30124653739614199</v>
      </c>
      <c r="M192" s="339" t="str">
        <f t="shared" si="42"/>
        <v/>
      </c>
      <c r="N192" s="340">
        <f t="shared" si="43"/>
        <v>149.38548987135289</v>
      </c>
      <c r="O192" s="341" t="str">
        <f t="shared" si="44"/>
        <v>L</v>
      </c>
      <c r="P192" s="342" t="str">
        <f t="shared" si="45"/>
        <v/>
      </c>
      <c r="Q192" s="343" t="str">
        <f t="shared" si="46"/>
        <v/>
      </c>
      <c r="R192" s="10" t="str">
        <f t="shared" si="56"/>
        <v/>
      </c>
      <c r="S192" s="337" t="str">
        <f t="shared" si="39"/>
        <v/>
      </c>
      <c r="T192" s="9"/>
      <c r="U192" s="8"/>
      <c r="V192" s="202">
        <f>IF(OR(E192="",E192&lt;$U$2),"",ProjTvdAtBit(E192,F192,G192,H192,D192,W192,X192))</f>
        <v>3070.8492049180772</v>
      </c>
      <c r="W192" s="344">
        <f>IF(OR(E192="",E192&lt;$U$2),"",ProjIncAtBit(F192,J192,C192,M192,AJ192,IF(AK192="",0,AK192)))</f>
        <v>88.73</v>
      </c>
      <c r="X192" s="455">
        <f>IF(OR(E192="",E192&lt;$U$2),"",ProjAzmAtBit(F192,G192,J192,C192,M192,AJ192,IF(AK192="",0,AK192)))</f>
        <v>358.69</v>
      </c>
      <c r="Y192" s="461"/>
      <c r="Z192" s="206"/>
      <c r="AA192" s="512">
        <f t="shared" si="54"/>
        <v>90.429722375059583</v>
      </c>
      <c r="AB192" s="520">
        <f t="shared" si="55"/>
        <v>0.7090808120933616</v>
      </c>
      <c r="AC192" s="510"/>
      <c r="AD192" s="515"/>
      <c r="AE192" s="516"/>
      <c r="AJ192" s="452">
        <f>IF(OR(E192="",D192=""),0,ProjSlideMetersBetween(E192,D192,$R$13:$R$305,$S$13:$S$305))</f>
        <v>0</v>
      </c>
      <c r="AK192" s="452" t="str">
        <f>IF(U192="","",ProjParseTF(U192))</f>
        <v/>
      </c>
      <c r="AL192" s="219">
        <f>IF(E192="","",ProjCumN(AL191,E191,F191,G191,E192,F192,G192,FALSE))</f>
        <v>1683.4258119404699</v>
      </c>
      <c r="AM192" s="331">
        <f>IF(E192="","",ProjCumE(AM191,E191,F191,G191,E192,F192,G192,FALSE))</f>
        <v>134.21114237840408</v>
      </c>
      <c r="AN192" s="330">
        <f t="shared" si="53"/>
        <v>358.69</v>
      </c>
      <c r="AO192" s="330" t="str">
        <f>IF(OR(E192="",E192&lt;$U$2),"",ProjActiveTargetMdEx(D192,W192,V192,ProjTargets_MD,ProjTargets_INC,ProjTargets_AZM,ProjTargets_TVD,F192,H192))</f>
        <v/>
      </c>
      <c r="AP192" s="207">
        <f>IF(OR(E192="",E192&lt;$U$2),"",ProjBitN(E192,F192,G192,AL192,D192,W192,X192))</f>
        <v>1700.4171937896685</v>
      </c>
      <c r="AQ192" s="207">
        <f>IF(OR(E192="",E192&lt;$U$2),"",ProjBitE(E192,F192,G192,AM192,D192,W192,X192))</f>
        <v>133.82258688910903</v>
      </c>
      <c r="AR192" s="207" t="str">
        <f>IF(OR(E192="",E192&lt;$U$2,AO192=""),"",ProjBurr(D192,W192,X192,Q192,C192,ProjTargets_MD,ProjTargets_INC,ProjTargets_AZM,ProjTargets_TVD,V192))</f>
        <v/>
      </c>
      <c r="AS192" s="207" t="str">
        <f>IF(OR(E192="",E192&lt;$U$2,AO192=""),"",ProjMetersToSlide(D192,W192,X192,Q192,C192,ProjTargets_MD,ProjTargets_INC,ProjTargets_AZM,ProjTargets_TVD,V192))</f>
        <v/>
      </c>
      <c r="AT192" s="207" t="str">
        <f>IF(OR(E192="",E192&lt;$U$2,AO192=""),"",ProjRequiredTf(D192,W192,X192,ProjTargets_MD,ProjTargets_INC,ProjTargets_AZM,ProjTargets_TVD,5,V192))</f>
        <v/>
      </c>
    </row>
    <row r="193" spans="2:46" s="209" customFormat="1" ht="15" customHeight="1" x14ac:dyDescent="0.3">
      <c r="B193" s="208">
        <f t="shared" si="57"/>
        <v>17</v>
      </c>
      <c r="C193" s="335">
        <f t="shared" si="47"/>
        <v>28.789999999999964</v>
      </c>
      <c r="D193" s="27">
        <v>4704.59</v>
      </c>
      <c r="E193" s="336">
        <f t="shared" si="48"/>
        <v>4687.59</v>
      </c>
      <c r="F193" s="9">
        <v>89.07</v>
      </c>
      <c r="G193" s="9">
        <v>0.47</v>
      </c>
      <c r="H193" s="337">
        <f t="shared" si="41"/>
        <v>3071.0251135545936</v>
      </c>
      <c r="I193" s="337">
        <f t="shared" si="52"/>
        <v>2298.7751135545936</v>
      </c>
      <c r="J193" s="338">
        <f t="shared" si="49"/>
        <v>1.8880057728471531</v>
      </c>
      <c r="K193" s="339">
        <f t="shared" si="50"/>
        <v>0.3542896839180163</v>
      </c>
      <c r="L193" s="339">
        <f t="shared" si="51"/>
        <v>1.8548106981590877</v>
      </c>
      <c r="M193" s="339" t="str">
        <f t="shared" si="42"/>
        <v/>
      </c>
      <c r="N193" s="340">
        <f t="shared" si="43"/>
        <v>79.184160595228889</v>
      </c>
      <c r="O193" s="341" t="str">
        <f t="shared" si="44"/>
        <v>R</v>
      </c>
      <c r="P193" s="342" t="str">
        <f t="shared" si="45"/>
        <v/>
      </c>
      <c r="Q193" s="343" t="str">
        <f t="shared" si="46"/>
        <v/>
      </c>
      <c r="R193" s="10" t="str">
        <f t="shared" si="56"/>
        <v/>
      </c>
      <c r="S193" s="337" t="str">
        <f t="shared" si="39"/>
        <v/>
      </c>
      <c r="T193" s="9"/>
      <c r="U193" s="8"/>
      <c r="V193" s="202">
        <f>IF(OR(E193="",E193&lt;$U$2),"",ProjTvdAtBit(E193,F193,G193,H193,D193,W193,X193))</f>
        <v>3071.3010379929538</v>
      </c>
      <c r="W193" s="344">
        <f>IF(OR(E193="",E193&lt;$U$2),"",ProjIncAtBit(F193,J193,C193,M193,AJ193,IF(AK193="",0,AK193)))</f>
        <v>89.07</v>
      </c>
      <c r="X193" s="455">
        <f>IF(OR(E193="",E193&lt;$U$2),"",ProjAzmAtBit(F193,G193,J193,C193,M193,AJ193,IF(AK193="",0,AK193)))</f>
        <v>0.47</v>
      </c>
      <c r="Y193" s="461"/>
      <c r="Z193" s="206"/>
      <c r="AA193" s="512">
        <f t="shared" si="54"/>
        <v>90.716215896194939</v>
      </c>
      <c r="AB193" s="520">
        <f t="shared" si="55"/>
        <v>-8.2488554593510344E-2</v>
      </c>
      <c r="AC193" s="510"/>
      <c r="AD193" s="515"/>
      <c r="AE193" s="516"/>
      <c r="AJ193" s="452">
        <f>IF(OR(E193="",D193=""),0,ProjSlideMetersBetween(E193,D193,$R$13:$R$305,$S$13:$S$305))</f>
        <v>0</v>
      </c>
      <c r="AK193" s="452" t="str">
        <f>IF(U193="","",ProjParseTF(U193))</f>
        <v/>
      </c>
      <c r="AL193" s="219">
        <f>IF(E193="","",ProjCumN(AL192,E192,F192,G192,E193,F193,G193,FALSE))</f>
        <v>1712.2085325158205</v>
      </c>
      <c r="AM193" s="331">
        <f>IF(E193="","",ProjCumE(AM192,E192,F192,G192,E193,F193,G193,FALSE))</f>
        <v>134.0001757123446</v>
      </c>
      <c r="AN193" s="330">
        <f t="shared" si="53"/>
        <v>0.47</v>
      </c>
      <c r="AO193" s="330" t="str">
        <f>IF(OR(E193="",E193&lt;$U$2),"",ProjActiveTargetMdEx(D193,W193,V193,ProjTargets_MD,ProjTargets_INC,ProjTargets_AZM,ProjTargets_TVD,F193,H193))</f>
        <v/>
      </c>
      <c r="AP193" s="207">
        <f>IF(OR(E193="",E193&lt;$U$2),"",ProjBitN(E193,F193,G193,AL193,D193,W193,X193))</f>
        <v>1729.2057212379864</v>
      </c>
      <c r="AQ193" s="207">
        <f>IF(OR(E193="",E193&lt;$U$2),"",ProjBitE(E193,F193,G193,AM193,D193,W193,X193))</f>
        <v>134.13960758600379</v>
      </c>
      <c r="AR193" s="207" t="str">
        <f>IF(OR(E193="",E193&lt;$U$2,AO193=""),"",ProjBurr(D193,W193,X193,Q193,C193,ProjTargets_MD,ProjTargets_INC,ProjTargets_AZM,ProjTargets_TVD,V193))</f>
        <v/>
      </c>
      <c r="AS193" s="207" t="str">
        <f>IF(OR(E193="",E193&lt;$U$2,AO193=""),"",ProjMetersToSlide(D193,W193,X193,Q193,C193,ProjTargets_MD,ProjTargets_INC,ProjTargets_AZM,ProjTargets_TVD,V193))</f>
        <v/>
      </c>
      <c r="AT193" s="207" t="str">
        <f>IF(OR(E193="",E193&lt;$U$2,AO193=""),"",ProjRequiredTf(D193,W193,X193,ProjTargets_MD,ProjTargets_INC,ProjTargets_AZM,ProjTargets_TVD,5,V193))</f>
        <v/>
      </c>
    </row>
    <row r="194" spans="2:46" s="209" customFormat="1" ht="15" customHeight="1" x14ac:dyDescent="0.3">
      <c r="B194" s="208">
        <f t="shared" si="57"/>
        <v>17</v>
      </c>
      <c r="C194" s="335">
        <f t="shared" si="47"/>
        <v>28.880000000000109</v>
      </c>
      <c r="D194" s="27">
        <v>4733.47</v>
      </c>
      <c r="E194" s="336">
        <f t="shared" si="48"/>
        <v>4716.47</v>
      </c>
      <c r="F194" s="9">
        <v>90.39</v>
      </c>
      <c r="G194" s="9">
        <v>2.0699999999999998</v>
      </c>
      <c r="H194" s="337">
        <f t="shared" si="41"/>
        <v>3071.1612068446507</v>
      </c>
      <c r="I194" s="337">
        <f t="shared" si="52"/>
        <v>2298.9112068446507</v>
      </c>
      <c r="J194" s="338">
        <f t="shared" si="49"/>
        <v>2.1546209260115194</v>
      </c>
      <c r="K194" s="339">
        <f t="shared" si="50"/>
        <v>1.3711911357340745</v>
      </c>
      <c r="L194" s="339">
        <f t="shared" si="51"/>
        <v>1.6620498614958383</v>
      </c>
      <c r="M194" s="339" t="str">
        <f t="shared" si="42"/>
        <v/>
      </c>
      <c r="N194" s="340">
        <f t="shared" si="43"/>
        <v>50.476434336036419</v>
      </c>
      <c r="O194" s="341" t="str">
        <f t="shared" si="44"/>
        <v>R</v>
      </c>
      <c r="P194" s="342" t="str">
        <f t="shared" si="45"/>
        <v/>
      </c>
      <c r="Q194" s="343" t="str">
        <f t="shared" si="46"/>
        <v/>
      </c>
      <c r="R194" s="10" t="str">
        <f t="shared" si="56"/>
        <v/>
      </c>
      <c r="S194" s="337" t="str">
        <f t="shared" si="39"/>
        <v/>
      </c>
      <c r="T194" s="9"/>
      <c r="U194" s="8"/>
      <c r="V194" s="202">
        <f>IF(OR(E194="",E194&lt;$U$2),"",ProjTvdAtBit(E194,F194,G194,H194,D194,W194,X194))</f>
        <v>3071.0454924088012</v>
      </c>
      <c r="W194" s="344">
        <f>IF(OR(E194="",E194&lt;$U$2),"",ProjIncAtBit(F194,J194,C194,M194,AJ194,IF(AK194="",0,AK194)))</f>
        <v>90.39</v>
      </c>
      <c r="X194" s="455">
        <f>IF(OR(E194="",E194&lt;$U$2),"",ProjAzmAtBit(F194,G194,J194,C194,M194,AJ194,IF(AK194="",0,AK194)))</f>
        <v>2.0699999999999998</v>
      </c>
      <c r="Y194" s="461"/>
      <c r="Z194" s="206"/>
      <c r="AA194" s="512">
        <f t="shared" si="54"/>
        <v>90.716215896194939</v>
      </c>
      <c r="AB194" s="520">
        <f t="shared" si="55"/>
        <v>-0.5795818446508747</v>
      </c>
      <c r="AC194" s="510"/>
      <c r="AD194" s="515"/>
      <c r="AE194" s="516"/>
      <c r="AJ194" s="452">
        <f>IF(OR(E194="",D194=""),0,ProjSlideMetersBetween(E194,D194,$R$13:$R$305,$S$13:$S$305))</f>
        <v>0</v>
      </c>
      <c r="AK194" s="452" t="str">
        <f>IF(U194="","",ProjParseTF(U194))</f>
        <v/>
      </c>
      <c r="AL194" s="219">
        <f>IF(E194="","",ProjCumN(AL193,E193,F193,G193,E194,F194,G194,FALSE))</f>
        <v>1741.0795404720116</v>
      </c>
      <c r="AM194" s="331">
        <f>IF(E194="","",ProjCumE(AM193,E193,F193,G193,E194,F194,G194,FALSE))</f>
        <v>134.64024800091426</v>
      </c>
      <c r="AN194" s="330">
        <f t="shared" si="53"/>
        <v>2.0699999999999998</v>
      </c>
      <c r="AO194" s="330" t="str">
        <f>IF(OR(E194="",E194&lt;$U$2),"",ProjActiveTargetMdEx(D194,W194,V194,ProjTargets_MD,ProjTargets_INC,ProjTargets_AZM,ProjTargets_TVD,F194,H194))</f>
        <v/>
      </c>
      <c r="AP194" s="207">
        <f>IF(OR(E194="",E194&lt;$U$2),"",ProjBitN(E194,F194,G194,AL194,D194,W194,X194))</f>
        <v>1758.0680534435742</v>
      </c>
      <c r="AQ194" s="207">
        <f>IF(OR(E194="",E194&lt;$U$2),"",ProjBitE(E194,F194,G194,AM194,D194,W194,X194))</f>
        <v>135.25428153777204</v>
      </c>
      <c r="AR194" s="207" t="str">
        <f>IF(OR(E194="",E194&lt;$U$2,AO194=""),"",ProjBurr(D194,W194,X194,Q194,C194,ProjTargets_MD,ProjTargets_INC,ProjTargets_AZM,ProjTargets_TVD,V194))</f>
        <v/>
      </c>
      <c r="AS194" s="207" t="str">
        <f>IF(OR(E194="",E194&lt;$U$2,AO194=""),"",ProjMetersToSlide(D194,W194,X194,Q194,C194,ProjTargets_MD,ProjTargets_INC,ProjTargets_AZM,ProjTargets_TVD,V194))</f>
        <v/>
      </c>
      <c r="AT194" s="207" t="str">
        <f>IF(OR(E194="",E194&lt;$U$2,AO194=""),"",ProjRequiredTf(D194,W194,X194,ProjTargets_MD,ProjTargets_INC,ProjTargets_AZM,ProjTargets_TVD,5,V194))</f>
        <v/>
      </c>
    </row>
    <row r="195" spans="2:46" s="209" customFormat="1" ht="15" customHeight="1" x14ac:dyDescent="0.3">
      <c r="B195" s="208">
        <f t="shared" si="57"/>
        <v>17</v>
      </c>
      <c r="C195" s="335">
        <f t="shared" si="47"/>
        <v>28.869999999999891</v>
      </c>
      <c r="D195" s="27">
        <v>4762.34</v>
      </c>
      <c r="E195" s="336">
        <f t="shared" si="48"/>
        <v>4745.34</v>
      </c>
      <c r="F195" s="9">
        <v>90.32</v>
      </c>
      <c r="G195" s="9">
        <v>2.4</v>
      </c>
      <c r="H195" s="337">
        <f t="shared" si="41"/>
        <v>3070.9823318120971</v>
      </c>
      <c r="I195" s="337">
        <f t="shared" si="52"/>
        <v>2298.7323318120971</v>
      </c>
      <c r="J195" s="338">
        <f t="shared" si="49"/>
        <v>0.35054001324448447</v>
      </c>
      <c r="K195" s="339">
        <f t="shared" si="50"/>
        <v>-7.2739868375484226E-2</v>
      </c>
      <c r="L195" s="339">
        <f t="shared" si="51"/>
        <v>0.34291652234153236</v>
      </c>
      <c r="M195" s="339" t="str">
        <f t="shared" si="42"/>
        <v/>
      </c>
      <c r="N195" s="340">
        <f t="shared" si="43"/>
        <v>101.97635641256763</v>
      </c>
      <c r="O195" s="341" t="str">
        <f t="shared" si="44"/>
        <v>R</v>
      </c>
      <c r="P195" s="342" t="str">
        <f t="shared" si="45"/>
        <v/>
      </c>
      <c r="Q195" s="343" t="str">
        <f t="shared" si="46"/>
        <v/>
      </c>
      <c r="R195" s="10" t="str">
        <f t="shared" si="56"/>
        <v/>
      </c>
      <c r="S195" s="337" t="str">
        <f t="shared" si="39"/>
        <v/>
      </c>
      <c r="T195" s="9"/>
      <c r="U195" s="8"/>
      <c r="V195" s="202">
        <f>IF(OR(E195="",E195&lt;$U$2),"",ProjTvdAtBit(E195,F195,G195,H195,D195,W195,X195))</f>
        <v>3070.8873863943932</v>
      </c>
      <c r="W195" s="344">
        <f>IF(OR(E195="",E195&lt;$U$2),"",ProjIncAtBit(F195,J195,C195,M195,AJ195,IF(AK195="",0,AK195)))</f>
        <v>90.32</v>
      </c>
      <c r="X195" s="455">
        <f>IF(OR(E195="",E195&lt;$U$2),"",ProjAzmAtBit(F195,G195,J195,C195,M195,AJ195,IF(AK195="",0,AK195)))</f>
        <v>2.4</v>
      </c>
      <c r="Y195" s="461"/>
      <c r="Z195" s="206"/>
      <c r="AA195" s="512">
        <f t="shared" si="54"/>
        <v>90.716215896194939</v>
      </c>
      <c r="AB195" s="520">
        <f t="shared" si="55"/>
        <v>-0.76158181209711984</v>
      </c>
      <c r="AC195" s="510"/>
      <c r="AD195" s="515"/>
      <c r="AE195" s="516"/>
      <c r="AJ195" s="452">
        <f>IF(OR(E195="",D195=""),0,ProjSlideMetersBetween(E195,D195,$R$13:$R$305,$S$13:$S$305))</f>
        <v>0</v>
      </c>
      <c r="AK195" s="452" t="str">
        <f>IF(U195="","",ProjParseTF(U195))</f>
        <v/>
      </c>
      <c r="AL195" s="219">
        <f>IF(E195="","",ProjCumN(AL194,E194,F194,G194,E195,F195,G195,FALSE))</f>
        <v>1769.9269830809283</v>
      </c>
      <c r="AM195" s="331">
        <f>IF(E195="","",ProjCumE(AM194,E194,F194,G194,E195,F195,G195,FALSE))</f>
        <v>135.76610359915037</v>
      </c>
      <c r="AN195" s="330">
        <f t="shared" si="53"/>
        <v>2.4</v>
      </c>
      <c r="AO195" s="330" t="str">
        <f>IF(OR(E195="",E195&lt;$U$2),"",ProjActiveTargetMdEx(D195,W195,V195,ProjTargets_MD,ProjTargets_INC,ProjTargets_AZM,ProjTargets_TVD,F195,H195))</f>
        <v/>
      </c>
      <c r="AP195" s="207">
        <f>IF(OR(E195="",E195&lt;$U$2),"",ProjBitN(E195,F195,G195,AL195,D195,W195,X195))</f>
        <v>1786.9118062868672</v>
      </c>
      <c r="AQ195" s="207">
        <f>IF(OR(E195="",E195&lt;$U$2),"",ProjBitE(E195,F195,G195,AM195,D195,W195,X195))</f>
        <v>136.47797860970658</v>
      </c>
      <c r="AR195" s="207" t="str">
        <f>IF(OR(E195="",E195&lt;$U$2,AO195=""),"",ProjBurr(D195,W195,X195,Q195,C195,ProjTargets_MD,ProjTargets_INC,ProjTargets_AZM,ProjTargets_TVD,V195))</f>
        <v/>
      </c>
      <c r="AS195" s="207" t="str">
        <f>IF(OR(E195="",E195&lt;$U$2,AO195=""),"",ProjMetersToSlide(D195,W195,X195,Q195,C195,ProjTargets_MD,ProjTargets_INC,ProjTargets_AZM,ProjTargets_TVD,V195))</f>
        <v/>
      </c>
      <c r="AT195" s="207" t="str">
        <f>IF(OR(E195="",E195&lt;$U$2,AO195=""),"",ProjRequiredTf(D195,W195,X195,ProjTargets_MD,ProjTargets_INC,ProjTargets_AZM,ProjTargets_TVD,5,V195))</f>
        <v/>
      </c>
    </row>
    <row r="196" spans="2:46" s="209" customFormat="1" ht="15" customHeight="1" x14ac:dyDescent="0.3">
      <c r="B196" s="208">
        <f t="shared" si="57"/>
        <v>17</v>
      </c>
      <c r="C196" s="335">
        <f t="shared" si="47"/>
        <v>28.840000000000146</v>
      </c>
      <c r="D196" s="27">
        <v>4791.18</v>
      </c>
      <c r="E196" s="336">
        <f t="shared" si="48"/>
        <v>4774.18</v>
      </c>
      <c r="F196" s="9">
        <v>91.25</v>
      </c>
      <c r="G196" s="9">
        <v>1.83</v>
      </c>
      <c r="H196" s="337">
        <f t="shared" si="41"/>
        <v>3070.5872121032007</v>
      </c>
      <c r="I196" s="337">
        <f t="shared" si="52"/>
        <v>2298.3372121032007</v>
      </c>
      <c r="J196" s="338">
        <f t="shared" si="49"/>
        <v>1.1346202964631447</v>
      </c>
      <c r="K196" s="339">
        <f t="shared" si="50"/>
        <v>0.96740638002774149</v>
      </c>
      <c r="L196" s="339">
        <f t="shared" si="51"/>
        <v>-0.59292649098474026</v>
      </c>
      <c r="M196" s="339" t="str">
        <f t="shared" si="42"/>
        <v/>
      </c>
      <c r="N196" s="340">
        <f t="shared" si="43"/>
        <v>31.501590384617888</v>
      </c>
      <c r="O196" s="341" t="str">
        <f t="shared" si="44"/>
        <v>L</v>
      </c>
      <c r="P196" s="342" t="str">
        <f t="shared" si="45"/>
        <v/>
      </c>
      <c r="Q196" s="343" t="str">
        <f t="shared" si="46"/>
        <v/>
      </c>
      <c r="R196" s="10" t="str">
        <f t="shared" si="56"/>
        <v/>
      </c>
      <c r="S196" s="337" t="str">
        <f t="shared" si="39"/>
        <v/>
      </c>
      <c r="T196" s="9"/>
      <c r="U196" s="8"/>
      <c r="V196" s="202">
        <f>IF(OR(E196="",E196&lt;$U$2),"",ProjTvdAtBit(E196,F196,G196,H196,D196,W196,X196))</f>
        <v>3070.2163590576133</v>
      </c>
      <c r="W196" s="344">
        <f>IF(OR(E196="",E196&lt;$U$2),"",ProjIncAtBit(F196,J196,C196,M196,AJ196,IF(AK196="",0,AK196)))</f>
        <v>91.25</v>
      </c>
      <c r="X196" s="455">
        <f>IF(OR(E196="",E196&lt;$U$2),"",ProjAzmAtBit(F196,G196,J196,C196,M196,AJ196,IF(AK196="",0,AK196)))</f>
        <v>1.83</v>
      </c>
      <c r="Y196" s="461"/>
      <c r="Z196" s="206"/>
      <c r="AA196" s="512">
        <f t="shared" si="54"/>
        <v>90.716215896194939</v>
      </c>
      <c r="AB196" s="520">
        <f t="shared" si="55"/>
        <v>-0.72696210320054888</v>
      </c>
      <c r="AC196" s="510"/>
      <c r="AD196" s="515"/>
      <c r="AE196" s="516"/>
      <c r="AJ196" s="452">
        <f>IF(OR(E196="",D196=""),0,ProjSlideMetersBetween(E196,D196,$R$13:$R$305,$S$13:$S$305))</f>
        <v>0</v>
      </c>
      <c r="AK196" s="452" t="str">
        <f>IF(U196="","",ProjParseTF(U196))</f>
        <v/>
      </c>
      <c r="AL196" s="219">
        <f>IF(E196="","",ProjCumN(AL195,E195,F195,G195,E196,F196,G196,FALSE))</f>
        <v>1798.744195549973</v>
      </c>
      <c r="AM196" s="331">
        <f>IF(E196="","",ProjCumE(AM195,E195,F195,G195,E196,F196,G196,FALSE))</f>
        <v>136.83035331793377</v>
      </c>
      <c r="AN196" s="330">
        <f t="shared" si="53"/>
        <v>1.83</v>
      </c>
      <c r="AO196" s="330" t="str">
        <f>IF(OR(E196="",E196&lt;$U$2),"",ProjActiveTargetMdEx(D196,W196,V196,ProjTargets_MD,ProjTargets_INC,ProjTargets_AZM,ProjTargets_TVD,F196,H196))</f>
        <v/>
      </c>
      <c r="AP196" s="207">
        <f>IF(OR(E196="",E196&lt;$U$2),"",ProjBitN(E196,F196,G196,AL196,D196,W196,X196))</f>
        <v>1815.7314816779128</v>
      </c>
      <c r="AQ196" s="207">
        <f>IF(OR(E196="",E196&lt;$U$2),"",ProjBitE(E196,F196,G196,AM196,D196,W196,X196))</f>
        <v>137.37310374500089</v>
      </c>
      <c r="AR196" s="207" t="str">
        <f>IF(OR(E196="",E196&lt;$U$2,AO196=""),"",ProjBurr(D196,W196,X196,Q196,C196,ProjTargets_MD,ProjTargets_INC,ProjTargets_AZM,ProjTargets_TVD,V196))</f>
        <v/>
      </c>
      <c r="AS196" s="207" t="str">
        <f>IF(OR(E196="",E196&lt;$U$2,AO196=""),"",ProjMetersToSlide(D196,W196,X196,Q196,C196,ProjTargets_MD,ProjTargets_INC,ProjTargets_AZM,ProjTargets_TVD,V196))</f>
        <v/>
      </c>
      <c r="AT196" s="207" t="str">
        <f>IF(OR(E196="",E196&lt;$U$2,AO196=""),"",ProjRequiredTf(D196,W196,X196,ProjTargets_MD,ProjTargets_INC,ProjTargets_AZM,ProjTargets_TVD,5,V196))</f>
        <v/>
      </c>
    </row>
    <row r="197" spans="2:46" s="209" customFormat="1" ht="15" customHeight="1" x14ac:dyDescent="0.3">
      <c r="B197" s="208">
        <f t="shared" si="57"/>
        <v>17</v>
      </c>
      <c r="C197" s="335">
        <f t="shared" si="47"/>
        <v>28.779999999999745</v>
      </c>
      <c r="D197" s="27">
        <v>4819.96</v>
      </c>
      <c r="E197" s="336">
        <f t="shared" si="48"/>
        <v>4802.96</v>
      </c>
      <c r="F197" s="9">
        <v>91.24</v>
      </c>
      <c r="G197" s="9">
        <v>1.67</v>
      </c>
      <c r="H197" s="337">
        <f t="shared" si="41"/>
        <v>3069.9618906454111</v>
      </c>
      <c r="I197" s="337">
        <f t="shared" si="52"/>
        <v>2297.7118906454111</v>
      </c>
      <c r="J197" s="338">
        <f t="shared" si="49"/>
        <v>0.16706862100227773</v>
      </c>
      <c r="K197" s="339">
        <f t="shared" si="50"/>
        <v>-1.0423905489928983E-2</v>
      </c>
      <c r="L197" s="339">
        <f t="shared" si="51"/>
        <v>-0.16678248783877855</v>
      </c>
      <c r="M197" s="339" t="str">
        <f t="shared" si="42"/>
        <v/>
      </c>
      <c r="N197" s="340">
        <f t="shared" si="43"/>
        <v>93.577176663016559</v>
      </c>
      <c r="O197" s="341" t="str">
        <f t="shared" si="44"/>
        <v>L</v>
      </c>
      <c r="P197" s="342" t="str">
        <f t="shared" si="45"/>
        <v/>
      </c>
      <c r="Q197" s="343" t="str">
        <f t="shared" si="46"/>
        <v/>
      </c>
      <c r="R197" s="10" t="str">
        <f t="shared" si="56"/>
        <v/>
      </c>
      <c r="S197" s="337" t="str">
        <f t="shared" si="39"/>
        <v/>
      </c>
      <c r="T197" s="9"/>
      <c r="U197" s="8"/>
      <c r="V197" s="202">
        <f>IF(OR(E197="",E197&lt;$U$2),"",ProjTvdAtBit(E197,F197,G197,H197,D197,W197,X197))</f>
        <v>3069.5940039591055</v>
      </c>
      <c r="W197" s="344">
        <f>IF(OR(E197="",E197&lt;$U$2),"",ProjIncAtBit(F197,J197,C197,M197,AJ197,IF(AK197="",0,AK197)))</f>
        <v>91.24</v>
      </c>
      <c r="X197" s="455">
        <f>IF(OR(E197="",E197&lt;$U$2),"",ProjAzmAtBit(F197,G197,J197,C197,M197,AJ197,IF(AK197="",0,AK197)))</f>
        <v>1.67</v>
      </c>
      <c r="Y197" s="461"/>
      <c r="Z197" s="206"/>
      <c r="AA197" s="512">
        <f t="shared" si="54"/>
        <v>90.716215896194939</v>
      </c>
      <c r="AB197" s="520">
        <f t="shared" si="55"/>
        <v>-0.46139064541102925</v>
      </c>
      <c r="AC197" s="510"/>
      <c r="AD197" s="515"/>
      <c r="AE197" s="516"/>
      <c r="AJ197" s="452">
        <f>IF(OR(E197="",D197=""),0,ProjSlideMetersBetween(E197,D197,$R$13:$R$305,$S$13:$S$305))</f>
        <v>0</v>
      </c>
      <c r="AK197" s="452" t="str">
        <f>IF(U197="","",ProjParseTF(U197))</f>
        <v/>
      </c>
      <c r="AL197" s="219">
        <f>IF(E197="","",ProjCumN(AL196,E196,F196,G196,E197,F197,G197,FALSE))</f>
        <v>1827.5039718938544</v>
      </c>
      <c r="AM197" s="331">
        <f>IF(E197="","",ProjCumE(AM196,E196,F196,G196,E197,F197,G197,FALSE))</f>
        <v>137.70904388085964</v>
      </c>
      <c r="AN197" s="330">
        <f t="shared" si="53"/>
        <v>1.67</v>
      </c>
      <c r="AO197" s="330" t="str">
        <f>IF(OR(E197="",E197&lt;$U$2),"",ProjActiveTargetMdEx(D197,W197,V197,ProjTargets_MD,ProjTargets_INC,ProjTargets_AZM,ProjTargets_TVD,F197,H197))</f>
        <v/>
      </c>
      <c r="AP197" s="207">
        <f>IF(OR(E197="",E197&lt;$U$2),"",ProjBitN(E197,F197,G197,AL197,D197,W197,X197))</f>
        <v>1844.4927718696258</v>
      </c>
      <c r="AQ197" s="207">
        <f>IF(OR(E197="",E197&lt;$U$2),"",ProjBitE(E197,F197,G197,AM197,D197,W197,X197))</f>
        <v>138.2043566802765</v>
      </c>
      <c r="AR197" s="207" t="str">
        <f>IF(OR(E197="",E197&lt;$U$2,AO197=""),"",ProjBurr(D197,W197,X197,Q197,C197,ProjTargets_MD,ProjTargets_INC,ProjTargets_AZM,ProjTargets_TVD,V197))</f>
        <v/>
      </c>
      <c r="AS197" s="207" t="str">
        <f>IF(OR(E197="",E197&lt;$U$2,AO197=""),"",ProjMetersToSlide(D197,W197,X197,Q197,C197,ProjTargets_MD,ProjTargets_INC,ProjTargets_AZM,ProjTargets_TVD,V197))</f>
        <v/>
      </c>
      <c r="AT197" s="207" t="str">
        <f>IF(OR(E197="",E197&lt;$U$2,AO197=""),"",ProjRequiredTf(D197,W197,X197,ProjTargets_MD,ProjTargets_INC,ProjTargets_AZM,ProjTargets_TVD,5,V197))</f>
        <v/>
      </c>
    </row>
    <row r="198" spans="2:46" s="209" customFormat="1" ht="15" customHeight="1" x14ac:dyDescent="0.3">
      <c r="B198" s="208">
        <f t="shared" si="57"/>
        <v>17</v>
      </c>
      <c r="C198" s="335">
        <f t="shared" si="47"/>
        <v>28.75</v>
      </c>
      <c r="D198" s="27">
        <v>4848.71</v>
      </c>
      <c r="E198" s="336">
        <f t="shared" si="48"/>
        <v>4831.71</v>
      </c>
      <c r="F198" s="9">
        <v>91.27</v>
      </c>
      <c r="G198" s="9">
        <v>1.54</v>
      </c>
      <c r="H198" s="337">
        <f t="shared" si="41"/>
        <v>3069.3322043893118</v>
      </c>
      <c r="I198" s="337">
        <f t="shared" si="52"/>
        <v>2297.0822043893118</v>
      </c>
      <c r="J198" s="338">
        <f t="shared" si="49"/>
        <v>0.13918565583016312</v>
      </c>
      <c r="K198" s="339">
        <f t="shared" si="50"/>
        <v>3.1304347826088146E-2</v>
      </c>
      <c r="L198" s="339">
        <f t="shared" si="51"/>
        <v>-0.13565217391304335</v>
      </c>
      <c r="M198" s="339" t="str">
        <f t="shared" si="42"/>
        <v/>
      </c>
      <c r="N198" s="340">
        <f t="shared" si="43"/>
        <v>77.002371021400975</v>
      </c>
      <c r="O198" s="341" t="str">
        <f t="shared" si="44"/>
        <v>L</v>
      </c>
      <c r="P198" s="342" t="str">
        <f t="shared" si="45"/>
        <v/>
      </c>
      <c r="Q198" s="343" t="str">
        <f t="shared" si="46"/>
        <v/>
      </c>
      <c r="R198" s="10" t="str">
        <f t="shared" si="56"/>
        <v/>
      </c>
      <c r="S198" s="337" t="str">
        <f t="shared" si="39"/>
        <v/>
      </c>
      <c r="T198" s="9"/>
      <c r="U198" s="8"/>
      <c r="V198" s="202">
        <f>IF(OR(E198="",E198&lt;$U$2),"",ProjTvdAtBit(E198,F198,G198,H198,D198,W198,X198))</f>
        <v>3068.9554186591413</v>
      </c>
      <c r="W198" s="344">
        <f>IF(OR(E198="",E198&lt;$U$2),"",ProjIncAtBit(F198,J198,C198,M198,AJ198,IF(AK198="",0,AK198)))</f>
        <v>91.27</v>
      </c>
      <c r="X198" s="455">
        <f>IF(OR(E198="",E198&lt;$U$2),"",ProjAzmAtBit(F198,G198,J198,C198,M198,AJ198,IF(AK198="",0,AK198)))</f>
        <v>1.54</v>
      </c>
      <c r="Y198" s="461"/>
      <c r="Z198" s="206"/>
      <c r="AA198" s="512">
        <f t="shared" si="54"/>
        <v>90.716215896194939</v>
      </c>
      <c r="AB198" s="520">
        <f t="shared" si="55"/>
        <v>-0.19107938931165336</v>
      </c>
      <c r="AC198" s="510"/>
      <c r="AD198" s="515"/>
      <c r="AE198" s="516"/>
      <c r="AJ198" s="452">
        <f>IF(OR(E198="",D198=""),0,ProjSlideMetersBetween(E198,D198,$R$13:$R$305,$S$13:$S$305))</f>
        <v>0</v>
      </c>
      <c r="AK198" s="452" t="str">
        <f>IF(U198="","",ProjParseTF(U198))</f>
        <v/>
      </c>
      <c r="AL198" s="219">
        <f>IF(E198="","",ProjCumN(AL197,E197,F197,G197,E198,F198,G198,FALSE))</f>
        <v>1856.2357921797557</v>
      </c>
      <c r="AM198" s="331">
        <f>IF(E198="","",ProjCumE(AM197,E197,F197,G197,E198,F198,G198,FALSE))</f>
        <v>138.51410576368161</v>
      </c>
      <c r="AN198" s="330">
        <f t="shared" si="53"/>
        <v>1.54</v>
      </c>
      <c r="AO198" s="330" t="str">
        <f>IF(OR(E198="",E198&lt;$U$2),"",ProjActiveTargetMdEx(D198,W198,V198,ProjTargets_MD,ProjTargets_INC,ProjTargets_AZM,ProjTargets_TVD,F198,H198))</f>
        <v/>
      </c>
      <c r="AP198" s="207">
        <f>IF(OR(E198="",E198&lt;$U$2),"",ProjBitN(E198,F198,G198,AL198,D198,W198,X198))</f>
        <v>1873.2254773698405</v>
      </c>
      <c r="AQ198" s="207">
        <f>IF(OR(E198="",E198&lt;$U$2),"",ProjBitE(E198,F198,G198,AM198,D198,W198,X198))</f>
        <v>138.97086571743054</v>
      </c>
      <c r="AR198" s="207" t="str">
        <f>IF(OR(E198="",E198&lt;$U$2,AO198=""),"",ProjBurr(D198,W198,X198,Q198,C198,ProjTargets_MD,ProjTargets_INC,ProjTargets_AZM,ProjTargets_TVD,V198))</f>
        <v/>
      </c>
      <c r="AS198" s="207" t="str">
        <f>IF(OR(E198="",E198&lt;$U$2,AO198=""),"",ProjMetersToSlide(D198,W198,X198,Q198,C198,ProjTargets_MD,ProjTargets_INC,ProjTargets_AZM,ProjTargets_TVD,V198))</f>
        <v/>
      </c>
      <c r="AT198" s="207" t="str">
        <f>IF(OR(E198="",E198&lt;$U$2,AO198=""),"",ProjRequiredTf(D198,W198,X198,ProjTargets_MD,ProjTargets_INC,ProjTargets_AZM,ProjTargets_TVD,5,V198))</f>
        <v/>
      </c>
    </row>
    <row r="199" spans="2:46" s="209" customFormat="1" ht="15" customHeight="1" x14ac:dyDescent="0.3">
      <c r="B199" s="208">
        <f t="shared" si="57"/>
        <v>17</v>
      </c>
      <c r="C199" s="335">
        <f t="shared" si="47"/>
        <v>28.850000000000364</v>
      </c>
      <c r="D199" s="27">
        <v>4877.5600000000004</v>
      </c>
      <c r="E199" s="336">
        <f t="shared" si="48"/>
        <v>4860.5600000000004</v>
      </c>
      <c r="F199" s="9">
        <v>91.28</v>
      </c>
      <c r="G199" s="9">
        <v>1.75</v>
      </c>
      <c r="H199" s="337">
        <f t="shared" si="41"/>
        <v>3068.6902598247921</v>
      </c>
      <c r="I199" s="337">
        <f t="shared" si="52"/>
        <v>2296.4402598247921</v>
      </c>
      <c r="J199" s="338">
        <f t="shared" si="49"/>
        <v>0.21856432488248664</v>
      </c>
      <c r="K199" s="339">
        <f t="shared" si="50"/>
        <v>1.0398613518202761E-2</v>
      </c>
      <c r="L199" s="339">
        <f t="shared" si="51"/>
        <v>0.21837088388214626</v>
      </c>
      <c r="M199" s="339" t="str">
        <f t="shared" si="42"/>
        <v/>
      </c>
      <c r="N199" s="340">
        <f t="shared" si="43"/>
        <v>87.273014855584734</v>
      </c>
      <c r="O199" s="341" t="str">
        <f t="shared" si="44"/>
        <v>R</v>
      </c>
      <c r="P199" s="342" t="str">
        <f t="shared" si="45"/>
        <v/>
      </c>
      <c r="Q199" s="343" t="str">
        <f t="shared" si="46"/>
        <v/>
      </c>
      <c r="R199" s="10" t="str">
        <f t="shared" si="56"/>
        <v/>
      </c>
      <c r="S199" s="337" t="str">
        <f t="shared" si="39"/>
        <v/>
      </c>
      <c r="T199" s="9"/>
      <c r="U199" s="8"/>
      <c r="V199" s="202">
        <f>IF(OR(E199="",E199&lt;$U$2),"",ProjTvdAtBit(E199,F199,G199,H199,D199,W199,X199))</f>
        <v>3068.3105077695013</v>
      </c>
      <c r="W199" s="344">
        <f>IF(OR(E199="",E199&lt;$U$2),"",ProjIncAtBit(F199,J199,C199,M199,AJ199,IF(AK199="",0,AK199)))</f>
        <v>91.28</v>
      </c>
      <c r="X199" s="455">
        <f>IF(OR(E199="",E199&lt;$U$2),"",ProjAzmAtBit(F199,G199,J199,C199,M199,AJ199,IF(AK199="",0,AK199)))</f>
        <v>1.75</v>
      </c>
      <c r="Y199" s="461"/>
      <c r="Z199" s="206"/>
      <c r="AA199" s="512">
        <f t="shared" si="54"/>
        <v>90.716215896194939</v>
      </c>
      <c r="AB199" s="520">
        <f t="shared" si="55"/>
        <v>9.0240175207782158E-2</v>
      </c>
      <c r="AC199" s="510"/>
      <c r="AD199" s="515"/>
      <c r="AE199" s="516"/>
      <c r="AJ199" s="452">
        <f>IF(OR(E199="",D199=""),0,ProjSlideMetersBetween(E199,D199,$R$13:$R$305,$S$13:$S$305))</f>
        <v>0</v>
      </c>
      <c r="AK199" s="452" t="str">
        <f>IF(U199="","",ProjParseTF(U199))</f>
        <v/>
      </c>
      <c r="AL199" s="219">
        <f>IF(E199="","",ProjCumN(AL198,E198,F198,G198,E199,F199,G199,FALSE))</f>
        <v>1885.0667463172442</v>
      </c>
      <c r="AM199" s="331">
        <f>IF(E199="","",ProjCumE(AM198,E198,F198,G198,E199,F199,G199,FALSE))</f>
        <v>139.3420890767062</v>
      </c>
      <c r="AN199" s="330">
        <f t="shared" si="53"/>
        <v>1.75</v>
      </c>
      <c r="AO199" s="330" t="str">
        <f>IF(OR(E199="",E199&lt;$U$2),"",ProjActiveTargetMdEx(D199,W199,V199,ProjTargets_MD,ProjTargets_INC,ProjTargets_AZM,ProjTargets_TVD,F199,H199))</f>
        <v/>
      </c>
      <c r="AP199" s="207">
        <f>IF(OR(E199="",E199&lt;$U$2),"",ProjBitN(E199,F199,G199,AL199,D199,W199,X199))</f>
        <v>1902.0545772923963</v>
      </c>
      <c r="AQ199" s="207">
        <f>IF(OR(E199="",E199&lt;$U$2),"",ProjBitE(E199,F199,G199,AM199,D199,W199,X199))</f>
        <v>139.86111425544647</v>
      </c>
      <c r="AR199" s="207" t="str">
        <f>IF(OR(E199="",E199&lt;$U$2,AO199=""),"",ProjBurr(D199,W199,X199,Q199,C199,ProjTargets_MD,ProjTargets_INC,ProjTargets_AZM,ProjTargets_TVD,V199))</f>
        <v/>
      </c>
      <c r="AS199" s="207" t="str">
        <f>IF(OR(E199="",E199&lt;$U$2,AO199=""),"",ProjMetersToSlide(D199,W199,X199,Q199,C199,ProjTargets_MD,ProjTargets_INC,ProjTargets_AZM,ProjTargets_TVD,V199))</f>
        <v/>
      </c>
      <c r="AT199" s="207" t="str">
        <f>IF(OR(E199="",E199&lt;$U$2,AO199=""),"",ProjRequiredTf(D199,W199,X199,ProjTargets_MD,ProjTargets_INC,ProjTargets_AZM,ProjTargets_TVD,5,V199))</f>
        <v/>
      </c>
    </row>
    <row r="200" spans="2:46" s="209" customFormat="1" ht="15" customHeight="1" x14ac:dyDescent="0.3">
      <c r="B200" s="208">
        <f t="shared" si="57"/>
        <v>17</v>
      </c>
      <c r="C200" s="335">
        <f t="shared" si="47"/>
        <v>28.869999999999891</v>
      </c>
      <c r="D200" s="27">
        <v>4906.43</v>
      </c>
      <c r="E200" s="336">
        <f t="shared" si="48"/>
        <v>4889.43</v>
      </c>
      <c r="F200" s="9">
        <v>91.68</v>
      </c>
      <c r="G200" s="9">
        <v>1.6</v>
      </c>
      <c r="H200" s="337">
        <f t="shared" si="41"/>
        <v>3067.9446054507634</v>
      </c>
      <c r="I200" s="337">
        <f t="shared" si="52"/>
        <v>2295.6946054507634</v>
      </c>
      <c r="J200" s="338">
        <f t="shared" si="49"/>
        <v>0.44390285339468738</v>
      </c>
      <c r="K200" s="339">
        <f t="shared" si="50"/>
        <v>0.41565639071701477</v>
      </c>
      <c r="L200" s="339">
        <f t="shared" si="51"/>
        <v>-0.15587114651887823</v>
      </c>
      <c r="M200" s="339" t="str">
        <f t="shared" si="42"/>
        <v/>
      </c>
      <c r="N200" s="340">
        <f t="shared" si="43"/>
        <v>20.549722652849979</v>
      </c>
      <c r="O200" s="341" t="str">
        <f t="shared" si="44"/>
        <v>L</v>
      </c>
      <c r="P200" s="342" t="str">
        <f t="shared" si="45"/>
        <v/>
      </c>
      <c r="Q200" s="343" t="str">
        <f t="shared" si="46"/>
        <v/>
      </c>
      <c r="R200" s="10" t="str">
        <f t="shared" si="56"/>
        <v/>
      </c>
      <c r="S200" s="337" t="str">
        <f t="shared" si="39"/>
        <v/>
      </c>
      <c r="T200" s="9"/>
      <c r="U200" s="8"/>
      <c r="V200" s="202">
        <f>IF(OR(E200="",E200&lt;$U$2),"",ProjTvdAtBit(E200,F200,G200,H200,D200,W200,X200))</f>
        <v>3067.4462108395355</v>
      </c>
      <c r="W200" s="344">
        <f>IF(OR(E200="",E200&lt;$U$2),"",ProjIncAtBit(F200,J200,C200,M200,AJ200,IF(AK200="",0,AK200)))</f>
        <v>91.68</v>
      </c>
      <c r="X200" s="455">
        <f>IF(OR(E200="",E200&lt;$U$2),"",ProjAzmAtBit(F200,G200,J200,C200,M200,AJ200,IF(AK200="",0,AK200)))</f>
        <v>1.6</v>
      </c>
      <c r="Y200" s="461"/>
      <c r="Z200" s="206"/>
      <c r="AA200" s="512">
        <f t="shared" si="54"/>
        <v>90.429722375059583</v>
      </c>
      <c r="AB200" s="520">
        <f t="shared" si="55"/>
        <v>0.50716954923655067</v>
      </c>
      <c r="AC200" s="510"/>
      <c r="AD200" s="515"/>
      <c r="AE200" s="516"/>
      <c r="AJ200" s="452">
        <f>IF(OR(E200="",D200=""),0,ProjSlideMetersBetween(E200,D200,$R$13:$R$305,$S$13:$S$305))</f>
        <v>0</v>
      </c>
      <c r="AK200" s="452" t="str">
        <f>IF(U200="","",ProjParseTF(U200))</f>
        <v/>
      </c>
      <c r="AL200" s="219">
        <f>IF(E200="","",ProjCumN(AL199,E199,F199,G199,E200,F200,G200,FALSE))</f>
        <v>1913.9147166300245</v>
      </c>
      <c r="AM200" s="331">
        <f>IF(E200="","",ProjCumE(AM199,E199,F199,G199,E200,F200,G200,FALSE))</f>
        <v>140.18568202937215</v>
      </c>
      <c r="AN200" s="330">
        <f t="shared" si="53"/>
        <v>1.6</v>
      </c>
      <c r="AO200" s="330" t="str">
        <f>IF(OR(E200="",E200&lt;$U$2),"",ProjActiveTargetMdEx(D200,W200,V200,ProjTargets_MD,ProjTargets_INC,ProjTargets_AZM,ProjTargets_TVD,F200,H200))</f>
        <v/>
      </c>
      <c r="AP200" s="207">
        <f>IF(OR(E200="",E200&lt;$U$2),"",ProjBitN(E200,F200,G200,AL200,D200,W200,X200))</f>
        <v>1930.9007840645631</v>
      </c>
      <c r="AQ200" s="207">
        <f>IF(OR(E200="",E200&lt;$U$2),"",ProjBitE(E200,F200,G200,AM200,D200,W200,X200))</f>
        <v>140.66014585392259</v>
      </c>
      <c r="AR200" s="207" t="str">
        <f>IF(OR(E200="",E200&lt;$U$2,AO200=""),"",ProjBurr(D200,W200,X200,Q200,C200,ProjTargets_MD,ProjTargets_INC,ProjTargets_AZM,ProjTargets_TVD,V200))</f>
        <v/>
      </c>
      <c r="AS200" s="207" t="str">
        <f>IF(OR(E200="",E200&lt;$U$2,AO200=""),"",ProjMetersToSlide(D200,W200,X200,Q200,C200,ProjTargets_MD,ProjTargets_INC,ProjTargets_AZM,ProjTargets_TVD,V200))</f>
        <v/>
      </c>
      <c r="AT200" s="207" t="str">
        <f>IF(OR(E200="",E200&lt;$U$2,AO200=""),"",ProjRequiredTf(D200,W200,X200,ProjTargets_MD,ProjTargets_INC,ProjTargets_AZM,ProjTargets_TVD,5,V200))</f>
        <v/>
      </c>
    </row>
    <row r="201" spans="2:46" s="209" customFormat="1" ht="15" customHeight="1" x14ac:dyDescent="0.3">
      <c r="B201" s="208">
        <f t="shared" si="57"/>
        <v>17</v>
      </c>
      <c r="C201" s="335">
        <f t="shared" si="47"/>
        <v>28.759999999999309</v>
      </c>
      <c r="D201" s="27">
        <v>4935.1899999999996</v>
      </c>
      <c r="E201" s="336">
        <f t="shared" si="48"/>
        <v>4918.1899999999996</v>
      </c>
      <c r="F201" s="9">
        <v>92.42</v>
      </c>
      <c r="G201" s="9">
        <v>1.68</v>
      </c>
      <c r="H201" s="337">
        <f t="shared" si="41"/>
        <v>3066.9158137652466</v>
      </c>
      <c r="I201" s="337">
        <f t="shared" si="52"/>
        <v>2294.6658137652466</v>
      </c>
      <c r="J201" s="338">
        <f t="shared" si="49"/>
        <v>0.77639728926797813</v>
      </c>
      <c r="K201" s="339">
        <f t="shared" si="50"/>
        <v>0.7719054242002914</v>
      </c>
      <c r="L201" s="339">
        <f t="shared" si="51"/>
        <v>8.344923504868057E-2</v>
      </c>
      <c r="M201" s="339" t="str">
        <f t="shared" si="42"/>
        <v/>
      </c>
      <c r="N201" s="340">
        <f t="shared" si="43"/>
        <v>6.1662138661223649</v>
      </c>
      <c r="O201" s="341" t="str">
        <f t="shared" si="44"/>
        <v>R</v>
      </c>
      <c r="P201" s="342" t="str">
        <f t="shared" si="45"/>
        <v/>
      </c>
      <c r="Q201" s="343" t="str">
        <f t="shared" si="46"/>
        <v/>
      </c>
      <c r="R201" s="10" t="str">
        <f t="shared" si="56"/>
        <v/>
      </c>
      <c r="S201" s="337" t="str">
        <f t="shared" si="39"/>
        <v/>
      </c>
      <c r="T201" s="9"/>
      <c r="U201" s="8"/>
      <c r="V201" s="202">
        <f>IF(OR(E201="",E201&lt;$U$2),"",ProjTvdAtBit(E201,F201,G201,H201,D201,W201,X201))</f>
        <v>3066.1979987811155</v>
      </c>
      <c r="W201" s="344">
        <f>IF(OR(E201="",E201&lt;$U$2),"",ProjIncAtBit(F201,J201,C201,M201,AJ201,IF(AK201="",0,AK201)))</f>
        <v>92.42</v>
      </c>
      <c r="X201" s="455">
        <f>IF(OR(E201="",E201&lt;$U$2),"",ProjAzmAtBit(F201,G201,J201,C201,M201,AJ201,IF(AK201="",0,AK201)))</f>
        <v>1.68</v>
      </c>
      <c r="Y201" s="461"/>
      <c r="Z201" s="206"/>
      <c r="AA201" s="512">
        <f t="shared" si="54"/>
        <v>90.429722375059583</v>
      </c>
      <c r="AB201" s="520">
        <f t="shared" si="55"/>
        <v>1.3202612347531613</v>
      </c>
      <c r="AC201" s="510"/>
      <c r="AD201" s="515"/>
      <c r="AE201" s="516"/>
      <c r="AJ201" s="452">
        <f>IF(OR(E201="",D201=""),0,ProjSlideMetersBetween(E201,D201,$R$13:$R$305,$S$13:$S$305))</f>
        <v>0</v>
      </c>
      <c r="AK201" s="452" t="str">
        <f>IF(U201="","",ProjParseTF(U201))</f>
        <v/>
      </c>
      <c r="AL201" s="219">
        <f>IF(E201="","",ProjCumN(AL200,E200,F200,G200,E201,F201,G201,FALSE))</f>
        <v>1942.6443349044539</v>
      </c>
      <c r="AM201" s="331">
        <f>IF(E201="","",ProjCumE(AM200,E200,F200,G200,E201,F201,G201,FALSE))</f>
        <v>141.00824139156455</v>
      </c>
      <c r="AN201" s="330">
        <f t="shared" si="53"/>
        <v>1.68</v>
      </c>
      <c r="AO201" s="330" t="str">
        <f>IF(OR(E201="",E201&lt;$U$2),"",ProjActiveTargetMdEx(D201,W201,V201,ProjTargets_MD,ProjTargets_INC,ProjTargets_AZM,ProjTargets_TVD,F201,H201))</f>
        <v/>
      </c>
      <c r="AP201" s="207">
        <f>IF(OR(E201="",E201&lt;$U$2),"",ProjBitN(E201,F201,G201,AL201,D201,W201,X201))</f>
        <v>1959.6218726331006</v>
      </c>
      <c r="AQ201" s="207">
        <f>IF(OR(E201="",E201&lt;$U$2),"",ProjBitE(E201,F201,G201,AM201,D201,W201,X201))</f>
        <v>141.50619151048963</v>
      </c>
      <c r="AR201" s="207" t="str">
        <f>IF(OR(E201="",E201&lt;$U$2,AO201=""),"",ProjBurr(D201,W201,X201,Q201,C201,ProjTargets_MD,ProjTargets_INC,ProjTargets_AZM,ProjTargets_TVD,V201))</f>
        <v/>
      </c>
      <c r="AS201" s="207" t="str">
        <f>IF(OR(E201="",E201&lt;$U$2,AO201=""),"",ProjMetersToSlide(D201,W201,X201,Q201,C201,ProjTargets_MD,ProjTargets_INC,ProjTargets_AZM,ProjTargets_TVD,V201))</f>
        <v/>
      </c>
      <c r="AT201" s="207" t="str">
        <f>IF(OR(E201="",E201&lt;$U$2,AO201=""),"",ProjRequiredTf(D201,W201,X201,ProjTargets_MD,ProjTargets_INC,ProjTargets_AZM,ProjTargets_TVD,5,V201))</f>
        <v/>
      </c>
    </row>
    <row r="202" spans="2:46" s="209" customFormat="1" ht="15" customHeight="1" x14ac:dyDescent="0.3">
      <c r="B202" s="208">
        <f t="shared" si="57"/>
        <v>17</v>
      </c>
      <c r="C202" s="335">
        <f t="shared" si="47"/>
        <v>28.789999999999964</v>
      </c>
      <c r="D202" s="27">
        <v>4963.9799999999996</v>
      </c>
      <c r="E202" s="336">
        <f t="shared" si="48"/>
        <v>4946.9799999999996</v>
      </c>
      <c r="F202" s="9">
        <v>89.84</v>
      </c>
      <c r="G202" s="9">
        <v>1.53</v>
      </c>
      <c r="H202" s="337">
        <f t="shared" si="41"/>
        <v>3066.3480478442916</v>
      </c>
      <c r="I202" s="337">
        <f t="shared" si="52"/>
        <v>2294.0980478442916</v>
      </c>
      <c r="J202" s="338">
        <f t="shared" si="49"/>
        <v>2.6929708482485539</v>
      </c>
      <c r="K202" s="339">
        <f t="shared" si="50"/>
        <v>-2.6884334838485602</v>
      </c>
      <c r="L202" s="339">
        <f t="shared" si="51"/>
        <v>-0.15630427231677677</v>
      </c>
      <c r="M202" s="339" t="str">
        <f t="shared" si="42"/>
        <v/>
      </c>
      <c r="N202" s="340">
        <f t="shared" si="43"/>
        <v>176.67352218864332</v>
      </c>
      <c r="O202" s="341" t="str">
        <f t="shared" si="44"/>
        <v>L</v>
      </c>
      <c r="P202" s="342" t="str">
        <f t="shared" si="45"/>
        <v/>
      </c>
      <c r="Q202" s="343" t="str">
        <f t="shared" si="46"/>
        <v/>
      </c>
      <c r="R202" s="10" t="str">
        <f t="shared" si="56"/>
        <v/>
      </c>
      <c r="S202" s="337" t="str">
        <f t="shared" si="39"/>
        <v/>
      </c>
      <c r="T202" s="9"/>
      <c r="U202" s="8"/>
      <c r="V202" s="202">
        <f>IF(OR(E202="",E202&lt;$U$2),"",ProjTvdAtBit(E202,F202,G202,H202,D202,W202,X202))</f>
        <v>3066.3955207382451</v>
      </c>
      <c r="W202" s="344">
        <f>IF(OR(E202="",E202&lt;$U$2),"",ProjIncAtBit(F202,J202,C202,M202,AJ202,IF(AK202="",0,AK202)))</f>
        <v>89.84</v>
      </c>
      <c r="X202" s="455">
        <f>IF(OR(E202="",E202&lt;$U$2),"",ProjAzmAtBit(F202,G202,J202,C202,M202,AJ202,IF(AK202="",0,AK202)))</f>
        <v>1.53</v>
      </c>
      <c r="Y202" s="461"/>
      <c r="Z202" s="206"/>
      <c r="AA202" s="512">
        <f t="shared" si="54"/>
        <v>90.429722375059583</v>
      </c>
      <c r="AB202" s="520">
        <f t="shared" si="55"/>
        <v>1.6721021557082167</v>
      </c>
      <c r="AC202" s="510"/>
      <c r="AD202" s="515"/>
      <c r="AE202" s="516"/>
      <c r="AJ202" s="452">
        <f>IF(OR(E202="",D202=""),0,ProjSlideMetersBetween(E202,D202,$R$13:$R$305,$S$13:$S$305))</f>
        <v>0</v>
      </c>
      <c r="AK202" s="452" t="str">
        <f>IF(U202="","",ProjParseTF(U202))</f>
        <v/>
      </c>
      <c r="AL202" s="219">
        <f>IF(E202="","",ProjCumN(AL201,E201,F201,G201,E202,F202,G202,FALSE))</f>
        <v>1971.4150044635487</v>
      </c>
      <c r="AM202" s="331">
        <f>IF(E202="","",ProjCumE(AM201,E201,F201,G201,E202,F202,G202,FALSE))</f>
        <v>141.81437489761109</v>
      </c>
      <c r="AN202" s="330">
        <f t="shared" si="53"/>
        <v>1.53</v>
      </c>
      <c r="AO202" s="330" t="str">
        <f>IF(OR(E202="",E202&lt;$U$2),"",ProjActiveTargetMdEx(D202,W202,V202,ProjTargets_MD,ProjTargets_INC,ProjTargets_AZM,ProjTargets_TVD,F202,H202))</f>
        <v/>
      </c>
      <c r="AP202" s="207">
        <f>IF(OR(E202="",E202&lt;$U$2),"",ProjBitN(E202,F202,G202,AL202,D202,W202,X202))</f>
        <v>1988.4088773918361</v>
      </c>
      <c r="AQ202" s="207">
        <f>IF(OR(E202="",E202&lt;$U$2),"",ProjBitE(E202,F202,G202,AM202,D202,W202,X202))</f>
        <v>142.26827931658516</v>
      </c>
      <c r="AR202" s="207" t="str">
        <f>IF(OR(E202="",E202&lt;$U$2,AO202=""),"",ProjBurr(D202,W202,X202,Q202,C202,ProjTargets_MD,ProjTargets_INC,ProjTargets_AZM,ProjTargets_TVD,V202))</f>
        <v/>
      </c>
      <c r="AS202" s="207" t="str">
        <f>IF(OR(E202="",E202&lt;$U$2,AO202=""),"",ProjMetersToSlide(D202,W202,X202,Q202,C202,ProjTargets_MD,ProjTargets_INC,ProjTargets_AZM,ProjTargets_TVD,V202))</f>
        <v/>
      </c>
      <c r="AT202" s="207" t="str">
        <f>IF(OR(E202="",E202&lt;$U$2,AO202=""),"",ProjRequiredTf(D202,W202,X202,ProjTargets_MD,ProjTargets_INC,ProjTargets_AZM,ProjTargets_TVD,5,V202))</f>
        <v/>
      </c>
    </row>
    <row r="203" spans="2:46" s="209" customFormat="1" ht="15" customHeight="1" x14ac:dyDescent="0.3">
      <c r="B203" s="208">
        <f t="shared" si="57"/>
        <v>17</v>
      </c>
      <c r="C203" s="335">
        <f t="shared" si="47"/>
        <v>28.880000000000109</v>
      </c>
      <c r="D203" s="27">
        <v>4992.8599999999997</v>
      </c>
      <c r="E203" s="336">
        <f t="shared" si="48"/>
        <v>4975.8599999999997</v>
      </c>
      <c r="F203" s="9">
        <v>89.32</v>
      </c>
      <c r="G203" s="9">
        <v>1.46</v>
      </c>
      <c r="H203" s="337">
        <f t="shared" si="41"/>
        <v>3066.5597474053006</v>
      </c>
      <c r="I203" s="337">
        <f t="shared" si="52"/>
        <v>2294.3097474053006</v>
      </c>
      <c r="J203" s="338">
        <f t="shared" si="49"/>
        <v>0.54503819452979496</v>
      </c>
      <c r="K203" s="339">
        <f t="shared" si="50"/>
        <v>-0.54016620498615819</v>
      </c>
      <c r="L203" s="339">
        <f t="shared" si="51"/>
        <v>-7.2714681440443005E-2</v>
      </c>
      <c r="M203" s="339" t="str">
        <f t="shared" si="42"/>
        <v/>
      </c>
      <c r="N203" s="340">
        <f t="shared" si="43"/>
        <v>172.33342527706114</v>
      </c>
      <c r="O203" s="341" t="str">
        <f t="shared" si="44"/>
        <v>L</v>
      </c>
      <c r="P203" s="342" t="str">
        <f t="shared" si="45"/>
        <v/>
      </c>
      <c r="Q203" s="343" t="str">
        <f t="shared" si="46"/>
        <v/>
      </c>
      <c r="R203" s="10" t="str">
        <f t="shared" si="56"/>
        <v/>
      </c>
      <c r="S203" s="337" t="str">
        <f t="shared" ref="S203:S266" si="58">IF(T203="","",SUM(R203+T203))</f>
        <v/>
      </c>
      <c r="T203" s="9"/>
      <c r="U203" s="8"/>
      <c r="V203" s="202">
        <f>IF(OR(E203="",E203&lt;$U$2),"",ProjTvdAtBit(E203,F203,G203,H203,D203,W203,X203))</f>
        <v>3066.7615027303759</v>
      </c>
      <c r="W203" s="344">
        <f>IF(OR(E203="",E203&lt;$U$2),"",ProjIncAtBit(F203,J203,C203,M203,AJ203,IF(AK203="",0,AK203)))</f>
        <v>89.32</v>
      </c>
      <c r="X203" s="455">
        <f>IF(OR(E203="",E203&lt;$U$2),"",ProjAzmAtBit(F203,G203,J203,C203,M203,AJ203,IF(AK203="",0,AK203)))</f>
        <v>1.46</v>
      </c>
      <c r="Y203" s="461"/>
      <c r="Z203" s="206"/>
      <c r="AA203" s="512">
        <f t="shared" si="54"/>
        <v>90.429722375059583</v>
      </c>
      <c r="AB203" s="520">
        <f t="shared" si="55"/>
        <v>1.2438025946994458</v>
      </c>
      <c r="AC203" s="510"/>
      <c r="AD203" s="515"/>
      <c r="AE203" s="516"/>
      <c r="AJ203" s="452">
        <f>IF(OR(E203="",D203=""),0,ProjSlideMetersBetween(E203,D203,$R$13:$R$305,$S$13:$S$305))</f>
        <v>0</v>
      </c>
      <c r="AK203" s="452" t="str">
        <f>IF(U203="","",ProjParseTF(U203))</f>
        <v/>
      </c>
      <c r="AL203" s="219">
        <f>IF(E203="","",ProjCumN(AL202,E202,F202,G202,E203,F203,G203,FALSE))</f>
        <v>2000.2842973214661</v>
      </c>
      <c r="AM203" s="331">
        <f>IF(E203="","",ProjCumE(AM202,E202,F202,G202,E203,F203,G203,FALSE))</f>
        <v>142.56782348036776</v>
      </c>
      <c r="AN203" s="330">
        <f t="shared" si="53"/>
        <v>1.46</v>
      </c>
      <c r="AO203" s="330" t="str">
        <f>IF(OR(E203="",E203&lt;$U$2),"",ProjActiveTargetMdEx(D203,W203,V203,ProjTargets_MD,ProjTargets_INC,ProjTargets_AZM,ProjTargets_TVD,F203,H203))</f>
        <v/>
      </c>
      <c r="AP203" s="207">
        <f>IF(OR(E203="",E203&lt;$U$2),"",ProjBitN(E203,F203,G203,AL203,D203,W203,X203))</f>
        <v>2017.2775815133525</v>
      </c>
      <c r="AQ203" s="207">
        <f>IF(OR(E203="",E203&lt;$U$2),"",ProjBitE(E203,F203,G203,AM203,D203,W203,X203))</f>
        <v>143.00093681725465</v>
      </c>
      <c r="AR203" s="207" t="str">
        <f>IF(OR(E203="",E203&lt;$U$2,AO203=""),"",ProjBurr(D203,W203,X203,Q203,C203,ProjTargets_MD,ProjTargets_INC,ProjTargets_AZM,ProjTargets_TVD,V203))</f>
        <v/>
      </c>
      <c r="AS203" s="207" t="str">
        <f>IF(OR(E203="",E203&lt;$U$2,AO203=""),"",ProjMetersToSlide(D203,W203,X203,Q203,C203,ProjTargets_MD,ProjTargets_INC,ProjTargets_AZM,ProjTargets_TVD,V203))</f>
        <v/>
      </c>
      <c r="AT203" s="207" t="str">
        <f>IF(OR(E203="",E203&lt;$U$2,AO203=""),"",ProjRequiredTf(D203,W203,X203,ProjTargets_MD,ProjTargets_INC,ProjTargets_AZM,ProjTargets_TVD,5,V203))</f>
        <v/>
      </c>
    </row>
    <row r="204" spans="2:46" s="209" customFormat="1" ht="15" customHeight="1" x14ac:dyDescent="0.3">
      <c r="B204" s="208">
        <f t="shared" ref="B204:B267" si="59">IF(ISBLANK(D204),"",B203)</f>
        <v>17</v>
      </c>
      <c r="C204" s="335">
        <f t="shared" si="47"/>
        <v>28.8100000000004</v>
      </c>
      <c r="D204" s="27">
        <v>5021.67</v>
      </c>
      <c r="E204" s="336">
        <f t="shared" si="48"/>
        <v>5004.67</v>
      </c>
      <c r="F204" s="9">
        <v>88.87</v>
      </c>
      <c r="G204" s="9">
        <v>1.94</v>
      </c>
      <c r="H204" s="337">
        <f t="shared" ref="H204:H267" si="60">IF(ISNUMBER(F204),COS(((F204+F203)/2)*(PI()/180))*(E204-E203)+H203,"")</f>
        <v>3067.0147890519515</v>
      </c>
      <c r="I204" s="337">
        <f t="shared" si="52"/>
        <v>2294.7647890519515</v>
      </c>
      <c r="J204" s="338">
        <f t="shared" si="49"/>
        <v>0.68508169166058608</v>
      </c>
      <c r="K204" s="339">
        <f t="shared" si="50"/>
        <v>-0.46858729607773242</v>
      </c>
      <c r="L204" s="339">
        <f t="shared" si="51"/>
        <v>0.49982644914959384</v>
      </c>
      <c r="M204" s="339" t="str">
        <f t="shared" ref="M204:M267" si="61">IF(T203="",IF(T202="",IF(T201="",IF(T200="","",IF(E204&lt;R200,"",IF(E204&lt;S200,IF(E203&lt;R200,SUM(E204-R200),IF(E203&lt;S200,IF(E203&lt;E204,SUM(E204-E203),""),"")),IF(E203&lt;R200,T200,IF(E203&lt;S200,SUM(S200-E203),""))))),IF(T200="",IF(E204&lt;R201,"",IF(E204&lt;S201,IF(E203&lt;R201,SUM(E204-R201),IF(E203&lt;S201,IF(E203&lt;E204,SUM(E204-E203),""),"")),IF(E203&lt;R201,T201,IF(E203&lt;S201,SUM(S201-E203),""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203&lt;R200,SUM(T200+T201),IF(E203&lt;S200,SUM(S200-E203+T201),IF(E203&lt;R201,T201,IF(E203&lt;S201,SUM(S201-E203),"")))))))))),IF(T201="",IF(T200="",IF(E204&lt;R202,"",IF(E204&lt;S202,IF(E203&lt;R202,SUM(E204-R202),IF(E203&lt;S202,IF(E203&lt;E204,SUM(E204-E203),""),"")),IF(E203&lt;R202,T202,IF(E203&lt;S202,SUM(S202-E203),""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203&lt;R200,SUM(T200+T202),IF(E203&lt;S200,SUM(S200-E203+T202),IF(E203&lt;R202,T202,IF(E203&lt;S202,SUM(S202-E203),""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203&lt;R201,SUM(T201+T202),IF(E203&lt;S201,SUM(S201-E203+T202),IF(E203&lt;R202,T202,IF(E203&lt;S202,SUM(S202-E203),""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203&lt;R200,SUM(T200+T201+T202),IF(E203&lt;S200,SUM(S200-E203+T201+T202),IF(E203&lt;R201,SUM(T201+T202),IF(E203&lt;S201,SUM(S201-E203+T202),IF(E203&lt;R202,T202,IF(E203&lt;S202,SUM(S202-E203),""))))))))))))))),IF(T202="",IF(T201="",IF(T200="",IF(E204&lt;R203,"",IF(E204&lt;S203,SUM(E204-R203),T203)),IF(E204&lt;R200,"",IF(E204&lt;S200,IF(E203&lt;R200,SUM(E204-R200),IF(E203&lt;S200,IF(E203&lt;E204,SUM(E204-E203),""),"")),IF(E204&lt;R203,IF(E203&lt;R200,T200,IF(E203&lt;S200,SUM(S200-E203),"")),IF(E204&lt;S203,IF(E203&lt;R200,SUM(T200+E204-R203),IF(E203&lt;S200,SUM(S200-E203+E204-R203),SUM(E204-R203))),IF(E203&lt;R200,SUM(T200+T203),IF(E203&lt;S200,SUM(S200-E203+T203),T203))))))),IF(T200="",IF(E204&lt;R201,"",IF(E204&lt;S201,IF(E203&lt;R201,SUM(E204-R201),IF(E203&lt;S201,IF(E203&lt;E204,SUM(E204-E203),""),"")),IF(E204&lt;R203,IF(E203&lt;R201,T201,IF(E203&lt;S201,SUM(S201-E203),"")),IF(E204&lt;S203,IF(E203&lt;R201,SUM(T201+E204-R203),IF(E203&lt;S201,SUM(S201-E203+E204-R203),SUM(E204-R203))),IF(E203&lt;R201,SUM(T201+T203),IF(E203&lt;S201,SUM(S201-E203+T203),T203)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203,IF(E203&lt;R200,SUM(T200+T201),IF(E203&lt;S200,SUM(S200-E203+T201),IF(E203&lt;R201,T201,IF(E203&lt;S201,SUM(S201-E203),"")))),IF(E204&lt;S203,IF(E203&lt;R200,SUM(T200+T201+E204-R203),IF(E203&lt;S200,SUM(S200-E203+T201+E204-R203),IF(E203&lt;R201,SUM(T201+E204-R203),IF(E203&lt;S201,SUM(S201-E203+E204-R203),SUM(E204-R203))))),IF(E203&lt;R200,SUM(T200+T201+T203),IF(E203&lt;S200,SUM(S200-E203+T201+T203),IF(E203&lt;R201,SUM(T201+T203),IF(E203&lt;S201,SUM(S201-E203+T203),T203)))))))))))),IF(T201="",IF(T200="",IF(E204&lt;R202,"",IF(E204&lt;S202,IF(E203&lt;R202,SUM(E204-R202),IF(E203&lt;S202,IF(E203&lt;E204,SUM(E204-E203),""),"")),IF(E204&lt;R203,IF(E203&lt;R202,T202,IF(E203&lt;S202,SUM(S202-E203),"")),IF(E204&lt;S203,IF(E203&lt;R202,SUM(T202+E204-R203),IF(E203&lt;S202,SUM(S202-E203+E204-R203),SUM(E204-R203))),IF(E203&lt;R202,SUM(T202+T203),IF(E203&lt;S202,SUM(S202-E203+T203),T203))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204&lt;R203,IF(E203&lt;R200,SUM(T200+T202),IF(E203&lt;S200,SUM(S200-E203+T202),IF(E203&lt;R202,T202,IF(E203&lt;S202,SUM(S202-E203),"")))),IF(E204&lt;S203,IF(E203&lt;R200,SUM(T200+T202+E204-R203),IF(E203&lt;S200,SUM(S200-E203+T202+E204-R203),IF(E203&lt;R202,SUM(T202+E204-R203),IF(E203&lt;S202,SUM(S202-E203+E204-R203),SUM(E204-R203))))),IF(E203&lt;R200,SUM(T200+T202+T203),IF(E203&lt;S200,SUM(S200-E203+T202+T203),IF(E203&lt;R202,SUM(T202+T203),IF(E203&lt;S202,SUM(S202-E203+T203),T203))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204&lt;R203,IF(E203&lt;R201,SUM(T201+T202),IF(E203&lt;S201,SUM(S201-E203+T202),IF(E203&lt;R202,T202,IF(E203&lt;S202,SUM(S202-E203),"")))),IF(E204&lt;S203,IF(E203&lt;R201,SUM(T201+T202+E204-R203),IF(E203&lt;S201,SUM(S201-E203+T202+E204-R203),IF(E203&lt;R202,SUM(T202+E204-R203),IF(E203&lt;S202,SUM(S202-E203+E204-R203),SUM(E204-R203))))),IF(E203&lt;R201,SUM(T201+T202+T203),IF(E203&lt;S201,SUM(S201-E203+T202+T203),IF(E203&lt;R202,SUM(T202+T203),IF(E203&lt;S202,SUM(S202-E203+T203),T203))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204&lt;R203,IF(E203&lt;R200,SUM(T200+T201+T202),IF(E203&lt;S200,SUM(S200-E203+T201+T202),IF(E203&lt;R201,SUM(T201+T202),IF(E203&lt;S201,SUM(S201-E203+T202),IF(E203&lt;R202,T202,IF(E203&lt;S202,SUM(S202-E203),"")))))),IF(E204&lt;S203,IF(E203&lt;R200,SUM(T200+T201+T202+E204-R203),IF(E203&lt;S200,SUM(S200-E203+T201+T202+E204-R203),IF(E203&lt;R201,SUM(T201+T202+E204-R203),IF(E203&lt;S201,SUM(S201-E203+T202+E204-R203),IF(E203&lt;R202,SUM(T202+E204-R203),IF(E203&lt;S202,SUM(S202-E203+E204-R203),SUM(E204-R203))))))),IF(E203&lt;R200,SUM(T200+T201+T202+T203),IF(E203&lt;S200,SUM(S200-E203+T201+T202+T203),IF(E203&lt;R201,SUM(T201+T202+T203),IF(E203&lt;S201,SUM(S201-E203+T202+T203),IF(E203&lt;R202,SUM(T202+T203),IF(E203&lt;S202,SUM(S202-E203+T203),T203))))))))))))))))))</f>
        <v/>
      </c>
      <c r="N204" s="340">
        <f t="shared" ref="N204:N267" si="62">IF(J204=0,"",IF(AND(ISNUMBER(F204),ISNUMBER(J204)),(IF(AND(F204&gt;F203,G204=G203),0,IF(AND(F204&lt;F203,G204=G203),180,IF(AND(G203=0,G204&gt;0),G204,ACOS((C204*K204/30)/(C204*J204/30))*180/PI())))),""))</f>
        <v>133.15602969249443</v>
      </c>
      <c r="O204" s="341" t="str">
        <f t="shared" ref="O204:O267" si="63">IF(F204="","",IF(N204="","",IF(F204&lt;5,"Mag",IF(L204&lt;0,"L",IF(N204=0,"HS",IF(N204=360,"HS",IF(N204=180,"LS","R")))))))</f>
        <v>R</v>
      </c>
      <c r="P204" s="342" t="str">
        <f t="shared" ref="P204:P267" si="64">IF(F204="","",IF(M204="","",SUM((F204-F203)/M204)))</f>
        <v/>
      </c>
      <c r="Q204" s="343" t="str">
        <f t="shared" ref="Q204:Q267" si="65">IF(ISBLANK(F204),"",IF(J204="", "", IF(M204="","",SUM(C204*J204/M204))))</f>
        <v/>
      </c>
      <c r="R204" s="10" t="str">
        <f t="shared" si="56"/>
        <v/>
      </c>
      <c r="S204" s="337" t="str">
        <f t="shared" si="58"/>
        <v/>
      </c>
      <c r="T204" s="9"/>
      <c r="U204" s="8"/>
      <c r="V204" s="202">
        <f>IF(OR(E204="",E204&lt;$U$2),"",ProjTvdAtBit(E204,F204,G204,H204,D204,W204,X204))</f>
        <v>3067.3500450664092</v>
      </c>
      <c r="W204" s="344">
        <f>IF(OR(E204="",E204&lt;$U$2),"",ProjIncAtBit(F204,J204,C204,M204,AJ204,IF(AK204="",0,AK204)))</f>
        <v>88.87</v>
      </c>
      <c r="X204" s="455">
        <f>IF(OR(E204="",E204&lt;$U$2),"",ProjAzmAtBit(F204,G204,J204,C204,M204,AJ204,IF(AK204="",0,AK204)))</f>
        <v>1.94</v>
      </c>
      <c r="Y204" s="461"/>
      <c r="Z204" s="206"/>
      <c r="AA204" s="512">
        <f t="shared" si="54"/>
        <v>90.429722375059583</v>
      </c>
      <c r="AB204" s="520">
        <f t="shared" si="55"/>
        <v>0.57268594804827444</v>
      </c>
      <c r="AC204" s="510"/>
      <c r="AD204" s="515"/>
      <c r="AE204" s="516"/>
      <c r="AJ204" s="452">
        <f>IF(OR(E204="",D204=""),0,ProjSlideMetersBetween(E204,D204,$R$13:$R$305,$S$13:$S$305))</f>
        <v>0</v>
      </c>
      <c r="AK204" s="452" t="str">
        <f>IF(U204="","",ProjParseTF(U204))</f>
        <v/>
      </c>
      <c r="AL204" s="219">
        <f>IF(E204="","",ProjCumN(AL203,E203,F203,G203,E204,F204,G204,FALSE))</f>
        <v>2029.0778666274434</v>
      </c>
      <c r="AM204" s="331">
        <f>IF(E204="","",ProjCumE(AM203,E203,F203,G203,E204,F204,G204,FALSE))</f>
        <v>143.42238917874872</v>
      </c>
      <c r="AN204" s="330">
        <f t="shared" si="53"/>
        <v>1.94</v>
      </c>
      <c r="AO204" s="330" t="str">
        <f>IF(OR(E204="",E204&lt;$U$2),"",ProjActiveTargetMdEx(D204,W204,V204,ProjTargets_MD,ProjTargets_INC,ProjTargets_AZM,ProjTargets_TVD,F204,H204))</f>
        <v/>
      </c>
      <c r="AP204" s="207">
        <f>IF(OR(E204="",E204&lt;$U$2),"",ProjBitN(E204,F204,G204,AL204,D204,W204,X204))</f>
        <v>2046.0648184556687</v>
      </c>
      <c r="AQ204" s="207">
        <f>IF(OR(E204="",E204&lt;$U$2),"",ProjBitE(E204,F204,G204,AM204,D204,W204,X204))</f>
        <v>143.99777686572233</v>
      </c>
      <c r="AR204" s="207" t="str">
        <f>IF(OR(E204="",E204&lt;$U$2,AO204=""),"",ProjBurr(D204,W204,X204,Q204,C204,ProjTargets_MD,ProjTargets_INC,ProjTargets_AZM,ProjTargets_TVD,V204))</f>
        <v/>
      </c>
      <c r="AS204" s="207" t="str">
        <f>IF(OR(E204="",E204&lt;$U$2,AO204=""),"",ProjMetersToSlide(D204,W204,X204,Q204,C204,ProjTargets_MD,ProjTargets_INC,ProjTargets_AZM,ProjTargets_TVD,V204))</f>
        <v/>
      </c>
      <c r="AT204" s="207" t="str">
        <f>IF(OR(E204="",E204&lt;$U$2,AO204=""),"",ProjRequiredTf(D204,W204,X204,ProjTargets_MD,ProjTargets_INC,ProjTargets_AZM,ProjTargets_TVD,5,V204))</f>
        <v/>
      </c>
    </row>
    <row r="205" spans="2:46" s="209" customFormat="1" ht="15" customHeight="1" x14ac:dyDescent="0.3">
      <c r="B205" s="208">
        <f t="shared" si="59"/>
        <v>17</v>
      </c>
      <c r="C205" s="335">
        <f t="shared" ref="C205:C268" si="66">IF(ISBLANK(D205),"",D205-D204)</f>
        <v>28.800000000000182</v>
      </c>
      <c r="D205" s="27">
        <v>5050.47</v>
      </c>
      <c r="E205" s="336">
        <f t="shared" ref="E205:E268" si="67">IF(D205="","",(ROUND(SUM(D205-B205),2)))</f>
        <v>5033.47</v>
      </c>
      <c r="F205" s="9">
        <v>89.59</v>
      </c>
      <c r="G205" s="9">
        <v>1.43</v>
      </c>
      <c r="H205" s="337">
        <f t="shared" si="60"/>
        <v>3067.4018216164536</v>
      </c>
      <c r="I205" s="337">
        <f t="shared" si="52"/>
        <v>2295.1518216164536</v>
      </c>
      <c r="J205" s="338">
        <f t="shared" ref="J205:J268" si="68">IF(AND(ISNUMBER(E205),ISNUMBER(F205),ISNUMBER(G205)),ACOS(SIN(F204*PI()/180)*SIN(F205*PI()/180)*COS((G205*PI()/180)-(G204*PI()/180))+COS(F204*PI()/180)*COS(F205*PI()/180))*30/(E205-E204)*180/PI(),"")</f>
        <v>0.91906032317935682</v>
      </c>
      <c r="K205" s="339">
        <f t="shared" ref="K205:K268" si="69">IF(F205=0," ",SUM(F205-F204)/SUM(E205-E204)*30)</f>
        <v>0.74999999999999412</v>
      </c>
      <c r="L205" s="339">
        <f t="shared" ref="L205:L268" si="70">IF(J205="","",IF(G204&lt;180,IF(AND(G205&gt;G204,G205&lt;SUM(G204+180)),SUM(((G205-G204)/SUM(E205-E204)*30)),IF(G205&lt;G204,SUM(((G205-G204)/SUM(E205-E204)*30)),SUM(((G204+(360-G205))*(-1))/SUM(E205-E204)*30))),IF(G205&gt;G204,SUM(((G205-G204)/SUM(E205-E204)*30)),IF(G205&gt;SUM(G204-180),SUM(((G205-G204)/SUM(E205-E204)*30)),SUM(((360-G204+G205)/SUM(E205-E204)*30))))))</f>
        <v>-0.53124999999999667</v>
      </c>
      <c r="M205" s="339" t="str">
        <f t="shared" si="61"/>
        <v/>
      </c>
      <c r="N205" s="340">
        <f t="shared" si="62"/>
        <v>35.308595009516132</v>
      </c>
      <c r="O205" s="341" t="str">
        <f t="shared" si="63"/>
        <v>L</v>
      </c>
      <c r="P205" s="342" t="str">
        <f t="shared" si="64"/>
        <v/>
      </c>
      <c r="Q205" s="343" t="str">
        <f t="shared" si="65"/>
        <v/>
      </c>
      <c r="R205" s="10" t="str">
        <f t="shared" si="56"/>
        <v/>
      </c>
      <c r="S205" s="337" t="str">
        <f t="shared" si="58"/>
        <v/>
      </c>
      <c r="T205" s="9"/>
      <c r="U205" s="8"/>
      <c r="V205" s="202">
        <f>IF(OR(E205="",E205&lt;$U$2),"",ProjTvdAtBit(E205,F205,G205,H205,D205,W205,X205))</f>
        <v>3067.5234700271194</v>
      </c>
      <c r="W205" s="344">
        <f>IF(OR(E205="",E205&lt;$U$2),"",ProjIncAtBit(F205,J205,C205,M205,AJ205,IF(AK205="",0,AK205)))</f>
        <v>89.59</v>
      </c>
      <c r="X205" s="455">
        <f>IF(OR(E205="",E205&lt;$U$2),"",ProjAzmAtBit(F205,G205,J205,C205,M205,AJ205,IF(AK205="",0,AK205)))</f>
        <v>1.43</v>
      </c>
      <c r="Y205" s="461"/>
      <c r="Z205" s="206"/>
      <c r="AA205" s="512">
        <f t="shared" si="54"/>
        <v>90.429722375059583</v>
      </c>
      <c r="AB205" s="520">
        <f t="shared" si="55"/>
        <v>-3.0346616453698516E-2</v>
      </c>
      <c r="AC205" s="510"/>
      <c r="AD205" s="515"/>
      <c r="AE205" s="516"/>
      <c r="AJ205" s="452">
        <f>IF(OR(E205="",D205=""),0,ProjSlideMetersBetween(E205,D205,$R$13:$R$305,$S$13:$S$305))</f>
        <v>0</v>
      </c>
      <c r="AK205" s="452" t="str">
        <f>IF(U205="","",ProjParseTF(U205))</f>
        <v/>
      </c>
      <c r="AL205" s="219">
        <f>IF(E205="","",ProjCumN(AL204,E204,F204,G204,E205,F205,G205,FALSE))</f>
        <v>2057.8625295650118</v>
      </c>
      <c r="AM205" s="331">
        <f>IF(E205="","",ProjCumE(AM204,E204,F204,G204,E205,F205,G205,FALSE))</f>
        <v>144.26914481633412</v>
      </c>
      <c r="AN205" s="330">
        <f t="shared" si="53"/>
        <v>1.43</v>
      </c>
      <c r="AO205" s="330" t="str">
        <f>IF(OR(E205="",E205&lt;$U$2),"",ProjActiveTargetMdEx(D205,W205,V205,ProjTargets_MD,ProjTargets_INC,ProjTargets_AZM,ProjTargets_TVD,F205,H205))</f>
        <v/>
      </c>
      <c r="AP205" s="207">
        <f>IF(OR(E205="",E205&lt;$U$2),"",ProjBitN(E205,F205,G205,AL205,D205,W205,X205))</f>
        <v>2074.85679997129</v>
      </c>
      <c r="AQ205" s="207">
        <f>IF(OR(E205="",E205&lt;$U$2),"",ProjBitE(E205,F205,G205,AM205,D205,W205,X205))</f>
        <v>144.69337944772903</v>
      </c>
      <c r="AR205" s="207" t="str">
        <f>IF(OR(E205="",E205&lt;$U$2,AO205=""),"",ProjBurr(D205,W205,X205,Q205,C205,ProjTargets_MD,ProjTargets_INC,ProjTargets_AZM,ProjTargets_TVD,V205))</f>
        <v/>
      </c>
      <c r="AS205" s="207" t="str">
        <f>IF(OR(E205="",E205&lt;$U$2,AO205=""),"",ProjMetersToSlide(D205,W205,X205,Q205,C205,ProjTargets_MD,ProjTargets_INC,ProjTargets_AZM,ProjTargets_TVD,V205))</f>
        <v/>
      </c>
      <c r="AT205" s="207" t="str">
        <f>IF(OR(E205="",E205&lt;$U$2,AO205=""),"",ProjRequiredTf(D205,W205,X205,ProjTargets_MD,ProjTargets_INC,ProjTargets_AZM,ProjTargets_TVD,5,V205))</f>
        <v/>
      </c>
    </row>
    <row r="206" spans="2:46" s="209" customFormat="1" ht="15" customHeight="1" x14ac:dyDescent="0.3">
      <c r="B206" s="208">
        <f t="shared" si="59"/>
        <v>17</v>
      </c>
      <c r="C206" s="335">
        <f t="shared" si="66"/>
        <v>28.789999999999964</v>
      </c>
      <c r="D206" s="27">
        <v>5079.26</v>
      </c>
      <c r="E206" s="336">
        <f t="shared" si="67"/>
        <v>5062.26</v>
      </c>
      <c r="F206" s="9">
        <v>89.16</v>
      </c>
      <c r="G206" s="9">
        <v>1.19</v>
      </c>
      <c r="H206" s="337">
        <f t="shared" si="60"/>
        <v>3067.7158655705712</v>
      </c>
      <c r="I206" s="337">
        <f t="shared" ref="I206:I269" si="71">IF(ISBLANK(F206),"  ",H206-$R$4)</f>
        <v>2295.4658655705712</v>
      </c>
      <c r="J206" s="338">
        <f t="shared" si="68"/>
        <v>0.51313197984717906</v>
      </c>
      <c r="K206" s="339">
        <f t="shared" si="69"/>
        <v>-0.44807224730810075</v>
      </c>
      <c r="L206" s="339">
        <f t="shared" si="70"/>
        <v>-0.25008683570684298</v>
      </c>
      <c r="M206" s="339" t="str">
        <f t="shared" si="61"/>
        <v/>
      </c>
      <c r="N206" s="340">
        <f t="shared" si="62"/>
        <v>150.83389456321177</v>
      </c>
      <c r="O206" s="341" t="str">
        <f t="shared" si="63"/>
        <v>L</v>
      </c>
      <c r="P206" s="342" t="str">
        <f t="shared" si="64"/>
        <v/>
      </c>
      <c r="Q206" s="343" t="str">
        <f t="shared" si="65"/>
        <v/>
      </c>
      <c r="R206" s="10" t="str">
        <f t="shared" si="56"/>
        <v/>
      </c>
      <c r="S206" s="337" t="str">
        <f t="shared" si="58"/>
        <v/>
      </c>
      <c r="T206" s="9"/>
      <c r="U206" s="8"/>
      <c r="V206" s="202">
        <f>IF(OR(E206="",E206&lt;$U$2),"",ProjTvdAtBit(E206,F206,G206,H206,D206,W206,X206))</f>
        <v>3067.9650896595754</v>
      </c>
      <c r="W206" s="344">
        <f>IF(OR(E206="",E206&lt;$U$2),"",ProjIncAtBit(F206,J206,C206,M206,AJ206,IF(AK206="",0,AK206)))</f>
        <v>89.16</v>
      </c>
      <c r="X206" s="455">
        <f>IF(OR(E206="",E206&lt;$U$2),"",ProjAzmAtBit(F206,G206,J206,C206,M206,AJ206,IF(AK206="",0,AK206)))</f>
        <v>1.19</v>
      </c>
      <c r="Y206" s="461"/>
      <c r="Z206" s="206"/>
      <c r="AA206" s="512">
        <f t="shared" si="54"/>
        <v>90.429722375059583</v>
      </c>
      <c r="AB206" s="520">
        <f t="shared" si="55"/>
        <v>-0.56031557057121972</v>
      </c>
      <c r="AC206" s="510"/>
      <c r="AD206" s="515"/>
      <c r="AE206" s="516"/>
      <c r="AJ206" s="452">
        <f>IF(OR(E206="",D206=""),0,ProjSlideMetersBetween(E206,D206,$R$13:$R$305,$S$13:$S$305))</f>
        <v>0</v>
      </c>
      <c r="AK206" s="452" t="str">
        <f>IF(U206="","",ProjParseTF(U206))</f>
        <v/>
      </c>
      <c r="AL206" s="219">
        <f>IF(E206="","",ProjCumN(AL205,E205,F205,G205,E206,F206,G206,FALSE))</f>
        <v>2086.6432037905747</v>
      </c>
      <c r="AM206" s="331">
        <f>IF(E206="","",ProjCumE(AM205,E205,F205,G205,E206,F206,G206,FALSE))</f>
        <v>144.92729793200942</v>
      </c>
      <c r="AN206" s="330">
        <f t="shared" ref="AN206:AN269" si="72">IF(X206="","",X206)</f>
        <v>1.19</v>
      </c>
      <c r="AO206" s="330" t="str">
        <f>IF(OR(E206="",E206&lt;$U$2),"",ProjActiveTargetMdEx(D206,W206,V206,ProjTargets_MD,ProjTargets_INC,ProjTargets_AZM,ProjTargets_TVD,F206,H206))</f>
        <v/>
      </c>
      <c r="AP206" s="207">
        <f>IF(OR(E206="",E206&lt;$U$2),"",ProjBitN(E206,F206,G206,AL206,D206,W206,X206))</f>
        <v>2103.6377107415046</v>
      </c>
      <c r="AQ206" s="207">
        <f>IF(OR(E206="",E206&lt;$U$2),"",ProjBitE(E206,F206,G206,AM206,D206,W206,X206))</f>
        <v>145.28031471384833</v>
      </c>
      <c r="AR206" s="207" t="str">
        <f>IF(OR(E206="",E206&lt;$U$2,AO206=""),"",ProjBurr(D206,W206,X206,Q206,C206,ProjTargets_MD,ProjTargets_INC,ProjTargets_AZM,ProjTargets_TVD,V206))</f>
        <v/>
      </c>
      <c r="AS206" s="207" t="str">
        <f>IF(OR(E206="",E206&lt;$U$2,AO206=""),"",ProjMetersToSlide(D206,W206,X206,Q206,C206,ProjTargets_MD,ProjTargets_INC,ProjTargets_AZM,ProjTargets_TVD,V206))</f>
        <v/>
      </c>
      <c r="AT206" s="207" t="str">
        <f>IF(OR(E206="",E206&lt;$U$2,AO206=""),"",ProjRequiredTf(D206,W206,X206,ProjTargets_MD,ProjTargets_INC,ProjTargets_AZM,ProjTargets_TVD,5,V206))</f>
        <v/>
      </c>
    </row>
    <row r="207" spans="2:46" s="209" customFormat="1" ht="15" customHeight="1" x14ac:dyDescent="0.3">
      <c r="B207" s="208">
        <f t="shared" si="59"/>
        <v>17</v>
      </c>
      <c r="C207" s="335">
        <f t="shared" si="66"/>
        <v>28.769999999999527</v>
      </c>
      <c r="D207" s="27">
        <v>5108.03</v>
      </c>
      <c r="E207" s="336">
        <f t="shared" si="67"/>
        <v>5091.03</v>
      </c>
      <c r="F207" s="9">
        <v>89.95</v>
      </c>
      <c r="G207" s="9">
        <v>1.54</v>
      </c>
      <c r="H207" s="337">
        <f t="shared" si="60"/>
        <v>3067.9393117195877</v>
      </c>
      <c r="I207" s="337">
        <f t="shared" si="71"/>
        <v>2295.6893117195877</v>
      </c>
      <c r="J207" s="338">
        <f t="shared" si="68"/>
        <v>0.90099560374042909</v>
      </c>
      <c r="K207" s="339">
        <f t="shared" si="69"/>
        <v>0.82377476538062477</v>
      </c>
      <c r="L207" s="339">
        <f t="shared" si="70"/>
        <v>0.36496350364964114</v>
      </c>
      <c r="M207" s="339" t="str">
        <f t="shared" si="61"/>
        <v/>
      </c>
      <c r="N207" s="340">
        <f t="shared" si="62"/>
        <v>23.894353308103579</v>
      </c>
      <c r="O207" s="341" t="str">
        <f t="shared" si="63"/>
        <v>R</v>
      </c>
      <c r="P207" s="342" t="str">
        <f t="shared" si="64"/>
        <v/>
      </c>
      <c r="Q207" s="343" t="str">
        <f t="shared" si="65"/>
        <v/>
      </c>
      <c r="R207" s="10" t="str">
        <f t="shared" si="56"/>
        <v/>
      </c>
      <c r="S207" s="337" t="str">
        <f t="shared" si="58"/>
        <v/>
      </c>
      <c r="T207" s="9"/>
      <c r="U207" s="8"/>
      <c r="V207" s="202">
        <f>IF(OR(E207="",E207&lt;$U$2),"",ProjTvdAtBit(E207,F207,G207,H207,D207,W207,X207))</f>
        <v>3067.9541470163467</v>
      </c>
      <c r="W207" s="344">
        <f>IF(OR(E207="",E207&lt;$U$2),"",ProjIncAtBit(F207,J207,C207,M207,AJ207,IF(AK207="",0,AK207)))</f>
        <v>89.95</v>
      </c>
      <c r="X207" s="455">
        <f>IF(OR(E207="",E207&lt;$U$2),"",ProjAzmAtBit(F207,G207,J207,C207,M207,AJ207,IF(AK207="",0,AK207)))</f>
        <v>1.54</v>
      </c>
      <c r="Y207" s="461"/>
      <c r="Z207" s="206"/>
      <c r="AA207" s="512">
        <f t="shared" si="54"/>
        <v>89.283784103805061</v>
      </c>
      <c r="AB207" s="520">
        <f t="shared" si="55"/>
        <v>-0.83893671958776395</v>
      </c>
      <c r="AC207" s="510"/>
      <c r="AD207" s="515"/>
      <c r="AE207" s="516"/>
      <c r="AJ207" s="452">
        <f>IF(OR(E207="",D207=""),0,ProjSlideMetersBetween(E207,D207,$R$13:$R$305,$S$13:$S$305))</f>
        <v>0</v>
      </c>
      <c r="AK207" s="452" t="str">
        <f>IF(U207="","",ProjParseTF(U207))</f>
        <v/>
      </c>
      <c r="AL207" s="219">
        <f>IF(E207="","",ProjCumN(AL206,E206,F206,G206,E207,F207,G207,FALSE))</f>
        <v>2115.4038995324986</v>
      </c>
      <c r="AM207" s="331">
        <f>IF(E207="","",ProjCumE(AM206,E206,F206,G206,E207,F207,G207,FALSE))</f>
        <v>145.61261975960676</v>
      </c>
      <c r="AN207" s="330">
        <f t="shared" si="72"/>
        <v>1.54</v>
      </c>
      <c r="AO207" s="330" t="str">
        <f>IF(OR(E207="",E207&lt;$U$2),"",ProjActiveTargetMdEx(D207,W207,V207,ProjTargets_MD,ProjTargets_INC,ProjTargets_AZM,ProjTargets_TVD,F207,H207))</f>
        <v/>
      </c>
      <c r="AP207" s="207">
        <f>IF(OR(E207="",E207&lt;$U$2),"",ProjBitN(E207,F207,G207,AL207,D207,W207,X207))</f>
        <v>2132.3977527706729</v>
      </c>
      <c r="AQ207" s="207">
        <f>IF(OR(E207="",E207&lt;$U$2),"",ProjBitE(E207,F207,G207,AM207,D207,W207,X207))</f>
        <v>146.06949176943155</v>
      </c>
      <c r="AR207" s="207" t="str">
        <f>IF(OR(E207="",E207&lt;$U$2,AO207=""),"",ProjBurr(D207,W207,X207,Q207,C207,ProjTargets_MD,ProjTargets_INC,ProjTargets_AZM,ProjTargets_TVD,V207))</f>
        <v/>
      </c>
      <c r="AS207" s="207" t="str">
        <f>IF(OR(E207="",E207&lt;$U$2,AO207=""),"",ProjMetersToSlide(D207,W207,X207,Q207,C207,ProjTargets_MD,ProjTargets_INC,ProjTargets_AZM,ProjTargets_TVD,V207))</f>
        <v/>
      </c>
      <c r="AT207" s="207" t="str">
        <f>IF(OR(E207="",E207&lt;$U$2,AO207=""),"",ProjRequiredTf(D207,W207,X207,ProjTargets_MD,ProjTargets_INC,ProjTargets_AZM,ProjTargets_TVD,5,V207))</f>
        <v/>
      </c>
    </row>
    <row r="208" spans="2:46" s="209" customFormat="1" ht="15" customHeight="1" x14ac:dyDescent="0.3">
      <c r="B208" s="208">
        <f t="shared" si="59"/>
        <v>17</v>
      </c>
      <c r="C208" s="335">
        <f t="shared" si="66"/>
        <v>28.740000000000691</v>
      </c>
      <c r="D208" s="27">
        <v>5136.7700000000004</v>
      </c>
      <c r="E208" s="336">
        <f t="shared" si="67"/>
        <v>5119.7700000000004</v>
      </c>
      <c r="F208" s="9">
        <v>89.56</v>
      </c>
      <c r="G208" s="9">
        <v>1.7</v>
      </c>
      <c r="H208" s="337">
        <f t="shared" si="60"/>
        <v>3068.0622052136969</v>
      </c>
      <c r="I208" s="337">
        <f t="shared" si="71"/>
        <v>2295.8122052136969</v>
      </c>
      <c r="J208" s="338">
        <f t="shared" si="68"/>
        <v>0.4400251625482044</v>
      </c>
      <c r="K208" s="339">
        <f t="shared" si="69"/>
        <v>-0.4070981210855858</v>
      </c>
      <c r="L208" s="339">
        <f t="shared" si="70"/>
        <v>0.16701461377870153</v>
      </c>
      <c r="M208" s="339" t="str">
        <f t="shared" si="61"/>
        <v/>
      </c>
      <c r="N208" s="340">
        <f t="shared" si="62"/>
        <v>157.69401772893437</v>
      </c>
      <c r="O208" s="341" t="str">
        <f t="shared" si="63"/>
        <v>R</v>
      </c>
      <c r="P208" s="342" t="str">
        <f t="shared" si="64"/>
        <v/>
      </c>
      <c r="Q208" s="343" t="str">
        <f t="shared" si="65"/>
        <v/>
      </c>
      <c r="R208" s="10" t="str">
        <f t="shared" si="56"/>
        <v/>
      </c>
      <c r="S208" s="337" t="str">
        <f t="shared" si="58"/>
        <v/>
      </c>
      <c r="T208" s="9"/>
      <c r="U208" s="8"/>
      <c r="V208" s="202">
        <f>IF(OR(E208="",E208&lt;$U$2),"",ProjTvdAtBit(E208,F208,G208,H208,D208,W208,X208))</f>
        <v>3068.192754558569</v>
      </c>
      <c r="W208" s="344">
        <f>IF(OR(E208="",E208&lt;$U$2),"",ProjIncAtBit(F208,J208,C208,M208,AJ208,IF(AK208="",0,AK208)))</f>
        <v>89.56</v>
      </c>
      <c r="X208" s="455">
        <f>IF(OR(E208="",E208&lt;$U$2),"",ProjAzmAtBit(F208,G208,J208,C208,M208,AJ208,IF(AK208="",0,AK208)))</f>
        <v>1.7</v>
      </c>
      <c r="Y208" s="461"/>
      <c r="Z208" s="206"/>
      <c r="AA208" s="512">
        <f t="shared" ref="AA208:AA271" si="73">IFERROR(IF(D208="","",IF(COUNT($AC$14:$AC$33)=0,"",IF(D208&lt;_xlfn.AGGREGATE(5,6,$AC$14:$AC$33),"",INDEX($AE$15:$AE$33,MATCH(D208,$AC$14:$AC$33,1))))),"")</f>
        <v>89.283784103805061</v>
      </c>
      <c r="AB208" s="520">
        <f t="shared" ref="AB208:AB271" si="74">IF(OR(D208="",H208=""),"",IF(COUNT($AC$14:$AC$33)&lt;2,"",IF(OR(D208&lt;_xlfn.AGGREGATE(5,6,$AC$14:$AC$33),D208&gt;_xlfn.AGGREGATE(4,6,$AC$14:$AC$33)),"",IFERROR((INDEX($AD$14:$AD$33,MATCH(D208,$AC$14:$AC$33,1))+(D208-INDEX($AC$14:$AC$33,MATCH(D208,$AC$14:$AC$33,1)))*(INDEX($AD$14:$AD$33,MATCH(D208,$AC$14:$AC$33,1)+1)-INDEX($AD$14:$AD$33,MATCH(D208,$AC$14:$AC$33,1)))/(INDEX($AC$14:$AC$33,MATCH(D208,$AC$14:$AC$33,1)+1)-INDEX($AC$14:$AC$33,MATCH(D208,$AC$14:$AC$33,1))))-H208,""))))</f>
        <v>-0.6025802136969105</v>
      </c>
      <c r="AC208" s="510"/>
      <c r="AD208" s="515"/>
      <c r="AE208" s="516"/>
      <c r="AJ208" s="452">
        <f>IF(OR(E208="",D208=""),0,ProjSlideMetersBetween(E208,D208,$R$13:$R$305,$S$13:$S$305))</f>
        <v>0</v>
      </c>
      <c r="AK208" s="452" t="str">
        <f>IF(U208="","",ProjParseTF(U208))</f>
        <v/>
      </c>
      <c r="AL208" s="219">
        <f>IF(E208="","",ProjCumN(AL207,E207,F207,G207,E208,F208,G208,FALSE))</f>
        <v>2144.132084950671</v>
      </c>
      <c r="AM208" s="331">
        <f>IF(E208="","",ProjCumE(AM207,E207,F207,G207,E208,F208,G208,FALSE))</f>
        <v>146.42510600420113</v>
      </c>
      <c r="AN208" s="330">
        <f t="shared" si="72"/>
        <v>1.7</v>
      </c>
      <c r="AO208" s="330" t="str">
        <f>IF(OR(E208="",E208&lt;$U$2),"",ProjActiveTargetMdEx(D208,W208,V208,ProjTargets_MD,ProjTargets_INC,ProjTargets_AZM,ProjTargets_TVD,F208,H208))</f>
        <v/>
      </c>
      <c r="AP208" s="207">
        <f>IF(OR(E208="",E208&lt;$U$2),"",ProjBitN(E208,F208,G208,AL208,D208,W208,X208))</f>
        <v>2161.1241015173696</v>
      </c>
      <c r="AQ208" s="207">
        <f>IF(OR(E208="",E208&lt;$U$2),"",ProjBitE(E208,F208,G208,AM208,D208,W208,X208))</f>
        <v>146.92941728267294</v>
      </c>
      <c r="AR208" s="207" t="str">
        <f>IF(OR(E208="",E208&lt;$U$2,AO208=""),"",ProjBurr(D208,W208,X208,Q208,C208,ProjTargets_MD,ProjTargets_INC,ProjTargets_AZM,ProjTargets_TVD,V208))</f>
        <v/>
      </c>
      <c r="AS208" s="207" t="str">
        <f>IF(OR(E208="",E208&lt;$U$2,AO208=""),"",ProjMetersToSlide(D208,W208,X208,Q208,C208,ProjTargets_MD,ProjTargets_INC,ProjTargets_AZM,ProjTargets_TVD,V208))</f>
        <v/>
      </c>
      <c r="AT208" s="207" t="str">
        <f>IF(OR(E208="",E208&lt;$U$2,AO208=""),"",ProjRequiredTf(D208,W208,X208,ProjTargets_MD,ProjTargets_INC,ProjTargets_AZM,ProjTargets_TVD,5,V208))</f>
        <v/>
      </c>
    </row>
    <row r="209" spans="2:46" s="209" customFormat="1" ht="15" customHeight="1" x14ac:dyDescent="0.3">
      <c r="B209" s="208">
        <f t="shared" si="59"/>
        <v>17</v>
      </c>
      <c r="C209" s="335">
        <f t="shared" si="66"/>
        <v>28.799999999999272</v>
      </c>
      <c r="D209" s="27">
        <v>5165.57</v>
      </c>
      <c r="E209" s="336">
        <f t="shared" si="67"/>
        <v>5148.57</v>
      </c>
      <c r="F209" s="9">
        <v>89.19</v>
      </c>
      <c r="G209" s="9">
        <v>1.7</v>
      </c>
      <c r="H209" s="337">
        <f t="shared" si="60"/>
        <v>3068.3763582487295</v>
      </c>
      <c r="I209" s="337">
        <f t="shared" si="71"/>
        <v>2296.1263582487295</v>
      </c>
      <c r="J209" s="338">
        <f t="shared" si="68"/>
        <v>0.38541666666629459</v>
      </c>
      <c r="K209" s="339">
        <f t="shared" si="69"/>
        <v>-0.38541666666668112</v>
      </c>
      <c r="L209" s="339">
        <f t="shared" si="70"/>
        <v>-375.00000000000949</v>
      </c>
      <c r="M209" s="339" t="str">
        <f t="shared" si="61"/>
        <v/>
      </c>
      <c r="N209" s="340">
        <f t="shared" si="62"/>
        <v>180</v>
      </c>
      <c r="O209" s="341" t="str">
        <f t="shared" si="63"/>
        <v>L</v>
      </c>
      <c r="P209" s="342" t="str">
        <f t="shared" si="64"/>
        <v/>
      </c>
      <c r="Q209" s="343" t="str">
        <f t="shared" si="65"/>
        <v/>
      </c>
      <c r="R209" s="10" t="str">
        <f t="shared" ref="R209:R272" si="75">IF(T209="", "", D209)</f>
        <v/>
      </c>
      <c r="S209" s="337" t="str">
        <f t="shared" si="58"/>
        <v/>
      </c>
      <c r="T209" s="9"/>
      <c r="U209" s="8"/>
      <c r="V209" s="202">
        <f>IF(OR(E209="",E209&lt;$U$2),"",ProjTvdAtBit(E209,F209,G209,H209,D209,W209,X209))</f>
        <v>3068.616682081376</v>
      </c>
      <c r="W209" s="344">
        <f>IF(OR(E209="",E209&lt;$U$2),"",ProjIncAtBit(F209,J209,C209,M209,AJ209,IF(AK209="",0,AK209)))</f>
        <v>89.19</v>
      </c>
      <c r="X209" s="455">
        <f>IF(OR(E209="",E209&lt;$U$2),"",ProjAzmAtBit(F209,G209,J209,C209,M209,AJ209,IF(AK209="",0,AK209)))</f>
        <v>1.7</v>
      </c>
      <c r="Y209" s="461"/>
      <c r="Z209" s="206"/>
      <c r="AA209" s="512">
        <f t="shared" si="73"/>
        <v>89.283784103805061</v>
      </c>
      <c r="AB209" s="520">
        <f t="shared" si="74"/>
        <v>-0.55673324872941521</v>
      </c>
      <c r="AC209" s="510"/>
      <c r="AD209" s="515"/>
      <c r="AE209" s="516"/>
      <c r="AJ209" s="452">
        <f>IF(OR(E209="",D209=""),0,ProjSlideMetersBetween(E209,D209,$R$13:$R$305,$S$13:$S$305))</f>
        <v>0</v>
      </c>
      <c r="AK209" s="452" t="str">
        <f>IF(U209="","",ProjParseTF(U209))</f>
        <v/>
      </c>
      <c r="AL209" s="219">
        <f>IF(E209="","",ProjCumN(AL208,E208,F208,G208,E209,F209,G209,FALSE))</f>
        <v>2172.9176462027513</v>
      </c>
      <c r="AM209" s="331">
        <f>IF(E209="","",ProjCumE(AM208,E208,F208,G208,E209,F209,G209,FALSE))</f>
        <v>147.2794415175631</v>
      </c>
      <c r="AN209" s="330">
        <f t="shared" si="72"/>
        <v>1.7</v>
      </c>
      <c r="AO209" s="330" t="str">
        <f>IF(OR(E209="",E209&lt;$U$2),"",ProjActiveTargetMdEx(D209,W209,V209,ProjTargets_MD,ProjTargets_INC,ProjTargets_AZM,ProjTargets_TVD,F209,H209))</f>
        <v/>
      </c>
      <c r="AP209" s="207">
        <f>IF(OR(E209="",E209&lt;$U$2),"",ProjBitN(E209,F209,G209,AL209,D209,W209,X209))</f>
        <v>2189.9084657951162</v>
      </c>
      <c r="AQ209" s="207">
        <f>IF(OR(E209="",E209&lt;$U$2),"",ProjBitE(E209,F209,G209,AM209,D209,W209,X209))</f>
        <v>147.78371727066605</v>
      </c>
      <c r="AR209" s="207" t="str">
        <f>IF(OR(E209="",E209&lt;$U$2,AO209=""),"",ProjBurr(D209,W209,X209,Q209,C209,ProjTargets_MD,ProjTargets_INC,ProjTargets_AZM,ProjTargets_TVD,V209))</f>
        <v/>
      </c>
      <c r="AS209" s="207" t="str">
        <f>IF(OR(E209="",E209&lt;$U$2,AO209=""),"",ProjMetersToSlide(D209,W209,X209,Q209,C209,ProjTargets_MD,ProjTargets_INC,ProjTargets_AZM,ProjTargets_TVD,V209))</f>
        <v/>
      </c>
      <c r="AT209" s="207" t="str">
        <f>IF(OR(E209="",E209&lt;$U$2,AO209=""),"",ProjRequiredTf(D209,W209,X209,ProjTargets_MD,ProjTargets_INC,ProjTargets_AZM,ProjTargets_TVD,5,V209))</f>
        <v/>
      </c>
    </row>
    <row r="210" spans="2:46" s="209" customFormat="1" ht="15" customHeight="1" x14ac:dyDescent="0.3">
      <c r="B210" s="208">
        <f t="shared" si="59"/>
        <v>17</v>
      </c>
      <c r="C210" s="335">
        <f t="shared" si="66"/>
        <v>28.690000000000509</v>
      </c>
      <c r="D210" s="27">
        <v>5194.26</v>
      </c>
      <c r="E210" s="336">
        <f t="shared" si="67"/>
        <v>5177.26</v>
      </c>
      <c r="F210" s="9">
        <v>89.99</v>
      </c>
      <c r="G210" s="9">
        <v>358.76</v>
      </c>
      <c r="H210" s="337">
        <f t="shared" si="60"/>
        <v>3068.5816578312006</v>
      </c>
      <c r="I210" s="337">
        <f t="shared" si="71"/>
        <v>2296.3316578312006</v>
      </c>
      <c r="J210" s="338">
        <f t="shared" si="68"/>
        <v>3.1859230060200798</v>
      </c>
      <c r="K210" s="339">
        <f t="shared" si="69"/>
        <v>0.8365284071104736</v>
      </c>
      <c r="L210" s="339">
        <f t="shared" si="70"/>
        <v>-3.074241896131011</v>
      </c>
      <c r="M210" s="339" t="str">
        <f t="shared" si="61"/>
        <v/>
      </c>
      <c r="N210" s="340">
        <f t="shared" si="62"/>
        <v>74.777377091217787</v>
      </c>
      <c r="O210" s="341" t="str">
        <f t="shared" si="63"/>
        <v>L</v>
      </c>
      <c r="P210" s="342" t="str">
        <f t="shared" si="64"/>
        <v/>
      </c>
      <c r="Q210" s="343" t="str">
        <f t="shared" si="65"/>
        <v/>
      </c>
      <c r="R210" s="10" t="str">
        <f t="shared" si="75"/>
        <v/>
      </c>
      <c r="S210" s="337" t="str">
        <f t="shared" si="58"/>
        <v/>
      </c>
      <c r="T210" s="9"/>
      <c r="U210" s="8"/>
      <c r="V210" s="202">
        <f>IF(OR(E210="",E210&lt;$U$2),"",ProjTvdAtBit(E210,F210,G210,H210,D210,W210,X210))</f>
        <v>3068.5846248909138</v>
      </c>
      <c r="W210" s="344">
        <f>IF(OR(E210="",E210&lt;$U$2),"",ProjIncAtBit(F210,J210,C210,M210,AJ210,IF(AK210="",0,AK210)))</f>
        <v>89.99</v>
      </c>
      <c r="X210" s="455">
        <f>IF(OR(E210="",E210&lt;$U$2),"",ProjAzmAtBit(F210,G210,J210,C210,M210,AJ210,IF(AK210="",0,AK210)))</f>
        <v>358.76</v>
      </c>
      <c r="Y210" s="461"/>
      <c r="Z210" s="206"/>
      <c r="AA210" s="512">
        <f t="shared" si="73"/>
        <v>89.283784103805061</v>
      </c>
      <c r="AB210" s="520">
        <f t="shared" si="74"/>
        <v>-0.40340783120063861</v>
      </c>
      <c r="AC210" s="510"/>
      <c r="AD210" s="515"/>
      <c r="AE210" s="516"/>
      <c r="AJ210" s="452">
        <f>IF(OR(E210="",D210=""),0,ProjSlideMetersBetween(E210,D210,$R$13:$R$305,$S$13:$S$305))</f>
        <v>0</v>
      </c>
      <c r="AK210" s="452" t="str">
        <f>IF(U210="","",ProjParseTF(U210))</f>
        <v/>
      </c>
      <c r="AL210" s="219">
        <f>IF(E210="","",ProjCumN(AL209,E209,F209,G209,E210,F210,G210,FALSE))</f>
        <v>2201.6033000357188</v>
      </c>
      <c r="AM210" s="331">
        <f>IF(E210="","",ProjCumE(AM209,E209,F209,G209,E210,F210,G210,FALSE))</f>
        <v>147.39455695393954</v>
      </c>
      <c r="AN210" s="330">
        <f t="shared" si="72"/>
        <v>358.76</v>
      </c>
      <c r="AO210" s="330" t="str">
        <f>IF(OR(E210="",E210&lt;$U$2),"",ProjActiveTargetMdEx(D210,W210,V210,ProjTargets_MD,ProjTargets_INC,ProjTargets_AZM,ProjTargets_TVD,F210,H210))</f>
        <v/>
      </c>
      <c r="AP210" s="207">
        <f>IF(OR(E210="",E210&lt;$U$2),"",ProjBitN(E210,F210,G210,AL210,D210,W210,X210))</f>
        <v>2218.5993187044164</v>
      </c>
      <c r="AQ210" s="207">
        <f>IF(OR(E210="",E210&lt;$U$2),"",ProjBitE(E210,F210,G210,AM210,D210,W210,X210))</f>
        <v>147.02667027323699</v>
      </c>
      <c r="AR210" s="207" t="str">
        <f>IF(OR(E210="",E210&lt;$U$2,AO210=""),"",ProjBurr(D210,W210,X210,Q210,C210,ProjTargets_MD,ProjTargets_INC,ProjTargets_AZM,ProjTargets_TVD,V210))</f>
        <v/>
      </c>
      <c r="AS210" s="207" t="str">
        <f>IF(OR(E210="",E210&lt;$U$2,AO210=""),"",ProjMetersToSlide(D210,W210,X210,Q210,C210,ProjTargets_MD,ProjTargets_INC,ProjTargets_AZM,ProjTargets_TVD,V210))</f>
        <v/>
      </c>
      <c r="AT210" s="207" t="str">
        <f>IF(OR(E210="",E210&lt;$U$2,AO210=""),"",ProjRequiredTf(D210,W210,X210,ProjTargets_MD,ProjTargets_INC,ProjTargets_AZM,ProjTargets_TVD,5,V210))</f>
        <v/>
      </c>
    </row>
    <row r="211" spans="2:46" s="209" customFormat="1" ht="15" customHeight="1" x14ac:dyDescent="0.3">
      <c r="B211" s="208">
        <f t="shared" si="59"/>
        <v>17</v>
      </c>
      <c r="C211" s="335">
        <f t="shared" si="66"/>
        <v>28.789999999999964</v>
      </c>
      <c r="D211" s="27">
        <v>5223.05</v>
      </c>
      <c r="E211" s="336">
        <f t="shared" si="67"/>
        <v>5206.05</v>
      </c>
      <c r="F211" s="9">
        <v>89.55</v>
      </c>
      <c r="G211" s="9">
        <v>0.33</v>
      </c>
      <c r="H211" s="337">
        <f t="shared" si="60"/>
        <v>3068.6972279878914</v>
      </c>
      <c r="I211" s="337">
        <f t="shared" si="71"/>
        <v>2296.4472279878914</v>
      </c>
      <c r="J211" s="338">
        <f t="shared" si="68"/>
        <v>1.6990012097114706</v>
      </c>
      <c r="K211" s="339">
        <f t="shared" si="69"/>
        <v>-0.45849253212920976</v>
      </c>
      <c r="L211" s="339">
        <f t="shared" si="70"/>
        <v>1.6359847169156072</v>
      </c>
      <c r="M211" s="339" t="str">
        <f t="shared" si="61"/>
        <v/>
      </c>
      <c r="N211" s="340">
        <f t="shared" si="62"/>
        <v>105.65593850849231</v>
      </c>
      <c r="O211" s="341" t="str">
        <f t="shared" si="63"/>
        <v>R</v>
      </c>
      <c r="P211" s="342" t="str">
        <f t="shared" si="64"/>
        <v/>
      </c>
      <c r="Q211" s="343" t="str">
        <f t="shared" si="65"/>
        <v/>
      </c>
      <c r="R211" s="10" t="str">
        <f t="shared" si="75"/>
        <v/>
      </c>
      <c r="S211" s="337" t="str">
        <f t="shared" si="58"/>
        <v/>
      </c>
      <c r="T211" s="9"/>
      <c r="U211" s="8"/>
      <c r="V211" s="202">
        <f>IF(OR(E211="",E211&lt;$U$2),"",ProjTvdAtBit(E211,F211,G211,H211,D211,W211,X211))</f>
        <v>3068.8307443029994</v>
      </c>
      <c r="W211" s="344">
        <f>IF(OR(E211="",E211&lt;$U$2),"",ProjIncAtBit(F211,J211,C211,M211,AJ211,IF(AK211="",0,AK211)))</f>
        <v>89.55</v>
      </c>
      <c r="X211" s="455">
        <f>IF(OR(E211="",E211&lt;$U$2),"",ProjAzmAtBit(F211,G211,J211,C211,M211,AJ211,IF(AK211="",0,AK211)))</f>
        <v>0.33</v>
      </c>
      <c r="Y211" s="461"/>
      <c r="Z211" s="206"/>
      <c r="AA211" s="512">
        <f t="shared" si="73"/>
        <v>89.283784103805061</v>
      </c>
      <c r="AB211" s="520">
        <f t="shared" si="74"/>
        <v>-0.15910298789140143</v>
      </c>
      <c r="AC211" s="510"/>
      <c r="AD211" s="515"/>
      <c r="AE211" s="516"/>
      <c r="AJ211" s="452">
        <f>IF(OR(E211="",D211=""),0,ProjSlideMetersBetween(E211,D211,$R$13:$R$305,$S$13:$S$305))</f>
        <v>0</v>
      </c>
      <c r="AK211" s="452" t="str">
        <f>IF(U211="","",ProjParseTF(U211))</f>
        <v/>
      </c>
      <c r="AL211" s="219">
        <f>IF(E211="","",ProjCumN(AL210,E210,F210,G210,E211,F211,G211,FALSE))</f>
        <v>2230.3911888077096</v>
      </c>
      <c r="AM211" s="331">
        <f>IF(E211="","",ProjCumE(AM210,E210,F210,G210,E211,F211,G211,FALSE))</f>
        <v>147.16593430097757</v>
      </c>
      <c r="AN211" s="330">
        <f t="shared" si="72"/>
        <v>0.33</v>
      </c>
      <c r="AO211" s="330" t="str">
        <f>IF(OR(E211="",E211&lt;$U$2),"",ProjActiveTargetMdEx(D211,W211,V211,ProjTargets_MD,ProjTargets_INC,ProjTargets_AZM,ProjTargets_TVD,F211,H211))</f>
        <v/>
      </c>
      <c r="AP211" s="207">
        <f>IF(OR(E211="",E211&lt;$U$2),"",ProjBitN(E211,F211,G211,AL211,D211,W211,X211))</f>
        <v>2247.3903825280322</v>
      </c>
      <c r="AQ211" s="207">
        <f>IF(OR(E211="",E211&lt;$U$2),"",ProjBitE(E211,F211,G211,AM211,D211,W211,X211))</f>
        <v>147.26384371082358</v>
      </c>
      <c r="AR211" s="207" t="str">
        <f>IF(OR(E211="",E211&lt;$U$2,AO211=""),"",ProjBurr(D211,W211,X211,Q211,C211,ProjTargets_MD,ProjTargets_INC,ProjTargets_AZM,ProjTargets_TVD,V211))</f>
        <v/>
      </c>
      <c r="AS211" s="207" t="str">
        <f>IF(OR(E211="",E211&lt;$U$2,AO211=""),"",ProjMetersToSlide(D211,W211,X211,Q211,C211,ProjTargets_MD,ProjTargets_INC,ProjTargets_AZM,ProjTargets_TVD,V211))</f>
        <v/>
      </c>
      <c r="AT211" s="207" t="str">
        <f>IF(OR(E211="",E211&lt;$U$2,AO211=""),"",ProjRequiredTf(D211,W211,X211,ProjTargets_MD,ProjTargets_INC,ProjTargets_AZM,ProjTargets_TVD,5,V211))</f>
        <v/>
      </c>
    </row>
    <row r="212" spans="2:46" s="209" customFormat="1" ht="15" customHeight="1" x14ac:dyDescent="0.3">
      <c r="B212" s="208">
        <f t="shared" si="59"/>
        <v>17</v>
      </c>
      <c r="C212" s="335">
        <f t="shared" si="66"/>
        <v>28.699999999999818</v>
      </c>
      <c r="D212" s="27">
        <v>5251.75</v>
      </c>
      <c r="E212" s="336">
        <f t="shared" si="67"/>
        <v>5234.75</v>
      </c>
      <c r="F212" s="9">
        <v>89.09</v>
      </c>
      <c r="G212" s="9">
        <v>0.25</v>
      </c>
      <c r="H212" s="337">
        <f t="shared" si="60"/>
        <v>3069.0378384484593</v>
      </c>
      <c r="I212" s="337">
        <f t="shared" si="71"/>
        <v>2296.7878384484593</v>
      </c>
      <c r="J212" s="338">
        <f t="shared" si="68"/>
        <v>0.48805264708627999</v>
      </c>
      <c r="K212" s="339">
        <f t="shared" si="69"/>
        <v>-0.4808362369337944</v>
      </c>
      <c r="L212" s="339">
        <f t="shared" si="70"/>
        <v>-8.3623693379791489E-2</v>
      </c>
      <c r="M212" s="339" t="str">
        <f t="shared" si="61"/>
        <v/>
      </c>
      <c r="N212" s="340">
        <f t="shared" si="62"/>
        <v>170.13490020741952</v>
      </c>
      <c r="O212" s="341" t="str">
        <f t="shared" si="63"/>
        <v>L</v>
      </c>
      <c r="P212" s="342" t="str">
        <f t="shared" si="64"/>
        <v/>
      </c>
      <c r="Q212" s="343" t="str">
        <f t="shared" si="65"/>
        <v/>
      </c>
      <c r="R212" s="10" t="str">
        <f t="shared" si="75"/>
        <v/>
      </c>
      <c r="S212" s="337" t="str">
        <f t="shared" si="58"/>
        <v/>
      </c>
      <c r="T212" s="9"/>
      <c r="U212" s="8"/>
      <c r="V212" s="202">
        <f>IF(OR(E212="",E212&lt;$U$2),"",ProjTvdAtBit(E212,F212,G212,H212,D212,W212,X212))</f>
        <v>3069.3078295323676</v>
      </c>
      <c r="W212" s="344">
        <f>IF(OR(E212="",E212&lt;$U$2),"",ProjIncAtBit(F212,J212,C212,M212,AJ212,IF(AK212="",0,AK212)))</f>
        <v>89.09</v>
      </c>
      <c r="X212" s="455">
        <f>IF(OR(E212="",E212&lt;$U$2),"",ProjAzmAtBit(F212,G212,J212,C212,M212,AJ212,IF(AK212="",0,AK212)))</f>
        <v>0.25</v>
      </c>
      <c r="Y212" s="461"/>
      <c r="Z212" s="206"/>
      <c r="AA212" s="512">
        <f t="shared" si="73"/>
        <v>89.283784103805061</v>
      </c>
      <c r="AB212" s="520">
        <f t="shared" si="74"/>
        <v>-0.14096344845938802</v>
      </c>
      <c r="AC212" s="510"/>
      <c r="AD212" s="515"/>
      <c r="AE212" s="516"/>
      <c r="AJ212" s="452">
        <f>IF(OR(E212="",D212=""),0,ProjSlideMetersBetween(E212,D212,$R$13:$R$305,$S$13:$S$305))</f>
        <v>0</v>
      </c>
      <c r="AK212" s="452" t="str">
        <f>IF(U212="","",ProjParseTF(U212))</f>
        <v/>
      </c>
      <c r="AL212" s="219">
        <f>IF(E212="","",ProjCumN(AL211,E211,F211,G211,E212,F212,G212,FALSE))</f>
        <v>2259.0887205545114</v>
      </c>
      <c r="AM212" s="331">
        <f>IF(E212="","",ProjCumE(AM211,E211,F211,G211,E212,F212,G212,FALSE))</f>
        <v>147.31118775661531</v>
      </c>
      <c r="AN212" s="330">
        <f t="shared" si="72"/>
        <v>0.25</v>
      </c>
      <c r="AO212" s="330" t="str">
        <f>IF(OR(E212="",E212&lt;$U$2),"",ProjActiveTargetMdEx(D212,W212,V212,ProjTargets_MD,ProjTargets_INC,ProjTargets_AZM,ProjTargets_TVD,F212,H212))</f>
        <v/>
      </c>
      <c r="AP212" s="207">
        <f>IF(OR(E212="",E212&lt;$U$2),"",ProjBitN(E212,F212,G212,AL212,D212,W212,X212))</f>
        <v>2276.0864146359213</v>
      </c>
      <c r="AQ212" s="207">
        <f>IF(OR(E212="",E212&lt;$U$2),"",ProjBitE(E212,F212,G212,AM212,D212,W212,X212))</f>
        <v>147.38535465903547</v>
      </c>
      <c r="AR212" s="207" t="str">
        <f>IF(OR(E212="",E212&lt;$U$2,AO212=""),"",ProjBurr(D212,W212,X212,Q212,C212,ProjTargets_MD,ProjTargets_INC,ProjTargets_AZM,ProjTargets_TVD,V212))</f>
        <v/>
      </c>
      <c r="AS212" s="207" t="str">
        <f>IF(OR(E212="",E212&lt;$U$2,AO212=""),"",ProjMetersToSlide(D212,W212,X212,Q212,C212,ProjTargets_MD,ProjTargets_INC,ProjTargets_AZM,ProjTargets_TVD,V212))</f>
        <v/>
      </c>
      <c r="AT212" s="207" t="str">
        <f>IF(OR(E212="",E212&lt;$U$2,AO212=""),"",ProjRequiredTf(D212,W212,X212,ProjTargets_MD,ProjTargets_INC,ProjTargets_AZM,ProjTargets_TVD,5,V212))</f>
        <v/>
      </c>
    </row>
    <row r="213" spans="2:46" s="209" customFormat="1" ht="15" customHeight="1" x14ac:dyDescent="0.3">
      <c r="B213" s="208">
        <f t="shared" si="59"/>
        <v>17</v>
      </c>
      <c r="C213" s="335">
        <f t="shared" si="66"/>
        <v>28.75</v>
      </c>
      <c r="D213" s="27">
        <v>5280.5</v>
      </c>
      <c r="E213" s="336">
        <f t="shared" si="67"/>
        <v>5263.5</v>
      </c>
      <c r="F213" s="9">
        <v>90.32</v>
      </c>
      <c r="G213" s="9">
        <v>358.11</v>
      </c>
      <c r="H213" s="337">
        <f t="shared" si="60"/>
        <v>3069.1858635316344</v>
      </c>
      <c r="I213" s="337">
        <f t="shared" si="71"/>
        <v>2296.9358635316344</v>
      </c>
      <c r="J213" s="338">
        <f t="shared" si="68"/>
        <v>2.5755535131733645</v>
      </c>
      <c r="K213" s="339">
        <f t="shared" si="69"/>
        <v>1.2834782608695545</v>
      </c>
      <c r="L213" s="339">
        <f t="shared" si="70"/>
        <v>-2.2330434782608553</v>
      </c>
      <c r="M213" s="339" t="str">
        <f t="shared" si="61"/>
        <v/>
      </c>
      <c r="N213" s="340">
        <f t="shared" si="62"/>
        <v>60.110356211853549</v>
      </c>
      <c r="O213" s="341" t="str">
        <f t="shared" si="63"/>
        <v>L</v>
      </c>
      <c r="P213" s="342" t="str">
        <f t="shared" si="64"/>
        <v/>
      </c>
      <c r="Q213" s="343" t="str">
        <f t="shared" si="65"/>
        <v/>
      </c>
      <c r="R213" s="10" t="str">
        <f t="shared" si="75"/>
        <v/>
      </c>
      <c r="S213" s="337" t="str">
        <f t="shared" si="58"/>
        <v/>
      </c>
      <c r="T213" s="9"/>
      <c r="U213" s="8"/>
      <c r="V213" s="202">
        <f>IF(OR(E213="",E213&lt;$U$2),"",ProjTvdAtBit(E213,F213,G213,H213,D213,W213,X213))</f>
        <v>3069.0909181139305</v>
      </c>
      <c r="W213" s="344">
        <f>IF(OR(E213="",E213&lt;$U$2),"",ProjIncAtBit(F213,J213,C213,M213,AJ213,IF(AK213="",0,AK213)))</f>
        <v>90.32</v>
      </c>
      <c r="X213" s="455">
        <f>IF(OR(E213="",E213&lt;$U$2),"",ProjAzmAtBit(F213,G213,J213,C213,M213,AJ213,IF(AK213="",0,AK213)))</f>
        <v>358.11</v>
      </c>
      <c r="Y213" s="461"/>
      <c r="Z213" s="206"/>
      <c r="AA213" s="512">
        <f t="shared" si="73"/>
        <v>89.283784103805061</v>
      </c>
      <c r="AB213" s="520">
        <f t="shared" si="74"/>
        <v>7.0386468365541077E-2</v>
      </c>
      <c r="AC213" s="510"/>
      <c r="AD213" s="515"/>
      <c r="AE213" s="516"/>
      <c r="AJ213" s="452">
        <f>IF(OR(E213="",D213=""),0,ProjSlideMetersBetween(E213,D213,$R$13:$R$305,$S$13:$S$305))</f>
        <v>0</v>
      </c>
      <c r="AK213" s="452" t="str">
        <f>IF(U213="","",ProjParseTF(U213))</f>
        <v/>
      </c>
      <c r="AL213" s="219">
        <f>IF(E213="","",ProjCumN(AL212,E212,F212,G212,E213,F213,G213,FALSE))</f>
        <v>2287.8331718852264</v>
      </c>
      <c r="AM213" s="331">
        <f>IF(E213="","",ProjCumE(AM212,E212,F212,G212,E213,F213,G213,FALSE))</f>
        <v>146.89974802949706</v>
      </c>
      <c r="AN213" s="330">
        <f t="shared" si="72"/>
        <v>358.11</v>
      </c>
      <c r="AO213" s="330" t="str">
        <f>IF(OR(E213="",E213&lt;$U$2),"",ProjActiveTargetMdEx(D213,W213,V213,ProjTargets_MD,ProjTargets_INC,ProjTargets_AZM,ProjTargets_TVD,F213,H213))</f>
        <v/>
      </c>
      <c r="AP213" s="207">
        <f>IF(OR(E213="",E213&lt;$U$2),"",ProjBitN(E213,F213,G213,AL213,D213,W213,X213))</f>
        <v>2304.8236586767734</v>
      </c>
      <c r="AQ213" s="207">
        <f>IF(OR(E213="",E213&lt;$U$2),"",ProjBitE(E213,F213,G213,AM213,D213,W213,X213))</f>
        <v>146.3390841784059</v>
      </c>
      <c r="AR213" s="207" t="str">
        <f>IF(OR(E213="",E213&lt;$U$2,AO213=""),"",ProjBurr(D213,W213,X213,Q213,C213,ProjTargets_MD,ProjTargets_INC,ProjTargets_AZM,ProjTargets_TVD,V213))</f>
        <v/>
      </c>
      <c r="AS213" s="207" t="str">
        <f>IF(OR(E213="",E213&lt;$U$2,AO213=""),"",ProjMetersToSlide(D213,W213,X213,Q213,C213,ProjTargets_MD,ProjTargets_INC,ProjTargets_AZM,ProjTargets_TVD,V213))</f>
        <v/>
      </c>
      <c r="AT213" s="207" t="str">
        <f>IF(OR(E213="",E213&lt;$U$2,AO213=""),"",ProjRequiredTf(D213,W213,X213,ProjTargets_MD,ProjTargets_INC,ProjTargets_AZM,ProjTargets_TVD,5,V213))</f>
        <v/>
      </c>
    </row>
    <row r="214" spans="2:46" s="209" customFormat="1" ht="15" customHeight="1" x14ac:dyDescent="0.3">
      <c r="B214" s="208">
        <f t="shared" si="59"/>
        <v>17</v>
      </c>
      <c r="C214" s="335">
        <f t="shared" si="66"/>
        <v>28.829999999999927</v>
      </c>
      <c r="D214" s="27">
        <v>5309.33</v>
      </c>
      <c r="E214" s="336">
        <f t="shared" si="67"/>
        <v>5292.33</v>
      </c>
      <c r="F214" s="9">
        <v>90.73</v>
      </c>
      <c r="G214" s="9">
        <v>357.71</v>
      </c>
      <c r="H214" s="337">
        <f t="shared" si="60"/>
        <v>3068.9216985559683</v>
      </c>
      <c r="I214" s="337">
        <f t="shared" si="71"/>
        <v>2296.6716985559683</v>
      </c>
      <c r="J214" s="338">
        <f t="shared" si="68"/>
        <v>0.59603310869655823</v>
      </c>
      <c r="K214" s="339">
        <f t="shared" si="69"/>
        <v>0.42663891779397695</v>
      </c>
      <c r="L214" s="339">
        <f t="shared" si="70"/>
        <v>-0.41623309053073376</v>
      </c>
      <c r="M214" s="339" t="str">
        <f t="shared" si="61"/>
        <v/>
      </c>
      <c r="N214" s="340">
        <f t="shared" si="62"/>
        <v>44.291417216108684</v>
      </c>
      <c r="O214" s="341" t="str">
        <f t="shared" si="63"/>
        <v>L</v>
      </c>
      <c r="P214" s="342" t="str">
        <f t="shared" si="64"/>
        <v/>
      </c>
      <c r="Q214" s="343" t="str">
        <f t="shared" si="65"/>
        <v/>
      </c>
      <c r="R214" s="10" t="str">
        <f t="shared" si="75"/>
        <v/>
      </c>
      <c r="S214" s="337" t="str">
        <f t="shared" si="58"/>
        <v/>
      </c>
      <c r="T214" s="9"/>
      <c r="U214" s="8"/>
      <c r="V214" s="202">
        <f>IF(OR(E214="",E214&lt;$U$2),"",ProjTvdAtBit(E214,F214,G214,H214,D214,W214,X214))</f>
        <v>3068.7051090557584</v>
      </c>
      <c r="W214" s="344">
        <f>IF(OR(E214="",E214&lt;$U$2),"",ProjIncAtBit(F214,J214,C214,M214,AJ214,IF(AK214="",0,AK214)))</f>
        <v>90.73</v>
      </c>
      <c r="X214" s="455">
        <f>IF(OR(E214="",E214&lt;$U$2),"",ProjAzmAtBit(F214,G214,J214,C214,M214,AJ214,IF(AK214="",0,AK214)))</f>
        <v>357.71</v>
      </c>
      <c r="Y214" s="461"/>
      <c r="Z214" s="206"/>
      <c r="AA214" s="512">
        <f t="shared" si="73"/>
        <v>90.143239597990885</v>
      </c>
      <c r="AB214" s="520">
        <f t="shared" si="74"/>
        <v>0.5549764440315812</v>
      </c>
      <c r="AC214" s="510"/>
      <c r="AD214" s="515"/>
      <c r="AE214" s="516"/>
      <c r="AJ214" s="452">
        <f>IF(OR(E214="",D214=""),0,ProjSlideMetersBetween(E214,D214,$R$13:$R$305,$S$13:$S$305))</f>
        <v>0</v>
      </c>
      <c r="AK214" s="452" t="str">
        <f>IF(U214="","",ProjParseTF(U214))</f>
        <v/>
      </c>
      <c r="AL214" s="219">
        <f>IF(E214="","",ProjCumN(AL213,E213,F213,G213,E214,F214,G214,FALSE))</f>
        <v>2316.6426640868208</v>
      </c>
      <c r="AM214" s="331">
        <f>IF(E214="","",ProjCumE(AM213,E213,F213,G213,E214,F214,G214,FALSE))</f>
        <v>145.84839014205255</v>
      </c>
      <c r="AN214" s="330">
        <f t="shared" si="72"/>
        <v>357.71</v>
      </c>
      <c r="AO214" s="330" t="str">
        <f>IF(OR(E214="",E214&lt;$U$2),"",ProjActiveTargetMdEx(D214,W214,V214,ProjTargets_MD,ProjTargets_INC,ProjTargets_AZM,ProjTargets_TVD,F214,H214))</f>
        <v/>
      </c>
      <c r="AP214" s="207">
        <f>IF(OR(E214="",E214&lt;$U$2),"",ProjBitN(E214,F214,G214,AL214,D214,W214,X214))</f>
        <v>2333.6277089287682</v>
      </c>
      <c r="AQ214" s="207">
        <f>IF(OR(E214="",E214&lt;$U$2),"",ProjBitE(E214,F214,G214,AM214,D214,W214,X214))</f>
        <v>145.16916948171109</v>
      </c>
      <c r="AR214" s="207" t="str">
        <f>IF(OR(E214="",E214&lt;$U$2,AO214=""),"",ProjBurr(D214,W214,X214,Q214,C214,ProjTargets_MD,ProjTargets_INC,ProjTargets_AZM,ProjTargets_TVD,V214))</f>
        <v/>
      </c>
      <c r="AS214" s="207" t="str">
        <f>IF(OR(E214="",E214&lt;$U$2,AO214=""),"",ProjMetersToSlide(D214,W214,X214,Q214,C214,ProjTargets_MD,ProjTargets_INC,ProjTargets_AZM,ProjTargets_TVD,V214))</f>
        <v/>
      </c>
      <c r="AT214" s="207" t="str">
        <f>IF(OR(E214="",E214&lt;$U$2,AO214=""),"",ProjRequiredTf(D214,W214,X214,ProjTargets_MD,ProjTargets_INC,ProjTargets_AZM,ProjTargets_TVD,5,V214))</f>
        <v/>
      </c>
    </row>
    <row r="215" spans="2:46" s="209" customFormat="1" ht="15" customHeight="1" x14ac:dyDescent="0.3">
      <c r="B215" s="208">
        <f t="shared" si="59"/>
        <v>17</v>
      </c>
      <c r="C215" s="335">
        <f t="shared" si="66"/>
        <v>28.8100000000004</v>
      </c>
      <c r="D215" s="27">
        <v>5338.14</v>
      </c>
      <c r="E215" s="336">
        <f t="shared" si="67"/>
        <v>5321.14</v>
      </c>
      <c r="F215" s="9">
        <v>89.9</v>
      </c>
      <c r="G215" s="9">
        <v>356.8</v>
      </c>
      <c r="H215" s="337">
        <f t="shared" si="60"/>
        <v>3068.7633081062681</v>
      </c>
      <c r="I215" s="337">
        <f t="shared" si="71"/>
        <v>2296.5133081062681</v>
      </c>
      <c r="J215" s="338">
        <f t="shared" si="68"/>
        <v>1.2825229072550746</v>
      </c>
      <c r="K215" s="339">
        <f t="shared" si="69"/>
        <v>-0.86428323498783766</v>
      </c>
      <c r="L215" s="339">
        <f t="shared" si="70"/>
        <v>-0.94758764317940525</v>
      </c>
      <c r="M215" s="339" t="str">
        <f t="shared" si="61"/>
        <v/>
      </c>
      <c r="N215" s="340">
        <f t="shared" si="62"/>
        <v>132.36824572822491</v>
      </c>
      <c r="O215" s="341" t="str">
        <f t="shared" si="63"/>
        <v>L</v>
      </c>
      <c r="P215" s="342" t="str">
        <f t="shared" si="64"/>
        <v/>
      </c>
      <c r="Q215" s="343" t="str">
        <f t="shared" si="65"/>
        <v/>
      </c>
      <c r="R215" s="10" t="str">
        <f t="shared" si="75"/>
        <v/>
      </c>
      <c r="S215" s="337" t="str">
        <f t="shared" si="58"/>
        <v/>
      </c>
      <c r="T215" s="9"/>
      <c r="U215" s="8"/>
      <c r="V215" s="202">
        <f>IF(OR(E215="",E215&lt;$U$2),"",ProjTvdAtBit(E215,F215,G215,H215,D215,W215,X215))</f>
        <v>3068.7929786884883</v>
      </c>
      <c r="W215" s="344">
        <f>IF(OR(E215="",E215&lt;$U$2),"",ProjIncAtBit(F215,J215,C215,M215,AJ215,IF(AK215="",0,AK215)))</f>
        <v>89.9</v>
      </c>
      <c r="X215" s="455">
        <f>IF(OR(E215="",E215&lt;$U$2),"",ProjAzmAtBit(F215,G215,J215,C215,M215,AJ215,IF(AK215="",0,AK215)))</f>
        <v>356.8</v>
      </c>
      <c r="Y215" s="461"/>
      <c r="Z215" s="206"/>
      <c r="AA215" s="512">
        <f t="shared" si="73"/>
        <v>90.143239597990885</v>
      </c>
      <c r="AB215" s="520">
        <f t="shared" si="74"/>
        <v>0.64134189373180561</v>
      </c>
      <c r="AC215" s="510"/>
      <c r="AD215" s="515"/>
      <c r="AE215" s="516"/>
      <c r="AJ215" s="452">
        <f>IF(OR(E215="",D215=""),0,ProjSlideMetersBetween(E215,D215,$R$13:$R$305,$S$13:$S$305))</f>
        <v>0</v>
      </c>
      <c r="AK215" s="452" t="str">
        <f>IF(U215="","",ProjParseTF(U215))</f>
        <v/>
      </c>
      <c r="AL215" s="219">
        <f>IF(E215="","",ProjCumN(AL214,E214,F214,G214,E215,F215,G215,FALSE))</f>
        <v>2345.4186171966048</v>
      </c>
      <c r="AM215" s="331">
        <f>IF(E215="","",ProjCumE(AM214,E214,F214,G214,E215,F215,G215,FALSE))</f>
        <v>144.4686898335886</v>
      </c>
      <c r="AN215" s="330">
        <f t="shared" si="72"/>
        <v>356.8</v>
      </c>
      <c r="AO215" s="330" t="str">
        <f>IF(OR(E215="",E215&lt;$U$2),"",ProjActiveTargetMdEx(D215,W215,V215,ProjTargets_MD,ProjTargets_INC,ProjTargets_AZM,ProjTargets_TVD,F215,H215))</f>
        <v/>
      </c>
      <c r="AP215" s="207">
        <f>IF(OR(E215="",E215&lt;$U$2),"",ProjBitN(E215,F215,G215,AL215,D215,W215,X215))</f>
        <v>2362.3920843355968</v>
      </c>
      <c r="AQ215" s="207">
        <f>IF(OR(E215="",E215&lt;$U$2),"",ProjBitE(E215,F215,G215,AM215,D215,W215,X215))</f>
        <v>143.51972569406158</v>
      </c>
      <c r="AR215" s="207" t="str">
        <f>IF(OR(E215="",E215&lt;$U$2,AO215=""),"",ProjBurr(D215,W215,X215,Q215,C215,ProjTargets_MD,ProjTargets_INC,ProjTargets_AZM,ProjTargets_TVD,V215))</f>
        <v/>
      </c>
      <c r="AS215" s="207" t="str">
        <f>IF(OR(E215="",E215&lt;$U$2,AO215=""),"",ProjMetersToSlide(D215,W215,X215,Q215,C215,ProjTargets_MD,ProjTargets_INC,ProjTargets_AZM,ProjTargets_TVD,V215))</f>
        <v/>
      </c>
      <c r="AT215" s="207" t="str">
        <f>IF(OR(E215="",E215&lt;$U$2,AO215=""),"",ProjRequiredTf(D215,W215,X215,ProjTargets_MD,ProjTargets_INC,ProjTargets_AZM,ProjTargets_TVD,5,V215))</f>
        <v/>
      </c>
    </row>
    <row r="216" spans="2:46" s="209" customFormat="1" ht="15" customHeight="1" x14ac:dyDescent="0.3">
      <c r="B216" s="208">
        <f t="shared" si="59"/>
        <v>17</v>
      </c>
      <c r="C216" s="335">
        <f t="shared" si="66"/>
        <v>28.759999999999309</v>
      </c>
      <c r="D216" s="27">
        <v>5366.9</v>
      </c>
      <c r="E216" s="336">
        <f t="shared" si="67"/>
        <v>5349.9</v>
      </c>
      <c r="F216" s="9">
        <v>89.87</v>
      </c>
      <c r="G216" s="9">
        <v>356.3</v>
      </c>
      <c r="H216" s="337">
        <f t="shared" si="60"/>
        <v>3068.8210330871902</v>
      </c>
      <c r="I216" s="337">
        <f t="shared" si="71"/>
        <v>2296.5710330871902</v>
      </c>
      <c r="J216" s="338">
        <f t="shared" si="68"/>
        <v>0.52249462491057874</v>
      </c>
      <c r="K216" s="339">
        <f t="shared" si="69"/>
        <v>-3.1293463143256456E-2</v>
      </c>
      <c r="L216" s="339">
        <f t="shared" si="70"/>
        <v>-0.52155771905425452</v>
      </c>
      <c r="M216" s="339" t="str">
        <f t="shared" si="61"/>
        <v/>
      </c>
      <c r="N216" s="340">
        <f t="shared" si="62"/>
        <v>93.433637301388032</v>
      </c>
      <c r="O216" s="341" t="str">
        <f t="shared" si="63"/>
        <v>L</v>
      </c>
      <c r="P216" s="342" t="str">
        <f t="shared" si="64"/>
        <v/>
      </c>
      <c r="Q216" s="343" t="str">
        <f t="shared" si="65"/>
        <v/>
      </c>
      <c r="R216" s="10" t="str">
        <f t="shared" si="75"/>
        <v/>
      </c>
      <c r="S216" s="337" t="str">
        <f t="shared" si="58"/>
        <v/>
      </c>
      <c r="T216" s="9"/>
      <c r="U216" s="8"/>
      <c r="V216" s="202">
        <f>IF(OR(E216="",E216&lt;$U$2),"",ProjTvdAtBit(E216,F216,G216,H216,D216,W216,X216))</f>
        <v>3068.8596048305644</v>
      </c>
      <c r="W216" s="344">
        <f>IF(OR(E216="",E216&lt;$U$2),"",ProjIncAtBit(F216,J216,C216,M216,AJ216,IF(AK216="",0,AK216)))</f>
        <v>89.87</v>
      </c>
      <c r="X216" s="455">
        <f>IF(OR(E216="",E216&lt;$U$2),"",ProjAzmAtBit(F216,G216,J216,C216,M216,AJ216,IF(AK216="",0,AK216)))</f>
        <v>356.3</v>
      </c>
      <c r="Y216" s="461"/>
      <c r="Z216" s="206"/>
      <c r="AA216" s="512">
        <f t="shared" si="73"/>
        <v>90.143239597990885</v>
      </c>
      <c r="AB216" s="520">
        <f t="shared" si="74"/>
        <v>0.51171691280978848</v>
      </c>
      <c r="AC216" s="510"/>
      <c r="AD216" s="515"/>
      <c r="AE216" s="516"/>
      <c r="AJ216" s="452">
        <f>IF(OR(E216="",D216=""),0,ProjSlideMetersBetween(E216,D216,$R$13:$R$305,$S$13:$S$305))</f>
        <v>0</v>
      </c>
      <c r="AK216" s="452" t="str">
        <f>IF(U216="","",ProjParseTF(U216))</f>
        <v/>
      </c>
      <c r="AL216" s="219">
        <f>IF(E216="","",ProjCumN(AL215,E215,F215,G215,E216,F216,G216,FALSE))</f>
        <v>2374.1263460115001</v>
      </c>
      <c r="AM216" s="331">
        <f>IF(E216="","",ProjCumE(AM215,E215,F215,G215,E216,F216,G216,FALSE))</f>
        <v>142.73799458749141</v>
      </c>
      <c r="AN216" s="330">
        <f t="shared" si="72"/>
        <v>356.3</v>
      </c>
      <c r="AO216" s="330" t="str">
        <f>IF(OR(E216="",E216&lt;$U$2),"",ProjActiveTargetMdEx(D216,W216,V216,ProjTargets_MD,ProjTargets_INC,ProjTargets_AZM,ProjTargets_TVD,F216,H216))</f>
        <v/>
      </c>
      <c r="AP216" s="207">
        <f>IF(OR(E216="",E216&lt;$U$2),"",ProjBitN(E216,F216,G216,AL216,D216,W216,X216))</f>
        <v>2391.0908678550627</v>
      </c>
      <c r="AQ216" s="207">
        <f>IF(OR(E216="",E216&lt;$U$2),"",ProjBitE(E216,F216,G216,AM216,D216,W216,X216))</f>
        <v>141.64094817101343</v>
      </c>
      <c r="AR216" s="207" t="str">
        <f>IF(OR(E216="",E216&lt;$U$2,AO216=""),"",ProjBurr(D216,W216,X216,Q216,C216,ProjTargets_MD,ProjTargets_INC,ProjTargets_AZM,ProjTargets_TVD,V216))</f>
        <v/>
      </c>
      <c r="AS216" s="207" t="str">
        <f>IF(OR(E216="",E216&lt;$U$2,AO216=""),"",ProjMetersToSlide(D216,W216,X216,Q216,C216,ProjTargets_MD,ProjTargets_INC,ProjTargets_AZM,ProjTargets_TVD,V216))</f>
        <v/>
      </c>
      <c r="AT216" s="207" t="str">
        <f>IF(OR(E216="",E216&lt;$U$2,AO216=""),"",ProjRequiredTf(D216,W216,X216,ProjTargets_MD,ProjTargets_INC,ProjTargets_AZM,ProjTargets_TVD,5,V216))</f>
        <v/>
      </c>
    </row>
    <row r="217" spans="2:46" s="209" customFormat="1" ht="15" customHeight="1" x14ac:dyDescent="0.3">
      <c r="B217" s="208">
        <f t="shared" si="59"/>
        <v>17</v>
      </c>
      <c r="C217" s="335">
        <f t="shared" si="66"/>
        <v>28.789999999999964</v>
      </c>
      <c r="D217" s="27">
        <v>5395.69</v>
      </c>
      <c r="E217" s="336">
        <f t="shared" si="67"/>
        <v>5378.69</v>
      </c>
      <c r="F217" s="9">
        <v>90.19</v>
      </c>
      <c r="G217" s="9">
        <v>356.2</v>
      </c>
      <c r="H217" s="337">
        <f t="shared" si="60"/>
        <v>3068.8059586791296</v>
      </c>
      <c r="I217" s="337">
        <f t="shared" si="71"/>
        <v>2296.5559586791296</v>
      </c>
      <c r="J217" s="338">
        <f t="shared" si="68"/>
        <v>0.34935156244916377</v>
      </c>
      <c r="K217" s="339">
        <f t="shared" si="69"/>
        <v>0.3334491142757835</v>
      </c>
      <c r="L217" s="339">
        <f t="shared" si="70"/>
        <v>-0.10420284821120827</v>
      </c>
      <c r="M217" s="339" t="str">
        <f t="shared" si="61"/>
        <v/>
      </c>
      <c r="N217" s="340">
        <f t="shared" si="62"/>
        <v>17.354001200159161</v>
      </c>
      <c r="O217" s="341" t="str">
        <f t="shared" si="63"/>
        <v>L</v>
      </c>
      <c r="P217" s="342" t="str">
        <f t="shared" si="64"/>
        <v/>
      </c>
      <c r="Q217" s="343" t="str">
        <f t="shared" si="65"/>
        <v/>
      </c>
      <c r="R217" s="10" t="str">
        <f t="shared" si="75"/>
        <v/>
      </c>
      <c r="S217" s="337" t="str">
        <f t="shared" si="58"/>
        <v/>
      </c>
      <c r="T217" s="9"/>
      <c r="U217" s="8"/>
      <c r="V217" s="202">
        <f>IF(OR(E217="",E217&lt;$U$2),"",ProjTvdAtBit(E217,F217,G217,H217,D217,W217,X217))</f>
        <v>3068.7495846476118</v>
      </c>
      <c r="W217" s="344">
        <f>IF(OR(E217="",E217&lt;$U$2),"",ProjIncAtBit(F217,J217,C217,M217,AJ217,IF(AK217="",0,AK217)))</f>
        <v>90.19</v>
      </c>
      <c r="X217" s="455">
        <f>IF(OR(E217="",E217&lt;$U$2),"",ProjAzmAtBit(F217,G217,J217,C217,M217,AJ217,IF(AK217="",0,AK217)))</f>
        <v>356.2</v>
      </c>
      <c r="Y217" s="461"/>
      <c r="Z217" s="206"/>
      <c r="AA217" s="512">
        <f t="shared" si="73"/>
        <v>90.143239597990885</v>
      </c>
      <c r="AB217" s="520">
        <f t="shared" si="74"/>
        <v>0.45481632087057733</v>
      </c>
      <c r="AC217" s="510"/>
      <c r="AD217" s="515"/>
      <c r="AE217" s="516"/>
      <c r="AJ217" s="452">
        <f>IF(OR(E217="",D217=""),0,ProjSlideMetersBetween(E217,D217,$R$13:$R$305,$S$13:$S$305))</f>
        <v>0</v>
      </c>
      <c r="AK217" s="452" t="str">
        <f>IF(U217="","",ProjParseTF(U217))</f>
        <v/>
      </c>
      <c r="AL217" s="219">
        <f>IF(E217="","",ProjCumN(AL216,E216,F216,G216,E217,F217,G217,FALSE))</f>
        <v>2402.8546594913596</v>
      </c>
      <c r="AM217" s="331">
        <f>IF(E217="","",ProjCumE(AM216,E216,F216,G216,E217,F217,G217,FALSE))</f>
        <v>140.85504147799384</v>
      </c>
      <c r="AN217" s="330">
        <f t="shared" si="72"/>
        <v>356.2</v>
      </c>
      <c r="AO217" s="330" t="str">
        <f>IF(OR(E217="",E217&lt;$U$2),"",ProjActiveTargetMdEx(D217,W217,V217,ProjTargets_MD,ProjTargets_INC,ProjTargets_AZM,ProjTargets_TVD,F217,H217))</f>
        <v/>
      </c>
      <c r="AP217" s="207">
        <f>IF(OR(E217="",E217&lt;$U$2),"",ProjBitN(E217,F217,G217,AL217,D217,W217,X217))</f>
        <v>2419.8171911860554</v>
      </c>
      <c r="AQ217" s="207">
        <f>IF(OR(E217="",E217&lt;$U$2),"",ProjBitE(E217,F217,G217,AM217,D217,W217,X217))</f>
        <v>139.72839136593248</v>
      </c>
      <c r="AR217" s="207" t="str">
        <f>IF(OR(E217="",E217&lt;$U$2,AO217=""),"",ProjBurr(D217,W217,X217,Q217,C217,ProjTargets_MD,ProjTargets_INC,ProjTargets_AZM,ProjTargets_TVD,V217))</f>
        <v/>
      </c>
      <c r="AS217" s="207" t="str">
        <f>IF(OR(E217="",E217&lt;$U$2,AO217=""),"",ProjMetersToSlide(D217,W217,X217,Q217,C217,ProjTargets_MD,ProjTargets_INC,ProjTargets_AZM,ProjTargets_TVD,V217))</f>
        <v/>
      </c>
      <c r="AT217" s="207" t="str">
        <f>IF(OR(E217="",E217&lt;$U$2,AO217=""),"",ProjRequiredTf(D217,W217,X217,ProjTargets_MD,ProjTargets_INC,ProjTargets_AZM,ProjTargets_TVD,5,V217))</f>
        <v/>
      </c>
    </row>
    <row r="218" spans="2:46" s="209" customFormat="1" ht="15" customHeight="1" x14ac:dyDescent="0.3">
      <c r="B218" s="208">
        <f t="shared" si="59"/>
        <v>17</v>
      </c>
      <c r="C218" s="335">
        <f t="shared" si="66"/>
        <v>28.740000000000691</v>
      </c>
      <c r="D218" s="27">
        <v>5424.43</v>
      </c>
      <c r="E218" s="336">
        <f t="shared" si="67"/>
        <v>5407.43</v>
      </c>
      <c r="F218" s="9">
        <v>90.76</v>
      </c>
      <c r="G218" s="9">
        <v>356.1</v>
      </c>
      <c r="H218" s="337">
        <f t="shared" si="60"/>
        <v>3068.5676977855665</v>
      </c>
      <c r="I218" s="337">
        <f t="shared" si="71"/>
        <v>2296.3176977855665</v>
      </c>
      <c r="J218" s="338">
        <f t="shared" si="68"/>
        <v>0.6040759778448509</v>
      </c>
      <c r="K218" s="339">
        <f t="shared" si="69"/>
        <v>0.59498956158663219</v>
      </c>
      <c r="L218" s="339">
        <f t="shared" si="70"/>
        <v>-0.1043841336116529</v>
      </c>
      <c r="M218" s="339" t="str">
        <f t="shared" si="61"/>
        <v/>
      </c>
      <c r="N218" s="340">
        <f t="shared" si="62"/>
        <v>9.9502513535377908</v>
      </c>
      <c r="O218" s="341" t="str">
        <f t="shared" si="63"/>
        <v>L</v>
      </c>
      <c r="P218" s="342" t="str">
        <f t="shared" si="64"/>
        <v/>
      </c>
      <c r="Q218" s="343" t="str">
        <f t="shared" si="65"/>
        <v/>
      </c>
      <c r="R218" s="10" t="str">
        <f t="shared" si="75"/>
        <v/>
      </c>
      <c r="S218" s="337" t="str">
        <f t="shared" si="58"/>
        <v/>
      </c>
      <c r="T218" s="9"/>
      <c r="U218" s="8"/>
      <c r="V218" s="202">
        <f>IF(OR(E218="",E218&lt;$U$2),"",ProjTvdAtBit(E218,F218,G218,H218,D218,W218,X218))</f>
        <v>3068.3422078587246</v>
      </c>
      <c r="W218" s="344">
        <f>IF(OR(E218="",E218&lt;$U$2),"",ProjIncAtBit(F218,J218,C218,M218,AJ218,IF(AK218="",0,AK218)))</f>
        <v>90.76</v>
      </c>
      <c r="X218" s="455">
        <f>IF(OR(E218="",E218&lt;$U$2),"",ProjAzmAtBit(F218,G218,J218,C218,M218,AJ218,IF(AK218="",0,AK218)))</f>
        <v>356.1</v>
      </c>
      <c r="Y218" s="461"/>
      <c r="Z218" s="206"/>
      <c r="AA218" s="512">
        <f t="shared" si="73"/>
        <v>90.143239597990885</v>
      </c>
      <c r="AB218" s="520">
        <f t="shared" si="74"/>
        <v>0.62122721443347473</v>
      </c>
      <c r="AC218" s="510"/>
      <c r="AD218" s="515"/>
      <c r="AE218" s="516"/>
      <c r="AJ218" s="452">
        <f>IF(OR(E218="",D218=""),0,ProjSlideMetersBetween(E218,D218,$R$13:$R$305,$S$13:$S$305))</f>
        <v>0</v>
      </c>
      <c r="AK218" s="452" t="str">
        <f>IF(U218="","",ProjParseTF(U218))</f>
        <v/>
      </c>
      <c r="AL218" s="219">
        <f>IF(E218="","",ProjCumN(AL217,E217,F217,G217,E218,F218,G218,FALSE))</f>
        <v>2431.5286933750526</v>
      </c>
      <c r="AM218" s="331">
        <f>IF(E218="","",ProjCumE(AM217,E217,F217,G217,E218,F218,G218,FALSE))</f>
        <v>138.92538061628699</v>
      </c>
      <c r="AN218" s="330">
        <f t="shared" si="72"/>
        <v>356.1</v>
      </c>
      <c r="AO218" s="330" t="str">
        <f>IF(OR(E218="",E218&lt;$U$2),"",ProjActiveTargetMdEx(D218,W218,V218,ProjTargets_MD,ProjTargets_INC,ProjTargets_AZM,ProjTargets_TVD,F218,H218))</f>
        <v/>
      </c>
      <c r="AP218" s="207">
        <f>IF(OR(E218="",E218&lt;$U$2),"",ProjBitN(E218,F218,G218,AL218,D218,W218,X218))</f>
        <v>2448.4878340507271</v>
      </c>
      <c r="AQ218" s="207">
        <f>IF(OR(E218="",E218&lt;$U$2),"",ProjBitE(E218,F218,G218,AM218,D218,W218,X218))</f>
        <v>137.76922239373272</v>
      </c>
      <c r="AR218" s="207" t="str">
        <f>IF(OR(E218="",E218&lt;$U$2,AO218=""),"",ProjBurr(D218,W218,X218,Q218,C218,ProjTargets_MD,ProjTargets_INC,ProjTargets_AZM,ProjTargets_TVD,V218))</f>
        <v/>
      </c>
      <c r="AS218" s="207" t="str">
        <f>IF(OR(E218="",E218&lt;$U$2,AO218=""),"",ProjMetersToSlide(D218,W218,X218,Q218,C218,ProjTargets_MD,ProjTargets_INC,ProjTargets_AZM,ProjTargets_TVD,V218))</f>
        <v/>
      </c>
      <c r="AT218" s="207" t="str">
        <f>IF(OR(E218="",E218&lt;$U$2,AO218=""),"",ProjRequiredTf(D218,W218,X218,ProjTargets_MD,ProjTargets_INC,ProjTargets_AZM,ProjTargets_TVD,5,V218))</f>
        <v/>
      </c>
    </row>
    <row r="219" spans="2:46" s="209" customFormat="1" ht="15" customHeight="1" x14ac:dyDescent="0.3">
      <c r="B219" s="208">
        <f t="shared" si="59"/>
        <v>17</v>
      </c>
      <c r="C219" s="335">
        <f t="shared" si="66"/>
        <v>28.779999999999745</v>
      </c>
      <c r="D219" s="27">
        <v>5453.21</v>
      </c>
      <c r="E219" s="336">
        <f t="shared" si="67"/>
        <v>5436.21</v>
      </c>
      <c r="F219" s="9">
        <v>89.58</v>
      </c>
      <c r="G219" s="9">
        <v>356.3</v>
      </c>
      <c r="H219" s="337">
        <f t="shared" si="60"/>
        <v>3068.4823059318737</v>
      </c>
      <c r="I219" s="337">
        <f t="shared" si="71"/>
        <v>2296.2323059318737</v>
      </c>
      <c r="J219" s="338">
        <f t="shared" si="68"/>
        <v>1.2475626194364322</v>
      </c>
      <c r="K219" s="339">
        <f t="shared" si="69"/>
        <v>-1.2300208478109977</v>
      </c>
      <c r="L219" s="339">
        <f t="shared" si="70"/>
        <v>0.20847810979846115</v>
      </c>
      <c r="M219" s="339" t="str">
        <f t="shared" si="61"/>
        <v/>
      </c>
      <c r="N219" s="340">
        <f t="shared" si="62"/>
        <v>170.38048059024175</v>
      </c>
      <c r="O219" s="341" t="str">
        <f t="shared" si="63"/>
        <v>R</v>
      </c>
      <c r="P219" s="342" t="str">
        <f t="shared" si="64"/>
        <v/>
      </c>
      <c r="Q219" s="343" t="str">
        <f t="shared" si="65"/>
        <v/>
      </c>
      <c r="R219" s="10" t="str">
        <f t="shared" si="75"/>
        <v/>
      </c>
      <c r="S219" s="337" t="str">
        <f t="shared" si="58"/>
        <v/>
      </c>
      <c r="T219" s="9"/>
      <c r="U219" s="8"/>
      <c r="V219" s="202">
        <f>IF(OR(E219="",E219&lt;$U$2),"",ProjTvdAtBit(E219,F219,G219,H219,D219,W219,X219))</f>
        <v>3068.6069213244346</v>
      </c>
      <c r="W219" s="344">
        <f>IF(OR(E219="",E219&lt;$U$2),"",ProjIncAtBit(F219,J219,C219,M219,AJ219,IF(AK219="",0,AK219)))</f>
        <v>89.58</v>
      </c>
      <c r="X219" s="455">
        <f>IF(OR(E219="",E219&lt;$U$2),"",ProjAzmAtBit(F219,G219,J219,C219,M219,AJ219,IF(AK219="",0,AK219)))</f>
        <v>356.3</v>
      </c>
      <c r="Y219" s="461"/>
      <c r="Z219" s="206"/>
      <c r="AA219" s="512">
        <f t="shared" si="73"/>
        <v>90.143239597990885</v>
      </c>
      <c r="AB219" s="520">
        <f t="shared" si="74"/>
        <v>0.63466906812618618</v>
      </c>
      <c r="AC219" s="510"/>
      <c r="AD219" s="515"/>
      <c r="AE219" s="516"/>
      <c r="AJ219" s="452">
        <f>IF(OR(E219="",D219=""),0,ProjSlideMetersBetween(E219,D219,$R$13:$R$305,$S$13:$S$305))</f>
        <v>0</v>
      </c>
      <c r="AK219" s="452" t="str">
        <f>IF(U219="","",ProjParseTF(U219))</f>
        <v/>
      </c>
      <c r="AL219" s="219">
        <f>IF(E219="","",ProjCumN(AL218,E218,F218,G218,E219,F219,G219,FALSE))</f>
        <v>2460.2447712498438</v>
      </c>
      <c r="AM219" s="331">
        <f>IF(E219="","",ProjCumE(AM218,E218,F218,G218,E219,F219,G219,FALSE))</f>
        <v>137.01806236641158</v>
      </c>
      <c r="AN219" s="330">
        <f t="shared" si="72"/>
        <v>356.3</v>
      </c>
      <c r="AO219" s="330" t="str">
        <f>IF(OR(E219="",E219&lt;$U$2),"",ProjActiveTargetMdEx(D219,W219,V219,ProjTargets_MD,ProjTargets_INC,ProjTargets_AZM,ProjTargets_TVD,F219,H219))</f>
        <v/>
      </c>
      <c r="AP219" s="207">
        <f>IF(OR(E219="",E219&lt;$U$2),"",ProjBitN(E219,F219,G219,AL219,D219,W219,X219))</f>
        <v>2477.20888097118</v>
      </c>
      <c r="AQ219" s="207">
        <f>IF(OR(E219="",E219&lt;$U$2),"",ProjBitE(E219,F219,G219,AM219,D219,W219,X219))</f>
        <v>135.92104260068245</v>
      </c>
      <c r="AR219" s="207" t="str">
        <f>IF(OR(E219="",E219&lt;$U$2,AO219=""),"",ProjBurr(D219,W219,X219,Q219,C219,ProjTargets_MD,ProjTargets_INC,ProjTargets_AZM,ProjTargets_TVD,V219))</f>
        <v/>
      </c>
      <c r="AS219" s="207" t="str">
        <f>IF(OR(E219="",E219&lt;$U$2,AO219=""),"",ProjMetersToSlide(D219,W219,X219,Q219,C219,ProjTargets_MD,ProjTargets_INC,ProjTargets_AZM,ProjTargets_TVD,V219))</f>
        <v/>
      </c>
      <c r="AT219" s="207" t="str">
        <f>IF(OR(E219="",E219&lt;$U$2,AO219=""),"",ProjRequiredTf(D219,W219,X219,ProjTargets_MD,ProjTargets_INC,ProjTargets_AZM,ProjTargets_TVD,5,V219))</f>
        <v/>
      </c>
    </row>
    <row r="220" spans="2:46" s="209" customFormat="1" ht="15" customHeight="1" x14ac:dyDescent="0.3">
      <c r="B220" s="208">
        <f t="shared" si="59"/>
        <v>17</v>
      </c>
      <c r="C220" s="335">
        <f t="shared" si="66"/>
        <v>28.760000000000218</v>
      </c>
      <c r="D220" s="27">
        <v>5481.97</v>
      </c>
      <c r="E220" s="336">
        <f t="shared" si="67"/>
        <v>5464.97</v>
      </c>
      <c r="F220" s="9">
        <v>89.95</v>
      </c>
      <c r="G220" s="9">
        <v>356.2</v>
      </c>
      <c r="H220" s="337">
        <f t="shared" si="60"/>
        <v>3068.6002654239696</v>
      </c>
      <c r="I220" s="337">
        <f t="shared" si="71"/>
        <v>2296.3502654239696</v>
      </c>
      <c r="J220" s="338">
        <f t="shared" si="68"/>
        <v>0.3998001666994781</v>
      </c>
      <c r="K220" s="339">
        <f t="shared" si="69"/>
        <v>0.38595271210014093</v>
      </c>
      <c r="L220" s="339">
        <f t="shared" si="70"/>
        <v>-0.10431154381087133</v>
      </c>
      <c r="M220" s="339" t="str">
        <f t="shared" si="61"/>
        <v/>
      </c>
      <c r="N220" s="340">
        <f t="shared" si="62"/>
        <v>15.123860847661813</v>
      </c>
      <c r="O220" s="341" t="str">
        <f t="shared" si="63"/>
        <v>L</v>
      </c>
      <c r="P220" s="342" t="str">
        <f t="shared" si="64"/>
        <v/>
      </c>
      <c r="Q220" s="343" t="str">
        <f t="shared" si="65"/>
        <v/>
      </c>
      <c r="R220" s="10" t="str">
        <f t="shared" si="75"/>
        <v/>
      </c>
      <c r="S220" s="337" t="str">
        <f t="shared" si="58"/>
        <v/>
      </c>
      <c r="T220" s="9"/>
      <c r="U220" s="8"/>
      <c r="V220" s="202">
        <f>IF(OR(E220="",E220&lt;$U$2),"",ProjTvdAtBit(E220,F220,G220,H220,D220,W220,X220))</f>
        <v>3068.6151007207286</v>
      </c>
      <c r="W220" s="344">
        <f>IF(OR(E220="",E220&lt;$U$2),"",ProjIncAtBit(F220,J220,C220,M220,AJ220,IF(AK220="",0,AK220)))</f>
        <v>89.95</v>
      </c>
      <c r="X220" s="455">
        <f>IF(OR(E220="",E220&lt;$U$2),"",ProjAzmAtBit(F220,G220,J220,C220,M220,AJ220,IF(AK220="",0,AK220)))</f>
        <v>356.2</v>
      </c>
      <c r="Y220" s="461"/>
      <c r="Z220" s="206"/>
      <c r="AA220" s="512">
        <f t="shared" si="73"/>
        <v>90.143239597990885</v>
      </c>
      <c r="AB220" s="520">
        <f t="shared" si="74"/>
        <v>0.44480957603036586</v>
      </c>
      <c r="AC220" s="510"/>
      <c r="AD220" s="515"/>
      <c r="AE220" s="516"/>
      <c r="AJ220" s="452">
        <f>IF(OR(E220="",D220=""),0,ProjSlideMetersBetween(E220,D220,$R$13:$R$305,$S$13:$S$305))</f>
        <v>0</v>
      </c>
      <c r="AK220" s="452" t="str">
        <f>IF(U220="","",ProjParseTF(U220))</f>
        <v/>
      </c>
      <c r="AL220" s="219">
        <f>IF(E220="","",ProjCumN(AL219,E219,F219,G219,E220,F220,G220,FALSE))</f>
        <v>2488.9428989630255</v>
      </c>
      <c r="AM220" s="331">
        <f>IF(E220="","",ProjCumE(AM219,E219,F219,G219,E220,F220,G220,FALSE))</f>
        <v>135.13708736668596</v>
      </c>
      <c r="AN220" s="330">
        <f t="shared" si="72"/>
        <v>356.2</v>
      </c>
      <c r="AO220" s="330" t="str">
        <f>IF(OR(E220="",E220&lt;$U$2),"",ProjActiveTargetMdEx(D220,W220,V220,ProjTargets_MD,ProjTargets_INC,ProjTargets_AZM,ProjTargets_TVD,F220,H220))</f>
        <v/>
      </c>
      <c r="AP220" s="207">
        <f>IF(OR(E220="",E220&lt;$U$2),"",ProjBitN(E220,F220,G220,AL220,D220,W220,X220))</f>
        <v>2505.9055174651021</v>
      </c>
      <c r="AQ220" s="207">
        <f>IF(OR(E220="",E220&lt;$U$2),"",ProjBitE(E220,F220,G220,AM220,D220,W220,X220))</f>
        <v>134.01043148888473</v>
      </c>
      <c r="AR220" s="207" t="str">
        <f>IF(OR(E220="",E220&lt;$U$2,AO220=""),"",ProjBurr(D220,W220,X220,Q220,C220,ProjTargets_MD,ProjTargets_INC,ProjTargets_AZM,ProjTargets_TVD,V220))</f>
        <v/>
      </c>
      <c r="AS220" s="207" t="str">
        <f>IF(OR(E220="",E220&lt;$U$2,AO220=""),"",ProjMetersToSlide(D220,W220,X220,Q220,C220,ProjTargets_MD,ProjTargets_INC,ProjTargets_AZM,ProjTargets_TVD,V220))</f>
        <v/>
      </c>
      <c r="AT220" s="207" t="str">
        <f>IF(OR(E220="",E220&lt;$U$2,AO220=""),"",ProjRequiredTf(D220,W220,X220,ProjTargets_MD,ProjTargets_INC,ProjTargets_AZM,ProjTargets_TVD,5,V220))</f>
        <v/>
      </c>
    </row>
    <row r="221" spans="2:46" s="209" customFormat="1" ht="15" customHeight="1" x14ac:dyDescent="0.3">
      <c r="B221" s="208">
        <f t="shared" si="59"/>
        <v>17</v>
      </c>
      <c r="C221" s="335">
        <f t="shared" si="66"/>
        <v>28.869999999999891</v>
      </c>
      <c r="D221" s="27">
        <v>5510.84</v>
      </c>
      <c r="E221" s="336">
        <f t="shared" si="67"/>
        <v>5493.84</v>
      </c>
      <c r="F221" s="9">
        <v>90.44</v>
      </c>
      <c r="G221" s="9">
        <v>357.7</v>
      </c>
      <c r="H221" s="337">
        <f t="shared" si="60"/>
        <v>3068.5020096854191</v>
      </c>
      <c r="I221" s="337">
        <f t="shared" si="71"/>
        <v>2296.2520096854191</v>
      </c>
      <c r="J221" s="338">
        <f t="shared" si="68"/>
        <v>1.6397566324731647</v>
      </c>
      <c r="K221" s="339">
        <f t="shared" si="69"/>
        <v>0.50917907862833056</v>
      </c>
      <c r="L221" s="339">
        <f t="shared" si="70"/>
        <v>1.558711465188783</v>
      </c>
      <c r="M221" s="339" t="str">
        <f t="shared" si="61"/>
        <v/>
      </c>
      <c r="N221" s="340">
        <f t="shared" si="62"/>
        <v>71.909361138136163</v>
      </c>
      <c r="O221" s="341" t="str">
        <f t="shared" si="63"/>
        <v>R</v>
      </c>
      <c r="P221" s="342" t="str">
        <f t="shared" si="64"/>
        <v/>
      </c>
      <c r="Q221" s="343" t="str">
        <f t="shared" si="65"/>
        <v/>
      </c>
      <c r="R221" s="10" t="str">
        <f t="shared" si="75"/>
        <v/>
      </c>
      <c r="S221" s="337" t="str">
        <f t="shared" si="58"/>
        <v/>
      </c>
      <c r="T221" s="9"/>
      <c r="U221" s="8"/>
      <c r="V221" s="202">
        <f>IF(OR(E221="",E221&lt;$U$2),"",ProjTvdAtBit(E221,F221,G221,H221,D221,W221,X221))</f>
        <v>3068.3714603405469</v>
      </c>
      <c r="W221" s="344">
        <f>IF(OR(E221="",E221&lt;$U$2),"",ProjIncAtBit(F221,J221,C221,M221,AJ221,IF(AK221="",0,AK221)))</f>
        <v>90.44</v>
      </c>
      <c r="X221" s="455">
        <f>IF(OR(E221="",E221&lt;$U$2),"",ProjAzmAtBit(F221,G221,J221,C221,M221,AJ221,IF(AK221="",0,AK221)))</f>
        <v>357.7</v>
      </c>
      <c r="Y221" s="461"/>
      <c r="Z221" s="206"/>
      <c r="AA221" s="512">
        <f t="shared" si="73"/>
        <v>89.570277624940417</v>
      </c>
      <c r="AB221" s="520">
        <f t="shared" si="74"/>
        <v>0.57929031458070313</v>
      </c>
      <c r="AC221" s="510"/>
      <c r="AD221" s="515"/>
      <c r="AE221" s="516"/>
      <c r="AJ221" s="452">
        <f>IF(OR(E221="",D221=""),0,ProjSlideMetersBetween(E221,D221,$R$13:$R$305,$S$13:$S$305))</f>
        <v>0</v>
      </c>
      <c r="AK221" s="452" t="str">
        <f>IF(U221="","",ProjParseTF(U221))</f>
        <v/>
      </c>
      <c r="AL221" s="219">
        <f>IF(E221="","",ProjCumN(AL220,E220,F220,G220,E221,F221,G221,FALSE))</f>
        <v>2517.770925699901</v>
      </c>
      <c r="AM221" s="331">
        <f>IF(E221="","",ProjCumE(AM220,E220,F220,G220,E221,F221,G221,FALSE))</f>
        <v>133.60104154112565</v>
      </c>
      <c r="AN221" s="330">
        <f t="shared" si="72"/>
        <v>357.7</v>
      </c>
      <c r="AO221" s="330" t="str">
        <f>IF(OR(E221="",E221&lt;$U$2),"",ProjActiveTargetMdEx(D221,W221,V221,ProjTargets_MD,ProjTargets_INC,ProjTargets_AZM,ProjTargets_TVD,F221,H221))</f>
        <v/>
      </c>
      <c r="AP221" s="207">
        <f>IF(OR(E221="",E221&lt;$U$2),"",ProjBitN(E221,F221,G221,AL221,D221,W221,X221))</f>
        <v>2534.7567295447143</v>
      </c>
      <c r="AQ221" s="207">
        <f>IF(OR(E221="",E221&lt;$U$2),"",ProjBitE(E221,F221,G221,AM221,D221,W221,X221))</f>
        <v>132.91882118517495</v>
      </c>
      <c r="AR221" s="207" t="str">
        <f>IF(OR(E221="",E221&lt;$U$2,AO221=""),"",ProjBurr(D221,W221,X221,Q221,C221,ProjTargets_MD,ProjTargets_INC,ProjTargets_AZM,ProjTargets_TVD,V221))</f>
        <v/>
      </c>
      <c r="AS221" s="207" t="str">
        <f>IF(OR(E221="",E221&lt;$U$2,AO221=""),"",ProjMetersToSlide(D221,W221,X221,Q221,C221,ProjTargets_MD,ProjTargets_INC,ProjTargets_AZM,ProjTargets_TVD,V221))</f>
        <v/>
      </c>
      <c r="AT221" s="207" t="str">
        <f>IF(OR(E221="",E221&lt;$U$2,AO221=""),"",ProjRequiredTf(D221,W221,X221,ProjTargets_MD,ProjTargets_INC,ProjTargets_AZM,ProjTargets_TVD,5,V221))</f>
        <v/>
      </c>
    </row>
    <row r="222" spans="2:46" s="209" customFormat="1" ht="15" customHeight="1" x14ac:dyDescent="0.3">
      <c r="B222" s="208">
        <f t="shared" si="59"/>
        <v>17</v>
      </c>
      <c r="C222" s="335">
        <f t="shared" si="66"/>
        <v>28.720000000000255</v>
      </c>
      <c r="D222" s="27">
        <v>5539.56</v>
      </c>
      <c r="E222" s="336">
        <f t="shared" si="67"/>
        <v>5522.56</v>
      </c>
      <c r="F222" s="9">
        <v>91.3</v>
      </c>
      <c r="G222" s="9">
        <v>357.3</v>
      </c>
      <c r="H222" s="337">
        <f t="shared" si="60"/>
        <v>3068.065931495039</v>
      </c>
      <c r="I222" s="337">
        <f t="shared" si="71"/>
        <v>2295.815931495039</v>
      </c>
      <c r="J222" s="338">
        <f t="shared" si="68"/>
        <v>0.9907222413581066</v>
      </c>
      <c r="K222" s="339">
        <f t="shared" si="69"/>
        <v>0.89832869080779088</v>
      </c>
      <c r="L222" s="339">
        <f t="shared" si="70"/>
        <v>-0.41782729805011182</v>
      </c>
      <c r="M222" s="339" t="str">
        <f t="shared" si="61"/>
        <v/>
      </c>
      <c r="N222" s="340">
        <f t="shared" si="62"/>
        <v>24.941173673828391</v>
      </c>
      <c r="O222" s="341" t="str">
        <f t="shared" si="63"/>
        <v>L</v>
      </c>
      <c r="P222" s="342" t="str">
        <f t="shared" si="64"/>
        <v/>
      </c>
      <c r="Q222" s="343" t="str">
        <f t="shared" si="65"/>
        <v/>
      </c>
      <c r="R222" s="10" t="str">
        <f t="shared" si="75"/>
        <v/>
      </c>
      <c r="S222" s="337" t="str">
        <f t="shared" si="58"/>
        <v/>
      </c>
      <c r="T222" s="9"/>
      <c r="U222" s="8"/>
      <c r="V222" s="202">
        <f>IF(OR(E222="",E222&lt;$U$2),"",ProjTvdAtBit(E222,F222,G222,H222,D222,W222,X222))</f>
        <v>3067.6802468243018</v>
      </c>
      <c r="W222" s="344">
        <f>IF(OR(E222="",E222&lt;$U$2),"",ProjIncAtBit(F222,J222,C222,M222,AJ222,IF(AK222="",0,AK222)))</f>
        <v>91.3</v>
      </c>
      <c r="X222" s="455">
        <f>IF(OR(E222="",E222&lt;$U$2),"",ProjAzmAtBit(F222,G222,J222,C222,M222,AJ222,IF(AK222="",0,AK222)))</f>
        <v>357.3</v>
      </c>
      <c r="Y222" s="461"/>
      <c r="Z222" s="206"/>
      <c r="AA222" s="512">
        <f t="shared" si="73"/>
        <v>89.570277624940417</v>
      </c>
      <c r="AB222" s="520">
        <f t="shared" si="74"/>
        <v>1.2307685049609063</v>
      </c>
      <c r="AC222" s="510"/>
      <c r="AD222" s="515"/>
      <c r="AE222" s="516"/>
      <c r="AJ222" s="452">
        <f>IF(OR(E222="",D222=""),0,ProjSlideMetersBetween(E222,D222,$R$13:$R$305,$S$13:$S$305))</f>
        <v>0</v>
      </c>
      <c r="AK222" s="452" t="str">
        <f>IF(U222="","",ProjParseTF(U222))</f>
        <v/>
      </c>
      <c r="AL222" s="219">
        <f>IF(E222="","",ProjCumN(AL221,E221,F221,G221,E222,F222,G222,FALSE))</f>
        <v>2546.4599558226109</v>
      </c>
      <c r="AM222" s="331">
        <f>IF(E222="","",ProjCumE(AM221,E221,F221,G221,E222,F222,G222,FALSE))</f>
        <v>132.34846286983438</v>
      </c>
      <c r="AN222" s="330">
        <f t="shared" si="72"/>
        <v>357.3</v>
      </c>
      <c r="AO222" s="330" t="str">
        <f>IF(OR(E222="",E222&lt;$U$2),"",ProjActiveTargetMdEx(D222,W222,V222,ProjTargets_MD,ProjTargets_INC,ProjTargets_AZM,ProjTargets_TVD,F222,H222))</f>
        <v/>
      </c>
      <c r="AP222" s="207">
        <f>IF(OR(E222="",E222&lt;$U$2),"",ProjBitN(E222,F222,G222,AL222,D222,W222,X222))</f>
        <v>2563.4367129129596</v>
      </c>
      <c r="AQ222" s="207">
        <f>IF(OR(E222="",E222&lt;$U$2),"",ProjBitE(E222,F222,G222,AM222,D222,W222,X222))</f>
        <v>131.54785932871167</v>
      </c>
      <c r="AR222" s="207" t="str">
        <f>IF(OR(E222="",E222&lt;$U$2,AO222=""),"",ProjBurr(D222,W222,X222,Q222,C222,ProjTargets_MD,ProjTargets_INC,ProjTargets_AZM,ProjTargets_TVD,V222))</f>
        <v/>
      </c>
      <c r="AS222" s="207" t="str">
        <f>IF(OR(E222="",E222&lt;$U$2,AO222=""),"",ProjMetersToSlide(D222,W222,X222,Q222,C222,ProjTargets_MD,ProjTargets_INC,ProjTargets_AZM,ProjTargets_TVD,V222))</f>
        <v/>
      </c>
      <c r="AT222" s="207" t="str">
        <f>IF(OR(E222="",E222&lt;$U$2,AO222=""),"",ProjRequiredTf(D222,W222,X222,ProjTargets_MD,ProjTargets_INC,ProjTargets_AZM,ProjTargets_TVD,5,V222))</f>
        <v/>
      </c>
    </row>
    <row r="223" spans="2:46" s="209" customFormat="1" ht="15" customHeight="1" x14ac:dyDescent="0.3">
      <c r="B223" s="208">
        <f t="shared" si="59"/>
        <v>17</v>
      </c>
      <c r="C223" s="335">
        <f t="shared" si="66"/>
        <v>28.789999999999964</v>
      </c>
      <c r="D223" s="27">
        <v>5568.35</v>
      </c>
      <c r="E223" s="336">
        <f t="shared" si="67"/>
        <v>5551.35</v>
      </c>
      <c r="F223" s="9">
        <v>91.31</v>
      </c>
      <c r="G223" s="9">
        <v>357.3</v>
      </c>
      <c r="H223" s="337">
        <f t="shared" si="60"/>
        <v>3067.4102514091792</v>
      </c>
      <c r="I223" s="337">
        <f t="shared" si="71"/>
        <v>2295.1602514091792</v>
      </c>
      <c r="J223" s="338">
        <f t="shared" si="68"/>
        <v>1.0420284841016437E-2</v>
      </c>
      <c r="K223" s="339">
        <f t="shared" si="69"/>
        <v>1.0420284821123787E-2</v>
      </c>
      <c r="L223" s="339">
        <f t="shared" si="70"/>
        <v>0</v>
      </c>
      <c r="M223" s="339" t="str">
        <f t="shared" si="61"/>
        <v/>
      </c>
      <c r="N223" s="340">
        <f t="shared" si="62"/>
        <v>0</v>
      </c>
      <c r="O223" s="341" t="str">
        <f t="shared" si="63"/>
        <v>HS</v>
      </c>
      <c r="P223" s="342" t="str">
        <f t="shared" si="64"/>
        <v/>
      </c>
      <c r="Q223" s="343" t="str">
        <f t="shared" si="65"/>
        <v/>
      </c>
      <c r="R223" s="10" t="str">
        <f t="shared" si="75"/>
        <v/>
      </c>
      <c r="S223" s="337" t="str">
        <f t="shared" si="58"/>
        <v/>
      </c>
      <c r="T223" s="9"/>
      <c r="U223" s="8"/>
      <c r="V223" s="202">
        <f>IF(OR(E223="",E223&lt;$U$2),"",ProjTvdAtBit(E223,F223,G223,H223,D223,W223,X223))</f>
        <v>3067.0216004482963</v>
      </c>
      <c r="W223" s="344">
        <f>IF(OR(E223="",E223&lt;$U$2),"",ProjIncAtBit(F223,J223,C223,M223,AJ223,IF(AK223="",0,AK223)))</f>
        <v>91.31</v>
      </c>
      <c r="X223" s="455">
        <f>IF(OR(E223="",E223&lt;$U$2),"",ProjAzmAtBit(F223,G223,J223,C223,M223,AJ223,IF(AK223="",0,AK223)))</f>
        <v>357.3</v>
      </c>
      <c r="Y223" s="461"/>
      <c r="Z223" s="206"/>
      <c r="AA223" s="512">
        <f t="shared" si="73"/>
        <v>89.570277624940417</v>
      </c>
      <c r="AB223" s="520">
        <f t="shared" si="74"/>
        <v>2.1023735908206618</v>
      </c>
      <c r="AC223" s="510"/>
      <c r="AD223" s="515"/>
      <c r="AE223" s="516"/>
      <c r="AJ223" s="452">
        <f>IF(OR(E223="",D223=""),0,ProjSlideMetersBetween(E223,D223,$R$13:$R$305,$S$13:$S$305))</f>
        <v>0</v>
      </c>
      <c r="AK223" s="452" t="str">
        <f>IF(U223="","",ProjParseTF(U223))</f>
        <v/>
      </c>
      <c r="AL223" s="219">
        <f>IF(E223="","",ProjCumN(AL222,E222,F222,G222,E223,F223,G223,FALSE))</f>
        <v>2575.2105361891222</v>
      </c>
      <c r="AM223" s="331">
        <f>IF(E223="","",ProjCumE(AM222,E222,F222,G222,E223,F223,G223,FALSE))</f>
        <v>130.99261991771672</v>
      </c>
      <c r="AN223" s="330">
        <f t="shared" si="72"/>
        <v>357.3</v>
      </c>
      <c r="AO223" s="330" t="str">
        <f>IF(OR(E223="",E223&lt;$U$2),"",ProjActiveTargetMdEx(D223,W223,V223,ProjTargets_MD,ProjTargets_INC,ProjTargets_AZM,ProjTargets_TVD,F223,H223))</f>
        <v/>
      </c>
      <c r="AP223" s="207">
        <f>IF(OR(E223="",E223&lt;$U$2),"",ProjBitN(E223,F223,G223,AL223,D223,W223,X223))</f>
        <v>2592.1872257809541</v>
      </c>
      <c r="AQ223" s="207">
        <f>IF(OR(E223="",E223&lt;$U$2),"",ProjBitE(E223,F223,G223,AM223,D223,W223,X223))</f>
        <v>130.19201955974324</v>
      </c>
      <c r="AR223" s="207" t="str">
        <f>IF(OR(E223="",E223&lt;$U$2,AO223=""),"",ProjBurr(D223,W223,X223,Q223,C223,ProjTargets_MD,ProjTargets_INC,ProjTargets_AZM,ProjTargets_TVD,V223))</f>
        <v/>
      </c>
      <c r="AS223" s="207" t="str">
        <f>IF(OR(E223="",E223&lt;$U$2,AO223=""),"",ProjMetersToSlide(D223,W223,X223,Q223,C223,ProjTargets_MD,ProjTargets_INC,ProjTargets_AZM,ProjTargets_TVD,V223))</f>
        <v/>
      </c>
      <c r="AT223" s="207" t="str">
        <f>IF(OR(E223="",E223&lt;$U$2,AO223=""),"",ProjRequiredTf(D223,W223,X223,ProjTargets_MD,ProjTargets_INC,ProjTargets_AZM,ProjTargets_TVD,5,V223))</f>
        <v/>
      </c>
    </row>
    <row r="224" spans="2:46" s="209" customFormat="1" ht="15" customHeight="1" x14ac:dyDescent="0.3">
      <c r="B224" s="208">
        <f t="shared" si="59"/>
        <v>17</v>
      </c>
      <c r="C224" s="335">
        <f t="shared" si="66"/>
        <v>28.659999999999854</v>
      </c>
      <c r="D224" s="27">
        <v>5597.01</v>
      </c>
      <c r="E224" s="336">
        <f t="shared" si="67"/>
        <v>5580.01</v>
      </c>
      <c r="F224" s="9">
        <v>91.53</v>
      </c>
      <c r="G224" s="9">
        <v>0.26</v>
      </c>
      <c r="H224" s="337">
        <f t="shared" si="60"/>
        <v>3066.7000239852791</v>
      </c>
      <c r="I224" s="337">
        <f t="shared" si="71"/>
        <v>2294.4500239852791</v>
      </c>
      <c r="J224" s="338">
        <f t="shared" si="68"/>
        <v>3.105990109466072</v>
      </c>
      <c r="K224" s="339">
        <f t="shared" si="69"/>
        <v>0.23028611304954641</v>
      </c>
      <c r="L224" s="339">
        <f t="shared" si="70"/>
        <v>3.0983949755757187</v>
      </c>
      <c r="M224" s="339" t="str">
        <f t="shared" si="61"/>
        <v/>
      </c>
      <c r="N224" s="340">
        <f t="shared" si="62"/>
        <v>85.748041541548332</v>
      </c>
      <c r="O224" s="341" t="str">
        <f t="shared" si="63"/>
        <v>R</v>
      </c>
      <c r="P224" s="342" t="str">
        <f t="shared" si="64"/>
        <v/>
      </c>
      <c r="Q224" s="343" t="str">
        <f t="shared" si="65"/>
        <v/>
      </c>
      <c r="R224" s="10" t="str">
        <f t="shared" si="75"/>
        <v/>
      </c>
      <c r="S224" s="337" t="str">
        <f t="shared" si="58"/>
        <v/>
      </c>
      <c r="T224" s="9"/>
      <c r="U224" s="8"/>
      <c r="V224" s="202">
        <f>IF(OR(E224="",E224&lt;$U$2),"",ProjTvdAtBit(E224,F224,G224,H224,D224,W224,X224))</f>
        <v>3066.2461177964792</v>
      </c>
      <c r="W224" s="344">
        <f>IF(OR(E224="",E224&lt;$U$2),"",ProjIncAtBit(F224,J224,C224,M224,AJ224,IF(AK224="",0,AK224)))</f>
        <v>91.53</v>
      </c>
      <c r="X224" s="455">
        <f>IF(OR(E224="",E224&lt;$U$2),"",ProjAzmAtBit(F224,G224,J224,C224,M224,AJ224,IF(AK224="",0,AK224)))</f>
        <v>0.26</v>
      </c>
      <c r="Y224" s="461"/>
      <c r="Z224" s="206"/>
      <c r="AA224" s="512">
        <f t="shared" si="73"/>
        <v>89.570277624940417</v>
      </c>
      <c r="AB224" s="520">
        <f t="shared" si="74"/>
        <v>3.0275510147207569</v>
      </c>
      <c r="AC224" s="510"/>
      <c r="AD224" s="515"/>
      <c r="AE224" s="516"/>
      <c r="AJ224" s="452">
        <f>IF(OR(E224="",D224=""),0,ProjSlideMetersBetween(E224,D224,$R$13:$R$305,$S$13:$S$305))</f>
        <v>0</v>
      </c>
      <c r="AK224" s="452" t="str">
        <f>IF(U224="","",ProjParseTF(U224))</f>
        <v/>
      </c>
      <c r="AL224" s="219">
        <f>IF(E224="","",ProjCumN(AL223,E223,F223,G223,E224,F224,G224,FALSE))</f>
        <v>2603.8520322379795</v>
      </c>
      <c r="AM224" s="331">
        <f>IF(E224="","",ProjCumE(AM223,E223,F223,G223,E224,F224,G224,FALSE))</f>
        <v>130.38262863975808</v>
      </c>
      <c r="AN224" s="330">
        <f t="shared" si="72"/>
        <v>0.26</v>
      </c>
      <c r="AO224" s="330" t="str">
        <f>IF(OR(E224="",E224&lt;$U$2),"",ProjActiveTargetMdEx(D224,W224,V224,ProjTargets_MD,ProjTargets_INC,ProjTargets_AZM,ProjTargets_TVD,F224,H224))</f>
        <v/>
      </c>
      <c r="AP224" s="207">
        <f>IF(OR(E224="",E224&lt;$U$2),"",ProjBitN(E224,F224,G224,AL224,D224,W224,X224))</f>
        <v>2620.8457964568761</v>
      </c>
      <c r="AQ224" s="207">
        <f>IF(OR(E224="",E224&lt;$U$2),"",ProjBitE(E224,F224,G224,AM224,D224,W224,X224))</f>
        <v>130.45974442494619</v>
      </c>
      <c r="AR224" s="207" t="str">
        <f>IF(OR(E224="",E224&lt;$U$2,AO224=""),"",ProjBurr(D224,W224,X224,Q224,C224,ProjTargets_MD,ProjTargets_INC,ProjTargets_AZM,ProjTargets_TVD,V224))</f>
        <v/>
      </c>
      <c r="AS224" s="207" t="str">
        <f>IF(OR(E224="",E224&lt;$U$2,AO224=""),"",ProjMetersToSlide(D224,W224,X224,Q224,C224,ProjTargets_MD,ProjTargets_INC,ProjTargets_AZM,ProjTargets_TVD,V224))</f>
        <v/>
      </c>
      <c r="AT224" s="207" t="str">
        <f>IF(OR(E224="",E224&lt;$U$2,AO224=""),"",ProjRequiredTf(D224,W224,X224,ProjTargets_MD,ProjTargets_INC,ProjTargets_AZM,ProjTargets_TVD,5,V224))</f>
        <v/>
      </c>
    </row>
    <row r="225" spans="2:46" s="209" customFormat="1" ht="15" customHeight="1" x14ac:dyDescent="0.3">
      <c r="B225" s="208">
        <f t="shared" si="59"/>
        <v>17</v>
      </c>
      <c r="C225" s="335">
        <f t="shared" si="66"/>
        <v>28.729999999999563</v>
      </c>
      <c r="D225" s="27">
        <v>5625.74</v>
      </c>
      <c r="E225" s="336">
        <f t="shared" si="67"/>
        <v>5608.74</v>
      </c>
      <c r="F225" s="9">
        <v>89.76</v>
      </c>
      <c r="G225" s="9">
        <v>1.63</v>
      </c>
      <c r="H225" s="337">
        <f t="shared" si="60"/>
        <v>3066.3766064707211</v>
      </c>
      <c r="I225" s="337">
        <f t="shared" si="71"/>
        <v>2294.1266064707211</v>
      </c>
      <c r="J225" s="338">
        <f t="shared" si="68"/>
        <v>2.3371093925324145</v>
      </c>
      <c r="K225" s="339">
        <f t="shared" si="69"/>
        <v>-1.8482422554820985</v>
      </c>
      <c r="L225" s="339">
        <f t="shared" si="70"/>
        <v>1.4305603898364294</v>
      </c>
      <c r="M225" s="339" t="str">
        <f t="shared" si="61"/>
        <v/>
      </c>
      <c r="N225" s="340">
        <f t="shared" si="62"/>
        <v>142.26258467143012</v>
      </c>
      <c r="O225" s="341" t="str">
        <f t="shared" si="63"/>
        <v>R</v>
      </c>
      <c r="P225" s="342" t="str">
        <f t="shared" si="64"/>
        <v/>
      </c>
      <c r="Q225" s="343" t="str">
        <f t="shared" si="65"/>
        <v/>
      </c>
      <c r="R225" s="10" t="str">
        <f t="shared" si="75"/>
        <v/>
      </c>
      <c r="S225" s="337" t="str">
        <f t="shared" si="58"/>
        <v/>
      </c>
      <c r="T225" s="9"/>
      <c r="U225" s="8"/>
      <c r="V225" s="202">
        <f>IF(OR(E225="",E225&lt;$U$2),"",ProjTvdAtBit(E225,F225,G225,H225,D225,W225,X225))</f>
        <v>3066.4478156959631</v>
      </c>
      <c r="W225" s="344">
        <f>IF(OR(E225="",E225&lt;$U$2),"",ProjIncAtBit(F225,J225,C225,M225,AJ225,IF(AK225="",0,AK225)))</f>
        <v>89.76</v>
      </c>
      <c r="X225" s="455">
        <f>IF(OR(E225="",E225&lt;$U$2),"",ProjAzmAtBit(F225,G225,J225,C225,M225,AJ225,IF(AK225="",0,AK225)))</f>
        <v>1.63</v>
      </c>
      <c r="Y225" s="461"/>
      <c r="Z225" s="206"/>
      <c r="AA225" s="512">
        <f t="shared" si="73"/>
        <v>89.570277624940417</v>
      </c>
      <c r="AB225" s="520">
        <f t="shared" si="74"/>
        <v>3.5664435292787857</v>
      </c>
      <c r="AC225" s="510"/>
      <c r="AD225" s="515"/>
      <c r="AE225" s="516"/>
      <c r="AJ225" s="452">
        <f>IF(OR(E225="",D225=""),0,ProjSlideMetersBetween(E225,D225,$R$13:$R$305,$S$13:$S$305))</f>
        <v>0</v>
      </c>
      <c r="AK225" s="452" t="str">
        <f>IF(U225="","",ProjParseTF(U225))</f>
        <v/>
      </c>
      <c r="AL225" s="219">
        <f>IF(E225="","",ProjCumN(AL224,E224,F224,G224,E225,F225,G225,FALSE))</f>
        <v>2632.5744768732675</v>
      </c>
      <c r="AM225" s="331">
        <f>IF(E225="","",ProjCumE(AM224,E224,F224,G224,E225,F225,G225,FALSE))</f>
        <v>130.85646099774067</v>
      </c>
      <c r="AN225" s="330">
        <f t="shared" si="72"/>
        <v>1.63</v>
      </c>
      <c r="AO225" s="330" t="str">
        <f>IF(OR(E225="",E225&lt;$U$2),"",ProjActiveTargetMdEx(D225,W225,V225,ProjTargets_MD,ProjTargets_INC,ProjTargets_AZM,ProjTargets_TVD,F225,H225))</f>
        <v/>
      </c>
      <c r="AP225" s="207">
        <f>IF(OR(E225="",E225&lt;$U$2),"",ProjBitN(E225,F225,G225,AL225,D225,W225,X225))</f>
        <v>2649.5674488839186</v>
      </c>
      <c r="AQ225" s="207">
        <f>IF(OR(E225="",E225&lt;$U$2),"",ProjBitE(E225,F225,G225,AM225,D225,W225,X225))</f>
        <v>131.34002225701252</v>
      </c>
      <c r="AR225" s="207" t="str">
        <f>IF(OR(E225="",E225&lt;$U$2,AO225=""),"",ProjBurr(D225,W225,X225,Q225,C225,ProjTargets_MD,ProjTargets_INC,ProjTargets_AZM,ProjTargets_TVD,V225))</f>
        <v/>
      </c>
      <c r="AS225" s="207" t="str">
        <f>IF(OR(E225="",E225&lt;$U$2,AO225=""),"",ProjMetersToSlide(D225,W225,X225,Q225,C225,ProjTargets_MD,ProjTargets_INC,ProjTargets_AZM,ProjTargets_TVD,V225))</f>
        <v/>
      </c>
      <c r="AT225" s="207" t="str">
        <f>IF(OR(E225="",E225&lt;$U$2,AO225=""),"",ProjRequiredTf(D225,W225,X225,ProjTargets_MD,ProjTargets_INC,ProjTargets_AZM,ProjTargets_TVD,5,V225))</f>
        <v/>
      </c>
    </row>
    <row r="226" spans="2:46" s="209" customFormat="1" ht="15" customHeight="1" x14ac:dyDescent="0.3">
      <c r="B226" s="208">
        <f t="shared" si="59"/>
        <v>17</v>
      </c>
      <c r="C226" s="335">
        <f t="shared" si="66"/>
        <v>28.730000000000473</v>
      </c>
      <c r="D226" s="27">
        <v>5654.47</v>
      </c>
      <c r="E226" s="336">
        <f t="shared" si="67"/>
        <v>5637.47</v>
      </c>
      <c r="F226" s="9">
        <v>86.92</v>
      </c>
      <c r="G226" s="9">
        <v>3.51</v>
      </c>
      <c r="H226" s="337">
        <f>IF(ISNUMBER(F226),COS(((F226+F225)/2)*(PI()/180))*(E226-E225)+H225,"")</f>
        <v>3067.2088689614761</v>
      </c>
      <c r="I226" s="337">
        <f t="shared" si="71"/>
        <v>2294.9588689614761</v>
      </c>
      <c r="J226" s="338">
        <f>IF(AND(ISNUMBER(E226),ISNUMBER(F226),ISNUMBER(G226)),ACOS(SIN(F225*PI()/180)*SIN(F226*PI()/180)*COS((G226*PI()/180)-(G225*PI()/180))+COS(F225*PI()/180)*COS(F226*PI()/180))*30/(E226-E225)*180/PI(),"")</f>
        <v>3.5558670593925306</v>
      </c>
      <c r="K226" s="339">
        <f>IF(F226=0," ",SUM(F226-F225)/SUM(E226-E225)*30)</f>
        <v>-2.9655412460841872</v>
      </c>
      <c r="L226" s="339">
        <f t="shared" si="70"/>
        <v>1.9631047685346001</v>
      </c>
      <c r="M226" s="339" t="str">
        <f t="shared" si="61"/>
        <v/>
      </c>
      <c r="N226" s="340">
        <f>IF(J226=0,"",IF(AND(ISNUMBER(F226),ISNUMBER(J226)),(IF(AND(F226&gt;F225,G226=G225),0,IF(AND(F226&lt;F225,G226=G225),180,IF(AND(G225=0,G226&gt;0),G226,ACOS((C226*K226/30)/(C226*J226/30))*180/PI())))),""))</f>
        <v>146.51033944931447</v>
      </c>
      <c r="O226" s="341" t="str">
        <f>IF(F226="","",IF(N226="","",IF(F226&lt;5,"Mag",IF(L226&lt;0,"L",IF(N226=0,"HS",IF(N226=360,"HS",IF(N226=180,"LS","R")))))))</f>
        <v>R</v>
      </c>
      <c r="P226" s="342" t="str">
        <f>IF(F226="","",IF(M226="","",SUM((F226-F225)/M226)))</f>
        <v/>
      </c>
      <c r="Q226" s="343" t="str">
        <f>IF(ISBLANK(F226),"",IF(J226="", "", IF(M226="","",SUM(C226*J226/M226))))</f>
        <v/>
      </c>
      <c r="R226" s="10" t="str">
        <f t="shared" si="75"/>
        <v/>
      </c>
      <c r="S226" s="337" t="str">
        <f t="shared" si="58"/>
        <v/>
      </c>
      <c r="T226" s="9"/>
      <c r="U226" s="8"/>
      <c r="V226" s="202">
        <f>IF(OR(E226="",E226&lt;$U$2),"",ProjTvdAtBit(E226,F226,G226,H226,D226,W226,X226))</f>
        <v>3068.1222832904446</v>
      </c>
      <c r="W226" s="344">
        <f>IF(OR(E226="",E226&lt;$U$2),"",ProjIncAtBit(F226,J226,C226,M226,AJ226,IF(AK226="",0,AK226)))</f>
        <v>86.92</v>
      </c>
      <c r="X226" s="455">
        <f>IF(OR(E226="",E226&lt;$U$2),"",ProjAzmAtBit(F226,G226,J226,C226,M226,AJ226,IF(AK226="",0,AK226)))</f>
        <v>3.51</v>
      </c>
      <c r="Y226" s="461"/>
      <c r="Z226" s="206"/>
      <c r="AA226" s="512">
        <f t="shared" si="73"/>
        <v>89.570277624940417</v>
      </c>
      <c r="AB226" s="520">
        <f t="shared" si="74"/>
        <v>2.949656038523699</v>
      </c>
      <c r="AC226" s="510"/>
      <c r="AD226" s="515"/>
      <c r="AE226" s="516"/>
      <c r="AJ226" s="452">
        <f>IF(OR(E226="",D226=""),0,ProjSlideMetersBetween(E226,D226,$R$13:$R$305,$S$13:$S$305))</f>
        <v>0</v>
      </c>
      <c r="AK226" s="452" t="str">
        <f>IF(U226="","",ProjParseTF(U226))</f>
        <v/>
      </c>
      <c r="AL226" s="219">
        <f>IF(E226="","",ProjCumN(AL225,E225,F225,G225,E226,F226,G226,FALSE))</f>
        <v>2661.2593242641619</v>
      </c>
      <c r="AM226" s="331">
        <f>IF(E226="","",ProjCumE(AM225,E225,F225,G225,E226,F226,G226,FALSE))</f>
        <v>132.14364353931467</v>
      </c>
      <c r="AN226" s="330">
        <f t="shared" si="72"/>
        <v>3.51</v>
      </c>
      <c r="AO226" s="330" t="str">
        <f>IF(OR(E226="",E226&lt;$U$2),"",ProjActiveTargetMdEx(D226,W226,V226,ProjTargets_MD,ProjTargets_INC,ProjTargets_AZM,ProjTargets_TVD,F226,H226))</f>
        <v/>
      </c>
      <c r="AP226" s="207">
        <f>IF(OR(E226="",E226&lt;$U$2),"",ProjBitN(E226,F226,G226,AL226,D226,W226,X226))</f>
        <v>2678.2029237809948</v>
      </c>
      <c r="AQ226" s="207">
        <f>IF(OR(E226="",E226&lt;$U$2),"",ProjBitE(E226,F226,G226,AM226,D226,W226,X226))</f>
        <v>133.1829267907973</v>
      </c>
      <c r="AR226" s="207" t="str">
        <f>IF(OR(E226="",E226&lt;$U$2,AO226=""),"",ProjBurr(D226,W226,X226,Q226,C226,ProjTargets_MD,ProjTargets_INC,ProjTargets_AZM,ProjTargets_TVD,V226))</f>
        <v/>
      </c>
      <c r="AS226" s="207" t="str">
        <f>IF(OR(E226="",E226&lt;$U$2,AO226=""),"",ProjMetersToSlide(D226,W226,X226,Q226,C226,ProjTargets_MD,ProjTargets_INC,ProjTargets_AZM,ProjTargets_TVD,V226))</f>
        <v/>
      </c>
      <c r="AT226" s="207" t="str">
        <f>IF(OR(E226="",E226&lt;$U$2,AO226=""),"",ProjRequiredTf(D226,W226,X226,ProjTargets_MD,ProjTargets_INC,ProjTargets_AZM,ProjTargets_TVD,5,V226))</f>
        <v/>
      </c>
    </row>
    <row r="227" spans="2:46" s="209" customFormat="1" ht="15" customHeight="1" x14ac:dyDescent="0.3">
      <c r="B227" s="208">
        <f t="shared" si="59"/>
        <v>17</v>
      </c>
      <c r="C227" s="335">
        <f t="shared" si="66"/>
        <v>28.739999999999782</v>
      </c>
      <c r="D227" s="27">
        <v>5683.21</v>
      </c>
      <c r="E227" s="336">
        <f t="shared" si="67"/>
        <v>5666.21</v>
      </c>
      <c r="F227" s="9">
        <v>86.13</v>
      </c>
      <c r="G227" s="9">
        <v>3.59</v>
      </c>
      <c r="H227" s="337">
        <f>IF(ISNUMBER(F227),COS(((F227+F226)/2)*(PI()/180))*(E227-E226)+H226,"")</f>
        <v>3068.9508870203936</v>
      </c>
      <c r="I227" s="337">
        <f t="shared" si="71"/>
        <v>2296.7008870203936</v>
      </c>
      <c r="J227" s="338">
        <f>IF(AND(ISNUMBER(E227),ISNUMBER(F227),ISNUMBER(G227)),ACOS(SIN(F226*PI()/180)*SIN(F227*PI()/180)*COS((G227*PI()/180)-(G226*PI()/180))+COS(F226*PI()/180)*COS(F227*PI()/180))*30/(E227-E226)*180/PI(),"")</f>
        <v>0.82883656653191928</v>
      </c>
      <c r="K227" s="339">
        <f>IF(F227=0," ",SUM(F227-F226)/SUM(E227-E226)*30)</f>
        <v>-0.82463465553237192</v>
      </c>
      <c r="L227" s="339">
        <f t="shared" si="70"/>
        <v>8.3507306889353525E-2</v>
      </c>
      <c r="M227" s="339" t="str">
        <f t="shared" si="61"/>
        <v/>
      </c>
      <c r="N227" s="340">
        <f>IF(J227=0,"",IF(AND(ISNUMBER(F227),ISNUMBER(J227)),(IF(AND(F227&gt;F226,G227=G226),0,IF(AND(F227&lt;F226,G227=G226),180,IF(AND(G226=0,G227&gt;0),G227,ACOS((C227*K227/30)/(C227*J227/30))*180/PI())))),""))</f>
        <v>174.22821359421522</v>
      </c>
      <c r="O227" s="341" t="str">
        <f>IF(F227="","",IF(N227="","",IF(F227&lt;5,"Mag",IF(L227&lt;0,"L",IF(N227=0,"HS",IF(N227=360,"HS",IF(N227=180,"LS","R")))))))</f>
        <v>R</v>
      </c>
      <c r="P227" s="342" t="str">
        <f>IF(F227="","",IF(M227="","",SUM((F227-F226)/M227)))</f>
        <v/>
      </c>
      <c r="Q227" s="343" t="str">
        <f>IF(ISBLANK(F227),"",IF(J227="", "", IF(M227="","",SUM(C227*J227/M227))))</f>
        <v/>
      </c>
      <c r="R227" s="10" t="str">
        <f t="shared" si="75"/>
        <v/>
      </c>
      <c r="S227" s="337" t="str">
        <f t="shared" si="58"/>
        <v/>
      </c>
      <c r="T227" s="9"/>
      <c r="U227" s="8"/>
      <c r="V227" s="202">
        <f>IF(OR(E227="",E227&lt;$U$2),"",ProjTvdAtBit(E227,F227,G227,H227,D227,W227,X227))</f>
        <v>3070.0982662370748</v>
      </c>
      <c r="W227" s="344">
        <f>IF(OR(E227="",E227&lt;$U$2),"",ProjIncAtBit(F227,J227,C227,M227,AJ227,IF(AK227="",0,AK227)))</f>
        <v>86.13</v>
      </c>
      <c r="X227" s="455">
        <f>IF(OR(E227="",E227&lt;$U$2),"",ProjAzmAtBit(F227,G227,J227,C227,M227,AJ227,IF(AK227="",0,AK227)))</f>
        <v>3.59</v>
      </c>
      <c r="Y227" s="461"/>
      <c r="Z227" s="206"/>
      <c r="AA227" s="512">
        <f t="shared" si="73"/>
        <v>89.570277624940417</v>
      </c>
      <c r="AB227" s="520">
        <f t="shared" si="74"/>
        <v>1.4231879796066096</v>
      </c>
      <c r="AC227" s="510"/>
      <c r="AD227" s="515"/>
      <c r="AE227" s="516"/>
      <c r="AJ227" s="452">
        <f>IF(OR(E227="",D227=""),0,ProjSlideMetersBetween(E227,D227,$R$13:$R$305,$S$13:$S$305))</f>
        <v>0</v>
      </c>
      <c r="AK227" s="452" t="str">
        <f>IF(U227="","",ProjParseTF(U227))</f>
        <v/>
      </c>
      <c r="AL227" s="219">
        <f>IF(E227="","",ProjCumN(AL226,E226,F226,G226,E227,F227,G227,FALSE))</f>
        <v>2689.8912060344974</v>
      </c>
      <c r="AM227" s="331">
        <f>IF(E227="","",ProjCumE(AM226,E226,F226,G226,E227,F227,G227,FALSE))</f>
        <v>133.91991689262002</v>
      </c>
      <c r="AN227" s="330">
        <f t="shared" si="72"/>
        <v>3.59</v>
      </c>
      <c r="AO227" s="330" t="str">
        <f>IF(OR(E227="",E227&lt;$U$2),"",ProjActiveTargetMdEx(D227,W227,V227,ProjTargets_MD,ProjTargets_INC,ProjTargets_AZM,ProjTargets_TVD,F227,H227))</f>
        <v/>
      </c>
      <c r="AP227" s="207">
        <f>IF(OR(E227="",E227&lt;$U$2),"",ProjBitN(E227,F227,G227,AL227,D227,W227,X227))</f>
        <v>2706.8191583621292</v>
      </c>
      <c r="AQ227" s="207">
        <f>IF(OR(E227="",E227&lt;$U$2),"",ProjBitE(E227,F227,G227,AM227,D227,W227,X227))</f>
        <v>134.98196723349523</v>
      </c>
      <c r="AR227" s="207" t="str">
        <f>IF(OR(E227="",E227&lt;$U$2,AO227=""),"",ProjBurr(D227,W227,X227,Q227,C227,ProjTargets_MD,ProjTargets_INC,ProjTargets_AZM,ProjTargets_TVD,V227))</f>
        <v/>
      </c>
      <c r="AS227" s="207" t="str">
        <f>IF(OR(E227="",E227&lt;$U$2,AO227=""),"",ProjMetersToSlide(D227,W227,X227,Q227,C227,ProjTargets_MD,ProjTargets_INC,ProjTargets_AZM,ProjTargets_TVD,V227))</f>
        <v/>
      </c>
      <c r="AT227" s="207" t="str">
        <f>IF(OR(E227="",E227&lt;$U$2,AO227=""),"",ProjRequiredTf(D227,W227,X227,ProjTargets_MD,ProjTargets_INC,ProjTargets_AZM,ProjTargets_TVD,5,V227))</f>
        <v/>
      </c>
    </row>
    <row r="228" spans="2:46" s="209" customFormat="1" ht="15" customHeight="1" x14ac:dyDescent="0.3">
      <c r="B228" s="208">
        <f t="shared" si="59"/>
        <v>17</v>
      </c>
      <c r="C228" s="335">
        <f t="shared" si="66"/>
        <v>28.769999999999527</v>
      </c>
      <c r="D228" s="27">
        <v>5711.98</v>
      </c>
      <c r="E228" s="336">
        <f t="shared" si="67"/>
        <v>5694.98</v>
      </c>
      <c r="F228" s="9">
        <v>86.84</v>
      </c>
      <c r="G228" s="9">
        <v>4.4400000000000004</v>
      </c>
      <c r="H228" s="337">
        <f>IF(ISNUMBER(F228),COS(((F228+F227)/2)*(PI()/180))*(E228-E227)+H227,"")</f>
        <v>3070.7147713622835</v>
      </c>
      <c r="I228" s="337">
        <f t="shared" si="71"/>
        <v>2298.4647713622835</v>
      </c>
      <c r="J228" s="338">
        <f>IF(AND(ISNUMBER(E228),ISNUMBER(F228),ISNUMBER(G228)),ACOS(SIN(F227*PI()/180)*SIN(F228*PI()/180)*COS((G228*PI()/180)-(G227*PI()/180))+COS(F227*PI()/180)*COS(F228*PI()/180))*30/(E228-E227)*180/PI(),"")</f>
        <v>1.1535857822222715</v>
      </c>
      <c r="K228" s="339">
        <f>IF(F228=0," ",SUM(F228-F227)/SUM(E228-E227)*30)</f>
        <v>0.74035453597499434</v>
      </c>
      <c r="L228" s="339">
        <f t="shared" si="70"/>
        <v>0.88633993743484307</v>
      </c>
      <c r="M228" s="339" t="str">
        <f t="shared" si="61"/>
        <v/>
      </c>
      <c r="N228" s="340">
        <f>IF(J228=0,"",IF(AND(ISNUMBER(F228),ISNUMBER(J228)),(IF(AND(F228&gt;F227,G228=G227),0,IF(AND(F228&lt;F227,G228=G227),180,IF(AND(G227=0,G228&gt;0),G228,ACOS((C228*K228/30)/(C228*J228/30))*180/PI())))),""))</f>
        <v>50.074917012988188</v>
      </c>
      <c r="O228" s="341" t="str">
        <f t="shared" si="63"/>
        <v>R</v>
      </c>
      <c r="P228" s="342" t="str">
        <f>IF(F228="","",IF(M228="","",SUM((F228-F227)/M228)))</f>
        <v/>
      </c>
      <c r="Q228" s="343" t="str">
        <f t="shared" si="65"/>
        <v/>
      </c>
      <c r="R228" s="10" t="str">
        <f t="shared" si="75"/>
        <v/>
      </c>
      <c r="S228" s="337" t="str">
        <f t="shared" si="58"/>
        <v/>
      </c>
      <c r="T228" s="9"/>
      <c r="U228" s="8"/>
      <c r="V228" s="202">
        <f>IF(OR(E228="",E228&lt;$U$2),"",ProjTvdAtBit(E228,F228,G228,H228,D228,W228,X228))</f>
        <v>3071.6518869833426</v>
      </c>
      <c r="W228" s="344">
        <f>IF(OR(E228="",E228&lt;$U$2),"",ProjIncAtBit(F228,J228,C228,M228,AJ228,IF(AK228="",0,AK228)))</f>
        <v>86.84</v>
      </c>
      <c r="X228" s="455">
        <f>IF(OR(E228="",E228&lt;$U$2),"",ProjAzmAtBit(F228,G228,J228,C228,M228,AJ228,IF(AK228="",0,AK228)))</f>
        <v>4.4400000000000004</v>
      </c>
      <c r="Y228" s="461"/>
      <c r="Z228" s="206"/>
      <c r="AA228" s="512">
        <f t="shared" si="73"/>
        <v>89.713519908759096</v>
      </c>
      <c r="AB228" s="520">
        <f t="shared" si="74"/>
        <v>-0.15487136228330201</v>
      </c>
      <c r="AC228" s="510"/>
      <c r="AD228" s="515"/>
      <c r="AE228" s="516"/>
      <c r="AJ228" s="452">
        <f>IF(OR(E228="",D228=""),0,ProjSlideMetersBetween(E228,D228,$R$13:$R$305,$S$13:$S$305))</f>
        <v>0</v>
      </c>
      <c r="AK228" s="452" t="str">
        <f>IF(U228="","",ProjParseTF(U228))</f>
        <v/>
      </c>
      <c r="AL228" s="219">
        <f>IF(E228="","",ProjCumN(AL227,E227,F227,G227,E228,F228,G228,FALSE))</f>
        <v>2718.5361539432301</v>
      </c>
      <c r="AM228" s="331">
        <f>IF(E228="","",ProjCumE(AM227,E227,F227,G227,E228,F228,G228,FALSE))</f>
        <v>135.9305840828886</v>
      </c>
      <c r="AN228" s="330">
        <f t="shared" si="72"/>
        <v>4.4400000000000004</v>
      </c>
      <c r="AO228" s="330" t="str">
        <f>IF(OR(E228="",E228&lt;$U$2),"",ProjActiveTargetMdEx(D228,W228,V228,ProjTargets_MD,ProjTargets_INC,ProjTargets_AZM,ProjTargets_TVD,F228,H228))</f>
        <v/>
      </c>
      <c r="AP228" s="207">
        <f>IF(OR(E228="",E228&lt;$U$2),"",ProjBitN(E228,F228,G228,AL228,D228,W228,X228))</f>
        <v>2735.4593650115671</v>
      </c>
      <c r="AQ228" s="207">
        <f>IF(OR(E228="",E228&lt;$U$2),"",ProjBitE(E228,F228,G228,AM228,D228,W228,X228))</f>
        <v>137.24463942771951</v>
      </c>
      <c r="AR228" s="207" t="str">
        <f>IF(OR(E228="",E228&lt;$U$2,AO228=""),"",ProjBurr(D228,W228,X228,Q228,C228,ProjTargets_MD,ProjTargets_INC,ProjTargets_AZM,ProjTargets_TVD,V228))</f>
        <v/>
      </c>
      <c r="AS228" s="207" t="str">
        <f>IF(OR(E228="",E228&lt;$U$2,AO228=""),"",ProjMetersToSlide(D228,W228,X228,Q228,C228,ProjTargets_MD,ProjTargets_INC,ProjTargets_AZM,ProjTargets_TVD,V228))</f>
        <v/>
      </c>
      <c r="AT228" s="207" t="str">
        <f>IF(OR(E228="",E228&lt;$U$2,AO228=""),"",ProjRequiredTf(D228,W228,X228,ProjTargets_MD,ProjTargets_INC,ProjTargets_AZM,ProjTargets_TVD,5,V228))</f>
        <v/>
      </c>
    </row>
    <row r="229" spans="2:46" s="209" customFormat="1" ht="15" customHeight="1" x14ac:dyDescent="0.3">
      <c r="B229" s="208">
        <f t="shared" si="59"/>
        <v>17</v>
      </c>
      <c r="C229" s="335">
        <f t="shared" si="66"/>
        <v>28.840000000000146</v>
      </c>
      <c r="D229" s="27">
        <v>5740.82</v>
      </c>
      <c r="E229" s="336">
        <f t="shared" si="67"/>
        <v>5723.82</v>
      </c>
      <c r="F229" s="9">
        <v>88.56</v>
      </c>
      <c r="G229" s="9">
        <v>4.33</v>
      </c>
      <c r="H229" s="337">
        <f t="shared" si="60"/>
        <v>3071.8721722589225</v>
      </c>
      <c r="I229" s="337">
        <f t="shared" si="71"/>
        <v>2299.6221722589225</v>
      </c>
      <c r="J229" s="338">
        <f t="shared" si="68"/>
        <v>1.7928307225226701</v>
      </c>
      <c r="K229" s="339">
        <f t="shared" si="69"/>
        <v>1.7891816920943033</v>
      </c>
      <c r="L229" s="339">
        <f t="shared" si="70"/>
        <v>-0.11442441054091515</v>
      </c>
      <c r="M229" s="339" t="str">
        <f t="shared" si="61"/>
        <v/>
      </c>
      <c r="N229" s="340">
        <f t="shared" si="62"/>
        <v>3.6562039953055692</v>
      </c>
      <c r="O229" s="341" t="str">
        <f t="shared" si="63"/>
        <v>L</v>
      </c>
      <c r="P229" s="342" t="str">
        <f t="shared" si="64"/>
        <v/>
      </c>
      <c r="Q229" s="343" t="str">
        <f t="shared" si="65"/>
        <v/>
      </c>
      <c r="R229" s="10" t="str">
        <f t="shared" si="75"/>
        <v/>
      </c>
      <c r="S229" s="337" t="str">
        <f t="shared" si="58"/>
        <v/>
      </c>
      <c r="T229" s="9"/>
      <c r="U229" s="8"/>
      <c r="V229" s="202">
        <f>IF(OR(E229="",E229&lt;$U$2),"",ProjTvdAtBit(E229,F229,G229,H229,D229,W229,X229))</f>
        <v>3072.2993838814591</v>
      </c>
      <c r="W229" s="344">
        <f>IF(OR(E229="",E229&lt;$U$2),"",ProjIncAtBit(F229,J229,C229,M229,AJ229,IF(AK229="",0,AK229)))</f>
        <v>88.56</v>
      </c>
      <c r="X229" s="455">
        <f>IF(OR(E229="",E229&lt;$U$2),"",ProjAzmAtBit(F229,G229,J229,C229,M229,AJ229,IF(AK229="",0,AK229)))</f>
        <v>4.33</v>
      </c>
      <c r="Y229" s="461"/>
      <c r="Z229" s="206"/>
      <c r="AA229" s="512">
        <f t="shared" si="73"/>
        <v>89.713519908759096</v>
      </c>
      <c r="AB229" s="520">
        <f t="shared" si="74"/>
        <v>-1.1680722589226207</v>
      </c>
      <c r="AC229" s="510"/>
      <c r="AD229" s="515"/>
      <c r="AE229" s="516"/>
      <c r="AJ229" s="452">
        <f>IF(OR(E229="",D229=""),0,ProjSlideMetersBetween(E229,D229,$R$13:$R$305,$S$13:$S$305))</f>
        <v>0</v>
      </c>
      <c r="AK229" s="452" t="str">
        <f>IF(U229="","",ProjParseTF(U229))</f>
        <v/>
      </c>
      <c r="AL229" s="219">
        <f>IF(E229="","",ProjCumN(AL228,E228,F228,G228,E229,F229,G229,FALSE))</f>
        <v>2747.2674859302042</v>
      </c>
      <c r="AM229" s="331">
        <f>IF(E229="","",ProjCumE(AM228,E228,F228,G228,E229,F229,G229,FALSE))</f>
        <v>138.13375664093979</v>
      </c>
      <c r="AN229" s="330">
        <f t="shared" si="72"/>
        <v>4.33</v>
      </c>
      <c r="AO229" s="330" t="str">
        <f>IF(OR(E229="",E229&lt;$U$2),"",ProjActiveTargetMdEx(D229,W229,V229,ProjTargets_MD,ProjTargets_INC,ProjTargets_AZM,ProjTargets_TVD,F229,H229))</f>
        <v/>
      </c>
      <c r="AP229" s="207">
        <f>IF(OR(E229="",E229&lt;$U$2),"",ProjBitN(E229,F229,G229,AL229,D229,W229,X229))</f>
        <v>2764.2136100190423</v>
      </c>
      <c r="AQ229" s="207">
        <f>IF(OR(E229="",E229&lt;$U$2),"",ProjBitE(E229,F229,G229,AM229,D229,W229,X229))</f>
        <v>139.41686559783903</v>
      </c>
      <c r="AR229" s="207" t="str">
        <f>IF(OR(E229="",E229&lt;$U$2,AO229=""),"",ProjBurr(D229,W229,X229,Q229,C229,ProjTargets_MD,ProjTargets_INC,ProjTargets_AZM,ProjTargets_TVD,V229))</f>
        <v/>
      </c>
      <c r="AS229" s="207" t="str">
        <f>IF(OR(E229="",E229&lt;$U$2,AO229=""),"",ProjMetersToSlide(D229,W229,X229,Q229,C229,ProjTargets_MD,ProjTargets_INC,ProjTargets_AZM,ProjTargets_TVD,V229))</f>
        <v/>
      </c>
      <c r="AT229" s="207" t="str">
        <f>IF(OR(E229="",E229&lt;$U$2,AO229=""),"",ProjRequiredTf(D229,W229,X229,ProjTargets_MD,ProjTargets_INC,ProjTargets_AZM,ProjTargets_TVD,5,V229))</f>
        <v/>
      </c>
    </row>
    <row r="230" spans="2:46" s="209" customFormat="1" ht="15" customHeight="1" x14ac:dyDescent="0.3">
      <c r="B230" s="208">
        <f t="shared" si="59"/>
        <v>17</v>
      </c>
      <c r="C230" s="335">
        <f t="shared" si="66"/>
        <v>28.739999999999782</v>
      </c>
      <c r="D230" s="27">
        <v>5769.5599999999995</v>
      </c>
      <c r="E230" s="336">
        <f t="shared" si="67"/>
        <v>5752.56</v>
      </c>
      <c r="F230" s="9">
        <v>89.19</v>
      </c>
      <c r="G230" s="9">
        <v>4.3099999999999996</v>
      </c>
      <c r="H230" s="337">
        <f t="shared" si="60"/>
        <v>3072.4364445802412</v>
      </c>
      <c r="I230" s="337">
        <f t="shared" si="71"/>
        <v>2300.1864445802412</v>
      </c>
      <c r="J230" s="338">
        <f t="shared" si="68"/>
        <v>0.65795120549128261</v>
      </c>
      <c r="K230" s="339">
        <f t="shared" si="69"/>
        <v>0.65762004175363287</v>
      </c>
      <c r="L230" s="339">
        <f t="shared" si="70"/>
        <v>-2.0876826722338183E-2</v>
      </c>
      <c r="M230" s="339" t="str">
        <f t="shared" si="61"/>
        <v/>
      </c>
      <c r="N230" s="340">
        <f t="shared" si="62"/>
        <v>1.8179435442144676</v>
      </c>
      <c r="O230" s="341" t="str">
        <f t="shared" si="63"/>
        <v>L</v>
      </c>
      <c r="P230" s="342" t="str">
        <f t="shared" si="64"/>
        <v/>
      </c>
      <c r="Q230" s="343" t="str">
        <f t="shared" si="65"/>
        <v/>
      </c>
      <c r="R230" s="10" t="str">
        <f t="shared" si="75"/>
        <v/>
      </c>
      <c r="S230" s="337" t="str">
        <f t="shared" si="58"/>
        <v/>
      </c>
      <c r="T230" s="9"/>
      <c r="U230" s="8"/>
      <c r="V230" s="202">
        <f>IF(OR(E230="",E230&lt;$U$2),"",ProjTvdAtBit(E230,F230,G230,H230,D230,W230,X230))</f>
        <v>3072.6767684128877</v>
      </c>
      <c r="W230" s="344">
        <f>IF(OR(E230="",E230&lt;$U$2),"",ProjIncAtBit(F230,J230,C230,M230,AJ230,IF(AK230="",0,AK230)))</f>
        <v>89.19</v>
      </c>
      <c r="X230" s="455">
        <f>IF(OR(E230="",E230&lt;$U$2),"",ProjAzmAtBit(F230,G230,J230,C230,M230,AJ230,IF(AK230="",0,AK230)))</f>
        <v>4.3099999999999996</v>
      </c>
      <c r="Y230" s="461"/>
      <c r="Z230" s="206"/>
      <c r="AA230" s="512">
        <f t="shared" si="73"/>
        <v>89.713519908759096</v>
      </c>
      <c r="AB230" s="520">
        <f t="shared" si="74"/>
        <v>-1.5886445802411799</v>
      </c>
      <c r="AC230" s="510"/>
      <c r="AD230" s="515"/>
      <c r="AE230" s="516"/>
      <c r="AJ230" s="452">
        <f>IF(OR(E230="",D230=""),0,ProjSlideMetersBetween(E230,D230,$R$13:$R$305,$S$13:$S$305))</f>
        <v>0</v>
      </c>
      <c r="AK230" s="452" t="str">
        <f>IF(U230="","",ProjParseTF(U230))</f>
        <v/>
      </c>
      <c r="AL230" s="219">
        <f>IF(E230="","",ProjCumN(AL229,E229,F229,G229,E230,F230,G230,FALSE))</f>
        <v>2775.9201641082441</v>
      </c>
      <c r="AM230" s="331">
        <f>IF(E230="","",ProjCumE(AM229,E229,F229,G229,E230,F230,G230,FALSE))</f>
        <v>140.29822027352654</v>
      </c>
      <c r="AN230" s="330">
        <f t="shared" si="72"/>
        <v>4.3099999999999996</v>
      </c>
      <c r="AO230" s="330" t="str">
        <f>IF(OR(E230="",E230&lt;$U$2),"",ProjActiveTargetMdEx(D230,W230,V230,ProjTargets_MD,ProjTargets_INC,ProjTargets_AZM,ProjTargets_TVD,F230,H230))</f>
        <v/>
      </c>
      <c r="AP230" s="207">
        <f>IF(OR(E230="",E230&lt;$U$2),"",ProjBitN(E230,F230,G230,AL230,D230,W230,X230))</f>
        <v>2792.870394680338</v>
      </c>
      <c r="AQ230" s="207">
        <f>IF(OR(E230="",E230&lt;$U$2),"",ProjBitE(E230,F230,G230,AM230,D230,W230,X230))</f>
        <v>141.57568965017663</v>
      </c>
      <c r="AR230" s="207" t="str">
        <f>IF(OR(E230="",E230&lt;$U$2,AO230=""),"",ProjBurr(D230,W230,X230,Q230,C230,ProjTargets_MD,ProjTargets_INC,ProjTargets_AZM,ProjTargets_TVD,V230))</f>
        <v/>
      </c>
      <c r="AS230" s="207" t="str">
        <f>IF(OR(E230="",E230&lt;$U$2,AO230=""),"",ProjMetersToSlide(D230,W230,X230,Q230,C230,ProjTargets_MD,ProjTargets_INC,ProjTargets_AZM,ProjTargets_TVD,V230))</f>
        <v/>
      </c>
      <c r="AT230" s="207" t="str">
        <f>IF(OR(E230="",E230&lt;$U$2,AO230=""),"",ProjRequiredTf(D230,W230,X230,ProjTargets_MD,ProjTargets_INC,ProjTargets_AZM,ProjTargets_TVD,5,V230))</f>
        <v/>
      </c>
    </row>
    <row r="231" spans="2:46" s="209" customFormat="1" ht="15" customHeight="1" x14ac:dyDescent="0.3">
      <c r="B231" s="208">
        <f t="shared" si="59"/>
        <v>17</v>
      </c>
      <c r="C231" s="335">
        <f t="shared" si="66"/>
        <v>28.859999999999673</v>
      </c>
      <c r="D231" s="27">
        <v>5798.4199999999992</v>
      </c>
      <c r="E231" s="336">
        <f t="shared" si="67"/>
        <v>5781.42</v>
      </c>
      <c r="F231" s="9">
        <v>89.25</v>
      </c>
      <c r="G231" s="9">
        <v>3.78</v>
      </c>
      <c r="H231" s="337">
        <f t="shared" si="60"/>
        <v>3072.8293200220191</v>
      </c>
      <c r="I231" s="337">
        <f t="shared" si="71"/>
        <v>2300.5793200220191</v>
      </c>
      <c r="J231" s="338">
        <f t="shared" si="68"/>
        <v>0.55440393965996981</v>
      </c>
      <c r="K231" s="339">
        <f t="shared" si="69"/>
        <v>6.2370062370065441E-2</v>
      </c>
      <c r="L231" s="339">
        <f t="shared" si="70"/>
        <v>-0.55093555093555691</v>
      </c>
      <c r="M231" s="339" t="str">
        <f t="shared" si="61"/>
        <v/>
      </c>
      <c r="N231" s="340">
        <f t="shared" si="62"/>
        <v>83.540589832804372</v>
      </c>
      <c r="O231" s="341" t="str">
        <f t="shared" si="63"/>
        <v>L</v>
      </c>
      <c r="P231" s="342" t="str">
        <f t="shared" si="64"/>
        <v/>
      </c>
      <c r="Q231" s="343" t="str">
        <f t="shared" si="65"/>
        <v/>
      </c>
      <c r="R231" s="10" t="str">
        <f t="shared" si="75"/>
        <v/>
      </c>
      <c r="S231" s="337" t="str">
        <f t="shared" si="58"/>
        <v/>
      </c>
      <c r="T231" s="9"/>
      <c r="U231" s="8"/>
      <c r="V231" s="202">
        <f>IF(OR(E231="",E231&lt;$U$2),"",ProjTvdAtBit(E231,F231,G231,H231,D231,W231,X231))</f>
        <v>3073.0518431467322</v>
      </c>
      <c r="W231" s="344">
        <f>IF(OR(E231="",E231&lt;$U$2),"",ProjIncAtBit(F231,J231,C231,M231,AJ231,IF(AK231="",0,AK231)))</f>
        <v>89.25</v>
      </c>
      <c r="X231" s="455">
        <f>IF(OR(E231="",E231&lt;$U$2),"",ProjAzmAtBit(F231,G231,J231,C231,M231,AJ231,IF(AK231="",0,AK231)))</f>
        <v>3.78</v>
      </c>
      <c r="Y231" s="461"/>
      <c r="Z231" s="206"/>
      <c r="AA231" s="512">
        <f t="shared" si="73"/>
        <v>89.713519908759096</v>
      </c>
      <c r="AB231" s="520">
        <f t="shared" si="74"/>
        <v>-1.8372200220192099</v>
      </c>
      <c r="AC231" s="510"/>
      <c r="AD231" s="515"/>
      <c r="AE231" s="516"/>
      <c r="AJ231" s="452">
        <f>IF(OR(E231="",D231=""),0,ProjSlideMetersBetween(E231,D231,$R$13:$R$305,$S$13:$S$305))</f>
        <v>0</v>
      </c>
      <c r="AK231" s="452" t="str">
        <f>IF(U231="","",ProjParseTF(U231))</f>
        <v/>
      </c>
      <c r="AL231" s="219">
        <f>IF(E231="","",ProjCumN(AL230,E230,F230,G230,E231,F231,G231,FALSE))</f>
        <v>2804.7055010654553</v>
      </c>
      <c r="AM231" s="331">
        <f>IF(E231="","",ProjCumE(AM230,E230,F230,G230,E231,F231,G231,FALSE))</f>
        <v>142.33380591451436</v>
      </c>
      <c r="AN231" s="330">
        <f t="shared" si="72"/>
        <v>3.78</v>
      </c>
      <c r="AO231" s="330" t="str">
        <f>IF(OR(E231="",E231&lt;$U$2),"",ProjActiveTargetMdEx(D231,W231,V231,ProjTargets_MD,ProjTargets_INC,ProjTargets_AZM,ProjTargets_TVD,F231,H231))</f>
        <v/>
      </c>
      <c r="AP231" s="207">
        <f>IF(OR(E231="",E231&lt;$U$2),"",ProjBitN(E231,F231,G231,AL231,D231,W231,X231))</f>
        <v>2821.6670650073947</v>
      </c>
      <c r="AQ231" s="207">
        <f>IF(OR(E231="",E231&lt;$U$2),"",ProjBitE(E231,F231,G231,AM231,D231,W231,X231))</f>
        <v>143.45444506358723</v>
      </c>
      <c r="AR231" s="207" t="str">
        <f>IF(OR(E231="",E231&lt;$U$2,AO231=""),"",ProjBurr(D231,W231,X231,Q231,C231,ProjTargets_MD,ProjTargets_INC,ProjTargets_AZM,ProjTargets_TVD,V231))</f>
        <v/>
      </c>
      <c r="AS231" s="207" t="str">
        <f>IF(OR(E231="",E231&lt;$U$2,AO231=""),"",ProjMetersToSlide(D231,W231,X231,Q231,C231,ProjTargets_MD,ProjTargets_INC,ProjTargets_AZM,ProjTargets_TVD,V231))</f>
        <v/>
      </c>
      <c r="AT231" s="207" t="str">
        <f>IF(OR(E231="",E231&lt;$U$2,AO231=""),"",ProjRequiredTf(D231,W231,X231,ProjTargets_MD,ProjTargets_INC,ProjTargets_AZM,ProjTargets_TVD,5,V231))</f>
        <v/>
      </c>
    </row>
    <row r="232" spans="2:46" s="209" customFormat="1" ht="15" customHeight="1" x14ac:dyDescent="0.3">
      <c r="B232" s="208">
        <f t="shared" si="59"/>
        <v>17</v>
      </c>
      <c r="C232" s="335">
        <f t="shared" si="66"/>
        <v>28.800000000000182</v>
      </c>
      <c r="D232" s="27">
        <v>5827.2199999999993</v>
      </c>
      <c r="E232" s="336">
        <f t="shared" si="67"/>
        <v>5810.22</v>
      </c>
      <c r="F232" s="9">
        <v>89.41</v>
      </c>
      <c r="G232" s="9">
        <v>2.96</v>
      </c>
      <c r="H232" s="337">
        <f t="shared" si="60"/>
        <v>3073.1660910791943</v>
      </c>
      <c r="I232" s="337">
        <f t="shared" si="71"/>
        <v>2300.9160910791943</v>
      </c>
      <c r="J232" s="338">
        <f t="shared" si="68"/>
        <v>0.87021734824791663</v>
      </c>
      <c r="K232" s="339">
        <f t="shared" si="69"/>
        <v>0.16666666666666208</v>
      </c>
      <c r="L232" s="339">
        <f t="shared" si="70"/>
        <v>-0.85416666666666119</v>
      </c>
      <c r="M232" s="339" t="str">
        <f t="shared" si="61"/>
        <v/>
      </c>
      <c r="N232" s="340">
        <f t="shared" si="62"/>
        <v>78.95831993109114</v>
      </c>
      <c r="O232" s="341" t="str">
        <f t="shared" si="63"/>
        <v>L</v>
      </c>
      <c r="P232" s="342" t="str">
        <f t="shared" si="64"/>
        <v/>
      </c>
      <c r="Q232" s="343" t="str">
        <f t="shared" si="65"/>
        <v/>
      </c>
      <c r="R232" s="10" t="str">
        <f t="shared" si="75"/>
        <v/>
      </c>
      <c r="S232" s="337" t="str">
        <f t="shared" si="58"/>
        <v/>
      </c>
      <c r="T232" s="9"/>
      <c r="U232" s="8"/>
      <c r="V232" s="202">
        <f>IF(OR(E232="",E232&lt;$U$2),"",ProjTvdAtBit(E232,F232,G232,H232,D232,W232,X232))</f>
        <v>3073.3411445094316</v>
      </c>
      <c r="W232" s="344">
        <f>IF(OR(E232="",E232&lt;$U$2),"",ProjIncAtBit(F232,J232,C232,M232,AJ232,IF(AK232="",0,AK232)))</f>
        <v>89.41</v>
      </c>
      <c r="X232" s="455">
        <f>IF(OR(E232="",E232&lt;$U$2),"",ProjAzmAtBit(F232,G232,J232,C232,M232,AJ232,IF(AK232="",0,AK232)))</f>
        <v>2.96</v>
      </c>
      <c r="Y232" s="461"/>
      <c r="Z232" s="206"/>
      <c r="AA232" s="512">
        <f t="shared" si="73"/>
        <v>89.713519908759096</v>
      </c>
      <c r="AB232" s="520">
        <f t="shared" si="74"/>
        <v>-2.0299910791941329</v>
      </c>
      <c r="AC232" s="510"/>
      <c r="AD232" s="515"/>
      <c r="AE232" s="516"/>
      <c r="AJ232" s="452">
        <f>IF(OR(E232="",D232=""),0,ProjSlideMetersBetween(E232,D232,$R$13:$R$305,$S$13:$S$305))</f>
        <v>0</v>
      </c>
      <c r="AK232" s="452" t="str">
        <f>IF(U232="","",ProjParseTF(U232))</f>
        <v/>
      </c>
      <c r="AL232" s="219">
        <f>IF(E232="","",ProjCumN(AL231,E231,F231,G231,E232,F232,G232,FALSE))</f>
        <v>2833.4534782621167</v>
      </c>
      <c r="AM232" s="331">
        <f>IF(E232="","",ProjCumE(AM231,E231,F231,G231,E232,F232,G232,FALSE))</f>
        <v>144.02664202826554</v>
      </c>
      <c r="AN232" s="330">
        <f t="shared" si="72"/>
        <v>2.96</v>
      </c>
      <c r="AO232" s="330" t="str">
        <f>IF(OR(E232="",E232&lt;$U$2),"",ProjActiveTargetMdEx(D232,W232,V232,ProjTargets_MD,ProjTargets_INC,ProjTargets_AZM,ProjTargets_TVD,F232,H232))</f>
        <v/>
      </c>
      <c r="AP232" s="207">
        <f>IF(OR(E232="",E232&lt;$U$2),"",ProjBitN(E232,F232,G232,AL232,D232,W232,X232))</f>
        <v>2850.429897244619</v>
      </c>
      <c r="AQ232" s="207">
        <f>IF(OR(E232="",E232&lt;$U$2),"",ProjBitE(E232,F232,G232,AM232,D232,W232,X232))</f>
        <v>144.90445455213467</v>
      </c>
      <c r="AR232" s="207" t="str">
        <f>IF(OR(E232="",E232&lt;$U$2,AO232=""),"",ProjBurr(D232,W232,X232,Q232,C232,ProjTargets_MD,ProjTargets_INC,ProjTargets_AZM,ProjTargets_TVD,V232))</f>
        <v/>
      </c>
      <c r="AS232" s="207" t="str">
        <f>IF(OR(E232="",E232&lt;$U$2,AO232=""),"",ProjMetersToSlide(D232,W232,X232,Q232,C232,ProjTargets_MD,ProjTargets_INC,ProjTargets_AZM,ProjTargets_TVD,V232))</f>
        <v/>
      </c>
      <c r="AT232" s="207" t="str">
        <f>IF(OR(E232="",E232&lt;$U$2,AO232=""),"",ProjRequiredTf(D232,W232,X232,ProjTargets_MD,ProjTargets_INC,ProjTargets_AZM,ProjTargets_TVD,5,V232))</f>
        <v/>
      </c>
    </row>
    <row r="233" spans="2:46" s="209" customFormat="1" ht="15" customHeight="1" x14ac:dyDescent="0.3">
      <c r="B233" s="208">
        <f t="shared" si="59"/>
        <v>17</v>
      </c>
      <c r="C233" s="335">
        <f t="shared" si="66"/>
        <v>28.780000000000655</v>
      </c>
      <c r="D233" s="27">
        <v>5856</v>
      </c>
      <c r="E233" s="336">
        <f t="shared" si="67"/>
        <v>5839</v>
      </c>
      <c r="F233" s="9">
        <v>90.56</v>
      </c>
      <c r="G233" s="9">
        <v>1.94</v>
      </c>
      <c r="H233" s="337">
        <f t="shared" si="60"/>
        <v>3073.173625665489</v>
      </c>
      <c r="I233" s="337">
        <f t="shared" si="71"/>
        <v>2300.923625665489</v>
      </c>
      <c r="J233" s="338">
        <f t="shared" si="68"/>
        <v>1.6023224583187778</v>
      </c>
      <c r="K233" s="339">
        <f t="shared" si="69"/>
        <v>1.1987491313412257</v>
      </c>
      <c r="L233" s="339">
        <f t="shared" si="70"/>
        <v>-1.0632383599722124</v>
      </c>
      <c r="M233" s="339" t="str">
        <f t="shared" si="61"/>
        <v/>
      </c>
      <c r="N233" s="340">
        <f t="shared" si="62"/>
        <v>41.571153017788184</v>
      </c>
      <c r="O233" s="341" t="str">
        <f t="shared" si="63"/>
        <v>L</v>
      </c>
      <c r="P233" s="342" t="str">
        <f t="shared" si="64"/>
        <v/>
      </c>
      <c r="Q233" s="343" t="str">
        <f t="shared" si="65"/>
        <v/>
      </c>
      <c r="R233" s="10" t="str">
        <f t="shared" si="75"/>
        <v/>
      </c>
      <c r="S233" s="337" t="str">
        <f t="shared" si="58"/>
        <v/>
      </c>
      <c r="T233" s="9"/>
      <c r="U233" s="8"/>
      <c r="V233" s="202">
        <f>IF(OR(E233="",E233&lt;$U$2),"",ProjTvdAtBit(E233,F233,G233,H233,D233,W233,X233))</f>
        <v>3073.0074729661019</v>
      </c>
      <c r="W233" s="344">
        <f>IF(OR(E233="",E233&lt;$U$2),"",ProjIncAtBit(F233,J233,C233,M233,AJ233,IF(AK233="",0,AK233)))</f>
        <v>90.56</v>
      </c>
      <c r="X233" s="455">
        <f>IF(OR(E233="",E233&lt;$U$2),"",ProjAzmAtBit(F233,G233,J233,C233,M233,AJ233,IF(AK233="",0,AK233)))</f>
        <v>1.94</v>
      </c>
      <c r="Y233" s="461"/>
      <c r="Z233" s="206"/>
      <c r="AA233" s="512">
        <f t="shared" si="73"/>
        <v>89.713519908759096</v>
      </c>
      <c r="AB233" s="520">
        <f t="shared" si="74"/>
        <v>-1.8936256654887984</v>
      </c>
      <c r="AC233" s="510"/>
      <c r="AD233" s="515"/>
      <c r="AE233" s="516"/>
      <c r="AJ233" s="452">
        <f>IF(OR(E233="",D233=""),0,ProjSlideMetersBetween(E233,D233,$R$13:$R$305,$S$13:$S$305))</f>
        <v>0</v>
      </c>
      <c r="AK233" s="452" t="str">
        <f>IF(U233="","",ProjParseTF(U233))</f>
        <v/>
      </c>
      <c r="AL233" s="219">
        <f>IF(E233="","",ProjCumN(AL232,E232,F232,G232,E233,F233,G233,FALSE))</f>
        <v>2862.2063073604813</v>
      </c>
      <c r="AM233" s="331">
        <f>IF(E233="","",ProjCumE(AM232,E232,F232,G232,E233,F233,G233,FALSE))</f>
        <v>145.2568785273512</v>
      </c>
      <c r="AN233" s="330">
        <f t="shared" si="72"/>
        <v>1.94</v>
      </c>
      <c r="AO233" s="330" t="str">
        <f>IF(OR(E233="",E233&lt;$U$2),"",ProjActiveTargetMdEx(D233,W233,V233,ProjTargets_MD,ProjTargets_INC,ProjTargets_AZM,ProjTargets_TVD,F233,H233))</f>
        <v/>
      </c>
      <c r="AP233" s="207">
        <f>IF(OR(E233="",E233&lt;$U$2),"",ProjBitN(E233,F233,G233,AL233,D233,W233,X233))</f>
        <v>2879.1957518811028</v>
      </c>
      <c r="AQ233" s="207">
        <f>IF(OR(E233="",E233&lt;$U$2),"",ProjBitE(E233,F233,G233,AM233,D233,W233,X233))</f>
        <v>145.83235064763142</v>
      </c>
      <c r="AR233" s="207" t="str">
        <f>IF(OR(E233="",E233&lt;$U$2,AO233=""),"",ProjBurr(D233,W233,X233,Q233,C233,ProjTargets_MD,ProjTargets_INC,ProjTargets_AZM,ProjTargets_TVD,V233))</f>
        <v/>
      </c>
      <c r="AS233" s="207" t="str">
        <f>IF(OR(E233="",E233&lt;$U$2,AO233=""),"",ProjMetersToSlide(D233,W233,X233,Q233,C233,ProjTargets_MD,ProjTargets_INC,ProjTargets_AZM,ProjTargets_TVD,V233))</f>
        <v/>
      </c>
      <c r="AT233" s="207" t="str">
        <f>IF(OR(E233="",E233&lt;$U$2,AO233=""),"",ProjRequiredTf(D233,W233,X233,ProjTargets_MD,ProjTargets_INC,ProjTargets_AZM,ProjTargets_TVD,5,V233))</f>
        <v/>
      </c>
    </row>
    <row r="234" spans="2:46" s="209" customFormat="1" ht="15" customHeight="1" x14ac:dyDescent="0.3">
      <c r="B234" s="208">
        <f t="shared" si="59"/>
        <v>17</v>
      </c>
      <c r="C234" s="335">
        <f t="shared" si="66"/>
        <v>28.769999999999527</v>
      </c>
      <c r="D234" s="27">
        <v>5884.7699999999995</v>
      </c>
      <c r="E234" s="336">
        <f t="shared" si="67"/>
        <v>5867.77</v>
      </c>
      <c r="F234" s="9">
        <v>90.68</v>
      </c>
      <c r="G234" s="9">
        <v>1.95</v>
      </c>
      <c r="H234" s="337">
        <f t="shared" si="60"/>
        <v>3072.8623103811506</v>
      </c>
      <c r="I234" s="337">
        <f t="shared" si="71"/>
        <v>2300.6123103811506</v>
      </c>
      <c r="J234" s="338">
        <f t="shared" si="68"/>
        <v>0.12556402191194735</v>
      </c>
      <c r="K234" s="339">
        <f t="shared" si="69"/>
        <v>0.12513034410844914</v>
      </c>
      <c r="L234" s="339">
        <f t="shared" si="70"/>
        <v>1.0427528675703708E-2</v>
      </c>
      <c r="M234" s="339" t="str">
        <f t="shared" si="61"/>
        <v/>
      </c>
      <c r="N234" s="340">
        <f t="shared" si="62"/>
        <v>4.7633631912569809</v>
      </c>
      <c r="O234" s="341" t="str">
        <f t="shared" si="63"/>
        <v>R</v>
      </c>
      <c r="P234" s="342" t="str">
        <f t="shared" si="64"/>
        <v/>
      </c>
      <c r="Q234" s="343" t="str">
        <f t="shared" si="65"/>
        <v/>
      </c>
      <c r="R234" s="10" t="str">
        <f t="shared" si="75"/>
        <v/>
      </c>
      <c r="S234" s="337" t="str">
        <f t="shared" si="58"/>
        <v/>
      </c>
      <c r="T234" s="9"/>
      <c r="U234" s="8"/>
      <c r="V234" s="202">
        <f>IF(OR(E234="",E234&lt;$U$2),"",ProjTvdAtBit(E234,F234,G234,H234,D234,W234,X234))</f>
        <v>3072.6605550560753</v>
      </c>
      <c r="W234" s="344">
        <f>IF(OR(E234="",E234&lt;$U$2),"",ProjIncAtBit(F234,J234,C234,M234,AJ234,IF(AK234="",0,AK234)))</f>
        <v>90.68</v>
      </c>
      <c r="X234" s="455">
        <f>IF(OR(E234="",E234&lt;$U$2),"",ProjAzmAtBit(F234,G234,J234,C234,M234,AJ234,IF(AK234="",0,AK234)))</f>
        <v>1.95</v>
      </c>
      <c r="Y234" s="461"/>
      <c r="Z234" s="206"/>
      <c r="AA234" s="512">
        <f t="shared" si="73"/>
        <v>89.713519908759096</v>
      </c>
      <c r="AB234" s="520">
        <f t="shared" si="74"/>
        <v>-1.4384603811504348</v>
      </c>
      <c r="AC234" s="510"/>
      <c r="AD234" s="515"/>
      <c r="AE234" s="516"/>
      <c r="AJ234" s="452">
        <f>IF(OR(E234="",D234=""),0,ProjSlideMetersBetween(E234,D234,$R$13:$R$305,$S$13:$S$305))</f>
        <v>0</v>
      </c>
      <c r="AK234" s="452" t="str">
        <f>IF(U234="","",ProjParseTF(U234))</f>
        <v/>
      </c>
      <c r="AL234" s="219">
        <f>IF(E234="","",ProjCumN(AL233,E233,F233,G233,E234,F234,G234,FALSE))</f>
        <v>2890.9580433191336</v>
      </c>
      <c r="AM234" s="331">
        <f>IF(E234="","",ProjCumE(AM233,E233,F233,G233,E234,F234,G234,FALSE))</f>
        <v>146.23327881866473</v>
      </c>
      <c r="AN234" s="330">
        <f t="shared" si="72"/>
        <v>1.95</v>
      </c>
      <c r="AO234" s="330" t="str">
        <f>IF(OR(E234="",E234&lt;$U$2),"",ProjActiveTargetMdEx(D234,W234,V234,ProjTargets_MD,ProjTargets_INC,ProjTargets_AZM,ProjTargets_TVD,F234,H234))</f>
        <v/>
      </c>
      <c r="AP234" s="207">
        <f>IF(OR(E234="",E234&lt;$U$2),"",ProjBitN(E234,F234,G234,AL234,D234,W234,X234))</f>
        <v>2907.9470020927452</v>
      </c>
      <c r="AQ234" s="207">
        <f>IF(OR(E234="",E234&lt;$U$2),"",ProjBitE(E234,F234,G234,AM234,D234,W234,X234))</f>
        <v>146.81170303781141</v>
      </c>
      <c r="AR234" s="207" t="str">
        <f>IF(OR(E234="",E234&lt;$U$2,AO234=""),"",ProjBurr(D234,W234,X234,Q234,C234,ProjTargets_MD,ProjTargets_INC,ProjTargets_AZM,ProjTargets_TVD,V234))</f>
        <v/>
      </c>
      <c r="AS234" s="207" t="str">
        <f>IF(OR(E234="",E234&lt;$U$2,AO234=""),"",ProjMetersToSlide(D234,W234,X234,Q234,C234,ProjTargets_MD,ProjTargets_INC,ProjTargets_AZM,ProjTargets_TVD,V234))</f>
        <v/>
      </c>
      <c r="AT234" s="207" t="str">
        <f>IF(OR(E234="",E234&lt;$U$2,AO234=""),"",ProjRequiredTf(D234,W234,X234,ProjTargets_MD,ProjTargets_INC,ProjTargets_AZM,ProjTargets_TVD,5,V234))</f>
        <v/>
      </c>
    </row>
    <row r="235" spans="2:46" s="209" customFormat="1" ht="15" customHeight="1" x14ac:dyDescent="0.3">
      <c r="B235" s="208">
        <f t="shared" si="59"/>
        <v>17</v>
      </c>
      <c r="C235" s="335">
        <f t="shared" si="66"/>
        <v>28.819999999999709</v>
      </c>
      <c r="D235" s="27">
        <v>5913.5899999999992</v>
      </c>
      <c r="E235" s="336">
        <f t="shared" si="67"/>
        <v>5896.59</v>
      </c>
      <c r="F235" s="9">
        <v>91.24</v>
      </c>
      <c r="G235" s="9">
        <v>0.98</v>
      </c>
      <c r="H235" s="337">
        <f t="shared" si="60"/>
        <v>3072.3794492397865</v>
      </c>
      <c r="I235" s="337">
        <f t="shared" si="71"/>
        <v>2300.1294492397865</v>
      </c>
      <c r="J235" s="338">
        <f t="shared" si="68"/>
        <v>1.1657772879739363</v>
      </c>
      <c r="K235" s="339">
        <f t="shared" si="69"/>
        <v>0.58292852185981303</v>
      </c>
      <c r="L235" s="339">
        <f t="shared" si="70"/>
        <v>-1.0097154753643405</v>
      </c>
      <c r="M235" s="339" t="str">
        <f t="shared" si="61"/>
        <v/>
      </c>
      <c r="N235" s="340">
        <f t="shared" si="62"/>
        <v>59.997736849961008</v>
      </c>
      <c r="O235" s="341" t="str">
        <f t="shared" si="63"/>
        <v>L</v>
      </c>
      <c r="P235" s="342" t="str">
        <f t="shared" si="64"/>
        <v/>
      </c>
      <c r="Q235" s="343" t="str">
        <f t="shared" si="65"/>
        <v/>
      </c>
      <c r="R235" s="10" t="str">
        <f t="shared" si="75"/>
        <v/>
      </c>
      <c r="S235" s="337" t="str">
        <f t="shared" si="58"/>
        <v/>
      </c>
      <c r="T235" s="9"/>
      <c r="U235" s="8"/>
      <c r="V235" s="202">
        <f>IF(OR(E235="",E235&lt;$U$2),"",ProjTvdAtBit(E235,F235,G235,H235,D235,W235,X235))</f>
        <v>3072.0115625534809</v>
      </c>
      <c r="W235" s="344">
        <f>IF(OR(E235="",E235&lt;$U$2),"",ProjIncAtBit(F235,J235,C235,M235,AJ235,IF(AK235="",0,AK235)))</f>
        <v>91.24</v>
      </c>
      <c r="X235" s="455">
        <f>IF(OR(E235="",E235&lt;$U$2),"",ProjAzmAtBit(F235,G235,J235,C235,M235,AJ235,IF(AK235="",0,AK235)))</f>
        <v>0.98</v>
      </c>
      <c r="Y235" s="461"/>
      <c r="Z235" s="206"/>
      <c r="AA235" s="512">
        <f t="shared" si="73"/>
        <v>90</v>
      </c>
      <c r="AB235" s="520">
        <f t="shared" si="74"/>
        <v>-0.87944923978648148</v>
      </c>
      <c r="AC235" s="510"/>
      <c r="AD235" s="515"/>
      <c r="AE235" s="516"/>
      <c r="AJ235" s="452">
        <f>IF(OR(E235="",D235=""),0,ProjSlideMetersBetween(E235,D235,$R$13:$R$305,$S$13:$S$305))</f>
        <v>0</v>
      </c>
      <c r="AK235" s="452" t="str">
        <f>IF(U235="","",ProjParseTF(U235))</f>
        <v/>
      </c>
      <c r="AL235" s="219">
        <f>IF(E235="","",ProjCumN(AL234,E234,F234,G234,E235,F235,G235,FALSE))</f>
        <v>2919.7641195438837</v>
      </c>
      <c r="AM235" s="331">
        <f>IF(E235="","",ProjCumE(AM234,E234,F234,G234,E235,F235,G235,FALSE))</f>
        <v>146.97000403559741</v>
      </c>
      <c r="AN235" s="330">
        <f t="shared" si="72"/>
        <v>0.98</v>
      </c>
      <c r="AO235" s="330" t="str">
        <f>IF(OR(E235="",E235&lt;$U$2),"",ProjActiveTargetMdEx(D235,W235,V235,ProjTargets_MD,ProjTargets_INC,ProjTargets_AZM,ProjTargets_TVD,F235,H235))</f>
        <v/>
      </c>
      <c r="AP235" s="207">
        <f>IF(OR(E235="",E235&lt;$U$2),"",ProjBitN(E235,F235,G235,AL235,D235,W235,X235))</f>
        <v>2936.7576524005503</v>
      </c>
      <c r="AQ235" s="207">
        <f>IF(OR(E235="",E235&lt;$U$2),"",ProjBitE(E235,F235,G235,AM235,D235,W235,X235))</f>
        <v>147.26069362156937</v>
      </c>
      <c r="AR235" s="207" t="str">
        <f>IF(OR(E235="",E235&lt;$U$2,AO235=""),"",ProjBurr(D235,W235,X235,Q235,C235,ProjTargets_MD,ProjTargets_INC,ProjTargets_AZM,ProjTargets_TVD,V235))</f>
        <v/>
      </c>
      <c r="AS235" s="207" t="str">
        <f>IF(OR(E235="",E235&lt;$U$2,AO235=""),"",ProjMetersToSlide(D235,W235,X235,Q235,C235,ProjTargets_MD,ProjTargets_INC,ProjTargets_AZM,ProjTargets_TVD,V235))</f>
        <v/>
      </c>
      <c r="AT235" s="207" t="str">
        <f>IF(OR(E235="",E235&lt;$U$2,AO235=""),"",ProjRequiredTf(D235,W235,X235,ProjTargets_MD,ProjTargets_INC,ProjTargets_AZM,ProjTargets_TVD,5,V235))</f>
        <v/>
      </c>
    </row>
    <row r="236" spans="2:46" s="209" customFormat="1" ht="15" customHeight="1" x14ac:dyDescent="0.3">
      <c r="B236" s="208">
        <f t="shared" si="59"/>
        <v>17</v>
      </c>
      <c r="C236" s="335">
        <f t="shared" si="66"/>
        <v>28.730000000000473</v>
      </c>
      <c r="D236" s="27">
        <v>5942.32</v>
      </c>
      <c r="E236" s="336">
        <f t="shared" si="67"/>
        <v>5925.32</v>
      </c>
      <c r="F236" s="9">
        <v>91.64</v>
      </c>
      <c r="G236" s="9">
        <v>0.68</v>
      </c>
      <c r="H236" s="337">
        <f t="shared" si="60"/>
        <v>3071.6574615976992</v>
      </c>
      <c r="I236" s="337">
        <f t="shared" si="71"/>
        <v>2299.4074615976992</v>
      </c>
      <c r="J236" s="338">
        <f t="shared" si="68"/>
        <v>0.52204259691192501</v>
      </c>
      <c r="K236" s="339">
        <f t="shared" si="69"/>
        <v>0.41768186564567883</v>
      </c>
      <c r="L236" s="339">
        <f t="shared" si="70"/>
        <v>-0.31326139923425461</v>
      </c>
      <c r="M236" s="339" t="str">
        <f t="shared" si="61"/>
        <v/>
      </c>
      <c r="N236" s="340">
        <f t="shared" si="62"/>
        <v>36.861155268810847</v>
      </c>
      <c r="O236" s="341" t="str">
        <f t="shared" si="63"/>
        <v>L</v>
      </c>
      <c r="P236" s="342" t="str">
        <f t="shared" si="64"/>
        <v/>
      </c>
      <c r="Q236" s="343" t="str">
        <f t="shared" si="65"/>
        <v/>
      </c>
      <c r="R236" s="10" t="str">
        <f t="shared" si="75"/>
        <v/>
      </c>
      <c r="S236" s="337" t="str">
        <f t="shared" si="58"/>
        <v/>
      </c>
      <c r="T236" s="9"/>
      <c r="U236" s="8"/>
      <c r="V236" s="202">
        <f>IF(OR(E236="",E236&lt;$U$2),"",ProjTvdAtBit(E236,F236,G236,H236,D236,W236,X236))</f>
        <v>3071.1709302443701</v>
      </c>
      <c r="W236" s="344">
        <f>IF(OR(E236="",E236&lt;$U$2),"",ProjIncAtBit(F236,J236,C236,M236,AJ236,IF(AK236="",0,AK236)))</f>
        <v>91.64</v>
      </c>
      <c r="X236" s="455">
        <f>IF(OR(E236="",E236&lt;$U$2),"",ProjAzmAtBit(F236,G236,J236,C236,M236,AJ236,IF(AK236="",0,AK236)))</f>
        <v>0.68</v>
      </c>
      <c r="Y236" s="461"/>
      <c r="Z236" s="206"/>
      <c r="AA236" s="512">
        <f t="shared" si="73"/>
        <v>90</v>
      </c>
      <c r="AB236" s="520">
        <f t="shared" si="74"/>
        <v>-0.15746159769923906</v>
      </c>
      <c r="AC236" s="510"/>
      <c r="AD236" s="515"/>
      <c r="AE236" s="516"/>
      <c r="AJ236" s="452">
        <f>IF(OR(E236="",D236=""),0,ProjSlideMetersBetween(E236,D236,$R$13:$R$305,$S$13:$S$305))</f>
        <v>0</v>
      </c>
      <c r="AK236" s="452" t="str">
        <f>IF(U236="","",ProjParseTF(U236))</f>
        <v/>
      </c>
      <c r="AL236" s="219">
        <f>IF(E236="","",ProjCumN(AL235,E235,F235,G235,E236,F236,G236,FALSE))</f>
        <v>2948.4819415363991</v>
      </c>
      <c r="AM236" s="331">
        <f>IF(E236="","",ProjCumE(AM235,E235,F235,G235,E236,F236,G236,FALSE))</f>
        <v>147.38605279154751</v>
      </c>
      <c r="AN236" s="330">
        <f t="shared" si="72"/>
        <v>0.68</v>
      </c>
      <c r="AO236" s="330" t="str">
        <f>IF(OR(E236="",E236&lt;$U$2),"",ProjActiveTargetMdEx(D236,W236,V236,ProjTargets_MD,ProjTargets_INC,ProjTargets_AZM,ProjTargets_TVD,F236,H236))</f>
        <v/>
      </c>
      <c r="AP236" s="207">
        <f>IF(OR(E236="",E236&lt;$U$2),"",ProjBitN(E236,F236,G236,AL236,D236,W236,X236))</f>
        <v>2965.4737812064191</v>
      </c>
      <c r="AQ236" s="207">
        <f>IF(OR(E236="",E236&lt;$U$2),"",ProjBitE(E236,F236,G236,AM236,D236,W236,X236))</f>
        <v>147.58772547329608</v>
      </c>
      <c r="AR236" s="207" t="str">
        <f>IF(OR(E236="",E236&lt;$U$2,AO236=""),"",ProjBurr(D236,W236,X236,Q236,C236,ProjTargets_MD,ProjTargets_INC,ProjTargets_AZM,ProjTargets_TVD,V236))</f>
        <v/>
      </c>
      <c r="AS236" s="207" t="str">
        <f>IF(OR(E236="",E236&lt;$U$2,AO236=""),"",ProjMetersToSlide(D236,W236,X236,Q236,C236,ProjTargets_MD,ProjTargets_INC,ProjTargets_AZM,ProjTargets_TVD,V236))</f>
        <v/>
      </c>
      <c r="AT236" s="207" t="str">
        <f>IF(OR(E236="",E236&lt;$U$2,AO236=""),"",ProjRequiredTf(D236,W236,X236,ProjTargets_MD,ProjTargets_INC,ProjTargets_AZM,ProjTargets_TVD,5,V236))</f>
        <v/>
      </c>
    </row>
    <row r="237" spans="2:46" s="209" customFormat="1" ht="15" customHeight="1" x14ac:dyDescent="0.3">
      <c r="B237" s="208">
        <f t="shared" si="59"/>
        <v>17</v>
      </c>
      <c r="C237" s="335">
        <f t="shared" si="66"/>
        <v>28.859999999999673</v>
      </c>
      <c r="D237" s="27">
        <v>5971.1799999999994</v>
      </c>
      <c r="E237" s="336">
        <f t="shared" si="67"/>
        <v>5954.18</v>
      </c>
      <c r="F237" s="9">
        <v>90.45</v>
      </c>
      <c r="G237" s="9">
        <v>359.64</v>
      </c>
      <c r="H237" s="337">
        <f t="shared" si="60"/>
        <v>3071.1311221668316</v>
      </c>
      <c r="I237" s="337">
        <f t="shared" si="71"/>
        <v>2298.8811221668316</v>
      </c>
      <c r="J237" s="338">
        <f t="shared" si="68"/>
        <v>1.6427081132240271</v>
      </c>
      <c r="K237" s="339">
        <f t="shared" si="69"/>
        <v>-1.2370062370062098</v>
      </c>
      <c r="L237" s="339">
        <f t="shared" si="70"/>
        <v>-1.0810810810810736</v>
      </c>
      <c r="M237" s="339" t="str">
        <f t="shared" si="61"/>
        <v/>
      </c>
      <c r="N237" s="340">
        <f t="shared" si="62"/>
        <v>138.85341251755506</v>
      </c>
      <c r="O237" s="341" t="str">
        <f t="shared" si="63"/>
        <v>L</v>
      </c>
      <c r="P237" s="342" t="str">
        <f t="shared" si="64"/>
        <v/>
      </c>
      <c r="Q237" s="343" t="str">
        <f t="shared" si="65"/>
        <v/>
      </c>
      <c r="R237" s="10" t="str">
        <f t="shared" si="75"/>
        <v/>
      </c>
      <c r="S237" s="337" t="str">
        <f t="shared" si="58"/>
        <v/>
      </c>
      <c r="T237" s="9"/>
      <c r="U237" s="8"/>
      <c r="V237" s="202">
        <f>IF(OR(E237="",E237&lt;$U$2),"",ProjTvdAtBit(E237,F237,G237,H237,D237,W237,X237))</f>
        <v>3070.9976058517236</v>
      </c>
      <c r="W237" s="344">
        <f>IF(OR(E237="",E237&lt;$U$2),"",ProjIncAtBit(F237,J237,C237,M237,AJ237,IF(AK237="",0,AK237)))</f>
        <v>90.45</v>
      </c>
      <c r="X237" s="455">
        <f>IF(OR(E237="",E237&lt;$U$2),"",ProjAzmAtBit(F237,G237,J237,C237,M237,AJ237,IF(AK237="",0,AK237)))</f>
        <v>359.64</v>
      </c>
      <c r="Y237" s="461"/>
      <c r="Z237" s="206"/>
      <c r="AA237" s="512">
        <f t="shared" si="73"/>
        <v>90</v>
      </c>
      <c r="AB237" s="520">
        <f t="shared" si="74"/>
        <v>0.36887783316842615</v>
      </c>
      <c r="AC237" s="510"/>
      <c r="AD237" s="515"/>
      <c r="AE237" s="516"/>
      <c r="AJ237" s="452">
        <f>IF(OR(E237="",D237=""),0,ProjSlideMetersBetween(E237,D237,$R$13:$R$305,$S$13:$S$305))</f>
        <v>0</v>
      </c>
      <c r="AK237" s="452" t="str">
        <f>IF(U237="","",ProjParseTF(U237))</f>
        <v/>
      </c>
      <c r="AL237" s="219">
        <f>IF(E237="","",ProjCumN(AL236,E236,F236,G236,E237,F237,G237,FALSE))</f>
        <v>2977.3361141630094</v>
      </c>
      <c r="AM237" s="331">
        <f>IF(E237="","",ProjCumE(AM236,E236,F236,G236,E237,F237,G237,FALSE))</f>
        <v>147.4665794429055</v>
      </c>
      <c r="AN237" s="330">
        <f t="shared" si="72"/>
        <v>359.64</v>
      </c>
      <c r="AO237" s="330" t="str">
        <f>IF(OR(E237="",E237&lt;$U$2),"",ProjActiveTargetMdEx(D237,W237,V237,ProjTargets_MD,ProjTargets_INC,ProjTargets_AZM,ProjTargets_TVD,F237,H237))</f>
        <v/>
      </c>
      <c r="AP237" s="207">
        <f>IF(OR(E237="",E237&lt;$U$2),"",ProjBitN(E237,F237,G237,AL237,D237,W237,X237))</f>
        <v>2994.3352542878738</v>
      </c>
      <c r="AQ237" s="207">
        <f>IF(OR(E237="",E237&lt;$U$2),"",ProjBitE(E237,F237,G237,AM237,D237,W237,X237))</f>
        <v>147.35976928986918</v>
      </c>
      <c r="AR237" s="207" t="str">
        <f>IF(OR(E237="",E237&lt;$U$2,AO237=""),"",ProjBurr(D237,W237,X237,Q237,C237,ProjTargets_MD,ProjTargets_INC,ProjTargets_AZM,ProjTargets_TVD,V237))</f>
        <v/>
      </c>
      <c r="AS237" s="207" t="str">
        <f>IF(OR(E237="",E237&lt;$U$2,AO237=""),"",ProjMetersToSlide(D237,W237,X237,Q237,C237,ProjTargets_MD,ProjTargets_INC,ProjTargets_AZM,ProjTargets_TVD,V237))</f>
        <v/>
      </c>
      <c r="AT237" s="207" t="str">
        <f>IF(OR(E237="",E237&lt;$U$2,AO237=""),"",ProjRequiredTf(D237,W237,X237,ProjTargets_MD,ProjTargets_INC,ProjTargets_AZM,ProjTargets_TVD,5,V237))</f>
        <v/>
      </c>
    </row>
    <row r="238" spans="2:46" s="209" customFormat="1" ht="15" customHeight="1" x14ac:dyDescent="0.3">
      <c r="B238" s="208">
        <f t="shared" si="59"/>
        <v>17</v>
      </c>
      <c r="C238" s="335">
        <f t="shared" si="66"/>
        <v>28.710000000000036</v>
      </c>
      <c r="D238" s="27">
        <v>5999.8899999999994</v>
      </c>
      <c r="E238" s="336">
        <f t="shared" si="67"/>
        <v>5982.89</v>
      </c>
      <c r="F238" s="9">
        <v>90.58</v>
      </c>
      <c r="G238" s="9">
        <v>358</v>
      </c>
      <c r="H238" s="337">
        <f t="shared" si="60"/>
        <v>3070.8730673671175</v>
      </c>
      <c r="I238" s="337">
        <f t="shared" si="71"/>
        <v>2298.6230673671175</v>
      </c>
      <c r="J238" s="338">
        <f t="shared" si="68"/>
        <v>1.7189947474879148</v>
      </c>
      <c r="K238" s="339">
        <f t="shared" si="69"/>
        <v>0.13584117032392401</v>
      </c>
      <c r="L238" s="339">
        <f t="shared" si="70"/>
        <v>-1.7136886102403179</v>
      </c>
      <c r="M238" s="339" t="str">
        <f t="shared" si="61"/>
        <v/>
      </c>
      <c r="N238" s="340">
        <f t="shared" si="62"/>
        <v>85.467554981537802</v>
      </c>
      <c r="O238" s="341" t="str">
        <f t="shared" si="63"/>
        <v>L</v>
      </c>
      <c r="P238" s="342" t="str">
        <f t="shared" si="64"/>
        <v/>
      </c>
      <c r="Q238" s="343" t="str">
        <f t="shared" si="65"/>
        <v/>
      </c>
      <c r="R238" s="10" t="str">
        <f t="shared" si="75"/>
        <v/>
      </c>
      <c r="S238" s="337" t="str">
        <f t="shared" si="58"/>
        <v/>
      </c>
      <c r="T238" s="9"/>
      <c r="U238" s="8"/>
      <c r="V238" s="202">
        <f>IF(OR(E238="",E238&lt;$U$2),"",ProjTvdAtBit(E238,F238,G238,H238,D238,W238,X238))</f>
        <v>3070.7009808419516</v>
      </c>
      <c r="W238" s="344">
        <f>IF(OR(E238="",E238&lt;$U$2),"",ProjIncAtBit(F238,J238,C238,M238,AJ238,IF(AK238="",0,AK238)))</f>
        <v>90.58</v>
      </c>
      <c r="X238" s="455">
        <f>IF(OR(E238="",E238&lt;$U$2),"",ProjAzmAtBit(F238,G238,J238,C238,M238,AJ238,IF(AK238="",0,AK238)))</f>
        <v>358</v>
      </c>
      <c r="Y238" s="461"/>
      <c r="Z238" s="206"/>
      <c r="AA238" s="512">
        <f t="shared" si="73"/>
        <v>90</v>
      </c>
      <c r="AB238" s="520">
        <f t="shared" si="74"/>
        <v>0.62693263288247181</v>
      </c>
      <c r="AC238" s="510"/>
      <c r="AD238" s="515"/>
      <c r="AE238" s="516"/>
      <c r="AJ238" s="452">
        <f>IF(OR(E238="",D238=""),0,ProjSlideMetersBetween(E238,D238,$R$13:$R$305,$S$13:$S$305))</f>
        <v>0</v>
      </c>
      <c r="AK238" s="452" t="str">
        <f>IF(U238="","",ProjParseTF(U238))</f>
        <v/>
      </c>
      <c r="AL238" s="219">
        <f>IF(E238="","",ProjCumN(AL237,E237,F237,G237,E238,F238,G238,FALSE))</f>
        <v>3006.0378801401757</v>
      </c>
      <c r="AM238" s="331">
        <f>IF(E238="","",ProjCumE(AM237,E237,F237,G237,E238,F238,G238,FALSE))</f>
        <v>146.87539047208176</v>
      </c>
      <c r="AN238" s="330">
        <f t="shared" si="72"/>
        <v>358</v>
      </c>
      <c r="AO238" s="330" t="str">
        <f>IF(OR(E238="",E238&lt;$U$2),"",ProjActiveTargetMdEx(D238,W238,V238,ProjTargets_MD,ProjTargets_INC,ProjTargets_AZM,ProjTargets_TVD,F238,H238))</f>
        <v/>
      </c>
      <c r="AP238" s="207">
        <f>IF(OR(E238="",E238&lt;$U$2),"",ProjBitN(E238,F238,G238,AL238,D238,W238,X238))</f>
        <v>3023.0266537144867</v>
      </c>
      <c r="AQ238" s="207">
        <f>IF(OR(E238="",E238&lt;$U$2),"",ProjBitE(E238,F238,G238,AM238,D238,W238,X238))</f>
        <v>146.28212942614564</v>
      </c>
      <c r="AR238" s="207" t="str">
        <f>IF(OR(E238="",E238&lt;$U$2,AO238=""),"",ProjBurr(D238,W238,X238,Q238,C238,ProjTargets_MD,ProjTargets_INC,ProjTargets_AZM,ProjTargets_TVD,V238))</f>
        <v/>
      </c>
      <c r="AS238" s="207" t="str">
        <f>IF(OR(E238="",E238&lt;$U$2,AO238=""),"",ProjMetersToSlide(D238,W238,X238,Q238,C238,ProjTargets_MD,ProjTargets_INC,ProjTargets_AZM,ProjTargets_TVD,V238))</f>
        <v/>
      </c>
      <c r="AT238" s="207" t="str">
        <f>IF(OR(E238="",E238&lt;$U$2,AO238=""),"",ProjRequiredTf(D238,W238,X238,ProjTargets_MD,ProjTargets_INC,ProjTargets_AZM,ProjTargets_TVD,5,V238))</f>
        <v/>
      </c>
    </row>
    <row r="239" spans="2:46" s="209" customFormat="1" ht="15" customHeight="1" x14ac:dyDescent="0.3">
      <c r="B239" s="208">
        <f t="shared" si="59"/>
        <v>17</v>
      </c>
      <c r="C239" s="335">
        <f t="shared" si="66"/>
        <v>28.850000000000364</v>
      </c>
      <c r="D239" s="27">
        <v>6028.74</v>
      </c>
      <c r="E239" s="336">
        <f t="shared" si="67"/>
        <v>6011.74</v>
      </c>
      <c r="F239" s="9">
        <v>90.38</v>
      </c>
      <c r="G239" s="9">
        <v>357.53</v>
      </c>
      <c r="H239" s="337">
        <f t="shared" si="60"/>
        <v>3070.6313769994513</v>
      </c>
      <c r="I239" s="337">
        <f t="shared" si="71"/>
        <v>2298.3813769994513</v>
      </c>
      <c r="J239" s="338">
        <f t="shared" si="68"/>
        <v>0.53112823123875741</v>
      </c>
      <c r="K239" s="339">
        <f t="shared" si="69"/>
        <v>-0.20797227036395835</v>
      </c>
      <c r="L239" s="339">
        <f t="shared" si="70"/>
        <v>-0.48873483535532353</v>
      </c>
      <c r="M239" s="339" t="str">
        <f t="shared" si="61"/>
        <v/>
      </c>
      <c r="N239" s="340">
        <f t="shared" si="62"/>
        <v>113.05203582937862</v>
      </c>
      <c r="O239" s="341" t="str">
        <f t="shared" si="63"/>
        <v>L</v>
      </c>
      <c r="P239" s="342" t="str">
        <f t="shared" si="64"/>
        <v/>
      </c>
      <c r="Q239" s="343" t="str">
        <f t="shared" si="65"/>
        <v/>
      </c>
      <c r="R239" s="10" t="str">
        <f t="shared" si="75"/>
        <v/>
      </c>
      <c r="S239" s="337" t="str">
        <f t="shared" si="58"/>
        <v/>
      </c>
      <c r="T239" s="9"/>
      <c r="U239" s="8"/>
      <c r="V239" s="202">
        <f>IF(OR(E239="",E239&lt;$U$2),"",ProjTvdAtBit(E239,F239,G239,H239,D239,W239,X239))</f>
        <v>3070.5186295563426</v>
      </c>
      <c r="W239" s="344">
        <f>IF(OR(E239="",E239&lt;$U$2),"",ProjIncAtBit(F239,J239,C239,M239,AJ239,IF(AK239="",0,AK239)))</f>
        <v>90.38</v>
      </c>
      <c r="X239" s="455">
        <f>IF(OR(E239="",E239&lt;$U$2),"",ProjAzmAtBit(F239,G239,J239,C239,M239,AJ239,IF(AK239="",0,AK239)))</f>
        <v>357.53</v>
      </c>
      <c r="Y239" s="461"/>
      <c r="Z239" s="206"/>
      <c r="AA239" s="512">
        <f t="shared" si="73"/>
        <v>90</v>
      </c>
      <c r="AB239" s="520">
        <f t="shared" si="74"/>
        <v>0.86862300054872321</v>
      </c>
      <c r="AC239" s="510"/>
      <c r="AD239" s="515"/>
      <c r="AE239" s="516"/>
      <c r="AJ239" s="452">
        <f>IF(OR(E239="",D239=""),0,ProjSlideMetersBetween(E239,D239,$R$13:$R$305,$S$13:$S$305))</f>
        <v>0</v>
      </c>
      <c r="AK239" s="452" t="str">
        <f>IF(U239="","",ProjParseTF(U239))</f>
        <v/>
      </c>
      <c r="AL239" s="219">
        <f>IF(E239="","",ProjCumN(AL238,E238,F238,G238,E239,F239,G239,FALSE))</f>
        <v>3034.8648262099264</v>
      </c>
      <c r="AM239" s="331">
        <f>IF(E239="","",ProjCumE(AM238,E238,F238,G238,E239,F239,G239,FALSE))</f>
        <v>145.75033339429797</v>
      </c>
      <c r="AN239" s="330">
        <f t="shared" si="72"/>
        <v>357.53</v>
      </c>
      <c r="AO239" s="330" t="str">
        <f>IF(OR(E239="",E239&lt;$U$2),"",ProjActiveTargetMdEx(D239,W239,V239,ProjTargets_MD,ProjTargets_INC,ProjTargets_AZM,ProjTargets_TVD,F239,H239))</f>
        <v/>
      </c>
      <c r="AP239" s="207">
        <f>IF(OR(E239="",E239&lt;$U$2),"",ProjBitN(E239,F239,G239,AL239,D239,W239,X239))</f>
        <v>3051.8486583739959</v>
      </c>
      <c r="AQ239" s="207">
        <f>IF(OR(E239="",E239&lt;$U$2),"",ProjBitE(E239,F239,G239,AM239,D239,W239,X239))</f>
        <v>145.01771273066129</v>
      </c>
      <c r="AR239" s="207" t="str">
        <f>IF(OR(E239="",E239&lt;$U$2,AO239=""),"",ProjBurr(D239,W239,X239,Q239,C239,ProjTargets_MD,ProjTargets_INC,ProjTargets_AZM,ProjTargets_TVD,V239))</f>
        <v/>
      </c>
      <c r="AS239" s="207" t="str">
        <f>IF(OR(E239="",E239&lt;$U$2,AO239=""),"",ProjMetersToSlide(D239,W239,X239,Q239,C239,ProjTargets_MD,ProjTargets_INC,ProjTargets_AZM,ProjTargets_TVD,V239))</f>
        <v/>
      </c>
      <c r="AT239" s="207" t="str">
        <f>IF(OR(E239="",E239&lt;$U$2,AO239=""),"",ProjRequiredTf(D239,W239,X239,ProjTargets_MD,ProjTargets_INC,ProjTargets_AZM,ProjTargets_TVD,5,V239))</f>
        <v/>
      </c>
    </row>
    <row r="240" spans="2:46" s="209" customFormat="1" ht="15" customHeight="1" x14ac:dyDescent="0.3">
      <c r="B240" s="208">
        <f t="shared" si="59"/>
        <v>17</v>
      </c>
      <c r="C240" s="335">
        <f t="shared" si="66"/>
        <v>28.8100000000004</v>
      </c>
      <c r="D240" s="27">
        <v>6057.55</v>
      </c>
      <c r="E240" s="336">
        <f t="shared" si="67"/>
        <v>6040.55</v>
      </c>
      <c r="F240" s="9"/>
      <c r="G240" s="9"/>
      <c r="H240" s="337" t="str">
        <f t="shared" si="60"/>
        <v/>
      </c>
      <c r="I240" s="337" t="str">
        <f t="shared" si="71"/>
        <v xml:space="preserve">  </v>
      </c>
      <c r="J240" s="338" t="str">
        <f t="shared" si="68"/>
        <v/>
      </c>
      <c r="K240" s="339" t="str">
        <f t="shared" si="69"/>
        <v xml:space="preserve"> </v>
      </c>
      <c r="L240" s="339" t="str">
        <f t="shared" si="70"/>
        <v/>
      </c>
      <c r="M240" s="339" t="str">
        <f t="shared" si="61"/>
        <v/>
      </c>
      <c r="N240" s="340" t="str">
        <f t="shared" si="62"/>
        <v/>
      </c>
      <c r="O240" s="341" t="str">
        <f t="shared" si="63"/>
        <v/>
      </c>
      <c r="P240" s="342" t="str">
        <f t="shared" si="64"/>
        <v/>
      </c>
      <c r="Q240" s="343" t="str">
        <f t="shared" si="65"/>
        <v/>
      </c>
      <c r="R240" s="10" t="str">
        <f t="shared" si="75"/>
        <v/>
      </c>
      <c r="S240" s="337" t="str">
        <f t="shared" si="58"/>
        <v/>
      </c>
      <c r="T240" s="9"/>
      <c r="U240" s="8"/>
      <c r="V240" s="202" t="str">
        <f>IF(OR(E240="",E240&lt;$U$2),"",ProjTvdAtBit(E240,F240,G240,H240,D240,W240,X240))</f>
        <v/>
      </c>
      <c r="W240" s="344" t="str">
        <f>IF(OR(E240="",E240&lt;$U$2),"",ProjIncAtBit(F240,J240,C240,M240,AJ240,IF(AK240="",0,AK240)))</f>
        <v/>
      </c>
      <c r="X240" s="455" t="str">
        <f>IF(OR(E240="",E240&lt;$U$2),"",ProjAzmAtBit(F240,G240,J240,C240,M240,AJ240,IF(AK240="",0,AK240)))</f>
        <v/>
      </c>
      <c r="Y240" s="461"/>
      <c r="Z240" s="206"/>
      <c r="AA240" s="512">
        <f t="shared" si="73"/>
        <v>90</v>
      </c>
      <c r="AB240" s="520" t="str">
        <f t="shared" si="74"/>
        <v/>
      </c>
      <c r="AC240" s="510"/>
      <c r="AD240" s="515"/>
      <c r="AE240" s="516"/>
      <c r="AJ240" s="452">
        <f>IF(OR(E240="",D240=""),0,ProjSlideMetersBetween(E240,D240,$R$13:$R$305,$S$13:$S$305))</f>
        <v>0</v>
      </c>
      <c r="AK240" s="452" t="str">
        <f>IF(U240="","",ProjParseTF(U240))</f>
        <v/>
      </c>
      <c r="AL240" s="219" t="str">
        <f>IF(E240="","",ProjCumN(AL239,E239,F239,G239,E240,F240,G240,FALSE))</f>
        <v/>
      </c>
      <c r="AM240" s="331" t="str">
        <f>IF(E240="","",ProjCumE(AM239,E239,F239,G239,E240,F240,G240,FALSE))</f>
        <v/>
      </c>
      <c r="AN240" s="330" t="str">
        <f t="shared" si="72"/>
        <v/>
      </c>
      <c r="AO240" s="330">
        <f>IF(OR(E240="",E240&lt;$U$2),"",ProjActiveTargetMdEx(D240,W240,V240,ProjTargets_MD,ProjTargets_INC,ProjTargets_AZM,ProjTargets_TVD,F240,H240))</f>
        <v>6704.23</v>
      </c>
      <c r="AP240" s="207" t="str">
        <f>IF(OR(E240="",E240&lt;$U$2),"",ProjBitN(E240,F240,G240,AL240,D240,W240,X240))</f>
        <v/>
      </c>
      <c r="AQ240" s="207" t="str">
        <f>IF(OR(E240="",E240&lt;$U$2),"",ProjBitE(E240,F240,G240,AM240,D240,W240,X240))</f>
        <v/>
      </c>
      <c r="AR240" s="207" t="str">
        <f>IF(OR(E240="",E240&lt;$U$2,AO240=""),"",ProjBurr(D240,W240,X240,Q240,C240,ProjTargets_MD,ProjTargets_INC,ProjTargets_AZM,ProjTargets_TVD,V240))</f>
        <v/>
      </c>
      <c r="AS240" s="207" t="str">
        <f>IF(OR(E240="",E240&lt;$U$2,AO240=""),"",ProjMetersToSlide(D240,W240,X240,Q240,C240,ProjTargets_MD,ProjTargets_INC,ProjTargets_AZM,ProjTargets_TVD,V240))</f>
        <v/>
      </c>
      <c r="AT240" s="207" t="str">
        <f>IF(OR(E240="",E240&lt;$U$2,AO240=""),"",ProjRequiredTf(D240,W240,X240,ProjTargets_MD,ProjTargets_INC,ProjTargets_AZM,ProjTargets_TVD,5,V240))</f>
        <v/>
      </c>
    </row>
    <row r="241" spans="2:46" s="209" customFormat="1" ht="15" customHeight="1" x14ac:dyDescent="0.3">
      <c r="B241" s="208">
        <f t="shared" si="59"/>
        <v>17</v>
      </c>
      <c r="C241" s="335">
        <f t="shared" si="66"/>
        <v>28.809999999999491</v>
      </c>
      <c r="D241" s="27">
        <v>6086.36</v>
      </c>
      <c r="E241" s="336">
        <f t="shared" si="67"/>
        <v>6069.36</v>
      </c>
      <c r="F241" s="9"/>
      <c r="G241" s="9"/>
      <c r="H241" s="337" t="str">
        <f t="shared" si="60"/>
        <v/>
      </c>
      <c r="I241" s="337" t="str">
        <f t="shared" si="71"/>
        <v xml:space="preserve">  </v>
      </c>
      <c r="J241" s="338" t="str">
        <f t="shared" si="68"/>
        <v/>
      </c>
      <c r="K241" s="339" t="str">
        <f t="shared" si="69"/>
        <v xml:space="preserve"> </v>
      </c>
      <c r="L241" s="339" t="str">
        <f t="shared" si="70"/>
        <v/>
      </c>
      <c r="M241" s="339" t="str">
        <f t="shared" si="61"/>
        <v/>
      </c>
      <c r="N241" s="340" t="str">
        <f t="shared" si="62"/>
        <v/>
      </c>
      <c r="O241" s="341" t="str">
        <f t="shared" si="63"/>
        <v/>
      </c>
      <c r="P241" s="342" t="str">
        <f t="shared" si="64"/>
        <v/>
      </c>
      <c r="Q241" s="343" t="str">
        <f t="shared" si="65"/>
        <v/>
      </c>
      <c r="R241" s="10" t="str">
        <f t="shared" si="75"/>
        <v/>
      </c>
      <c r="S241" s="337" t="str">
        <f t="shared" si="58"/>
        <v/>
      </c>
      <c r="T241" s="9"/>
      <c r="U241" s="8"/>
      <c r="V241" s="202" t="str">
        <f>IF(OR(E241="",E241&lt;$U$2),"",ProjTvdAtBit(E241,F241,G241,H241,D241,W241,X241))</f>
        <v/>
      </c>
      <c r="W241" s="344" t="str">
        <f>IF(OR(E241="",E241&lt;$U$2),"",ProjIncAtBit(F241,J241,C241,M241,AJ241,IF(AK241="",0,AK241)))</f>
        <v/>
      </c>
      <c r="X241" s="455" t="str">
        <f>IF(OR(E241="",E241&lt;$U$2),"",ProjAzmAtBit(F241,G241,J241,C241,M241,AJ241,IF(AK241="",0,AK241)))</f>
        <v/>
      </c>
      <c r="Y241" s="461"/>
      <c r="Z241" s="206"/>
      <c r="AA241" s="512">
        <f t="shared" si="73"/>
        <v>90</v>
      </c>
      <c r="AB241" s="520" t="str">
        <f t="shared" si="74"/>
        <v/>
      </c>
      <c r="AC241" s="510"/>
      <c r="AD241" s="515"/>
      <c r="AE241" s="516"/>
      <c r="AJ241" s="452">
        <f>IF(OR(E241="",D241=""),0,ProjSlideMetersBetween(E241,D241,$R$13:$R$305,$S$13:$S$305))</f>
        <v>0</v>
      </c>
      <c r="AK241" s="452" t="str">
        <f>IF(U241="","",ProjParseTF(U241))</f>
        <v/>
      </c>
      <c r="AL241" s="219" t="str">
        <f>IF(E241="","",ProjCumN(AL240,E240,F240,G240,E241,F241,G241,FALSE))</f>
        <v/>
      </c>
      <c r="AM241" s="331" t="str">
        <f>IF(E241="","",ProjCumE(AM240,E240,F240,G240,E241,F241,G241,FALSE))</f>
        <v/>
      </c>
      <c r="AN241" s="330" t="str">
        <f t="shared" si="72"/>
        <v/>
      </c>
      <c r="AO241" s="330">
        <f>IF(OR(E241="",E241&lt;$U$2),"",ProjActiveTargetMdEx(D241,W241,V241,ProjTargets_MD,ProjTargets_INC,ProjTargets_AZM,ProjTargets_TVD,F241,H241))</f>
        <v>6704.23</v>
      </c>
      <c r="AP241" s="207" t="str">
        <f>IF(OR(E241="",E241&lt;$U$2),"",ProjBitN(E241,F241,G241,AL241,D241,W241,X241))</f>
        <v/>
      </c>
      <c r="AQ241" s="207" t="str">
        <f>IF(OR(E241="",E241&lt;$U$2),"",ProjBitE(E241,F241,G241,AM241,D241,W241,X241))</f>
        <v/>
      </c>
      <c r="AR241" s="207" t="str">
        <f>IF(OR(E241="",E241&lt;$U$2,AO241=""),"",ProjBurr(D241,W241,X241,Q241,C241,ProjTargets_MD,ProjTargets_INC,ProjTargets_AZM,ProjTargets_TVD,V241))</f>
        <v/>
      </c>
      <c r="AS241" s="207" t="str">
        <f>IF(OR(E241="",E241&lt;$U$2,AO241=""),"",ProjMetersToSlide(D241,W241,X241,Q241,C241,ProjTargets_MD,ProjTargets_INC,ProjTargets_AZM,ProjTargets_TVD,V241))</f>
        <v/>
      </c>
      <c r="AT241" s="207" t="str">
        <f>IF(OR(E241="",E241&lt;$U$2,AO241=""),"",ProjRequiredTf(D241,W241,X241,ProjTargets_MD,ProjTargets_INC,ProjTargets_AZM,ProjTargets_TVD,5,V241))</f>
        <v/>
      </c>
    </row>
    <row r="242" spans="2:46" s="209" customFormat="1" ht="15" customHeight="1" x14ac:dyDescent="0.3">
      <c r="B242" s="208">
        <f t="shared" si="59"/>
        <v>17</v>
      </c>
      <c r="C242" s="335">
        <f t="shared" si="66"/>
        <v>28.780000000000655</v>
      </c>
      <c r="D242" s="27">
        <v>6115.14</v>
      </c>
      <c r="E242" s="336">
        <f t="shared" si="67"/>
        <v>6098.14</v>
      </c>
      <c r="F242" s="9"/>
      <c r="G242" s="9"/>
      <c r="H242" s="337" t="str">
        <f t="shared" si="60"/>
        <v/>
      </c>
      <c r="I242" s="337" t="str">
        <f t="shared" si="71"/>
        <v xml:space="preserve">  </v>
      </c>
      <c r="J242" s="338" t="str">
        <f t="shared" si="68"/>
        <v/>
      </c>
      <c r="K242" s="339" t="str">
        <f t="shared" si="69"/>
        <v xml:space="preserve"> </v>
      </c>
      <c r="L242" s="339" t="str">
        <f t="shared" si="70"/>
        <v/>
      </c>
      <c r="M242" s="339" t="str">
        <f t="shared" si="61"/>
        <v/>
      </c>
      <c r="N242" s="340" t="str">
        <f t="shared" si="62"/>
        <v/>
      </c>
      <c r="O242" s="341" t="str">
        <f t="shared" si="63"/>
        <v/>
      </c>
      <c r="P242" s="342" t="str">
        <f t="shared" si="64"/>
        <v/>
      </c>
      <c r="Q242" s="343" t="str">
        <f t="shared" si="65"/>
        <v/>
      </c>
      <c r="R242" s="10" t="str">
        <f t="shared" si="75"/>
        <v/>
      </c>
      <c r="S242" s="337" t="str">
        <f t="shared" si="58"/>
        <v/>
      </c>
      <c r="T242" s="9"/>
      <c r="U242" s="8"/>
      <c r="V242" s="202" t="str">
        <f>IF(OR(E242="",E242&lt;$U$2),"",ProjTvdAtBit(E242,F242,G242,H242,D242,W242,X242))</f>
        <v/>
      </c>
      <c r="W242" s="344" t="str">
        <f>IF(OR(E242="",E242&lt;$U$2),"",ProjIncAtBit(F242,J242,C242,M242,AJ242,IF(AK242="",0,AK242)))</f>
        <v/>
      </c>
      <c r="X242" s="455" t="str">
        <f>IF(OR(E242="",E242&lt;$U$2),"",ProjAzmAtBit(F242,G242,J242,C242,M242,AJ242,IF(AK242="",0,AK242)))</f>
        <v/>
      </c>
      <c r="Y242" s="461"/>
      <c r="Z242" s="206"/>
      <c r="AA242" s="512" t="str">
        <f t="shared" si="73"/>
        <v/>
      </c>
      <c r="AB242" s="520" t="str">
        <f t="shared" si="74"/>
        <v/>
      </c>
      <c r="AC242" s="510"/>
      <c r="AD242" s="515"/>
      <c r="AE242" s="516"/>
      <c r="AJ242" s="452">
        <f>IF(OR(E242="",D242=""),0,ProjSlideMetersBetween(E242,D242,$R$13:$R$305,$S$13:$S$305))</f>
        <v>0</v>
      </c>
      <c r="AK242" s="452" t="str">
        <f>IF(U242="","",ProjParseTF(U242))</f>
        <v/>
      </c>
      <c r="AL242" s="219" t="str">
        <f>IF(E242="","",ProjCumN(AL241,E241,F241,G241,E242,F242,G242,FALSE))</f>
        <v/>
      </c>
      <c r="AM242" s="331" t="str">
        <f>IF(E242="","",ProjCumE(AM241,E241,F241,G241,E242,F242,G242,FALSE))</f>
        <v/>
      </c>
      <c r="AN242" s="330" t="str">
        <f t="shared" si="72"/>
        <v/>
      </c>
      <c r="AO242" s="330">
        <f>IF(OR(E242="",E242&lt;$U$2),"",ProjActiveTargetMdEx(D242,W242,V242,ProjTargets_MD,ProjTargets_INC,ProjTargets_AZM,ProjTargets_TVD,F242,H242))</f>
        <v>6704.23</v>
      </c>
      <c r="AP242" s="207" t="str">
        <f>IF(OR(E242="",E242&lt;$U$2),"",ProjBitN(E242,F242,G242,AL242,D242,W242,X242))</f>
        <v/>
      </c>
      <c r="AQ242" s="207" t="str">
        <f>IF(OR(E242="",E242&lt;$U$2),"",ProjBitE(E242,F242,G242,AM242,D242,W242,X242))</f>
        <v/>
      </c>
      <c r="AR242" s="207" t="str">
        <f>IF(OR(E242="",E242&lt;$U$2,AO242=""),"",ProjBurr(D242,W242,X242,Q242,C242,ProjTargets_MD,ProjTargets_INC,ProjTargets_AZM,ProjTargets_TVD,V242))</f>
        <v/>
      </c>
      <c r="AS242" s="207" t="str">
        <f>IF(OR(E242="",E242&lt;$U$2,AO242=""),"",ProjMetersToSlide(D242,W242,X242,Q242,C242,ProjTargets_MD,ProjTargets_INC,ProjTargets_AZM,ProjTargets_TVD,V242))</f>
        <v/>
      </c>
      <c r="AT242" s="207" t="str">
        <f>IF(OR(E242="",E242&lt;$U$2,AO242=""),"",ProjRequiredTf(D242,W242,X242,ProjTargets_MD,ProjTargets_INC,ProjTargets_AZM,ProjTargets_TVD,5,V242))</f>
        <v/>
      </c>
    </row>
    <row r="243" spans="2:46" s="209" customFormat="1" ht="15" customHeight="1" x14ac:dyDescent="0.3">
      <c r="B243" s="208">
        <f t="shared" si="59"/>
        <v>17</v>
      </c>
      <c r="C243" s="335">
        <f t="shared" si="66"/>
        <v>28.809999999999491</v>
      </c>
      <c r="D243" s="27">
        <v>6143.95</v>
      </c>
      <c r="E243" s="336">
        <f t="shared" si="67"/>
        <v>6126.95</v>
      </c>
      <c r="F243" s="9"/>
      <c r="G243" s="9"/>
      <c r="H243" s="337" t="str">
        <f t="shared" si="60"/>
        <v/>
      </c>
      <c r="I243" s="337" t="str">
        <f t="shared" si="71"/>
        <v xml:space="preserve">  </v>
      </c>
      <c r="J243" s="338" t="str">
        <f t="shared" si="68"/>
        <v/>
      </c>
      <c r="K243" s="339" t="str">
        <f t="shared" si="69"/>
        <v xml:space="preserve"> </v>
      </c>
      <c r="L243" s="339" t="str">
        <f t="shared" si="70"/>
        <v/>
      </c>
      <c r="M243" s="339" t="str">
        <f t="shared" si="61"/>
        <v/>
      </c>
      <c r="N243" s="340" t="str">
        <f t="shared" si="62"/>
        <v/>
      </c>
      <c r="O243" s="341" t="str">
        <f t="shared" si="63"/>
        <v/>
      </c>
      <c r="P243" s="342" t="str">
        <f t="shared" si="64"/>
        <v/>
      </c>
      <c r="Q243" s="343" t="str">
        <f t="shared" si="65"/>
        <v/>
      </c>
      <c r="R243" s="10" t="str">
        <f t="shared" si="75"/>
        <v/>
      </c>
      <c r="S243" s="337" t="str">
        <f t="shared" si="58"/>
        <v/>
      </c>
      <c r="T243" s="9"/>
      <c r="U243" s="8"/>
      <c r="V243" s="202" t="str">
        <f>IF(OR(E243="",E243&lt;$U$2),"",ProjTvdAtBit(E243,F243,G243,H243,D243,W243,X243))</f>
        <v/>
      </c>
      <c r="W243" s="344" t="str">
        <f>IF(OR(E243="",E243&lt;$U$2),"",ProjIncAtBit(F243,J243,C243,M243,AJ243,IF(AK243="",0,AK243)))</f>
        <v/>
      </c>
      <c r="X243" s="455" t="str">
        <f>IF(OR(E243="",E243&lt;$U$2),"",ProjAzmAtBit(F243,G243,J243,C243,M243,AJ243,IF(AK243="",0,AK243)))</f>
        <v/>
      </c>
      <c r="Y243" s="461"/>
      <c r="Z243" s="206"/>
      <c r="AA243" s="512" t="str">
        <f t="shared" si="73"/>
        <v/>
      </c>
      <c r="AB243" s="520" t="str">
        <f t="shared" si="74"/>
        <v/>
      </c>
      <c r="AC243" s="510"/>
      <c r="AD243" s="515"/>
      <c r="AE243" s="516"/>
      <c r="AJ243" s="452">
        <f>IF(OR(E243="",D243=""),0,ProjSlideMetersBetween(E243,D243,$R$13:$R$305,$S$13:$S$305))</f>
        <v>0</v>
      </c>
      <c r="AK243" s="452" t="str">
        <f>IF(U243="","",ProjParseTF(U243))</f>
        <v/>
      </c>
      <c r="AL243" s="219" t="str">
        <f>IF(E243="","",ProjCumN(AL242,E242,F242,G242,E243,F243,G243,FALSE))</f>
        <v/>
      </c>
      <c r="AM243" s="331" t="str">
        <f>IF(E243="","",ProjCumE(AM242,E242,F242,G242,E243,F243,G243,FALSE))</f>
        <v/>
      </c>
      <c r="AN243" s="330" t="str">
        <f t="shared" si="72"/>
        <v/>
      </c>
      <c r="AO243" s="330">
        <f>IF(OR(E243="",E243&lt;$U$2),"",ProjActiveTargetMdEx(D243,W243,V243,ProjTargets_MD,ProjTargets_INC,ProjTargets_AZM,ProjTargets_TVD,F243,H243))</f>
        <v>6704.23</v>
      </c>
      <c r="AP243" s="207" t="str">
        <f>IF(OR(E243="",E243&lt;$U$2),"",ProjBitN(E243,F243,G243,AL243,D243,W243,X243))</f>
        <v/>
      </c>
      <c r="AQ243" s="207" t="str">
        <f>IF(OR(E243="",E243&lt;$U$2),"",ProjBitE(E243,F243,G243,AM243,D243,W243,X243))</f>
        <v/>
      </c>
      <c r="AR243" s="207" t="str">
        <f>IF(OR(E243="",E243&lt;$U$2,AO243=""),"",ProjBurr(D243,W243,X243,Q243,C243,ProjTargets_MD,ProjTargets_INC,ProjTargets_AZM,ProjTargets_TVD,V243))</f>
        <v/>
      </c>
      <c r="AS243" s="207" t="str">
        <f>IF(OR(E243="",E243&lt;$U$2,AO243=""),"",ProjMetersToSlide(D243,W243,X243,Q243,C243,ProjTargets_MD,ProjTargets_INC,ProjTargets_AZM,ProjTargets_TVD,V243))</f>
        <v/>
      </c>
      <c r="AT243" s="207" t="str">
        <f>IF(OR(E243="",E243&lt;$U$2,AO243=""),"",ProjRequiredTf(D243,W243,X243,ProjTargets_MD,ProjTargets_INC,ProjTargets_AZM,ProjTargets_TVD,5,V243))</f>
        <v/>
      </c>
    </row>
    <row r="244" spans="2:46" s="209" customFormat="1" ht="15" customHeight="1" x14ac:dyDescent="0.3">
      <c r="B244" s="208">
        <f t="shared" si="59"/>
        <v>17</v>
      </c>
      <c r="C244" s="335">
        <f t="shared" si="66"/>
        <v>24.050000000000182</v>
      </c>
      <c r="D244" s="27">
        <v>6168</v>
      </c>
      <c r="E244" s="336">
        <f t="shared" si="67"/>
        <v>6151</v>
      </c>
      <c r="F244" s="9"/>
      <c r="G244" s="9"/>
      <c r="H244" s="337" t="str">
        <f t="shared" si="60"/>
        <v/>
      </c>
      <c r="I244" s="337" t="str">
        <f t="shared" si="71"/>
        <v xml:space="preserve">  </v>
      </c>
      <c r="J244" s="338" t="str">
        <f t="shared" si="68"/>
        <v/>
      </c>
      <c r="K244" s="339" t="str">
        <f t="shared" si="69"/>
        <v xml:space="preserve"> </v>
      </c>
      <c r="L244" s="339" t="str">
        <f t="shared" si="70"/>
        <v/>
      </c>
      <c r="M244" s="339" t="str">
        <f t="shared" si="61"/>
        <v/>
      </c>
      <c r="N244" s="340" t="str">
        <f t="shared" si="62"/>
        <v/>
      </c>
      <c r="O244" s="341" t="str">
        <f t="shared" si="63"/>
        <v/>
      </c>
      <c r="P244" s="342" t="str">
        <f t="shared" si="64"/>
        <v/>
      </c>
      <c r="Q244" s="343" t="str">
        <f t="shared" si="65"/>
        <v/>
      </c>
      <c r="R244" s="10" t="str">
        <f t="shared" si="75"/>
        <v/>
      </c>
      <c r="S244" s="337" t="str">
        <f t="shared" si="58"/>
        <v/>
      </c>
      <c r="T244" s="9"/>
      <c r="U244" s="8"/>
      <c r="V244" s="202" t="str">
        <f>IF(OR(E244="",E244&lt;$U$2),"",ProjTvdAtBit(E244,F244,G244,H244,D244,W244,X244))</f>
        <v/>
      </c>
      <c r="W244" s="344" t="str">
        <f>IF(OR(E244="",E244&lt;$U$2),"",ProjIncAtBit(F244,J244,C244,M244,AJ244,IF(AK244="",0,AK244)))</f>
        <v/>
      </c>
      <c r="X244" s="455" t="str">
        <f>IF(OR(E244="",E244&lt;$U$2),"",ProjAzmAtBit(F244,G244,J244,C244,M244,AJ244,IF(AK244="",0,AK244)))</f>
        <v/>
      </c>
      <c r="Y244" s="461"/>
      <c r="Z244" s="206"/>
      <c r="AA244" s="512" t="str">
        <f t="shared" si="73"/>
        <v/>
      </c>
      <c r="AB244" s="520" t="str">
        <f t="shared" si="74"/>
        <v/>
      </c>
      <c r="AC244" s="510"/>
      <c r="AD244" s="515"/>
      <c r="AE244" s="516"/>
      <c r="AJ244" s="452">
        <f>IF(OR(E244="",D244=""),0,ProjSlideMetersBetween(E244,D244,$R$13:$R$305,$S$13:$S$305))</f>
        <v>0</v>
      </c>
      <c r="AK244" s="452" t="str">
        <f>IF(U244="","",ProjParseTF(U244))</f>
        <v/>
      </c>
      <c r="AL244" s="219" t="str">
        <f>IF(E244="","",ProjCumN(AL243,E243,F243,G243,E244,F244,G244,FALSE))</f>
        <v/>
      </c>
      <c r="AM244" s="331" t="str">
        <f>IF(E244="","",ProjCumE(AM243,E243,F243,G243,E244,F244,G244,FALSE))</f>
        <v/>
      </c>
      <c r="AN244" s="330" t="str">
        <f t="shared" si="72"/>
        <v/>
      </c>
      <c r="AO244" s="330">
        <f>IF(OR(E244="",E244&lt;$U$2),"",ProjActiveTargetMdEx(D244,W244,V244,ProjTargets_MD,ProjTargets_INC,ProjTargets_AZM,ProjTargets_TVD,F244,H244))</f>
        <v>6704.23</v>
      </c>
      <c r="AP244" s="207" t="str">
        <f>IF(OR(E244="",E244&lt;$U$2),"",ProjBitN(E244,F244,G244,AL244,D244,W244,X244))</f>
        <v/>
      </c>
      <c r="AQ244" s="207" t="str">
        <f>IF(OR(E244="",E244&lt;$U$2),"",ProjBitE(E244,F244,G244,AM244,D244,W244,X244))</f>
        <v/>
      </c>
      <c r="AR244" s="207" t="str">
        <f>IF(OR(E244="",E244&lt;$U$2,AO244=""),"",ProjBurr(D244,W244,X244,Q244,C244,ProjTargets_MD,ProjTargets_INC,ProjTargets_AZM,ProjTargets_TVD,V244))</f>
        <v/>
      </c>
      <c r="AS244" s="207" t="str">
        <f>IF(OR(E244="",E244&lt;$U$2,AO244=""),"",ProjMetersToSlide(D244,W244,X244,Q244,C244,ProjTargets_MD,ProjTargets_INC,ProjTargets_AZM,ProjTargets_TVD,V244))</f>
        <v/>
      </c>
      <c r="AT244" s="207" t="str">
        <f>IF(OR(E244="",E244&lt;$U$2,AO244=""),"",ProjRequiredTf(D244,W244,X244,ProjTargets_MD,ProjTargets_INC,ProjTargets_AZM,ProjTargets_TVD,5,V244))</f>
        <v/>
      </c>
    </row>
    <row r="245" spans="2:46" s="209" customFormat="1" ht="15" customHeight="1" x14ac:dyDescent="0.3">
      <c r="B245" s="208" t="str">
        <f t="shared" si="59"/>
        <v/>
      </c>
      <c r="C245" s="335" t="str">
        <f t="shared" si="66"/>
        <v/>
      </c>
      <c r="D245" s="27"/>
      <c r="E245" s="336" t="str">
        <f t="shared" si="67"/>
        <v/>
      </c>
      <c r="F245" s="9"/>
      <c r="G245" s="9"/>
      <c r="H245" s="337" t="str">
        <f t="shared" si="60"/>
        <v/>
      </c>
      <c r="I245" s="337" t="str">
        <f t="shared" si="71"/>
        <v xml:space="preserve">  </v>
      </c>
      <c r="J245" s="338" t="str">
        <f t="shared" si="68"/>
        <v/>
      </c>
      <c r="K245" s="339" t="str">
        <f t="shared" si="69"/>
        <v xml:space="preserve"> </v>
      </c>
      <c r="L245" s="339" t="str">
        <f t="shared" si="70"/>
        <v/>
      </c>
      <c r="M245" s="339" t="str">
        <f t="shared" si="61"/>
        <v/>
      </c>
      <c r="N245" s="340" t="str">
        <f t="shared" si="62"/>
        <v/>
      </c>
      <c r="O245" s="341" t="str">
        <f t="shared" si="63"/>
        <v/>
      </c>
      <c r="P245" s="342" t="str">
        <f t="shared" si="64"/>
        <v/>
      </c>
      <c r="Q245" s="343" t="str">
        <f t="shared" si="65"/>
        <v/>
      </c>
      <c r="R245" s="10" t="str">
        <f t="shared" si="75"/>
        <v/>
      </c>
      <c r="S245" s="337" t="str">
        <f t="shared" si="58"/>
        <v/>
      </c>
      <c r="T245" s="9"/>
      <c r="U245" s="8"/>
      <c r="V245" s="202" t="str">
        <f>IF(OR(E245="",E245&lt;$U$2),"",ProjTvdAtBit(E245,F245,G245,H245,D245,W245,X245))</f>
        <v/>
      </c>
      <c r="W245" s="344" t="str">
        <f>IF(OR(E245="",E245&lt;$U$2),"",ProjIncAtBit(F245,J245,C245,M245,AJ245,IF(AK245="",0,AK245)))</f>
        <v/>
      </c>
      <c r="X245" s="455" t="str">
        <f>IF(OR(E245="",E245&lt;$U$2),"",ProjAzmAtBit(F245,G245,J245,C245,M245,AJ245,IF(AK245="",0,AK245)))</f>
        <v/>
      </c>
      <c r="Y245" s="461"/>
      <c r="Z245" s="206"/>
      <c r="AA245" s="512" t="str">
        <f t="shared" si="73"/>
        <v/>
      </c>
      <c r="AB245" s="520" t="str">
        <f t="shared" si="74"/>
        <v/>
      </c>
      <c r="AC245" s="510"/>
      <c r="AD245" s="515"/>
      <c r="AE245" s="516"/>
      <c r="AJ245" s="452">
        <f>IF(OR(E245="",D245=""),0,ProjSlideMetersBetween(E245,D245,$R$13:$R$305,$S$13:$S$305))</f>
        <v>0</v>
      </c>
      <c r="AK245" s="452" t="str">
        <f>IF(U245="","",ProjParseTF(U245))</f>
        <v/>
      </c>
      <c r="AL245" s="219" t="str">
        <f>IF(E245="","",ProjCumN(AL244,E244,F244,G244,E245,F245,G245,FALSE))</f>
        <v/>
      </c>
      <c r="AM245" s="331" t="str">
        <f>IF(E245="","",ProjCumE(AM244,E244,F244,G244,E245,F245,G245,FALSE))</f>
        <v/>
      </c>
      <c r="AN245" s="330" t="str">
        <f t="shared" si="72"/>
        <v/>
      </c>
      <c r="AO245" s="330" t="str">
        <f>IF(OR(E245="",E245&lt;$U$2),"",ProjActiveTargetMdEx(D245,W245,V245,ProjTargets_MD,ProjTargets_INC,ProjTargets_AZM,ProjTargets_TVD,F245,H245))</f>
        <v/>
      </c>
      <c r="AP245" s="207" t="str">
        <f>IF(OR(E245="",E245&lt;$U$2),"",ProjBitN(E245,F245,G245,AL245,D245,W245,X245))</f>
        <v/>
      </c>
      <c r="AQ245" s="207" t="str">
        <f>IF(OR(E245="",E245&lt;$U$2),"",ProjBitE(E245,F245,G245,AM245,D245,W245,X245))</f>
        <v/>
      </c>
      <c r="AR245" s="207" t="str">
        <f>IF(OR(E245="",E245&lt;$U$2,AO245=""),"",ProjBurr(D245,W245,X245,Q245,C245,ProjTargets_MD,ProjTargets_INC,ProjTargets_AZM,ProjTargets_TVD,V245))</f>
        <v/>
      </c>
      <c r="AS245" s="207" t="str">
        <f>IF(OR(E245="",E245&lt;$U$2,AO245=""),"",ProjMetersToSlide(D245,W245,X245,Q245,C245,ProjTargets_MD,ProjTargets_INC,ProjTargets_AZM,ProjTargets_TVD,V245))</f>
        <v/>
      </c>
      <c r="AT245" s="207" t="str">
        <f>IF(OR(E245="",E245&lt;$U$2,AO245=""),"",ProjRequiredTf(D245,W245,X245,ProjTargets_MD,ProjTargets_INC,ProjTargets_AZM,ProjTargets_TVD,5,V245))</f>
        <v/>
      </c>
    </row>
    <row r="246" spans="2:46" s="209" customFormat="1" ht="15" customHeight="1" x14ac:dyDescent="0.3">
      <c r="B246" s="208" t="str">
        <f t="shared" si="59"/>
        <v/>
      </c>
      <c r="C246" s="335" t="str">
        <f t="shared" si="66"/>
        <v/>
      </c>
      <c r="D246" s="27"/>
      <c r="E246" s="336" t="str">
        <f t="shared" si="67"/>
        <v/>
      </c>
      <c r="F246" s="9"/>
      <c r="G246" s="9"/>
      <c r="H246" s="337" t="str">
        <f t="shared" si="60"/>
        <v/>
      </c>
      <c r="I246" s="337" t="str">
        <f t="shared" si="71"/>
        <v xml:space="preserve">  </v>
      </c>
      <c r="J246" s="338" t="str">
        <f t="shared" si="68"/>
        <v/>
      </c>
      <c r="K246" s="339" t="str">
        <f t="shared" si="69"/>
        <v xml:space="preserve"> </v>
      </c>
      <c r="L246" s="339" t="str">
        <f t="shared" si="70"/>
        <v/>
      </c>
      <c r="M246" s="339" t="str">
        <f t="shared" si="61"/>
        <v/>
      </c>
      <c r="N246" s="340" t="str">
        <f t="shared" si="62"/>
        <v/>
      </c>
      <c r="O246" s="341" t="str">
        <f t="shared" si="63"/>
        <v/>
      </c>
      <c r="P246" s="342" t="str">
        <f t="shared" si="64"/>
        <v/>
      </c>
      <c r="Q246" s="343" t="str">
        <f t="shared" si="65"/>
        <v/>
      </c>
      <c r="R246" s="10" t="str">
        <f t="shared" si="75"/>
        <v/>
      </c>
      <c r="S246" s="337" t="str">
        <f t="shared" si="58"/>
        <v/>
      </c>
      <c r="T246" s="9"/>
      <c r="U246" s="8"/>
      <c r="V246" s="202" t="str">
        <f>IF(OR(E246="",E246&lt;$U$2),"",ProjTvdAtBit(E246,F246,G246,H246,D246,W246,X246))</f>
        <v/>
      </c>
      <c r="W246" s="344" t="str">
        <f>IF(OR(E246="",E246&lt;$U$2),"",ProjIncAtBit(F246,J246,C246,M246,AJ246,IF(AK246="",0,AK246)))</f>
        <v/>
      </c>
      <c r="X246" s="455" t="str">
        <f>IF(OR(E246="",E246&lt;$U$2),"",ProjAzmAtBit(F246,G246,J246,C246,M246,AJ246,IF(AK246="",0,AK246)))</f>
        <v/>
      </c>
      <c r="Y246" s="461"/>
      <c r="Z246" s="206"/>
      <c r="AA246" s="512" t="str">
        <f t="shared" si="73"/>
        <v/>
      </c>
      <c r="AB246" s="520" t="str">
        <f t="shared" si="74"/>
        <v/>
      </c>
      <c r="AC246" s="510"/>
      <c r="AD246" s="515"/>
      <c r="AE246" s="516"/>
      <c r="AJ246" s="452">
        <f>IF(OR(E246="",D246=""),0,ProjSlideMetersBetween(E246,D246,$R$13:$R$305,$S$13:$S$305))</f>
        <v>0</v>
      </c>
      <c r="AK246" s="452" t="str">
        <f>IF(U246="","",ProjParseTF(U246))</f>
        <v/>
      </c>
      <c r="AL246" s="219" t="str">
        <f>IF(E246="","",ProjCumN(AL245,E245,F245,G245,E246,F246,G246,FALSE))</f>
        <v/>
      </c>
      <c r="AM246" s="331" t="str">
        <f>IF(E246="","",ProjCumE(AM245,E245,F245,G245,E246,F246,G246,FALSE))</f>
        <v/>
      </c>
      <c r="AN246" s="330" t="str">
        <f t="shared" si="72"/>
        <v/>
      </c>
      <c r="AO246" s="330" t="str">
        <f>IF(OR(E246="",E246&lt;$U$2),"",ProjActiveTargetMdEx(D246,W246,V246,ProjTargets_MD,ProjTargets_INC,ProjTargets_AZM,ProjTargets_TVD,F246,H246))</f>
        <v/>
      </c>
      <c r="AP246" s="207" t="str">
        <f>IF(OR(E246="",E246&lt;$U$2),"",ProjBitN(E246,F246,G246,AL246,D246,W246,X246))</f>
        <v/>
      </c>
      <c r="AQ246" s="207" t="str">
        <f>IF(OR(E246="",E246&lt;$U$2),"",ProjBitE(E246,F246,G246,AM246,D246,W246,X246))</f>
        <v/>
      </c>
      <c r="AR246" s="207" t="str">
        <f>IF(OR(E246="",E246&lt;$U$2,AO246=""),"",ProjBurr(D246,W246,X246,Q246,C246,ProjTargets_MD,ProjTargets_INC,ProjTargets_AZM,ProjTargets_TVD,V246))</f>
        <v/>
      </c>
      <c r="AS246" s="207" t="str">
        <f>IF(OR(E246="",E246&lt;$U$2,AO246=""),"",ProjMetersToSlide(D246,W246,X246,Q246,C246,ProjTargets_MD,ProjTargets_INC,ProjTargets_AZM,ProjTargets_TVD,V246))</f>
        <v/>
      </c>
      <c r="AT246" s="207" t="str">
        <f>IF(OR(E246="",E246&lt;$U$2,AO246=""),"",ProjRequiredTf(D246,W246,X246,ProjTargets_MD,ProjTargets_INC,ProjTargets_AZM,ProjTargets_TVD,5,V246))</f>
        <v/>
      </c>
    </row>
    <row r="247" spans="2:46" s="209" customFormat="1" ht="15" customHeight="1" x14ac:dyDescent="0.3">
      <c r="B247" s="208" t="str">
        <f t="shared" si="59"/>
        <v/>
      </c>
      <c r="C247" s="335" t="str">
        <f t="shared" si="66"/>
        <v/>
      </c>
      <c r="D247" s="27"/>
      <c r="E247" s="336" t="str">
        <f t="shared" si="67"/>
        <v/>
      </c>
      <c r="F247" s="9"/>
      <c r="G247" s="9"/>
      <c r="H247" s="337" t="str">
        <f t="shared" si="60"/>
        <v/>
      </c>
      <c r="I247" s="337" t="str">
        <f t="shared" si="71"/>
        <v xml:space="preserve">  </v>
      </c>
      <c r="J247" s="338" t="str">
        <f t="shared" si="68"/>
        <v/>
      </c>
      <c r="K247" s="339" t="str">
        <f t="shared" si="69"/>
        <v xml:space="preserve"> </v>
      </c>
      <c r="L247" s="339" t="str">
        <f t="shared" si="70"/>
        <v/>
      </c>
      <c r="M247" s="339" t="str">
        <f t="shared" si="61"/>
        <v/>
      </c>
      <c r="N247" s="340" t="str">
        <f t="shared" si="62"/>
        <v/>
      </c>
      <c r="O247" s="341" t="str">
        <f t="shared" si="63"/>
        <v/>
      </c>
      <c r="P247" s="342" t="str">
        <f t="shared" si="64"/>
        <v/>
      </c>
      <c r="Q247" s="343" t="str">
        <f t="shared" si="65"/>
        <v/>
      </c>
      <c r="R247" s="10" t="str">
        <f t="shared" si="75"/>
        <v/>
      </c>
      <c r="S247" s="337" t="str">
        <f t="shared" si="58"/>
        <v/>
      </c>
      <c r="T247" s="9"/>
      <c r="U247" s="8"/>
      <c r="V247" s="202" t="str">
        <f>IF(OR(E247="",E247&lt;$U$2),"",ProjTvdAtBit(E247,F247,G247,H247,D247,W247,X247))</f>
        <v/>
      </c>
      <c r="W247" s="344" t="str">
        <f>IF(OR(E247="",E247&lt;$U$2),"",ProjIncAtBit(F247,J247,C247,M247,AJ247,IF(AK247="",0,AK247)))</f>
        <v/>
      </c>
      <c r="X247" s="455" t="str">
        <f>IF(OR(E247="",E247&lt;$U$2),"",ProjAzmAtBit(F247,G247,J247,C247,M247,AJ247,IF(AK247="",0,AK247)))</f>
        <v/>
      </c>
      <c r="Y247" s="461"/>
      <c r="Z247" s="206"/>
      <c r="AA247" s="512" t="str">
        <f t="shared" si="73"/>
        <v/>
      </c>
      <c r="AB247" s="520" t="str">
        <f t="shared" si="74"/>
        <v/>
      </c>
      <c r="AC247" s="510"/>
      <c r="AD247" s="515"/>
      <c r="AE247" s="516"/>
      <c r="AJ247" s="452">
        <f>IF(OR(E247="",D247=""),0,ProjSlideMetersBetween(E247,D247,$R$13:$R$305,$S$13:$S$305))</f>
        <v>0</v>
      </c>
      <c r="AK247" s="452" t="str">
        <f>IF(U247="","",ProjParseTF(U247))</f>
        <v/>
      </c>
      <c r="AL247" s="219" t="str">
        <f>IF(E247="","",ProjCumN(AL246,E246,F246,G246,E247,F247,G247,FALSE))</f>
        <v/>
      </c>
      <c r="AM247" s="331" t="str">
        <f>IF(E247="","",ProjCumE(AM246,E246,F246,G246,E247,F247,G247,FALSE))</f>
        <v/>
      </c>
      <c r="AN247" s="330" t="str">
        <f t="shared" si="72"/>
        <v/>
      </c>
      <c r="AO247" s="330" t="str">
        <f>IF(OR(E247="",E247&lt;$U$2),"",ProjActiveTargetMdEx(D247,W247,V247,ProjTargets_MD,ProjTargets_INC,ProjTargets_AZM,ProjTargets_TVD,F247,H247))</f>
        <v/>
      </c>
      <c r="AP247" s="207" t="str">
        <f>IF(OR(E247="",E247&lt;$U$2),"",ProjBitN(E247,F247,G247,AL247,D247,W247,X247))</f>
        <v/>
      </c>
      <c r="AQ247" s="207" t="str">
        <f>IF(OR(E247="",E247&lt;$U$2),"",ProjBitE(E247,F247,G247,AM247,D247,W247,X247))</f>
        <v/>
      </c>
      <c r="AR247" s="207" t="str">
        <f>IF(OR(E247="",E247&lt;$U$2,AO247=""),"",ProjBurr(D247,W247,X247,Q247,C247,ProjTargets_MD,ProjTargets_INC,ProjTargets_AZM,ProjTargets_TVD,V247))</f>
        <v/>
      </c>
      <c r="AS247" s="207" t="str">
        <f>IF(OR(E247="",E247&lt;$U$2,AO247=""),"",ProjMetersToSlide(D247,W247,X247,Q247,C247,ProjTargets_MD,ProjTargets_INC,ProjTargets_AZM,ProjTargets_TVD,V247))</f>
        <v/>
      </c>
      <c r="AT247" s="207" t="str">
        <f>IF(OR(E247="",E247&lt;$U$2,AO247=""),"",ProjRequiredTf(D247,W247,X247,ProjTargets_MD,ProjTargets_INC,ProjTargets_AZM,ProjTargets_TVD,5,V247))</f>
        <v/>
      </c>
    </row>
    <row r="248" spans="2:46" s="209" customFormat="1" ht="15" customHeight="1" x14ac:dyDescent="0.3">
      <c r="B248" s="208" t="str">
        <f t="shared" si="59"/>
        <v/>
      </c>
      <c r="C248" s="335" t="str">
        <f t="shared" si="66"/>
        <v/>
      </c>
      <c r="D248" s="27"/>
      <c r="E248" s="336" t="str">
        <f t="shared" si="67"/>
        <v/>
      </c>
      <c r="F248" s="9"/>
      <c r="G248" s="9"/>
      <c r="H248" s="337" t="str">
        <f t="shared" si="60"/>
        <v/>
      </c>
      <c r="I248" s="337" t="str">
        <f t="shared" si="71"/>
        <v xml:space="preserve">  </v>
      </c>
      <c r="J248" s="338" t="str">
        <f t="shared" si="68"/>
        <v/>
      </c>
      <c r="K248" s="339" t="str">
        <f t="shared" si="69"/>
        <v xml:space="preserve"> </v>
      </c>
      <c r="L248" s="339" t="str">
        <f t="shared" si="70"/>
        <v/>
      </c>
      <c r="M248" s="339" t="str">
        <f t="shared" si="61"/>
        <v/>
      </c>
      <c r="N248" s="340" t="str">
        <f t="shared" si="62"/>
        <v/>
      </c>
      <c r="O248" s="341" t="str">
        <f t="shared" si="63"/>
        <v/>
      </c>
      <c r="P248" s="342" t="str">
        <f t="shared" si="64"/>
        <v/>
      </c>
      <c r="Q248" s="343" t="str">
        <f t="shared" si="65"/>
        <v/>
      </c>
      <c r="R248" s="10" t="str">
        <f t="shared" si="75"/>
        <v/>
      </c>
      <c r="S248" s="337" t="str">
        <f t="shared" si="58"/>
        <v/>
      </c>
      <c r="T248" s="9"/>
      <c r="U248" s="8"/>
      <c r="V248" s="202" t="str">
        <f>IF(OR(E248="",E248&lt;$U$2),"",ProjTvdAtBit(E248,F248,G248,H248,D248,W248,X248))</f>
        <v/>
      </c>
      <c r="W248" s="344" t="str">
        <f>IF(OR(E248="",E248&lt;$U$2),"",ProjIncAtBit(F248,J248,C248,M248,AJ248,IF(AK248="",0,AK248)))</f>
        <v/>
      </c>
      <c r="X248" s="455" t="str">
        <f>IF(OR(E248="",E248&lt;$U$2),"",ProjAzmAtBit(F248,G248,J248,C248,M248,AJ248,IF(AK248="",0,AK248)))</f>
        <v/>
      </c>
      <c r="Y248" s="461"/>
      <c r="Z248" s="206"/>
      <c r="AA248" s="512" t="str">
        <f t="shared" si="73"/>
        <v/>
      </c>
      <c r="AB248" s="520" t="str">
        <f t="shared" si="74"/>
        <v/>
      </c>
      <c r="AC248" s="510"/>
      <c r="AD248" s="515"/>
      <c r="AE248" s="516"/>
      <c r="AJ248" s="452">
        <f>IF(OR(E248="",D248=""),0,ProjSlideMetersBetween(E248,D248,$R$13:$R$305,$S$13:$S$305))</f>
        <v>0</v>
      </c>
      <c r="AK248" s="452" t="str">
        <f>IF(U248="","",ProjParseTF(U248))</f>
        <v/>
      </c>
      <c r="AL248" s="219" t="str">
        <f>IF(E248="","",ProjCumN(AL247,E247,F247,G247,E248,F248,G248,FALSE))</f>
        <v/>
      </c>
      <c r="AM248" s="331" t="str">
        <f>IF(E248="","",ProjCumE(AM247,E247,F247,G247,E248,F248,G248,FALSE))</f>
        <v/>
      </c>
      <c r="AN248" s="330" t="str">
        <f t="shared" si="72"/>
        <v/>
      </c>
      <c r="AO248" s="330" t="str">
        <f>IF(OR(E248="",E248&lt;$U$2),"",ProjActiveTargetMdEx(D248,W248,V248,ProjTargets_MD,ProjTargets_INC,ProjTargets_AZM,ProjTargets_TVD,F248,H248))</f>
        <v/>
      </c>
      <c r="AP248" s="207" t="str">
        <f>IF(OR(E248="",E248&lt;$U$2),"",ProjBitN(E248,F248,G248,AL248,D248,W248,X248))</f>
        <v/>
      </c>
      <c r="AQ248" s="207" t="str">
        <f>IF(OR(E248="",E248&lt;$U$2),"",ProjBitE(E248,F248,G248,AM248,D248,W248,X248))</f>
        <v/>
      </c>
      <c r="AR248" s="207" t="str">
        <f>IF(OR(E248="",E248&lt;$U$2,AO248=""),"",ProjBurr(D248,W248,X248,Q248,C248,ProjTargets_MD,ProjTargets_INC,ProjTargets_AZM,ProjTargets_TVD,V248))</f>
        <v/>
      </c>
      <c r="AS248" s="207" t="str">
        <f>IF(OR(E248="",E248&lt;$U$2,AO248=""),"",ProjMetersToSlide(D248,W248,X248,Q248,C248,ProjTargets_MD,ProjTargets_INC,ProjTargets_AZM,ProjTargets_TVD,V248))</f>
        <v/>
      </c>
      <c r="AT248" s="207" t="str">
        <f>IF(OR(E248="",E248&lt;$U$2,AO248=""),"",ProjRequiredTf(D248,W248,X248,ProjTargets_MD,ProjTargets_INC,ProjTargets_AZM,ProjTargets_TVD,5,V248))</f>
        <v/>
      </c>
    </row>
    <row r="249" spans="2:46" s="209" customFormat="1" ht="15" customHeight="1" x14ac:dyDescent="0.3">
      <c r="B249" s="208" t="str">
        <f t="shared" si="59"/>
        <v/>
      </c>
      <c r="C249" s="335" t="str">
        <f t="shared" si="66"/>
        <v/>
      </c>
      <c r="D249" s="27"/>
      <c r="E249" s="336" t="str">
        <f t="shared" si="67"/>
        <v/>
      </c>
      <c r="F249" s="9"/>
      <c r="G249" s="9"/>
      <c r="H249" s="337" t="str">
        <f t="shared" si="60"/>
        <v/>
      </c>
      <c r="I249" s="337" t="str">
        <f t="shared" si="71"/>
        <v xml:space="preserve">  </v>
      </c>
      <c r="J249" s="338" t="str">
        <f t="shared" si="68"/>
        <v/>
      </c>
      <c r="K249" s="339" t="str">
        <f t="shared" si="69"/>
        <v xml:space="preserve"> </v>
      </c>
      <c r="L249" s="339" t="str">
        <f t="shared" si="70"/>
        <v/>
      </c>
      <c r="M249" s="339" t="str">
        <f t="shared" si="61"/>
        <v/>
      </c>
      <c r="N249" s="340" t="str">
        <f t="shared" si="62"/>
        <v/>
      </c>
      <c r="O249" s="341" t="str">
        <f t="shared" si="63"/>
        <v/>
      </c>
      <c r="P249" s="342" t="str">
        <f t="shared" si="64"/>
        <v/>
      </c>
      <c r="Q249" s="343" t="str">
        <f t="shared" si="65"/>
        <v/>
      </c>
      <c r="R249" s="10" t="str">
        <f t="shared" si="75"/>
        <v/>
      </c>
      <c r="S249" s="337" t="str">
        <f t="shared" si="58"/>
        <v/>
      </c>
      <c r="T249" s="9"/>
      <c r="U249" s="8"/>
      <c r="V249" s="202" t="str">
        <f>IF(OR(E249="",E249&lt;$U$2),"",ProjTvdAtBit(E249,F249,G249,H249,D249,W249,X249))</f>
        <v/>
      </c>
      <c r="W249" s="344" t="str">
        <f>IF(OR(E249="",E249&lt;$U$2),"",ProjIncAtBit(F249,J249,C249,M249,AJ249,IF(AK249="",0,AK249)))</f>
        <v/>
      </c>
      <c r="X249" s="455" t="str">
        <f>IF(OR(E249="",E249&lt;$U$2),"",ProjAzmAtBit(F249,G249,J249,C249,M249,AJ249,IF(AK249="",0,AK249)))</f>
        <v/>
      </c>
      <c r="Y249" s="461"/>
      <c r="Z249" s="206"/>
      <c r="AA249" s="512" t="str">
        <f t="shared" si="73"/>
        <v/>
      </c>
      <c r="AB249" s="520" t="str">
        <f t="shared" si="74"/>
        <v/>
      </c>
      <c r="AC249" s="510"/>
      <c r="AD249" s="515"/>
      <c r="AE249" s="516"/>
      <c r="AJ249" s="452">
        <f>IF(OR(E249="",D249=""),0,ProjSlideMetersBetween(E249,D249,$R$13:$R$305,$S$13:$S$305))</f>
        <v>0</v>
      </c>
      <c r="AK249" s="452" t="str">
        <f>IF(U249="","",ProjParseTF(U249))</f>
        <v/>
      </c>
      <c r="AL249" s="219" t="str">
        <f>IF(E249="","",ProjCumN(AL248,E248,F248,G248,E249,F249,G249,FALSE))</f>
        <v/>
      </c>
      <c r="AM249" s="331" t="str">
        <f>IF(E249="","",ProjCumE(AM248,E248,F248,G248,E249,F249,G249,FALSE))</f>
        <v/>
      </c>
      <c r="AN249" s="330" t="str">
        <f t="shared" si="72"/>
        <v/>
      </c>
      <c r="AO249" s="330" t="str">
        <f>IF(OR(E249="",E249&lt;$U$2),"",ProjActiveTargetMdEx(D249,W249,V249,ProjTargets_MD,ProjTargets_INC,ProjTargets_AZM,ProjTargets_TVD,F249,H249))</f>
        <v/>
      </c>
      <c r="AP249" s="207" t="str">
        <f>IF(OR(E249="",E249&lt;$U$2),"",ProjBitN(E249,F249,G249,AL249,D249,W249,X249))</f>
        <v/>
      </c>
      <c r="AQ249" s="207" t="str">
        <f>IF(OR(E249="",E249&lt;$U$2),"",ProjBitE(E249,F249,G249,AM249,D249,W249,X249))</f>
        <v/>
      </c>
      <c r="AR249" s="207" t="str">
        <f>IF(OR(E249="",E249&lt;$U$2,AO249=""),"",ProjBurr(D249,W249,X249,Q249,C249,ProjTargets_MD,ProjTargets_INC,ProjTargets_AZM,ProjTargets_TVD,V249))</f>
        <v/>
      </c>
      <c r="AS249" s="207" t="str">
        <f>IF(OR(E249="",E249&lt;$U$2,AO249=""),"",ProjMetersToSlide(D249,W249,X249,Q249,C249,ProjTargets_MD,ProjTargets_INC,ProjTargets_AZM,ProjTargets_TVD,V249))</f>
        <v/>
      </c>
      <c r="AT249" s="207" t="str">
        <f>IF(OR(E249="",E249&lt;$U$2,AO249=""),"",ProjRequiredTf(D249,W249,X249,ProjTargets_MD,ProjTargets_INC,ProjTargets_AZM,ProjTargets_TVD,5,V249))</f>
        <v/>
      </c>
    </row>
    <row r="250" spans="2:46" s="209" customFormat="1" ht="15" customHeight="1" x14ac:dyDescent="0.3">
      <c r="B250" s="208" t="str">
        <f t="shared" si="59"/>
        <v/>
      </c>
      <c r="C250" s="335" t="str">
        <f t="shared" si="66"/>
        <v/>
      </c>
      <c r="D250" s="27"/>
      <c r="E250" s="336" t="str">
        <f t="shared" si="67"/>
        <v/>
      </c>
      <c r="F250" s="9"/>
      <c r="G250" s="9"/>
      <c r="H250" s="337" t="str">
        <f t="shared" si="60"/>
        <v/>
      </c>
      <c r="I250" s="337" t="str">
        <f t="shared" si="71"/>
        <v xml:space="preserve">  </v>
      </c>
      <c r="J250" s="338" t="str">
        <f t="shared" si="68"/>
        <v/>
      </c>
      <c r="K250" s="339" t="str">
        <f t="shared" si="69"/>
        <v xml:space="preserve"> </v>
      </c>
      <c r="L250" s="339" t="str">
        <f t="shared" si="70"/>
        <v/>
      </c>
      <c r="M250" s="339" t="str">
        <f t="shared" si="61"/>
        <v/>
      </c>
      <c r="N250" s="340" t="str">
        <f t="shared" si="62"/>
        <v/>
      </c>
      <c r="O250" s="341" t="str">
        <f t="shared" si="63"/>
        <v/>
      </c>
      <c r="P250" s="342" t="s">
        <v>458</v>
      </c>
      <c r="Q250" s="343" t="str">
        <f t="shared" si="65"/>
        <v/>
      </c>
      <c r="R250" s="10" t="str">
        <f t="shared" si="75"/>
        <v/>
      </c>
      <c r="S250" s="337" t="str">
        <f t="shared" si="58"/>
        <v/>
      </c>
      <c r="T250" s="9"/>
      <c r="U250" s="8"/>
      <c r="V250" s="202" t="str">
        <f>IF(OR(E250="",E250&lt;$U$2),"",ProjTvdAtBit(E250,F250,G250,H250,D250,W250,X250))</f>
        <v/>
      </c>
      <c r="W250" s="344" t="str">
        <f>IF(OR(E250="",E250&lt;$U$2),"",ProjIncAtBit(F250,J250,C250,M250,AJ250,IF(AK250="",0,AK250)))</f>
        <v/>
      </c>
      <c r="X250" s="455" t="str">
        <f>IF(OR(E250="",E250&lt;$U$2),"",ProjAzmAtBit(F250,G250,J250,C250,M250,AJ250,IF(AK250="",0,AK250)))</f>
        <v/>
      </c>
      <c r="Y250" s="461"/>
      <c r="Z250" s="206"/>
      <c r="AA250" s="512" t="str">
        <f t="shared" si="73"/>
        <v/>
      </c>
      <c r="AB250" s="520" t="str">
        <f t="shared" si="74"/>
        <v/>
      </c>
      <c r="AC250" s="510"/>
      <c r="AD250" s="515"/>
      <c r="AE250" s="516"/>
      <c r="AJ250" s="452">
        <f>IF(OR(E250="",D250=""),0,ProjSlideMetersBetween(E250,D250,$R$13:$R$305,$S$13:$S$305))</f>
        <v>0</v>
      </c>
      <c r="AK250" s="452" t="str">
        <f>IF(U250="","",ProjParseTF(U250))</f>
        <v/>
      </c>
      <c r="AL250" s="219" t="str">
        <f>IF(E250="","",ProjCumN(AL249,E249,F249,G249,E250,F250,G250,FALSE))</f>
        <v/>
      </c>
      <c r="AM250" s="331" t="str">
        <f>IF(E250="","",ProjCumE(AM249,E249,F249,G249,E250,F250,G250,FALSE))</f>
        <v/>
      </c>
      <c r="AN250" s="330" t="str">
        <f t="shared" si="72"/>
        <v/>
      </c>
      <c r="AO250" s="330" t="str">
        <f>IF(OR(E250="",E250&lt;$U$2),"",ProjActiveTargetMdEx(D250,W250,V250,ProjTargets_MD,ProjTargets_INC,ProjTargets_AZM,ProjTargets_TVD,F250,H250))</f>
        <v/>
      </c>
      <c r="AP250" s="207" t="str">
        <f>IF(OR(E250="",E250&lt;$U$2),"",ProjBitN(E250,F250,G250,AL250,D250,W250,X250))</f>
        <v/>
      </c>
      <c r="AQ250" s="207" t="str">
        <f>IF(OR(E250="",E250&lt;$U$2),"",ProjBitE(E250,F250,G250,AM250,D250,W250,X250))</f>
        <v/>
      </c>
      <c r="AR250" s="207" t="str">
        <f>IF(OR(E250="",E250&lt;$U$2,AO250=""),"",ProjBurr(D250,W250,X250,Q250,C250,ProjTargets_MD,ProjTargets_INC,ProjTargets_AZM,ProjTargets_TVD,V250))</f>
        <v/>
      </c>
      <c r="AS250" s="207" t="str">
        <f>IF(OR(E250="",E250&lt;$U$2,AO250=""),"",ProjMetersToSlide(D250,W250,X250,Q250,C250,ProjTargets_MD,ProjTargets_INC,ProjTargets_AZM,ProjTargets_TVD,V250))</f>
        <v/>
      </c>
      <c r="AT250" s="207" t="str">
        <f>IF(OR(E250="",E250&lt;$U$2,AO250=""),"",ProjRequiredTf(D250,W250,X250,ProjTargets_MD,ProjTargets_INC,ProjTargets_AZM,ProjTargets_TVD,5,V250))</f>
        <v/>
      </c>
    </row>
    <row r="251" spans="2:46" s="209" customFormat="1" ht="15" customHeight="1" x14ac:dyDescent="0.3">
      <c r="B251" s="208" t="str">
        <f t="shared" si="59"/>
        <v/>
      </c>
      <c r="C251" s="335" t="str">
        <f t="shared" si="66"/>
        <v/>
      </c>
      <c r="D251" s="27"/>
      <c r="E251" s="336" t="str">
        <f t="shared" si="67"/>
        <v/>
      </c>
      <c r="F251" s="9"/>
      <c r="G251" s="9"/>
      <c r="H251" s="337" t="str">
        <f t="shared" si="60"/>
        <v/>
      </c>
      <c r="I251" s="337" t="str">
        <f t="shared" si="71"/>
        <v xml:space="preserve">  </v>
      </c>
      <c r="J251" s="338" t="str">
        <f t="shared" si="68"/>
        <v/>
      </c>
      <c r="K251" s="339" t="str">
        <f t="shared" si="69"/>
        <v xml:space="preserve"> </v>
      </c>
      <c r="L251" s="339" t="str">
        <f t="shared" si="70"/>
        <v/>
      </c>
      <c r="M251" s="339" t="str">
        <f t="shared" si="61"/>
        <v/>
      </c>
      <c r="N251" s="340" t="str">
        <f t="shared" si="62"/>
        <v/>
      </c>
      <c r="O251" s="341" t="str">
        <f t="shared" si="63"/>
        <v/>
      </c>
      <c r="P251" s="342" t="str">
        <f t="shared" si="64"/>
        <v/>
      </c>
      <c r="Q251" s="343" t="str">
        <f t="shared" si="65"/>
        <v/>
      </c>
      <c r="R251" s="10" t="str">
        <f t="shared" si="75"/>
        <v/>
      </c>
      <c r="S251" s="337" t="str">
        <f t="shared" si="58"/>
        <v/>
      </c>
      <c r="T251" s="9"/>
      <c r="U251" s="8"/>
      <c r="V251" s="202" t="str">
        <f>IF(OR(E251="",E251&lt;$U$2),"",ProjTvdAtBit(E251,F251,G251,H251,D251,W251,X251))</f>
        <v/>
      </c>
      <c r="W251" s="344" t="str">
        <f>IF(OR(E251="",E251&lt;$U$2),"",ProjIncAtBit(F251,J251,C251,M251,AJ251,IF(AK251="",0,AK251)))</f>
        <v/>
      </c>
      <c r="X251" s="455" t="str">
        <f>IF(OR(E251="",E251&lt;$U$2),"",ProjAzmAtBit(F251,G251,J251,C251,M251,AJ251,IF(AK251="",0,AK251)))</f>
        <v/>
      </c>
      <c r="Y251" s="461"/>
      <c r="Z251" s="206"/>
      <c r="AA251" s="512" t="str">
        <f t="shared" si="73"/>
        <v/>
      </c>
      <c r="AB251" s="520" t="str">
        <f t="shared" si="74"/>
        <v/>
      </c>
      <c r="AC251" s="510"/>
      <c r="AD251" s="515"/>
      <c r="AE251" s="516"/>
      <c r="AJ251" s="452">
        <f>IF(OR(E251="",D251=""),0,ProjSlideMetersBetween(E251,D251,$R$13:$R$305,$S$13:$S$305))</f>
        <v>0</v>
      </c>
      <c r="AK251" s="452" t="str">
        <f>IF(U251="","",ProjParseTF(U251))</f>
        <v/>
      </c>
      <c r="AL251" s="219" t="str">
        <f>IF(E251="","",ProjCumN(AL250,E250,F250,G250,E251,F251,G251,FALSE))</f>
        <v/>
      </c>
      <c r="AM251" s="331" t="str">
        <f>IF(E251="","",ProjCumE(AM250,E250,F250,G250,E251,F251,G251,FALSE))</f>
        <v/>
      </c>
      <c r="AN251" s="330" t="str">
        <f t="shared" si="72"/>
        <v/>
      </c>
      <c r="AO251" s="330" t="str">
        <f>IF(OR(E251="",E251&lt;$U$2),"",ProjActiveTargetMdEx(D251,W251,V251,ProjTargets_MD,ProjTargets_INC,ProjTargets_AZM,ProjTargets_TVD,F251,H251))</f>
        <v/>
      </c>
      <c r="AP251" s="207" t="str">
        <f>IF(OR(E251="",E251&lt;$U$2),"",ProjBitN(E251,F251,G251,AL251,D251,W251,X251))</f>
        <v/>
      </c>
      <c r="AQ251" s="207" t="str">
        <f>IF(OR(E251="",E251&lt;$U$2),"",ProjBitE(E251,F251,G251,AM251,D251,W251,X251))</f>
        <v/>
      </c>
      <c r="AR251" s="207" t="str">
        <f>IF(OR(E251="",E251&lt;$U$2,AO251=""),"",ProjBurr(D251,W251,X251,Q251,C251,ProjTargets_MD,ProjTargets_INC,ProjTargets_AZM,ProjTargets_TVD,V251))</f>
        <v/>
      </c>
      <c r="AS251" s="207" t="str">
        <f>IF(OR(E251="",E251&lt;$U$2,AO251=""),"",ProjMetersToSlide(D251,W251,X251,Q251,C251,ProjTargets_MD,ProjTargets_INC,ProjTargets_AZM,ProjTargets_TVD,V251))</f>
        <v/>
      </c>
      <c r="AT251" s="207" t="str">
        <f>IF(OR(E251="",E251&lt;$U$2,AO251=""),"",ProjRequiredTf(D251,W251,X251,ProjTargets_MD,ProjTargets_INC,ProjTargets_AZM,ProjTargets_TVD,5,V251))</f>
        <v/>
      </c>
    </row>
    <row r="252" spans="2:46" s="209" customFormat="1" ht="15" customHeight="1" x14ac:dyDescent="0.3">
      <c r="B252" s="208" t="str">
        <f t="shared" si="59"/>
        <v/>
      </c>
      <c r="C252" s="335" t="str">
        <f t="shared" si="66"/>
        <v/>
      </c>
      <c r="D252" s="27"/>
      <c r="E252" s="336" t="str">
        <f t="shared" si="67"/>
        <v/>
      </c>
      <c r="F252" s="9"/>
      <c r="G252" s="9"/>
      <c r="H252" s="337" t="str">
        <f t="shared" si="60"/>
        <v/>
      </c>
      <c r="I252" s="337" t="str">
        <f t="shared" si="71"/>
        <v xml:space="preserve">  </v>
      </c>
      <c r="J252" s="338" t="str">
        <f t="shared" si="68"/>
        <v/>
      </c>
      <c r="K252" s="339" t="str">
        <f t="shared" si="69"/>
        <v xml:space="preserve"> </v>
      </c>
      <c r="L252" s="339" t="str">
        <f t="shared" si="70"/>
        <v/>
      </c>
      <c r="M252" s="339" t="str">
        <f t="shared" si="61"/>
        <v/>
      </c>
      <c r="N252" s="340" t="str">
        <f t="shared" si="62"/>
        <v/>
      </c>
      <c r="O252" s="341" t="str">
        <f t="shared" si="63"/>
        <v/>
      </c>
      <c r="P252" s="342" t="str">
        <f t="shared" si="64"/>
        <v/>
      </c>
      <c r="Q252" s="343" t="str">
        <f t="shared" si="65"/>
        <v/>
      </c>
      <c r="R252" s="10" t="str">
        <f t="shared" si="75"/>
        <v/>
      </c>
      <c r="S252" s="337" t="str">
        <f t="shared" si="58"/>
        <v/>
      </c>
      <c r="T252" s="9"/>
      <c r="U252" s="8"/>
      <c r="V252" s="202" t="str">
        <f>IF(OR(E252="",E252&lt;$U$2),"",ProjTvdAtBit(E252,F252,G252,H252,D252,W252,X252))</f>
        <v/>
      </c>
      <c r="W252" s="344" t="str">
        <f>IF(OR(E252="",E252&lt;$U$2),"",ProjIncAtBit(F252,J252,C252,M252,AJ252,IF(AK252="",0,AK252)))</f>
        <v/>
      </c>
      <c r="X252" s="455" t="str">
        <f>IF(OR(E252="",E252&lt;$U$2),"",ProjAzmAtBit(F252,G252,J252,C252,M252,AJ252,IF(AK252="",0,AK252)))</f>
        <v/>
      </c>
      <c r="Y252" s="461"/>
      <c r="Z252" s="206"/>
      <c r="AA252" s="512" t="str">
        <f t="shared" si="73"/>
        <v/>
      </c>
      <c r="AB252" s="520" t="str">
        <f t="shared" si="74"/>
        <v/>
      </c>
      <c r="AC252" s="510"/>
      <c r="AD252" s="515"/>
      <c r="AE252" s="516"/>
      <c r="AJ252" s="452">
        <f>IF(OR(E252="",D252=""),0,ProjSlideMetersBetween(E252,D252,$R$13:$R$305,$S$13:$S$305))</f>
        <v>0</v>
      </c>
      <c r="AK252" s="452" t="str">
        <f>IF(U252="","",ProjParseTF(U252))</f>
        <v/>
      </c>
      <c r="AL252" s="219" t="str">
        <f>IF(E252="","",ProjCumN(AL251,E251,F251,G251,E252,F252,G252,FALSE))</f>
        <v/>
      </c>
      <c r="AM252" s="331" t="str">
        <f>IF(E252="","",ProjCumE(AM251,E251,F251,G251,E252,F252,G252,FALSE))</f>
        <v/>
      </c>
      <c r="AN252" s="330" t="str">
        <f t="shared" si="72"/>
        <v/>
      </c>
      <c r="AO252" s="330" t="str">
        <f>IF(OR(E252="",E252&lt;$U$2),"",ProjActiveTargetMdEx(D252,W252,V252,ProjTargets_MD,ProjTargets_INC,ProjTargets_AZM,ProjTargets_TVD,F252,H252))</f>
        <v/>
      </c>
      <c r="AP252" s="207" t="str">
        <f>IF(OR(E252="",E252&lt;$U$2),"",ProjBitN(E252,F252,G252,AL252,D252,W252,X252))</f>
        <v/>
      </c>
      <c r="AQ252" s="207" t="str">
        <f>IF(OR(E252="",E252&lt;$U$2),"",ProjBitE(E252,F252,G252,AM252,D252,W252,X252))</f>
        <v/>
      </c>
      <c r="AR252" s="207" t="str">
        <f>IF(OR(E252="",E252&lt;$U$2,AO252=""),"",ProjBurr(D252,W252,X252,Q252,C252,ProjTargets_MD,ProjTargets_INC,ProjTargets_AZM,ProjTargets_TVD,V252))</f>
        <v/>
      </c>
      <c r="AS252" s="207" t="str">
        <f>IF(OR(E252="",E252&lt;$U$2,AO252=""),"",ProjMetersToSlide(D252,W252,X252,Q252,C252,ProjTargets_MD,ProjTargets_INC,ProjTargets_AZM,ProjTargets_TVD,V252))</f>
        <v/>
      </c>
      <c r="AT252" s="207" t="str">
        <f>IF(OR(E252="",E252&lt;$U$2,AO252=""),"",ProjRequiredTf(D252,W252,X252,ProjTargets_MD,ProjTargets_INC,ProjTargets_AZM,ProjTargets_TVD,5,V252))</f>
        <v/>
      </c>
    </row>
    <row r="253" spans="2:46" s="209" customFormat="1" ht="15" customHeight="1" x14ac:dyDescent="0.3">
      <c r="B253" s="208" t="str">
        <f t="shared" si="59"/>
        <v/>
      </c>
      <c r="C253" s="335" t="str">
        <f t="shared" si="66"/>
        <v/>
      </c>
      <c r="D253" s="27"/>
      <c r="E253" s="336" t="str">
        <f t="shared" si="67"/>
        <v/>
      </c>
      <c r="F253" s="9"/>
      <c r="G253" s="9"/>
      <c r="H253" s="337" t="str">
        <f t="shared" si="60"/>
        <v/>
      </c>
      <c r="I253" s="337" t="str">
        <f t="shared" si="71"/>
        <v xml:space="preserve">  </v>
      </c>
      <c r="J253" s="338" t="str">
        <f t="shared" si="68"/>
        <v/>
      </c>
      <c r="K253" s="339" t="str">
        <f t="shared" si="69"/>
        <v xml:space="preserve"> </v>
      </c>
      <c r="L253" s="339" t="str">
        <f t="shared" si="70"/>
        <v/>
      </c>
      <c r="M253" s="339" t="str">
        <f t="shared" si="61"/>
        <v/>
      </c>
      <c r="N253" s="340" t="str">
        <f t="shared" si="62"/>
        <v/>
      </c>
      <c r="O253" s="341" t="str">
        <f t="shared" si="63"/>
        <v/>
      </c>
      <c r="P253" s="342" t="str">
        <f t="shared" si="64"/>
        <v/>
      </c>
      <c r="Q253" s="343" t="str">
        <f t="shared" si="65"/>
        <v/>
      </c>
      <c r="R253" s="10" t="str">
        <f t="shared" si="75"/>
        <v/>
      </c>
      <c r="S253" s="337" t="str">
        <f t="shared" si="58"/>
        <v/>
      </c>
      <c r="T253" s="9"/>
      <c r="U253" s="8"/>
      <c r="V253" s="202" t="str">
        <f>IF(OR(E253="",E253&lt;$U$2),"",ProjTvdAtBit(E253,F253,G253,H253,D253,W253,X253))</f>
        <v/>
      </c>
      <c r="W253" s="344" t="str">
        <f>IF(OR(E253="",E253&lt;$U$2),"",ProjIncAtBit(F253,J253,C253,M253,AJ253,IF(AK253="",0,AK253)))</f>
        <v/>
      </c>
      <c r="X253" s="455" t="str">
        <f>IF(OR(E253="",E253&lt;$U$2),"",ProjAzmAtBit(F253,G253,J253,C253,M253,AJ253,IF(AK253="",0,AK253)))</f>
        <v/>
      </c>
      <c r="Y253" s="461"/>
      <c r="Z253" s="206"/>
      <c r="AA253" s="512" t="str">
        <f t="shared" si="73"/>
        <v/>
      </c>
      <c r="AB253" s="520" t="str">
        <f t="shared" si="74"/>
        <v/>
      </c>
      <c r="AC253" s="510"/>
      <c r="AD253" s="515"/>
      <c r="AE253" s="516"/>
      <c r="AJ253" s="452">
        <f>IF(OR(E253="",D253=""),0,ProjSlideMetersBetween(E253,D253,$R$13:$R$305,$S$13:$S$305))</f>
        <v>0</v>
      </c>
      <c r="AK253" s="452" t="str">
        <f>IF(U253="","",ProjParseTF(U253))</f>
        <v/>
      </c>
      <c r="AL253" s="219" t="str">
        <f>IF(E253="","",ProjCumN(AL252,E252,F252,G252,E253,F253,G253,FALSE))</f>
        <v/>
      </c>
      <c r="AM253" s="331" t="str">
        <f>IF(E253="","",ProjCumE(AM252,E252,F252,G252,E253,F253,G253,FALSE))</f>
        <v/>
      </c>
      <c r="AN253" s="330" t="str">
        <f t="shared" si="72"/>
        <v/>
      </c>
      <c r="AO253" s="330" t="str">
        <f>IF(OR(E253="",E253&lt;$U$2),"",ProjActiveTargetMdEx(D253,W253,V253,ProjTargets_MD,ProjTargets_INC,ProjTargets_AZM,ProjTargets_TVD,F253,H253))</f>
        <v/>
      </c>
      <c r="AP253" s="207" t="str">
        <f>IF(OR(E253="",E253&lt;$U$2),"",ProjBitN(E253,F253,G253,AL253,D253,W253,X253))</f>
        <v/>
      </c>
      <c r="AQ253" s="207" t="str">
        <f>IF(OR(E253="",E253&lt;$U$2),"",ProjBitE(E253,F253,G253,AM253,D253,W253,X253))</f>
        <v/>
      </c>
      <c r="AR253" s="207" t="str">
        <f>IF(OR(E253="",E253&lt;$U$2,AO253=""),"",ProjBurr(D253,W253,X253,Q253,C253,ProjTargets_MD,ProjTargets_INC,ProjTargets_AZM,ProjTargets_TVD,V253))</f>
        <v/>
      </c>
      <c r="AS253" s="207" t="str">
        <f>IF(OR(E253="",E253&lt;$U$2,AO253=""),"",ProjMetersToSlide(D253,W253,X253,Q253,C253,ProjTargets_MD,ProjTargets_INC,ProjTargets_AZM,ProjTargets_TVD,V253))</f>
        <v/>
      </c>
      <c r="AT253" s="207" t="str">
        <f>IF(OR(E253="",E253&lt;$U$2,AO253=""),"",ProjRequiredTf(D253,W253,X253,ProjTargets_MD,ProjTargets_INC,ProjTargets_AZM,ProjTargets_TVD,5,V253))</f>
        <v/>
      </c>
    </row>
    <row r="254" spans="2:46" s="209" customFormat="1" ht="15" customHeight="1" x14ac:dyDescent="0.3">
      <c r="B254" s="208" t="str">
        <f t="shared" si="59"/>
        <v/>
      </c>
      <c r="C254" s="335" t="str">
        <f t="shared" si="66"/>
        <v/>
      </c>
      <c r="D254" s="27"/>
      <c r="E254" s="336" t="str">
        <f t="shared" si="67"/>
        <v/>
      </c>
      <c r="F254" s="9"/>
      <c r="G254" s="9"/>
      <c r="H254" s="337" t="str">
        <f t="shared" si="60"/>
        <v/>
      </c>
      <c r="I254" s="337" t="str">
        <f t="shared" si="71"/>
        <v xml:space="preserve">  </v>
      </c>
      <c r="J254" s="338" t="str">
        <f t="shared" si="68"/>
        <v/>
      </c>
      <c r="K254" s="339" t="str">
        <f t="shared" si="69"/>
        <v xml:space="preserve"> </v>
      </c>
      <c r="L254" s="339" t="str">
        <f t="shared" si="70"/>
        <v/>
      </c>
      <c r="M254" s="339" t="str">
        <f t="shared" si="61"/>
        <v/>
      </c>
      <c r="N254" s="340" t="str">
        <f t="shared" si="62"/>
        <v/>
      </c>
      <c r="O254" s="341" t="str">
        <f t="shared" si="63"/>
        <v/>
      </c>
      <c r="P254" s="342" t="str">
        <f t="shared" si="64"/>
        <v/>
      </c>
      <c r="Q254" s="343" t="str">
        <f t="shared" si="65"/>
        <v/>
      </c>
      <c r="R254" s="10" t="str">
        <f t="shared" si="75"/>
        <v/>
      </c>
      <c r="S254" s="337" t="str">
        <f t="shared" si="58"/>
        <v/>
      </c>
      <c r="T254" s="9"/>
      <c r="U254" s="8"/>
      <c r="V254" s="202" t="str">
        <f>IF(OR(E254="",E254&lt;$U$2),"",ProjTvdAtBit(E254,F254,G254,H254,D254,W254,X254))</f>
        <v/>
      </c>
      <c r="W254" s="344" t="str">
        <f>IF(OR(E254="",E254&lt;$U$2),"",ProjIncAtBit(F254,J254,C254,M254,AJ254,IF(AK254="",0,AK254)))</f>
        <v/>
      </c>
      <c r="X254" s="455" t="str">
        <f>IF(OR(E254="",E254&lt;$U$2),"",ProjAzmAtBit(F254,G254,J254,C254,M254,AJ254,IF(AK254="",0,AK254)))</f>
        <v/>
      </c>
      <c r="Y254" s="461"/>
      <c r="Z254" s="206"/>
      <c r="AA254" s="512" t="str">
        <f t="shared" si="73"/>
        <v/>
      </c>
      <c r="AB254" s="520" t="str">
        <f t="shared" si="74"/>
        <v/>
      </c>
      <c r="AC254" s="510"/>
      <c r="AD254" s="515"/>
      <c r="AE254" s="516"/>
      <c r="AJ254" s="452">
        <f>IF(OR(E254="",D254=""),0,ProjSlideMetersBetween(E254,D254,$R$13:$R$305,$S$13:$S$305))</f>
        <v>0</v>
      </c>
      <c r="AK254" s="452" t="str">
        <f>IF(U254="","",ProjParseTF(U254))</f>
        <v/>
      </c>
      <c r="AL254" s="219" t="str">
        <f>IF(E254="","",ProjCumN(AL253,E253,F253,G253,E254,F254,G254,FALSE))</f>
        <v/>
      </c>
      <c r="AM254" s="331" t="str">
        <f>IF(E254="","",ProjCumE(AM253,E253,F253,G253,E254,F254,G254,FALSE))</f>
        <v/>
      </c>
      <c r="AN254" s="330" t="str">
        <f t="shared" si="72"/>
        <v/>
      </c>
      <c r="AO254" s="330" t="str">
        <f>IF(OR(E254="",E254&lt;$U$2),"",ProjActiveTargetMdEx(D254,W254,V254,ProjTargets_MD,ProjTargets_INC,ProjTargets_AZM,ProjTargets_TVD,F254,H254))</f>
        <v/>
      </c>
      <c r="AP254" s="207" t="str">
        <f>IF(OR(E254="",E254&lt;$U$2),"",ProjBitN(E254,F254,G254,AL254,D254,W254,X254))</f>
        <v/>
      </c>
      <c r="AQ254" s="207" t="str">
        <f>IF(OR(E254="",E254&lt;$U$2),"",ProjBitE(E254,F254,G254,AM254,D254,W254,X254))</f>
        <v/>
      </c>
      <c r="AR254" s="207" t="str">
        <f>IF(OR(E254="",E254&lt;$U$2,AO254=""),"",ProjBurr(D254,W254,X254,Q254,C254,ProjTargets_MD,ProjTargets_INC,ProjTargets_AZM,ProjTargets_TVD,V254))</f>
        <v/>
      </c>
      <c r="AS254" s="207" t="str">
        <f>IF(OR(E254="",E254&lt;$U$2,AO254=""),"",ProjMetersToSlide(D254,W254,X254,Q254,C254,ProjTargets_MD,ProjTargets_INC,ProjTargets_AZM,ProjTargets_TVD,V254))</f>
        <v/>
      </c>
      <c r="AT254" s="207" t="str">
        <f>IF(OR(E254="",E254&lt;$U$2,AO254=""),"",ProjRequiredTf(D254,W254,X254,ProjTargets_MD,ProjTargets_INC,ProjTargets_AZM,ProjTargets_TVD,5,V254))</f>
        <v/>
      </c>
    </row>
    <row r="255" spans="2:46" s="209" customFormat="1" ht="15" customHeight="1" x14ac:dyDescent="0.3">
      <c r="B255" s="208" t="str">
        <f t="shared" si="59"/>
        <v/>
      </c>
      <c r="C255" s="335" t="str">
        <f t="shared" si="66"/>
        <v/>
      </c>
      <c r="D255" s="27"/>
      <c r="E255" s="336" t="str">
        <f t="shared" si="67"/>
        <v/>
      </c>
      <c r="F255" s="9"/>
      <c r="G255" s="9"/>
      <c r="H255" s="337" t="str">
        <f t="shared" si="60"/>
        <v/>
      </c>
      <c r="I255" s="337" t="str">
        <f t="shared" si="71"/>
        <v xml:space="preserve">  </v>
      </c>
      <c r="J255" s="338" t="str">
        <f t="shared" si="68"/>
        <v/>
      </c>
      <c r="K255" s="339" t="str">
        <f t="shared" si="69"/>
        <v xml:space="preserve"> </v>
      </c>
      <c r="L255" s="339" t="str">
        <f t="shared" si="70"/>
        <v/>
      </c>
      <c r="M255" s="339" t="str">
        <f t="shared" si="61"/>
        <v/>
      </c>
      <c r="N255" s="340" t="str">
        <f t="shared" si="62"/>
        <v/>
      </c>
      <c r="O255" s="341" t="str">
        <f t="shared" si="63"/>
        <v/>
      </c>
      <c r="P255" s="342" t="str">
        <f t="shared" si="64"/>
        <v/>
      </c>
      <c r="Q255" s="343" t="str">
        <f t="shared" si="65"/>
        <v/>
      </c>
      <c r="R255" s="10" t="str">
        <f t="shared" si="75"/>
        <v/>
      </c>
      <c r="S255" s="337" t="str">
        <f t="shared" si="58"/>
        <v/>
      </c>
      <c r="T255" s="9"/>
      <c r="U255" s="8"/>
      <c r="V255" s="202" t="str">
        <f>IF(OR(E255="",E255&lt;$U$2),"",ProjTvdAtBit(E255,F255,G255,H255,D255,W255,X255))</f>
        <v/>
      </c>
      <c r="W255" s="344" t="str">
        <f>IF(OR(E255="",E255&lt;$U$2),"",ProjIncAtBit(F255,J255,C255,M255,AJ255,IF(AK255="",0,AK255)))</f>
        <v/>
      </c>
      <c r="X255" s="455" t="str">
        <f>IF(OR(E255="",E255&lt;$U$2),"",ProjAzmAtBit(F255,G255,J255,C255,M255,AJ255,IF(AK255="",0,AK255)))</f>
        <v/>
      </c>
      <c r="Y255" s="461"/>
      <c r="Z255" s="206"/>
      <c r="AA255" s="512" t="str">
        <f t="shared" si="73"/>
        <v/>
      </c>
      <c r="AB255" s="520" t="str">
        <f t="shared" si="74"/>
        <v/>
      </c>
      <c r="AC255" s="510"/>
      <c r="AD255" s="515"/>
      <c r="AE255" s="516"/>
      <c r="AJ255" s="452">
        <f>IF(OR(E255="",D255=""),0,ProjSlideMetersBetween(E255,D255,$R$13:$R$305,$S$13:$S$305))</f>
        <v>0</v>
      </c>
      <c r="AK255" s="452" t="str">
        <f>IF(U255="","",ProjParseTF(U255))</f>
        <v/>
      </c>
      <c r="AL255" s="219" t="str">
        <f>IF(E255="","",ProjCumN(AL254,E254,F254,G254,E255,F255,G255,FALSE))</f>
        <v/>
      </c>
      <c r="AM255" s="331" t="str">
        <f>IF(E255="","",ProjCumE(AM254,E254,F254,G254,E255,F255,G255,FALSE))</f>
        <v/>
      </c>
      <c r="AN255" s="330" t="str">
        <f t="shared" si="72"/>
        <v/>
      </c>
      <c r="AO255" s="330" t="str">
        <f>IF(OR(E255="",E255&lt;$U$2),"",ProjActiveTargetMdEx(D255,W255,V255,ProjTargets_MD,ProjTargets_INC,ProjTargets_AZM,ProjTargets_TVD,F255,H255))</f>
        <v/>
      </c>
      <c r="AP255" s="207" t="str">
        <f>IF(OR(E255="",E255&lt;$U$2),"",ProjBitN(E255,F255,G255,AL255,D255,W255,X255))</f>
        <v/>
      </c>
      <c r="AQ255" s="207" t="str">
        <f>IF(OR(E255="",E255&lt;$U$2),"",ProjBitE(E255,F255,G255,AM255,D255,W255,X255))</f>
        <v/>
      </c>
      <c r="AR255" s="207" t="str">
        <f>IF(OR(E255="",E255&lt;$U$2,AO255=""),"",ProjBurr(D255,W255,X255,Q255,C255,ProjTargets_MD,ProjTargets_INC,ProjTargets_AZM,ProjTargets_TVD,V255))</f>
        <v/>
      </c>
      <c r="AS255" s="207" t="str">
        <f>IF(OR(E255="",E255&lt;$U$2,AO255=""),"",ProjMetersToSlide(D255,W255,X255,Q255,C255,ProjTargets_MD,ProjTargets_INC,ProjTargets_AZM,ProjTargets_TVD,V255))</f>
        <v/>
      </c>
      <c r="AT255" s="207" t="str">
        <f>IF(OR(E255="",E255&lt;$U$2,AO255=""),"",ProjRequiredTf(D255,W255,X255,ProjTargets_MD,ProjTargets_INC,ProjTargets_AZM,ProjTargets_TVD,5,V255))</f>
        <v/>
      </c>
    </row>
    <row r="256" spans="2:46" s="209" customFormat="1" ht="15" customHeight="1" x14ac:dyDescent="0.3">
      <c r="B256" s="208" t="str">
        <f t="shared" si="59"/>
        <v/>
      </c>
      <c r="C256" s="335" t="str">
        <f t="shared" si="66"/>
        <v/>
      </c>
      <c r="D256" s="27"/>
      <c r="E256" s="336" t="str">
        <f t="shared" si="67"/>
        <v/>
      </c>
      <c r="F256" s="9"/>
      <c r="G256" s="9"/>
      <c r="H256" s="337" t="str">
        <f t="shared" si="60"/>
        <v/>
      </c>
      <c r="I256" s="337" t="str">
        <f t="shared" si="71"/>
        <v xml:space="preserve">  </v>
      </c>
      <c r="J256" s="338" t="str">
        <f t="shared" si="68"/>
        <v/>
      </c>
      <c r="K256" s="339" t="str">
        <f t="shared" si="69"/>
        <v xml:space="preserve"> </v>
      </c>
      <c r="L256" s="339" t="str">
        <f t="shared" si="70"/>
        <v/>
      </c>
      <c r="M256" s="339" t="str">
        <f t="shared" si="61"/>
        <v/>
      </c>
      <c r="N256" s="340" t="str">
        <f t="shared" si="62"/>
        <v/>
      </c>
      <c r="O256" s="341" t="str">
        <f t="shared" si="63"/>
        <v/>
      </c>
      <c r="P256" s="342" t="str">
        <f t="shared" si="64"/>
        <v/>
      </c>
      <c r="Q256" s="343" t="str">
        <f t="shared" si="65"/>
        <v/>
      </c>
      <c r="R256" s="10" t="str">
        <f t="shared" si="75"/>
        <v/>
      </c>
      <c r="S256" s="337" t="str">
        <f t="shared" si="58"/>
        <v/>
      </c>
      <c r="T256" s="9"/>
      <c r="U256" s="8"/>
      <c r="V256" s="202" t="str">
        <f>IF(OR(E256="",E256&lt;$U$2),"",ProjTvdAtBit(E256,F256,G256,H256,D256,W256,X256))</f>
        <v/>
      </c>
      <c r="W256" s="344" t="str">
        <f>IF(OR(E256="",E256&lt;$U$2),"",ProjIncAtBit(F256,J256,C256,M256,AJ256,IF(AK256="",0,AK256)))</f>
        <v/>
      </c>
      <c r="X256" s="455" t="str">
        <f>IF(OR(E256="",E256&lt;$U$2),"",ProjAzmAtBit(F256,G256,J256,C256,M256,AJ256,IF(AK256="",0,AK256)))</f>
        <v/>
      </c>
      <c r="Y256" s="461"/>
      <c r="Z256" s="206"/>
      <c r="AA256" s="512" t="str">
        <f t="shared" si="73"/>
        <v/>
      </c>
      <c r="AB256" s="520" t="str">
        <f t="shared" si="74"/>
        <v/>
      </c>
      <c r="AC256" s="510"/>
      <c r="AD256" s="515"/>
      <c r="AE256" s="516"/>
      <c r="AJ256" s="452">
        <f>IF(OR(E256="",D256=""),0,ProjSlideMetersBetween(E256,D256,$R$13:$R$305,$S$13:$S$305))</f>
        <v>0</v>
      </c>
      <c r="AK256" s="452" t="str">
        <f>IF(U256="","",ProjParseTF(U256))</f>
        <v/>
      </c>
      <c r="AL256" s="219" t="str">
        <f>IF(E256="","",ProjCumN(AL255,E255,F255,G255,E256,F256,G256,FALSE))</f>
        <v/>
      </c>
      <c r="AM256" s="331" t="str">
        <f>IF(E256="","",ProjCumE(AM255,E255,F255,G255,E256,F256,G256,FALSE))</f>
        <v/>
      </c>
      <c r="AN256" s="330" t="str">
        <f t="shared" si="72"/>
        <v/>
      </c>
      <c r="AO256" s="330" t="str">
        <f>IF(OR(E256="",E256&lt;$U$2),"",ProjActiveTargetMdEx(D256,W256,V256,ProjTargets_MD,ProjTargets_INC,ProjTargets_AZM,ProjTargets_TVD,F256,H256))</f>
        <v/>
      </c>
      <c r="AP256" s="207" t="str">
        <f>IF(OR(E256="",E256&lt;$U$2),"",ProjBitN(E256,F256,G256,AL256,D256,W256,X256))</f>
        <v/>
      </c>
      <c r="AQ256" s="207" t="str">
        <f>IF(OR(E256="",E256&lt;$U$2),"",ProjBitE(E256,F256,G256,AM256,D256,W256,X256))</f>
        <v/>
      </c>
      <c r="AR256" s="207" t="str">
        <f>IF(OR(E256="",E256&lt;$U$2,AO256=""),"",ProjBurr(D256,W256,X256,Q256,C256,ProjTargets_MD,ProjTargets_INC,ProjTargets_AZM,ProjTargets_TVD,V256))</f>
        <v/>
      </c>
      <c r="AS256" s="207" t="str">
        <f>IF(OR(E256="",E256&lt;$U$2,AO256=""),"",ProjMetersToSlide(D256,W256,X256,Q256,C256,ProjTargets_MD,ProjTargets_INC,ProjTargets_AZM,ProjTargets_TVD,V256))</f>
        <v/>
      </c>
      <c r="AT256" s="207" t="str">
        <f>IF(OR(E256="",E256&lt;$U$2,AO256=""),"",ProjRequiredTf(D256,W256,X256,ProjTargets_MD,ProjTargets_INC,ProjTargets_AZM,ProjTargets_TVD,5,V256))</f>
        <v/>
      </c>
    </row>
    <row r="257" spans="2:46" s="209" customFormat="1" ht="15" customHeight="1" x14ac:dyDescent="0.3">
      <c r="B257" s="208" t="str">
        <f t="shared" si="59"/>
        <v/>
      </c>
      <c r="C257" s="335" t="str">
        <f t="shared" si="66"/>
        <v/>
      </c>
      <c r="D257" s="27"/>
      <c r="E257" s="336" t="str">
        <f t="shared" si="67"/>
        <v/>
      </c>
      <c r="F257" s="9"/>
      <c r="G257" s="9"/>
      <c r="H257" s="337" t="str">
        <f t="shared" si="60"/>
        <v/>
      </c>
      <c r="I257" s="337" t="str">
        <f t="shared" si="71"/>
        <v xml:space="preserve">  </v>
      </c>
      <c r="J257" s="338" t="str">
        <f t="shared" si="68"/>
        <v/>
      </c>
      <c r="K257" s="339" t="str">
        <f t="shared" si="69"/>
        <v xml:space="preserve"> </v>
      </c>
      <c r="L257" s="339" t="str">
        <f t="shared" si="70"/>
        <v/>
      </c>
      <c r="M257" s="339" t="str">
        <f t="shared" si="61"/>
        <v/>
      </c>
      <c r="N257" s="340" t="str">
        <f t="shared" si="62"/>
        <v/>
      </c>
      <c r="O257" s="341" t="str">
        <f t="shared" si="63"/>
        <v/>
      </c>
      <c r="P257" s="342" t="str">
        <f t="shared" si="64"/>
        <v/>
      </c>
      <c r="Q257" s="343" t="str">
        <f t="shared" si="65"/>
        <v/>
      </c>
      <c r="R257" s="10" t="str">
        <f t="shared" si="75"/>
        <v/>
      </c>
      <c r="S257" s="337" t="str">
        <f t="shared" si="58"/>
        <v/>
      </c>
      <c r="T257" s="9"/>
      <c r="U257" s="8"/>
      <c r="V257" s="202" t="str">
        <f>IF(OR(E257="",E257&lt;$U$2),"",ProjTvdAtBit(E257,F257,G257,H257,D257,W257,X257))</f>
        <v/>
      </c>
      <c r="W257" s="344" t="str">
        <f>IF(OR(E257="",E257&lt;$U$2),"",ProjIncAtBit(F257,J257,C257,M257,AJ257,IF(AK257="",0,AK257)))</f>
        <v/>
      </c>
      <c r="X257" s="455" t="str">
        <f>IF(OR(E257="",E257&lt;$U$2),"",ProjAzmAtBit(F257,G257,J257,C257,M257,AJ257,IF(AK257="",0,AK257)))</f>
        <v/>
      </c>
      <c r="Y257" s="461"/>
      <c r="Z257" s="206"/>
      <c r="AA257" s="512" t="str">
        <f t="shared" si="73"/>
        <v/>
      </c>
      <c r="AB257" s="520" t="str">
        <f t="shared" si="74"/>
        <v/>
      </c>
      <c r="AC257" s="510"/>
      <c r="AD257" s="515"/>
      <c r="AE257" s="516"/>
      <c r="AJ257" s="452">
        <f>IF(OR(E257="",D257=""),0,ProjSlideMetersBetween(E257,D257,$R$13:$R$305,$S$13:$S$305))</f>
        <v>0</v>
      </c>
      <c r="AK257" s="452" t="str">
        <f>IF(U257="","",ProjParseTF(U257))</f>
        <v/>
      </c>
      <c r="AL257" s="219" t="str">
        <f>IF(E257="","",ProjCumN(AL256,E256,F256,G256,E257,F257,G257,FALSE))</f>
        <v/>
      </c>
      <c r="AM257" s="331" t="str">
        <f>IF(E257="","",ProjCumE(AM256,E256,F256,G256,E257,F257,G257,FALSE))</f>
        <v/>
      </c>
      <c r="AN257" s="330" t="str">
        <f t="shared" si="72"/>
        <v/>
      </c>
      <c r="AO257" s="330" t="str">
        <f>IF(OR(E257="",E257&lt;$U$2),"",ProjActiveTargetMdEx(D257,W257,V257,ProjTargets_MD,ProjTargets_INC,ProjTargets_AZM,ProjTargets_TVD,F257,H257))</f>
        <v/>
      </c>
      <c r="AP257" s="207" t="str">
        <f>IF(OR(E257="",E257&lt;$U$2),"",ProjBitN(E257,F257,G257,AL257,D257,W257,X257))</f>
        <v/>
      </c>
      <c r="AQ257" s="207" t="str">
        <f>IF(OR(E257="",E257&lt;$U$2),"",ProjBitE(E257,F257,G257,AM257,D257,W257,X257))</f>
        <v/>
      </c>
      <c r="AR257" s="207" t="str">
        <f>IF(OR(E257="",E257&lt;$U$2,AO257=""),"",ProjBurr(D257,W257,X257,Q257,C257,ProjTargets_MD,ProjTargets_INC,ProjTargets_AZM,ProjTargets_TVD,V257))</f>
        <v/>
      </c>
      <c r="AS257" s="207" t="str">
        <f>IF(OR(E257="",E257&lt;$U$2,AO257=""),"",ProjMetersToSlide(D257,W257,X257,Q257,C257,ProjTargets_MD,ProjTargets_INC,ProjTargets_AZM,ProjTargets_TVD,V257))</f>
        <v/>
      </c>
      <c r="AT257" s="207" t="str">
        <f>IF(OR(E257="",E257&lt;$U$2,AO257=""),"",ProjRequiredTf(D257,W257,X257,ProjTargets_MD,ProjTargets_INC,ProjTargets_AZM,ProjTargets_TVD,5,V257))</f>
        <v/>
      </c>
    </row>
    <row r="258" spans="2:46" s="209" customFormat="1" ht="15" customHeight="1" x14ac:dyDescent="0.3">
      <c r="B258" s="208" t="str">
        <f t="shared" si="59"/>
        <v/>
      </c>
      <c r="C258" s="335" t="str">
        <f t="shared" si="66"/>
        <v/>
      </c>
      <c r="D258" s="27"/>
      <c r="E258" s="336" t="str">
        <f t="shared" si="67"/>
        <v/>
      </c>
      <c r="F258" s="9"/>
      <c r="G258" s="9"/>
      <c r="H258" s="337" t="str">
        <f t="shared" si="60"/>
        <v/>
      </c>
      <c r="I258" s="337" t="str">
        <f t="shared" si="71"/>
        <v xml:space="preserve">  </v>
      </c>
      <c r="J258" s="338" t="str">
        <f t="shared" si="68"/>
        <v/>
      </c>
      <c r="K258" s="339" t="str">
        <f t="shared" si="69"/>
        <v xml:space="preserve"> </v>
      </c>
      <c r="L258" s="339" t="str">
        <f t="shared" si="70"/>
        <v/>
      </c>
      <c r="M258" s="339" t="str">
        <f t="shared" si="61"/>
        <v/>
      </c>
      <c r="N258" s="340" t="str">
        <f t="shared" si="62"/>
        <v/>
      </c>
      <c r="O258" s="341" t="str">
        <f t="shared" si="63"/>
        <v/>
      </c>
      <c r="P258" s="342" t="str">
        <f t="shared" si="64"/>
        <v/>
      </c>
      <c r="Q258" s="343" t="str">
        <f t="shared" si="65"/>
        <v/>
      </c>
      <c r="R258" s="10" t="str">
        <f t="shared" si="75"/>
        <v/>
      </c>
      <c r="S258" s="337" t="str">
        <f t="shared" si="58"/>
        <v/>
      </c>
      <c r="T258" s="9"/>
      <c r="U258" s="8"/>
      <c r="V258" s="202" t="str">
        <f>IF(OR(E258="",E258&lt;$U$2),"",ProjTvdAtBit(E258,F258,G258,H258,D258,W258,X258))</f>
        <v/>
      </c>
      <c r="W258" s="344" t="str">
        <f>IF(OR(E258="",E258&lt;$U$2),"",ProjIncAtBit(F258,J258,C258,M258,AJ258,IF(AK258="",0,AK258)))</f>
        <v/>
      </c>
      <c r="X258" s="455" t="str">
        <f>IF(OR(E258="",E258&lt;$U$2),"",ProjAzmAtBit(F258,G258,J258,C258,M258,AJ258,IF(AK258="",0,AK258)))</f>
        <v/>
      </c>
      <c r="Y258" s="461"/>
      <c r="Z258" s="206"/>
      <c r="AA258" s="512" t="str">
        <f t="shared" si="73"/>
        <v/>
      </c>
      <c r="AB258" s="520" t="str">
        <f t="shared" si="74"/>
        <v/>
      </c>
      <c r="AC258" s="510"/>
      <c r="AD258" s="515"/>
      <c r="AE258" s="516"/>
      <c r="AJ258" s="452">
        <f>IF(OR(E258="",D258=""),0,ProjSlideMetersBetween(E258,D258,$R$13:$R$305,$S$13:$S$305))</f>
        <v>0</v>
      </c>
      <c r="AK258" s="452" t="str">
        <f>IF(U258="","",ProjParseTF(U258))</f>
        <v/>
      </c>
      <c r="AL258" s="219" t="str">
        <f>IF(E258="","",ProjCumN(AL257,E257,F257,G257,E258,F258,G258,FALSE))</f>
        <v/>
      </c>
      <c r="AM258" s="331" t="str">
        <f>IF(E258="","",ProjCumE(AM257,E257,F257,G257,E258,F258,G258,FALSE))</f>
        <v/>
      </c>
      <c r="AN258" s="330" t="str">
        <f t="shared" si="72"/>
        <v/>
      </c>
      <c r="AO258" s="330" t="str">
        <f>IF(OR(E258="",E258&lt;$U$2),"",ProjActiveTargetMdEx(D258,W258,V258,ProjTargets_MD,ProjTargets_INC,ProjTargets_AZM,ProjTargets_TVD,F258,H258))</f>
        <v/>
      </c>
      <c r="AP258" s="207" t="str">
        <f>IF(OR(E258="",E258&lt;$U$2),"",ProjBitN(E258,F258,G258,AL258,D258,W258,X258))</f>
        <v/>
      </c>
      <c r="AQ258" s="207" t="str">
        <f>IF(OR(E258="",E258&lt;$U$2),"",ProjBitE(E258,F258,G258,AM258,D258,W258,X258))</f>
        <v/>
      </c>
      <c r="AR258" s="207" t="str">
        <f>IF(OR(E258="",E258&lt;$U$2,AO258=""),"",ProjBurr(D258,W258,X258,Q258,C258,ProjTargets_MD,ProjTargets_INC,ProjTargets_AZM,ProjTargets_TVD,V258))</f>
        <v/>
      </c>
      <c r="AS258" s="207" t="str">
        <f>IF(OR(E258="",E258&lt;$U$2,AO258=""),"",ProjMetersToSlide(D258,W258,X258,Q258,C258,ProjTargets_MD,ProjTargets_INC,ProjTargets_AZM,ProjTargets_TVD,V258))</f>
        <v/>
      </c>
      <c r="AT258" s="207" t="str">
        <f>IF(OR(E258="",E258&lt;$U$2,AO258=""),"",ProjRequiredTf(D258,W258,X258,ProjTargets_MD,ProjTargets_INC,ProjTargets_AZM,ProjTargets_TVD,5,V258))</f>
        <v/>
      </c>
    </row>
    <row r="259" spans="2:46" s="209" customFormat="1" ht="15" customHeight="1" x14ac:dyDescent="0.3">
      <c r="B259" s="208" t="str">
        <f t="shared" si="59"/>
        <v/>
      </c>
      <c r="C259" s="335" t="str">
        <f t="shared" si="66"/>
        <v/>
      </c>
      <c r="D259" s="27"/>
      <c r="E259" s="336" t="str">
        <f t="shared" si="67"/>
        <v/>
      </c>
      <c r="F259" s="9"/>
      <c r="G259" s="9"/>
      <c r="H259" s="337" t="str">
        <f t="shared" si="60"/>
        <v/>
      </c>
      <c r="I259" s="337" t="str">
        <f t="shared" si="71"/>
        <v xml:space="preserve">  </v>
      </c>
      <c r="J259" s="338" t="str">
        <f t="shared" si="68"/>
        <v/>
      </c>
      <c r="K259" s="339" t="str">
        <f t="shared" si="69"/>
        <v xml:space="preserve"> </v>
      </c>
      <c r="L259" s="339" t="str">
        <f t="shared" si="70"/>
        <v/>
      </c>
      <c r="M259" s="339" t="str">
        <f t="shared" si="61"/>
        <v/>
      </c>
      <c r="N259" s="340" t="str">
        <f t="shared" si="62"/>
        <v/>
      </c>
      <c r="O259" s="341" t="str">
        <f t="shared" si="63"/>
        <v/>
      </c>
      <c r="P259" s="342" t="str">
        <f t="shared" si="64"/>
        <v/>
      </c>
      <c r="Q259" s="343" t="str">
        <f t="shared" si="65"/>
        <v/>
      </c>
      <c r="R259" s="10" t="str">
        <f t="shared" si="75"/>
        <v/>
      </c>
      <c r="S259" s="337" t="str">
        <f t="shared" si="58"/>
        <v/>
      </c>
      <c r="T259" s="9"/>
      <c r="U259" s="8"/>
      <c r="V259" s="202" t="str">
        <f>IF(OR(E259="",E259&lt;$U$2),"",ProjTvdAtBit(E259,F259,G259,H259,D259,W259,X259))</f>
        <v/>
      </c>
      <c r="W259" s="344" t="str">
        <f>IF(OR(E259="",E259&lt;$U$2),"",ProjIncAtBit(F259,J259,C259,M259,AJ259,IF(AK259="",0,AK259)))</f>
        <v/>
      </c>
      <c r="X259" s="455" t="str">
        <f>IF(OR(E259="",E259&lt;$U$2),"",ProjAzmAtBit(F259,G259,J259,C259,M259,AJ259,IF(AK259="",0,AK259)))</f>
        <v/>
      </c>
      <c r="Y259" s="461"/>
      <c r="Z259" s="206"/>
      <c r="AA259" s="512" t="str">
        <f t="shared" si="73"/>
        <v/>
      </c>
      <c r="AB259" s="520" t="str">
        <f t="shared" si="74"/>
        <v/>
      </c>
      <c r="AC259" s="510"/>
      <c r="AD259" s="515"/>
      <c r="AE259" s="516"/>
      <c r="AJ259" s="452">
        <f>IF(OR(E259="",D259=""),0,ProjSlideMetersBetween(E259,D259,$R$13:$R$305,$S$13:$S$305))</f>
        <v>0</v>
      </c>
      <c r="AK259" s="452" t="str">
        <f>IF(U259="","",ProjParseTF(U259))</f>
        <v/>
      </c>
      <c r="AL259" s="219" t="str">
        <f>IF(E259="","",ProjCumN(AL258,E258,F258,G258,E259,F259,G259,FALSE))</f>
        <v/>
      </c>
      <c r="AM259" s="331" t="str">
        <f>IF(E259="","",ProjCumE(AM258,E258,F258,G258,E259,F259,G259,FALSE))</f>
        <v/>
      </c>
      <c r="AN259" s="330" t="str">
        <f t="shared" si="72"/>
        <v/>
      </c>
      <c r="AO259" s="330" t="str">
        <f>IF(OR(E259="",E259&lt;$U$2),"",ProjActiveTargetMdEx(D259,W259,V259,ProjTargets_MD,ProjTargets_INC,ProjTargets_AZM,ProjTargets_TVD,F259,H259))</f>
        <v/>
      </c>
      <c r="AP259" s="207" t="str">
        <f>IF(OR(E259="",E259&lt;$U$2),"",ProjBitN(E259,F259,G259,AL259,D259,W259,X259))</f>
        <v/>
      </c>
      <c r="AQ259" s="207" t="str">
        <f>IF(OR(E259="",E259&lt;$U$2),"",ProjBitE(E259,F259,G259,AM259,D259,W259,X259))</f>
        <v/>
      </c>
      <c r="AR259" s="207" t="str">
        <f>IF(OR(E259="",E259&lt;$U$2,AO259=""),"",ProjBurr(D259,W259,X259,Q259,C259,ProjTargets_MD,ProjTargets_INC,ProjTargets_AZM,ProjTargets_TVD,V259))</f>
        <v/>
      </c>
      <c r="AS259" s="207" t="str">
        <f>IF(OR(E259="",E259&lt;$U$2,AO259=""),"",ProjMetersToSlide(D259,W259,X259,Q259,C259,ProjTargets_MD,ProjTargets_INC,ProjTargets_AZM,ProjTargets_TVD,V259))</f>
        <v/>
      </c>
      <c r="AT259" s="207" t="str">
        <f>IF(OR(E259="",E259&lt;$U$2,AO259=""),"",ProjRequiredTf(D259,W259,X259,ProjTargets_MD,ProjTargets_INC,ProjTargets_AZM,ProjTargets_TVD,5,V259))</f>
        <v/>
      </c>
    </row>
    <row r="260" spans="2:46" s="209" customFormat="1" ht="15" customHeight="1" x14ac:dyDescent="0.3">
      <c r="B260" s="208" t="str">
        <f t="shared" si="59"/>
        <v/>
      </c>
      <c r="C260" s="335" t="str">
        <f t="shared" si="66"/>
        <v/>
      </c>
      <c r="D260" s="27"/>
      <c r="E260" s="336" t="str">
        <f t="shared" si="67"/>
        <v/>
      </c>
      <c r="F260" s="9"/>
      <c r="G260" s="9"/>
      <c r="H260" s="337" t="str">
        <f t="shared" si="60"/>
        <v/>
      </c>
      <c r="I260" s="337" t="str">
        <f t="shared" si="71"/>
        <v xml:space="preserve">  </v>
      </c>
      <c r="J260" s="338" t="str">
        <f t="shared" si="68"/>
        <v/>
      </c>
      <c r="K260" s="339" t="str">
        <f t="shared" si="69"/>
        <v xml:space="preserve"> </v>
      </c>
      <c r="L260" s="339" t="str">
        <f t="shared" si="70"/>
        <v/>
      </c>
      <c r="M260" s="339" t="str">
        <f t="shared" si="61"/>
        <v/>
      </c>
      <c r="N260" s="340" t="str">
        <f t="shared" si="62"/>
        <v/>
      </c>
      <c r="O260" s="341" t="str">
        <f t="shared" si="63"/>
        <v/>
      </c>
      <c r="P260" s="342" t="str">
        <f t="shared" si="64"/>
        <v/>
      </c>
      <c r="Q260" s="343" t="str">
        <f t="shared" si="65"/>
        <v/>
      </c>
      <c r="R260" s="10" t="str">
        <f t="shared" si="75"/>
        <v/>
      </c>
      <c r="S260" s="337" t="str">
        <f t="shared" si="58"/>
        <v/>
      </c>
      <c r="T260" s="9"/>
      <c r="U260" s="8"/>
      <c r="V260" s="202" t="str">
        <f>IF(OR(E260="",E260&lt;$U$2),"",ProjTvdAtBit(E260,F260,G260,H260,D260,W260,X260))</f>
        <v/>
      </c>
      <c r="W260" s="344" t="str">
        <f>IF(OR(E260="",E260&lt;$U$2),"",ProjIncAtBit(F260,J260,C260,M260,AJ260,IF(AK260="",0,AK260)))</f>
        <v/>
      </c>
      <c r="X260" s="455" t="str">
        <f>IF(OR(E260="",E260&lt;$U$2),"",ProjAzmAtBit(F260,G260,J260,C260,M260,AJ260,IF(AK260="",0,AK260)))</f>
        <v/>
      </c>
      <c r="Y260" s="461"/>
      <c r="Z260" s="206"/>
      <c r="AA260" s="512" t="str">
        <f t="shared" si="73"/>
        <v/>
      </c>
      <c r="AB260" s="520" t="str">
        <f t="shared" si="74"/>
        <v/>
      </c>
      <c r="AC260" s="510"/>
      <c r="AD260" s="515"/>
      <c r="AE260" s="516"/>
      <c r="AJ260" s="452">
        <f>IF(OR(E260="",D260=""),0,ProjSlideMetersBetween(E260,D260,$R$13:$R$305,$S$13:$S$305))</f>
        <v>0</v>
      </c>
      <c r="AK260" s="452" t="str">
        <f>IF(U260="","",ProjParseTF(U260))</f>
        <v/>
      </c>
      <c r="AL260" s="219" t="str">
        <f>IF(E260="","",ProjCumN(AL259,E259,F259,G259,E260,F260,G260,FALSE))</f>
        <v/>
      </c>
      <c r="AM260" s="331" t="str">
        <f>IF(E260="","",ProjCumE(AM259,E259,F259,G259,E260,F260,G260,FALSE))</f>
        <v/>
      </c>
      <c r="AN260" s="330" t="str">
        <f t="shared" si="72"/>
        <v/>
      </c>
      <c r="AO260" s="330" t="str">
        <f>IF(OR(E260="",E260&lt;$U$2),"",ProjActiveTargetMdEx(D260,W260,V260,ProjTargets_MD,ProjTargets_INC,ProjTargets_AZM,ProjTargets_TVD,F260,H260))</f>
        <v/>
      </c>
      <c r="AP260" s="207" t="str">
        <f>IF(OR(E260="",E260&lt;$U$2),"",ProjBitN(E260,F260,G260,AL260,D260,W260,X260))</f>
        <v/>
      </c>
      <c r="AQ260" s="207" t="str">
        <f>IF(OR(E260="",E260&lt;$U$2),"",ProjBitE(E260,F260,G260,AM260,D260,W260,X260))</f>
        <v/>
      </c>
      <c r="AR260" s="207" t="str">
        <f>IF(OR(E260="",E260&lt;$U$2,AO260=""),"",ProjBurr(D260,W260,X260,Q260,C260,ProjTargets_MD,ProjTargets_INC,ProjTargets_AZM,ProjTargets_TVD,V260))</f>
        <v/>
      </c>
      <c r="AS260" s="207" t="str">
        <f>IF(OR(E260="",E260&lt;$U$2,AO260=""),"",ProjMetersToSlide(D260,W260,X260,Q260,C260,ProjTargets_MD,ProjTargets_INC,ProjTargets_AZM,ProjTargets_TVD,V260))</f>
        <v/>
      </c>
      <c r="AT260" s="207" t="str">
        <f>IF(OR(E260="",E260&lt;$U$2,AO260=""),"",ProjRequiredTf(D260,W260,X260,ProjTargets_MD,ProjTargets_INC,ProjTargets_AZM,ProjTargets_TVD,5,V260))</f>
        <v/>
      </c>
    </row>
    <row r="261" spans="2:46" s="209" customFormat="1" ht="15" customHeight="1" x14ac:dyDescent="0.3">
      <c r="B261" s="208" t="str">
        <f t="shared" si="59"/>
        <v/>
      </c>
      <c r="C261" s="335" t="str">
        <f t="shared" si="66"/>
        <v/>
      </c>
      <c r="D261" s="27"/>
      <c r="E261" s="336" t="str">
        <f t="shared" si="67"/>
        <v/>
      </c>
      <c r="F261" s="9"/>
      <c r="G261" s="9"/>
      <c r="H261" s="337" t="str">
        <f t="shared" si="60"/>
        <v/>
      </c>
      <c r="I261" s="337" t="str">
        <f t="shared" si="71"/>
        <v xml:space="preserve">  </v>
      </c>
      <c r="J261" s="338" t="str">
        <f t="shared" si="68"/>
        <v/>
      </c>
      <c r="K261" s="339" t="str">
        <f t="shared" si="69"/>
        <v xml:space="preserve"> </v>
      </c>
      <c r="L261" s="339" t="str">
        <f t="shared" si="70"/>
        <v/>
      </c>
      <c r="M261" s="339" t="str">
        <f t="shared" si="61"/>
        <v/>
      </c>
      <c r="N261" s="340" t="str">
        <f t="shared" si="62"/>
        <v/>
      </c>
      <c r="O261" s="341" t="str">
        <f t="shared" si="63"/>
        <v/>
      </c>
      <c r="P261" s="342" t="str">
        <f t="shared" si="64"/>
        <v/>
      </c>
      <c r="Q261" s="343" t="str">
        <f t="shared" si="65"/>
        <v/>
      </c>
      <c r="R261" s="10" t="str">
        <f t="shared" si="75"/>
        <v/>
      </c>
      <c r="S261" s="337" t="str">
        <f t="shared" si="58"/>
        <v/>
      </c>
      <c r="T261" s="9"/>
      <c r="U261" s="8"/>
      <c r="V261" s="202" t="str">
        <f>IF(OR(E261="",E261&lt;$U$2),"",ProjTvdAtBit(E261,F261,G261,H261,D261,W261,X261))</f>
        <v/>
      </c>
      <c r="W261" s="344" t="str">
        <f>IF(OR(E261="",E261&lt;$U$2),"",ProjIncAtBit(F261,J261,C261,M261,AJ261,IF(AK261="",0,AK261)))</f>
        <v/>
      </c>
      <c r="X261" s="455" t="str">
        <f>IF(OR(E261="",E261&lt;$U$2),"",ProjAzmAtBit(F261,G261,J261,C261,M261,AJ261,IF(AK261="",0,AK261)))</f>
        <v/>
      </c>
      <c r="Y261" s="461"/>
      <c r="Z261" s="206"/>
      <c r="AA261" s="512" t="str">
        <f t="shared" si="73"/>
        <v/>
      </c>
      <c r="AB261" s="520" t="str">
        <f t="shared" si="74"/>
        <v/>
      </c>
      <c r="AC261" s="510"/>
      <c r="AD261" s="515"/>
      <c r="AE261" s="516"/>
      <c r="AJ261" s="452">
        <f>IF(OR(E261="",D261=""),0,ProjSlideMetersBetween(E261,D261,$R$13:$R$305,$S$13:$S$305))</f>
        <v>0</v>
      </c>
      <c r="AK261" s="452" t="str">
        <f>IF(U261="","",ProjParseTF(U261))</f>
        <v/>
      </c>
      <c r="AL261" s="219" t="str">
        <f>IF(E261="","",ProjCumN(AL260,E260,F260,G260,E261,F261,G261,FALSE))</f>
        <v/>
      </c>
      <c r="AM261" s="331" t="str">
        <f>IF(E261="","",ProjCumE(AM260,E260,F260,G260,E261,F261,G261,FALSE))</f>
        <v/>
      </c>
      <c r="AN261" s="330" t="str">
        <f t="shared" si="72"/>
        <v/>
      </c>
      <c r="AO261" s="330" t="str">
        <f>IF(OR(E261="",E261&lt;$U$2),"",ProjActiveTargetMdEx(D261,W261,V261,ProjTargets_MD,ProjTargets_INC,ProjTargets_AZM,ProjTargets_TVD,F261,H261))</f>
        <v/>
      </c>
      <c r="AP261" s="207" t="str">
        <f>IF(OR(E261="",E261&lt;$U$2),"",ProjBitN(E261,F261,G261,AL261,D261,W261,X261))</f>
        <v/>
      </c>
      <c r="AQ261" s="207" t="str">
        <f>IF(OR(E261="",E261&lt;$U$2),"",ProjBitE(E261,F261,G261,AM261,D261,W261,X261))</f>
        <v/>
      </c>
      <c r="AR261" s="207" t="str">
        <f>IF(OR(E261="",E261&lt;$U$2,AO261=""),"",ProjBurr(D261,W261,X261,Q261,C261,ProjTargets_MD,ProjTargets_INC,ProjTargets_AZM,ProjTargets_TVD,V261))</f>
        <v/>
      </c>
      <c r="AS261" s="207" t="str">
        <f>IF(OR(E261="",E261&lt;$U$2,AO261=""),"",ProjMetersToSlide(D261,W261,X261,Q261,C261,ProjTargets_MD,ProjTargets_INC,ProjTargets_AZM,ProjTargets_TVD,V261))</f>
        <v/>
      </c>
      <c r="AT261" s="207" t="str">
        <f>IF(OR(E261="",E261&lt;$U$2,AO261=""),"",ProjRequiredTf(D261,W261,X261,ProjTargets_MD,ProjTargets_INC,ProjTargets_AZM,ProjTargets_TVD,5,V261))</f>
        <v/>
      </c>
    </row>
    <row r="262" spans="2:46" s="209" customFormat="1" ht="15" customHeight="1" x14ac:dyDescent="0.3">
      <c r="B262" s="208" t="str">
        <f t="shared" si="59"/>
        <v/>
      </c>
      <c r="C262" s="335" t="str">
        <f t="shared" si="66"/>
        <v/>
      </c>
      <c r="D262" s="27"/>
      <c r="E262" s="336" t="str">
        <f t="shared" si="67"/>
        <v/>
      </c>
      <c r="F262" s="9"/>
      <c r="G262" s="9"/>
      <c r="H262" s="337" t="str">
        <f t="shared" si="60"/>
        <v/>
      </c>
      <c r="I262" s="337" t="str">
        <f t="shared" si="71"/>
        <v xml:space="preserve">  </v>
      </c>
      <c r="J262" s="338" t="str">
        <f>IF(AND(ISNUMBER(E262),ISNUMBER(F262),ISNUMBER(G262)),ACOS(SIN(F261*PI()/180)*SIN(F262*PI()/180)*COS((G262*PI()/180)-(G261*PI()/180))+COS(F261*PI()/180)*COS(F262*PI()/180))*30/(E262-E261)*180/PI(),"")</f>
        <v/>
      </c>
      <c r="K262" s="339" t="str">
        <f t="shared" si="69"/>
        <v xml:space="preserve"> </v>
      </c>
      <c r="L262" s="339" t="str">
        <f>IF(J262="","",IF(G261&lt;180,IF(AND(G262&gt;G261,G262&lt;SUM(G261+180)),SUM(((G262-G261)/SUM(E262-E261)*30)),IF(G262&lt;G261,SUM(((G262-G261)/SUM(E262-E261)*30)),SUM(((G261+(360-G262))*(-1))/SUM(E262-E261)*30))),IF(G262&gt;G261,SUM(((G262-G261)/SUM(E262-E261)*30)),IF(G262&gt;SUM(G261-180),SUM(((G262-G261)/SUM(E262-E261)*30)),SUM(((360-G261+G262)/SUM(E262-E261)*30))))))</f>
        <v/>
      </c>
      <c r="M262" s="339" t="str">
        <f t="shared" si="61"/>
        <v/>
      </c>
      <c r="N262" s="340" t="str">
        <f>IF(J262=0,"",IF(AND(ISNUMBER(F262),ISNUMBER(J262)),(IF(AND(F262&gt;F261,G262=G261),0,IF(AND(F262&lt;F261,G262=G261),180,IF(AND(G261=0,G262&gt;0),G262,ACOS((C262*K262/30)/(C262*J262/30))*180/PI())))),""))</f>
        <v/>
      </c>
      <c r="O262" s="341" t="str">
        <f t="shared" si="63"/>
        <v/>
      </c>
      <c r="P262" s="342" t="str">
        <f t="shared" si="64"/>
        <v/>
      </c>
      <c r="Q262" s="343" t="str">
        <f t="shared" si="65"/>
        <v/>
      </c>
      <c r="R262" s="10" t="str">
        <f t="shared" si="75"/>
        <v/>
      </c>
      <c r="S262" s="337" t="str">
        <f t="shared" si="58"/>
        <v/>
      </c>
      <c r="T262" s="9"/>
      <c r="U262" s="8"/>
      <c r="V262" s="202" t="str">
        <f>IF(OR(E262="",E262&lt;$U$2),"",ProjTvdAtBit(E262,F262,G262,H262,D262,W262,X262))</f>
        <v/>
      </c>
      <c r="W262" s="344" t="str">
        <f>IF(OR(E262="",E262&lt;$U$2),"",ProjIncAtBit(F262,J262,C262,M262,AJ262,IF(AK262="",0,AK262)))</f>
        <v/>
      </c>
      <c r="X262" s="455" t="str">
        <f>IF(OR(E262="",E262&lt;$U$2),"",ProjAzmAtBit(F262,G262,J262,C262,M262,AJ262,IF(AK262="",0,AK262)))</f>
        <v/>
      </c>
      <c r="Y262" s="461"/>
      <c r="Z262" s="206"/>
      <c r="AA262" s="512" t="str">
        <f t="shared" si="73"/>
        <v/>
      </c>
      <c r="AB262" s="520" t="str">
        <f t="shared" si="74"/>
        <v/>
      </c>
      <c r="AC262" s="510"/>
      <c r="AD262" s="515"/>
      <c r="AE262" s="516"/>
      <c r="AJ262" s="452">
        <f>IF(OR(E262="",D262=""),0,ProjSlideMetersBetween(E262,D262,$R$13:$R$305,$S$13:$S$305))</f>
        <v>0</v>
      </c>
      <c r="AK262" s="452" t="str">
        <f>IF(U262="","",ProjParseTF(U262))</f>
        <v/>
      </c>
      <c r="AL262" s="219" t="str">
        <f>IF(E262="","",ProjCumN(AL261,E261,F261,G261,E262,F262,G262,FALSE))</f>
        <v/>
      </c>
      <c r="AM262" s="331" t="str">
        <f>IF(E262="","",ProjCumE(AM261,E261,F261,G261,E262,F262,G262,FALSE))</f>
        <v/>
      </c>
      <c r="AN262" s="330" t="str">
        <f t="shared" si="72"/>
        <v/>
      </c>
      <c r="AO262" s="330" t="str">
        <f>IF(OR(E262="",E262&lt;$U$2),"",ProjActiveTargetMdEx(D262,W262,V262,ProjTargets_MD,ProjTargets_INC,ProjTargets_AZM,ProjTargets_TVD,F262,H262))</f>
        <v/>
      </c>
      <c r="AP262" s="207" t="str">
        <f>IF(OR(E262="",E262&lt;$U$2),"",ProjBitN(E262,F262,G262,AL262,D262,W262,X262))</f>
        <v/>
      </c>
      <c r="AQ262" s="207" t="str">
        <f>IF(OR(E262="",E262&lt;$U$2),"",ProjBitE(E262,F262,G262,AM262,D262,W262,X262))</f>
        <v/>
      </c>
      <c r="AR262" s="207" t="str">
        <f>IF(OR(E262="",E262&lt;$U$2,AO262=""),"",ProjBurr(D262,W262,X262,Q262,C262,ProjTargets_MD,ProjTargets_INC,ProjTargets_AZM,ProjTargets_TVD,V262))</f>
        <v/>
      </c>
      <c r="AS262" s="207" t="str">
        <f>IF(OR(E262="",E262&lt;$U$2,AO262=""),"",ProjMetersToSlide(D262,W262,X262,Q262,C262,ProjTargets_MD,ProjTargets_INC,ProjTargets_AZM,ProjTargets_TVD,V262))</f>
        <v/>
      </c>
      <c r="AT262" s="207" t="str">
        <f>IF(OR(E262="",E262&lt;$U$2,AO262=""),"",ProjRequiredTf(D262,W262,X262,ProjTargets_MD,ProjTargets_INC,ProjTargets_AZM,ProjTargets_TVD,5,V262))</f>
        <v/>
      </c>
    </row>
    <row r="263" spans="2:46" s="209" customFormat="1" ht="15" customHeight="1" x14ac:dyDescent="0.3">
      <c r="B263" s="208" t="str">
        <f t="shared" si="59"/>
        <v/>
      </c>
      <c r="C263" s="335" t="str">
        <f t="shared" si="66"/>
        <v/>
      </c>
      <c r="D263" s="27"/>
      <c r="E263" s="336" t="str">
        <f t="shared" si="67"/>
        <v/>
      </c>
      <c r="F263" s="9"/>
      <c r="G263" s="9"/>
      <c r="H263" s="337" t="str">
        <f t="shared" si="60"/>
        <v/>
      </c>
      <c r="I263" s="337" t="str">
        <f t="shared" si="71"/>
        <v xml:space="preserve">  </v>
      </c>
      <c r="J263" s="338" t="str">
        <f>IF(AND(ISNUMBER(E263),ISNUMBER(F263),ISNUMBER(G263)),ACOS(SIN(F262*PI()/180)*SIN(F263*PI()/180)*COS((G263*PI()/180)-(G262*PI()/180))+COS(F262*PI()/180)*COS(F263*PI()/180))*30/(E263-E262)*180/PI(),"")</f>
        <v/>
      </c>
      <c r="K263" s="339" t="str">
        <f t="shared" si="69"/>
        <v xml:space="preserve"> </v>
      </c>
      <c r="L263" s="339" t="str">
        <f>IF(J263="","",IF(G262&lt;180,IF(AND(G263&gt;G262,G263&lt;SUM(G262+180)),SUM(((G263-G262)/SUM(E263-E262)*30)),IF(G263&lt;G262,SUM(((G263-G262)/SUM(E263-E262)*30)),SUM(((G262+(360-G263))*(-1))/SUM(E263-E262)*30))),IF(G263&gt;G262,SUM(((G263-G262)/SUM(E263-E262)*30)),IF(G263&gt;SUM(G262-180),SUM(((G263-G262)/SUM(E263-E262)*30)),SUM(((360-G262+G263)/SUM(E263-E262)*30))))))</f>
        <v/>
      </c>
      <c r="M263" s="339" t="str">
        <f t="shared" si="61"/>
        <v/>
      </c>
      <c r="N263" s="340" t="str">
        <f>IF(J263=0,"",IF(AND(ISNUMBER(F263),ISNUMBER(J263)),(IF(AND(F263&gt;F262,G263=G262),0,IF(AND(F263&lt;F262,G263=G262),180,IF(AND(G262=0,G263&gt;0),G263,ACOS((C263*K263/30)/(C263*J263/30))*180/PI())))),""))</f>
        <v/>
      </c>
      <c r="O263" s="341" t="str">
        <f t="shared" si="63"/>
        <v/>
      </c>
      <c r="P263" s="342" t="str">
        <f t="shared" si="64"/>
        <v/>
      </c>
      <c r="Q263" s="343" t="str">
        <f t="shared" si="65"/>
        <v/>
      </c>
      <c r="R263" s="10" t="str">
        <f t="shared" si="75"/>
        <v/>
      </c>
      <c r="S263" s="337" t="str">
        <f t="shared" si="58"/>
        <v/>
      </c>
      <c r="T263" s="9"/>
      <c r="U263" s="8"/>
      <c r="V263" s="202" t="str">
        <f>IF(OR(E263="",E263&lt;$U$2),"",ProjTvdAtBit(E263,F263,G263,H263,D263,W263,X263))</f>
        <v/>
      </c>
      <c r="W263" s="344" t="str">
        <f>IF(OR(E263="",E263&lt;$U$2),"",ProjIncAtBit(F263,J263,C263,M263,AJ263,IF(AK263="",0,AK263)))</f>
        <v/>
      </c>
      <c r="X263" s="455" t="str">
        <f>IF(OR(E263="",E263&lt;$U$2),"",ProjAzmAtBit(F263,G263,J263,C263,M263,AJ263,IF(AK263="",0,AK263)))</f>
        <v/>
      </c>
      <c r="Y263" s="461"/>
      <c r="Z263" s="206"/>
      <c r="AA263" s="512" t="str">
        <f t="shared" si="73"/>
        <v/>
      </c>
      <c r="AB263" s="520" t="str">
        <f t="shared" si="74"/>
        <v/>
      </c>
      <c r="AC263" s="510"/>
      <c r="AD263" s="515"/>
      <c r="AE263" s="516"/>
      <c r="AJ263" s="452">
        <f>IF(OR(E263="",D263=""),0,ProjSlideMetersBetween(E263,D263,$R$13:$R$305,$S$13:$S$305))</f>
        <v>0</v>
      </c>
      <c r="AK263" s="452" t="str">
        <f>IF(U263="","",ProjParseTF(U263))</f>
        <v/>
      </c>
      <c r="AL263" s="219" t="str">
        <f>IF(E263="","",ProjCumN(AL262,E262,F262,G262,E263,F263,G263,FALSE))</f>
        <v/>
      </c>
      <c r="AM263" s="331" t="str">
        <f>IF(E263="","",ProjCumE(AM262,E262,F262,G262,E263,F263,G263,FALSE))</f>
        <v/>
      </c>
      <c r="AN263" s="330" t="str">
        <f t="shared" si="72"/>
        <v/>
      </c>
      <c r="AO263" s="330" t="str">
        <f>IF(OR(E263="",E263&lt;$U$2),"",ProjActiveTargetMdEx(D263,W263,V263,ProjTargets_MD,ProjTargets_INC,ProjTargets_AZM,ProjTargets_TVD,F263,H263))</f>
        <v/>
      </c>
      <c r="AP263" s="207" t="str">
        <f>IF(OR(E263="",E263&lt;$U$2),"",ProjBitN(E263,F263,G263,AL263,D263,W263,X263))</f>
        <v/>
      </c>
      <c r="AQ263" s="207" t="str">
        <f>IF(OR(E263="",E263&lt;$U$2),"",ProjBitE(E263,F263,G263,AM263,D263,W263,X263))</f>
        <v/>
      </c>
      <c r="AR263" s="207" t="str">
        <f>IF(OR(E263="",E263&lt;$U$2,AO263=""),"",ProjBurr(D263,W263,X263,Q263,C263,ProjTargets_MD,ProjTargets_INC,ProjTargets_AZM,ProjTargets_TVD,V263))</f>
        <v/>
      </c>
      <c r="AS263" s="207" t="str">
        <f>IF(OR(E263="",E263&lt;$U$2,AO263=""),"",ProjMetersToSlide(D263,W263,X263,Q263,C263,ProjTargets_MD,ProjTargets_INC,ProjTargets_AZM,ProjTargets_TVD,V263))</f>
        <v/>
      </c>
      <c r="AT263" s="207" t="str">
        <f>IF(OR(E263="",E263&lt;$U$2,AO263=""),"",ProjRequiredTf(D263,W263,X263,ProjTargets_MD,ProjTargets_INC,ProjTargets_AZM,ProjTargets_TVD,5,V263))</f>
        <v/>
      </c>
    </row>
    <row r="264" spans="2:46" s="209" customFormat="1" ht="15" customHeight="1" x14ac:dyDescent="0.3">
      <c r="B264" s="208" t="str">
        <f t="shared" si="59"/>
        <v/>
      </c>
      <c r="C264" s="335" t="str">
        <f t="shared" si="66"/>
        <v/>
      </c>
      <c r="D264" s="27"/>
      <c r="E264" s="336" t="str">
        <f t="shared" si="67"/>
        <v/>
      </c>
      <c r="F264" s="9"/>
      <c r="G264" s="9"/>
      <c r="H264" s="337" t="str">
        <f t="shared" si="60"/>
        <v/>
      </c>
      <c r="I264" s="337" t="str">
        <f t="shared" si="71"/>
        <v xml:space="preserve">  </v>
      </c>
      <c r="J264" s="338" t="str">
        <f>IF(AND(ISNUMBER(E264),ISNUMBER(F264),ISNUMBER(G264)),ACOS(SIN(F263*PI()/180)*SIN(F264*PI()/180)*COS((G264*PI()/180)-(G263*PI()/180))+COS(F263*PI()/180)*COS(F264*PI()/180))*30/(E264-E263)*180/PI(),"")</f>
        <v/>
      </c>
      <c r="K264" s="339" t="str">
        <f t="shared" si="69"/>
        <v xml:space="preserve"> </v>
      </c>
      <c r="L264" s="339" t="str">
        <f>IF(J264="","",IF(G263&lt;180,IF(AND(G264&gt;G263,G264&lt;SUM(G263+180)),SUM(((G264-G263)/SUM(E264-E263)*30)),IF(G264&lt;G263,SUM(((G264-G263)/SUM(E264-E263)*30)),SUM(((G263+(360-G264))*(-1))/SUM(E264-E263)*30))),IF(G264&gt;G263,SUM(((G264-G263)/SUM(E264-E263)*30)),IF(G264&gt;SUM(G263-180),SUM(((G264-G263)/SUM(E264-E263)*30)),SUM(((360-G263+G264)/SUM(E264-E263)*30))))))</f>
        <v/>
      </c>
      <c r="M264" s="339" t="str">
        <f t="shared" si="61"/>
        <v/>
      </c>
      <c r="N264" s="340" t="str">
        <f>IF(J264=0,"",IF(AND(ISNUMBER(F264),ISNUMBER(J264)),(IF(AND(F264&gt;F263,G264=G263),0,IF(AND(F264&lt;F263,G264=G263),180,IF(AND(G263=0,G264&gt;0),G264,ACOS((C264*K264/30)/(C264*J264/30))*180/PI())))),""))</f>
        <v/>
      </c>
      <c r="O264" s="341" t="str">
        <f t="shared" si="63"/>
        <v/>
      </c>
      <c r="P264" s="342" t="str">
        <f t="shared" si="64"/>
        <v/>
      </c>
      <c r="Q264" s="343" t="str">
        <f t="shared" si="65"/>
        <v/>
      </c>
      <c r="R264" s="10" t="str">
        <f t="shared" si="75"/>
        <v/>
      </c>
      <c r="S264" s="337" t="str">
        <f t="shared" si="58"/>
        <v/>
      </c>
      <c r="T264" s="9"/>
      <c r="U264" s="8"/>
      <c r="V264" s="202" t="str">
        <f>IF(OR(E264="",E264&lt;$U$2),"",ProjTvdAtBit(E264,F264,G264,H264,D264,W264,X264))</f>
        <v/>
      </c>
      <c r="W264" s="344" t="str">
        <f>IF(OR(E264="",E264&lt;$U$2),"",ProjIncAtBit(F264,J264,C264,M264,AJ264,IF(AK264="",0,AK264)))</f>
        <v/>
      </c>
      <c r="X264" s="455" t="str">
        <f>IF(OR(E264="",E264&lt;$U$2),"",ProjAzmAtBit(F264,G264,J264,C264,M264,AJ264,IF(AK264="",0,AK264)))</f>
        <v/>
      </c>
      <c r="Y264" s="461"/>
      <c r="Z264" s="206"/>
      <c r="AA264" s="512" t="str">
        <f t="shared" si="73"/>
        <v/>
      </c>
      <c r="AB264" s="520" t="str">
        <f t="shared" si="74"/>
        <v/>
      </c>
      <c r="AC264" s="510"/>
      <c r="AD264" s="515"/>
      <c r="AE264" s="516"/>
      <c r="AJ264" s="452">
        <f>IF(OR(E264="",D264=""),0,ProjSlideMetersBetween(E264,D264,$R$13:$R$305,$S$13:$S$305))</f>
        <v>0</v>
      </c>
      <c r="AK264" s="452" t="str">
        <f>IF(U264="","",ProjParseTF(U264))</f>
        <v/>
      </c>
      <c r="AL264" s="219" t="str">
        <f>IF(E264="","",ProjCumN(AL263,E263,F263,G263,E264,F264,G264,FALSE))</f>
        <v/>
      </c>
      <c r="AM264" s="331" t="str">
        <f>IF(E264="","",ProjCumE(AM263,E263,F263,G263,E264,F264,G264,FALSE))</f>
        <v/>
      </c>
      <c r="AN264" s="330" t="str">
        <f t="shared" si="72"/>
        <v/>
      </c>
      <c r="AO264" s="330" t="str">
        <f>IF(OR(E264="",E264&lt;$U$2),"",ProjActiveTargetMdEx(D264,W264,V264,ProjTargets_MD,ProjTargets_INC,ProjTargets_AZM,ProjTargets_TVD,F264,H264))</f>
        <v/>
      </c>
      <c r="AP264" s="207" t="str">
        <f>IF(OR(E264="",E264&lt;$U$2),"",ProjBitN(E264,F264,G264,AL264,D264,W264,X264))</f>
        <v/>
      </c>
      <c r="AQ264" s="207" t="str">
        <f>IF(OR(E264="",E264&lt;$U$2),"",ProjBitE(E264,F264,G264,AM264,D264,W264,X264))</f>
        <v/>
      </c>
      <c r="AR264" s="207" t="str">
        <f>IF(OR(E264="",E264&lt;$U$2,AO264=""),"",ProjBurr(D264,W264,X264,Q264,C264,ProjTargets_MD,ProjTargets_INC,ProjTargets_AZM,ProjTargets_TVD,V264))</f>
        <v/>
      </c>
      <c r="AS264" s="207" t="str">
        <f>IF(OR(E264="",E264&lt;$U$2,AO264=""),"",ProjMetersToSlide(D264,W264,X264,Q264,C264,ProjTargets_MD,ProjTargets_INC,ProjTargets_AZM,ProjTargets_TVD,V264))</f>
        <v/>
      </c>
      <c r="AT264" s="207" t="str">
        <f>IF(OR(E264="",E264&lt;$U$2,AO264=""),"",ProjRequiredTf(D264,W264,X264,ProjTargets_MD,ProjTargets_INC,ProjTargets_AZM,ProjTargets_TVD,5,V264))</f>
        <v/>
      </c>
    </row>
    <row r="265" spans="2:46" s="209" customFormat="1" ht="15" customHeight="1" x14ac:dyDescent="0.3">
      <c r="B265" s="208" t="str">
        <f t="shared" si="59"/>
        <v/>
      </c>
      <c r="C265" s="335" t="str">
        <f t="shared" si="66"/>
        <v/>
      </c>
      <c r="D265" s="27"/>
      <c r="E265" s="336" t="str">
        <f t="shared" si="67"/>
        <v/>
      </c>
      <c r="F265" s="9"/>
      <c r="G265" s="9"/>
      <c r="H265" s="337" t="str">
        <f t="shared" si="60"/>
        <v/>
      </c>
      <c r="I265" s="337" t="str">
        <f t="shared" si="71"/>
        <v xml:space="preserve">  </v>
      </c>
      <c r="J265" s="338" t="str">
        <f t="shared" si="68"/>
        <v/>
      </c>
      <c r="K265" s="339" t="str">
        <f t="shared" si="69"/>
        <v xml:space="preserve"> </v>
      </c>
      <c r="L265" s="339" t="str">
        <f t="shared" si="70"/>
        <v/>
      </c>
      <c r="M265" s="339" t="str">
        <f t="shared" si="61"/>
        <v/>
      </c>
      <c r="N265" s="340" t="str">
        <f t="shared" si="62"/>
        <v/>
      </c>
      <c r="O265" s="341" t="str">
        <f t="shared" si="63"/>
        <v/>
      </c>
      <c r="P265" s="342" t="str">
        <f t="shared" si="64"/>
        <v/>
      </c>
      <c r="Q265" s="343" t="str">
        <f t="shared" si="65"/>
        <v/>
      </c>
      <c r="R265" s="10" t="str">
        <f t="shared" si="75"/>
        <v/>
      </c>
      <c r="S265" s="337" t="str">
        <f t="shared" si="58"/>
        <v/>
      </c>
      <c r="T265" s="9"/>
      <c r="U265" s="8"/>
      <c r="V265" s="202" t="str">
        <f>IF(OR(E265="",E265&lt;$U$2),"",ProjTvdAtBit(E265,F265,G265,H265,D265,W265,X265))</f>
        <v/>
      </c>
      <c r="W265" s="344" t="str">
        <f>IF(OR(E265="",E265&lt;$U$2),"",ProjIncAtBit(F265,J265,C265,M265,AJ265,IF(AK265="",0,AK265)))</f>
        <v/>
      </c>
      <c r="X265" s="455" t="str">
        <f>IF(OR(E265="",E265&lt;$U$2),"",ProjAzmAtBit(F265,G265,J265,C265,M265,AJ265,IF(AK265="",0,AK265)))</f>
        <v/>
      </c>
      <c r="Y265" s="461"/>
      <c r="Z265" s="206"/>
      <c r="AA265" s="512" t="str">
        <f t="shared" si="73"/>
        <v/>
      </c>
      <c r="AB265" s="520" t="str">
        <f t="shared" si="74"/>
        <v/>
      </c>
      <c r="AC265" s="510"/>
      <c r="AD265" s="515"/>
      <c r="AE265" s="516"/>
      <c r="AJ265" s="452">
        <f>IF(OR(E265="",D265=""),0,ProjSlideMetersBetween(E265,D265,$R$13:$R$305,$S$13:$S$305))</f>
        <v>0</v>
      </c>
      <c r="AK265" s="452" t="str">
        <f>IF(U265="","",ProjParseTF(U265))</f>
        <v/>
      </c>
      <c r="AL265" s="219" t="str">
        <f>IF(E265="","",ProjCumN(AL264,E264,F264,G264,E265,F265,G265,FALSE))</f>
        <v/>
      </c>
      <c r="AM265" s="331" t="str">
        <f>IF(E265="","",ProjCumE(AM264,E264,F264,G264,E265,F265,G265,FALSE))</f>
        <v/>
      </c>
      <c r="AN265" s="330" t="str">
        <f t="shared" si="72"/>
        <v/>
      </c>
      <c r="AO265" s="330" t="str">
        <f>IF(OR(E265="",E265&lt;$U$2),"",ProjActiveTargetMdEx(D265,W265,V265,ProjTargets_MD,ProjTargets_INC,ProjTargets_AZM,ProjTargets_TVD,F265,H265))</f>
        <v/>
      </c>
      <c r="AP265" s="207" t="str">
        <f>IF(OR(E265="",E265&lt;$U$2),"",ProjBitN(E265,F265,G265,AL265,D265,W265,X265))</f>
        <v/>
      </c>
      <c r="AQ265" s="207" t="str">
        <f>IF(OR(E265="",E265&lt;$U$2),"",ProjBitE(E265,F265,G265,AM265,D265,W265,X265))</f>
        <v/>
      </c>
      <c r="AR265" s="207" t="str">
        <f>IF(OR(E265="",E265&lt;$U$2,AO265=""),"",ProjBurr(D265,W265,X265,Q265,C265,ProjTargets_MD,ProjTargets_INC,ProjTargets_AZM,ProjTargets_TVD,V265))</f>
        <v/>
      </c>
      <c r="AS265" s="207" t="str">
        <f>IF(OR(E265="",E265&lt;$U$2,AO265=""),"",ProjMetersToSlide(D265,W265,X265,Q265,C265,ProjTargets_MD,ProjTargets_INC,ProjTargets_AZM,ProjTargets_TVD,V265))</f>
        <v/>
      </c>
      <c r="AT265" s="207" t="str">
        <f>IF(OR(E265="",E265&lt;$U$2,AO265=""),"",ProjRequiredTf(D265,W265,X265,ProjTargets_MD,ProjTargets_INC,ProjTargets_AZM,ProjTargets_TVD,5,V265))</f>
        <v/>
      </c>
    </row>
    <row r="266" spans="2:46" s="209" customFormat="1" ht="15" customHeight="1" x14ac:dyDescent="0.3">
      <c r="B266" s="208" t="str">
        <f t="shared" si="59"/>
        <v/>
      </c>
      <c r="C266" s="335" t="str">
        <f t="shared" si="66"/>
        <v/>
      </c>
      <c r="D266" s="27"/>
      <c r="E266" s="336" t="str">
        <f t="shared" si="67"/>
        <v/>
      </c>
      <c r="F266" s="9"/>
      <c r="G266" s="9"/>
      <c r="H266" s="337" t="str">
        <f t="shared" si="60"/>
        <v/>
      </c>
      <c r="I266" s="337" t="str">
        <f t="shared" si="71"/>
        <v xml:space="preserve">  </v>
      </c>
      <c r="J266" s="338" t="str">
        <f t="shared" si="68"/>
        <v/>
      </c>
      <c r="K266" s="339" t="str">
        <f t="shared" si="69"/>
        <v xml:space="preserve"> </v>
      </c>
      <c r="L266" s="339" t="str">
        <f t="shared" si="70"/>
        <v/>
      </c>
      <c r="M266" s="339" t="str">
        <f t="shared" si="61"/>
        <v/>
      </c>
      <c r="N266" s="340" t="str">
        <f t="shared" si="62"/>
        <v/>
      </c>
      <c r="O266" s="341" t="str">
        <f t="shared" si="63"/>
        <v/>
      </c>
      <c r="P266" s="342" t="str">
        <f t="shared" si="64"/>
        <v/>
      </c>
      <c r="Q266" s="343" t="str">
        <f t="shared" si="65"/>
        <v/>
      </c>
      <c r="R266" s="10" t="str">
        <f t="shared" si="75"/>
        <v/>
      </c>
      <c r="S266" s="337" t="str">
        <f t="shared" si="58"/>
        <v/>
      </c>
      <c r="T266" s="9"/>
      <c r="U266" s="8"/>
      <c r="V266" s="202" t="str">
        <f>IF(OR(E266="",E266&lt;$U$2),"",ProjTvdAtBit(E266,F266,G266,H266,D266,W266,X266))</f>
        <v/>
      </c>
      <c r="W266" s="344" t="str">
        <f>IF(OR(E266="",E266&lt;$U$2),"",ProjIncAtBit(F266,J266,C266,M266,AJ266,IF(AK266="",0,AK266)))</f>
        <v/>
      </c>
      <c r="X266" s="455" t="str">
        <f>IF(OR(E266="",E266&lt;$U$2),"",ProjAzmAtBit(F266,G266,J266,C266,M266,AJ266,IF(AK266="",0,AK266)))</f>
        <v/>
      </c>
      <c r="Y266" s="461"/>
      <c r="Z266" s="206"/>
      <c r="AA266" s="512" t="str">
        <f t="shared" si="73"/>
        <v/>
      </c>
      <c r="AB266" s="520" t="str">
        <f t="shared" si="74"/>
        <v/>
      </c>
      <c r="AC266" s="510"/>
      <c r="AD266" s="515"/>
      <c r="AE266" s="516"/>
      <c r="AJ266" s="452">
        <f>IF(OR(E266="",D266=""),0,ProjSlideMetersBetween(E266,D266,$R$13:$R$305,$S$13:$S$305))</f>
        <v>0</v>
      </c>
      <c r="AK266" s="452" t="str">
        <f>IF(U266="","",ProjParseTF(U266))</f>
        <v/>
      </c>
      <c r="AL266" s="219" t="str">
        <f>IF(E266="","",ProjCumN(AL265,E265,F265,G265,E266,F266,G266,FALSE))</f>
        <v/>
      </c>
      <c r="AM266" s="331" t="str">
        <f>IF(E266="","",ProjCumE(AM265,E265,F265,G265,E266,F266,G266,FALSE))</f>
        <v/>
      </c>
      <c r="AN266" s="330" t="str">
        <f t="shared" si="72"/>
        <v/>
      </c>
      <c r="AO266" s="330" t="str">
        <f>IF(OR(E266="",E266&lt;$U$2),"",ProjActiveTargetMdEx(D266,W266,V266,ProjTargets_MD,ProjTargets_INC,ProjTargets_AZM,ProjTargets_TVD,F266,H266))</f>
        <v/>
      </c>
      <c r="AP266" s="207" t="str">
        <f>IF(OR(E266="",E266&lt;$U$2),"",ProjBitN(E266,F266,G266,AL266,D266,W266,X266))</f>
        <v/>
      </c>
      <c r="AQ266" s="207" t="str">
        <f>IF(OR(E266="",E266&lt;$U$2),"",ProjBitE(E266,F266,G266,AM266,D266,W266,X266))</f>
        <v/>
      </c>
      <c r="AR266" s="207" t="str">
        <f>IF(OR(E266="",E266&lt;$U$2,AO266=""),"",ProjBurr(D266,W266,X266,Q266,C266,ProjTargets_MD,ProjTargets_INC,ProjTargets_AZM,ProjTargets_TVD,V266))</f>
        <v/>
      </c>
      <c r="AS266" s="207" t="str">
        <f>IF(OR(E266="",E266&lt;$U$2,AO266=""),"",ProjMetersToSlide(D266,W266,X266,Q266,C266,ProjTargets_MD,ProjTargets_INC,ProjTargets_AZM,ProjTargets_TVD,V266))</f>
        <v/>
      </c>
      <c r="AT266" s="207" t="str">
        <f>IF(OR(E266="",E266&lt;$U$2,AO266=""),"",ProjRequiredTf(D266,W266,X266,ProjTargets_MD,ProjTargets_INC,ProjTargets_AZM,ProjTargets_TVD,5,V266))</f>
        <v/>
      </c>
    </row>
    <row r="267" spans="2:46" s="209" customFormat="1" ht="15" customHeight="1" x14ac:dyDescent="0.3">
      <c r="B267" s="208" t="str">
        <f t="shared" si="59"/>
        <v/>
      </c>
      <c r="C267" s="335" t="str">
        <f t="shared" si="66"/>
        <v/>
      </c>
      <c r="D267" s="27"/>
      <c r="E267" s="336" t="str">
        <f t="shared" si="67"/>
        <v/>
      </c>
      <c r="F267" s="9"/>
      <c r="G267" s="9"/>
      <c r="H267" s="337" t="str">
        <f t="shared" si="60"/>
        <v/>
      </c>
      <c r="I267" s="337" t="str">
        <f t="shared" si="71"/>
        <v xml:space="preserve">  </v>
      </c>
      <c r="J267" s="338" t="str">
        <f t="shared" si="68"/>
        <v/>
      </c>
      <c r="K267" s="339" t="str">
        <f t="shared" si="69"/>
        <v xml:space="preserve"> </v>
      </c>
      <c r="L267" s="339" t="str">
        <f t="shared" si="70"/>
        <v/>
      </c>
      <c r="M267" s="339" t="str">
        <f t="shared" si="61"/>
        <v/>
      </c>
      <c r="N267" s="340" t="str">
        <f t="shared" si="62"/>
        <v/>
      </c>
      <c r="O267" s="341" t="str">
        <f t="shared" si="63"/>
        <v/>
      </c>
      <c r="P267" s="342" t="str">
        <f t="shared" si="64"/>
        <v/>
      </c>
      <c r="Q267" s="343" t="str">
        <f t="shared" si="65"/>
        <v/>
      </c>
      <c r="R267" s="10" t="str">
        <f t="shared" si="75"/>
        <v/>
      </c>
      <c r="S267" s="337" t="str">
        <f t="shared" ref="S267:S304" si="76">IF(T267="","",SUM(R267+T267))</f>
        <v/>
      </c>
      <c r="T267" s="9"/>
      <c r="U267" s="8"/>
      <c r="V267" s="202" t="str">
        <f>IF(OR(E267="",E267&lt;$U$2),"",ProjTvdAtBit(E267,F267,G267,H267,D267,W267,X267))</f>
        <v/>
      </c>
      <c r="W267" s="344" t="str">
        <f>IF(OR(E267="",E267&lt;$U$2),"",ProjIncAtBit(F267,J267,C267,M267,AJ267,IF(AK267="",0,AK267)))</f>
        <v/>
      </c>
      <c r="X267" s="455" t="str">
        <f>IF(OR(E267="",E267&lt;$U$2),"",ProjAzmAtBit(F267,G267,J267,C267,M267,AJ267,IF(AK267="",0,AK267)))</f>
        <v/>
      </c>
      <c r="Y267" s="461"/>
      <c r="Z267" s="206"/>
      <c r="AA267" s="512" t="str">
        <f t="shared" si="73"/>
        <v/>
      </c>
      <c r="AB267" s="520" t="str">
        <f t="shared" si="74"/>
        <v/>
      </c>
      <c r="AC267" s="510"/>
      <c r="AD267" s="515"/>
      <c r="AE267" s="516"/>
      <c r="AJ267" s="452">
        <f>IF(OR(E267="",D267=""),0,ProjSlideMetersBetween(E267,D267,$R$13:$R$305,$S$13:$S$305))</f>
        <v>0</v>
      </c>
      <c r="AK267" s="452" t="str">
        <f>IF(U267="","",ProjParseTF(U267))</f>
        <v/>
      </c>
      <c r="AL267" s="219" t="str">
        <f>IF(E267="","",ProjCumN(AL266,E266,F266,G266,E267,F267,G267,FALSE))</f>
        <v/>
      </c>
      <c r="AM267" s="331" t="str">
        <f>IF(E267="","",ProjCumE(AM266,E266,F266,G266,E267,F267,G267,FALSE))</f>
        <v/>
      </c>
      <c r="AN267" s="330" t="str">
        <f t="shared" si="72"/>
        <v/>
      </c>
      <c r="AO267" s="330" t="str">
        <f>IF(OR(E267="",E267&lt;$U$2),"",ProjActiveTargetMdEx(D267,W267,V267,ProjTargets_MD,ProjTargets_INC,ProjTargets_AZM,ProjTargets_TVD,F267,H267))</f>
        <v/>
      </c>
      <c r="AP267" s="207" t="str">
        <f>IF(OR(E267="",E267&lt;$U$2),"",ProjBitN(E267,F267,G267,AL267,D267,W267,X267))</f>
        <v/>
      </c>
      <c r="AQ267" s="207" t="str">
        <f>IF(OR(E267="",E267&lt;$U$2),"",ProjBitE(E267,F267,G267,AM267,D267,W267,X267))</f>
        <v/>
      </c>
      <c r="AR267" s="207" t="str">
        <f>IF(OR(E267="",E267&lt;$U$2,AO267=""),"",ProjBurr(D267,W267,X267,Q267,C267,ProjTargets_MD,ProjTargets_INC,ProjTargets_AZM,ProjTargets_TVD,V267))</f>
        <v/>
      </c>
      <c r="AS267" s="207" t="str">
        <f>IF(OR(E267="",E267&lt;$U$2,AO267=""),"",ProjMetersToSlide(D267,W267,X267,Q267,C267,ProjTargets_MD,ProjTargets_INC,ProjTargets_AZM,ProjTargets_TVD,V267))</f>
        <v/>
      </c>
      <c r="AT267" s="207" t="str">
        <f>IF(OR(E267="",E267&lt;$U$2,AO267=""),"",ProjRequiredTf(D267,W267,X267,ProjTargets_MD,ProjTargets_INC,ProjTargets_AZM,ProjTargets_TVD,5,V267))</f>
        <v/>
      </c>
    </row>
    <row r="268" spans="2:46" s="209" customFormat="1" ht="15" customHeight="1" x14ac:dyDescent="0.3">
      <c r="B268" s="208" t="str">
        <f t="shared" ref="B268:B304" si="77">IF(ISBLANK(D268),"",B267)</f>
        <v/>
      </c>
      <c r="C268" s="335" t="str">
        <f t="shared" si="66"/>
        <v/>
      </c>
      <c r="D268" s="27"/>
      <c r="E268" s="336" t="str">
        <f t="shared" si="67"/>
        <v/>
      </c>
      <c r="F268" s="9"/>
      <c r="G268" s="9"/>
      <c r="H268" s="337" t="str">
        <f t="shared" ref="H268:H304" si="78">IF(ISNUMBER(F268),COS(((F268+F267)/2)*(PI()/180))*(E268-E267)+H267,"")</f>
        <v/>
      </c>
      <c r="I268" s="337" t="str">
        <f t="shared" si="71"/>
        <v xml:space="preserve">  </v>
      </c>
      <c r="J268" s="338" t="str">
        <f t="shared" si="68"/>
        <v/>
      </c>
      <c r="K268" s="339" t="str">
        <f t="shared" si="69"/>
        <v xml:space="preserve"> </v>
      </c>
      <c r="L268" s="339" t="str">
        <f t="shared" si="70"/>
        <v/>
      </c>
      <c r="M268" s="339" t="str">
        <f t="shared" ref="M268:M305" si="79">IF(T267="",IF(T266="",IF(T265="",IF(T264="","",IF(E268&lt;R264,"",IF(E268&lt;S264,IF(E267&lt;R264,SUM(E268-R264),IF(E267&lt;S264,IF(E267&lt;E268,SUM(E268-E267),""),"")),IF(E267&lt;R264,T264,IF(E267&lt;S264,SUM(S264-E267),""))))),IF(T264="",IF(E268&lt;R265,"",IF(E268&lt;S265,IF(E267&lt;R265,SUM(E268-R265),IF(E267&lt;S265,IF(E267&lt;E268,SUM(E268-E267),""),"")),IF(E267&lt;R265,T265,IF(E267&lt;S265,SUM(S265-E267),""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267&lt;R264,SUM(T264+T265),IF(E267&lt;S264,SUM(S264-E267+T265),IF(E267&lt;R265,T265,IF(E267&lt;S265,SUM(S265-E267),"")))))))))),IF(T265="",IF(T264="",IF(E268&lt;R266,"",IF(E268&lt;S266,IF(E267&lt;R266,SUM(E268-R266),IF(E267&lt;S266,IF(E267&lt;E268,SUM(E268-E267),""),"")),IF(E267&lt;R266,T266,IF(E267&lt;S266,SUM(S266-E267),""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267&lt;R264,SUM(T264+T266),IF(E267&lt;S264,SUM(S264-E267+T266),IF(E267&lt;R266,T266,IF(E267&lt;S266,SUM(S266-E267),""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267&lt;R265,SUM(T265+T266),IF(E267&lt;S265,SUM(S265-E267+T266),IF(E267&lt;R266,T266,IF(E267&lt;S266,SUM(S266-E267),""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267&lt;R264,SUM(T264+T265+T266),IF(E267&lt;S264,SUM(S264-E267+T265+T266),IF(E267&lt;R265,SUM(T265+T266),IF(E267&lt;S265,SUM(S265-E267+T266),IF(E267&lt;R266,T266,IF(E267&lt;S266,SUM(S266-E267),""))))))))))))))),IF(T266="",IF(T265="",IF(T264="",IF(E268&lt;R267,"",IF(E268&lt;S267,SUM(E268-R267),T267)),IF(E268&lt;R264,"",IF(E268&lt;S264,IF(E267&lt;R264,SUM(E268-R264),IF(E267&lt;S264,IF(E267&lt;E268,SUM(E268-E267),""),"")),IF(E268&lt;R267,IF(E267&lt;R264,T264,IF(E267&lt;S264,SUM(S264-E267),"")),IF(E268&lt;S267,IF(E267&lt;R264,SUM(T264+E268-R267),IF(E267&lt;S264,SUM(S264-E267+E268-R267),SUM(E268-R267))),IF(E267&lt;R264,SUM(T264+T267),IF(E267&lt;S264,SUM(S264-E267+T267),T267))))))),IF(T264="",IF(E268&lt;R265,"",IF(E268&lt;S265,IF(E267&lt;R265,SUM(E268-R265),IF(E267&lt;S265,IF(E267&lt;E268,SUM(E268-E267),""),"")),IF(E268&lt;R267,IF(E267&lt;R265,T265,IF(E267&lt;S265,SUM(S265-E267),"")),IF(E268&lt;S267,IF(E267&lt;R265,SUM(T265+E268-R267),IF(E267&lt;S265,SUM(S265-E267+E268-R267),SUM(E268-R267))),IF(E267&lt;R265,SUM(T265+T267),IF(E267&lt;S265,SUM(S265-E267+T267),T267)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267,IF(E267&lt;R264,SUM(T264+T265),IF(E267&lt;S264,SUM(S264-E267+T265),IF(E267&lt;R265,T265,IF(E267&lt;S265,SUM(S265-E267),"")))),IF(E268&lt;S267,IF(E267&lt;R264,SUM(T264+T265+E268-R267),IF(E267&lt;S264,SUM(S264-E267+T265+E268-R267),IF(E267&lt;R265,SUM(T265+E268-R267),IF(E267&lt;S265,SUM(S265-E267+E268-R267),SUM(E268-R267))))),IF(E267&lt;R264,SUM(T264+T265+T267),IF(E267&lt;S264,SUM(S264-E267+T265+T267),IF(E267&lt;R265,SUM(T265+T267),IF(E267&lt;S265,SUM(S265-E267+T267),T267)))))))))))),IF(T265="",IF(T264="",IF(E268&lt;R266,"",IF(E268&lt;S266,IF(E267&lt;R266,SUM(E268-R266),IF(E267&lt;S266,IF(E267&lt;E268,SUM(E268-E267),""),"")),IF(E268&lt;R267,IF(E267&lt;R266,T266,IF(E267&lt;S266,SUM(S266-E267),"")),IF(E268&lt;S267,IF(E267&lt;R266,SUM(T266+E268-R267),IF(E267&lt;S266,SUM(S266-E267+E268-R267),SUM(E268-R267))),IF(E267&lt;R266,SUM(T266+T267),IF(E267&lt;S266,SUM(S266-E267+T267),T267))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268&lt;R267,IF(E267&lt;R264,SUM(T264+T266),IF(E267&lt;S264,SUM(S264-E267+T266),IF(E267&lt;R266,T266,IF(E267&lt;S266,SUM(S266-E267),"")))),IF(E268&lt;S267,IF(E267&lt;R264,SUM(T264+T266+E268-R267),IF(E267&lt;S264,SUM(S264-E267+T266+E268-R267),IF(E267&lt;R266,SUM(T266+E268-R267),IF(E267&lt;S266,SUM(S266-E267+E268-R267),SUM(E268-R267))))),IF(E267&lt;R264,SUM(T264+T266+T267),IF(E267&lt;S264,SUM(S264-E267+T266+T267),IF(E267&lt;R266,SUM(T266+T267),IF(E267&lt;S266,SUM(S266-E267+T267),T267))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268&lt;R267,IF(E267&lt;R265,SUM(T265+T266),IF(E267&lt;S265,SUM(S265-E267+T266),IF(E267&lt;R266,T266,IF(E267&lt;S266,SUM(S266-E267),"")))),IF(E268&lt;S267,IF(E267&lt;R265,SUM(T265+T266+E268-R267),IF(E267&lt;S265,SUM(S265-E267+T266+E268-R267),IF(E267&lt;R266,SUM(T266+E268-R267),IF(E267&lt;S266,SUM(S266-E267+E268-R267),SUM(E268-R267))))),IF(E267&lt;R265,SUM(T265+T266+T267),IF(E267&lt;S265,SUM(S265-E267+T266+T267),IF(E267&lt;R266,SUM(T266+T267),IF(E267&lt;S266,SUM(S266-E267+T267),T267))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268&lt;R267,IF(E267&lt;R264,SUM(T264+T265+T266),IF(E267&lt;S264,SUM(S264-E267+T265+T266),IF(E267&lt;R265,SUM(T265+T266),IF(E267&lt;S265,SUM(S265-E267+T266),IF(E267&lt;R266,T266,IF(E267&lt;S266,SUM(S266-E267),"")))))),IF(E268&lt;S267,IF(E267&lt;R264,SUM(T264+T265+T266+E268-R267),IF(E267&lt;S264,SUM(S264-E267+T265+T266+E268-R267),IF(E267&lt;R265,SUM(T265+T266+E268-R267),IF(E267&lt;S265,SUM(S265-E267+T266+E268-R267),IF(E267&lt;R266,SUM(T266+E268-R267),IF(E267&lt;S266,SUM(S266-E267+E268-R267),SUM(E268-R267))))))),IF(E267&lt;R264,SUM(T264+T265+T266+T267),IF(E267&lt;S264,SUM(S264-E267+T265+T266+T267),IF(E267&lt;R265,SUM(T265+T266+T267),IF(E267&lt;S265,SUM(S265-E267+T266+T267),IF(E267&lt;R266,SUM(T266+T267),IF(E267&lt;S266,SUM(S266-E267+T267),T267))))))))))))))))))</f>
        <v/>
      </c>
      <c r="N268" s="340" t="str">
        <f t="shared" ref="N268:N305" si="80">IF(J268=0,"",IF(AND(ISNUMBER(F268),ISNUMBER(J268)),(IF(AND(F268&gt;F267,G268=G267),0,IF(AND(F268&lt;F267,G268=G267),180,IF(AND(G267=0,G268&gt;0),G268,ACOS((C268*K268/30)/(C268*J268/30))*180/PI())))),""))</f>
        <v/>
      </c>
      <c r="O268" s="341" t="str">
        <f t="shared" ref="O268:O305" si="81">IF(F268="","",IF(N268="","",IF(F268&lt;5,"Mag",IF(L268&lt;0,"L",IF(N268=0,"HS",IF(N268=360,"HS",IF(N268=180,"LS","R")))))))</f>
        <v/>
      </c>
      <c r="P268" s="342" t="str">
        <f t="shared" ref="P268:P305" si="82">IF(F268="","",IF(M268="","",SUM((F268-F267)/M268)))</f>
        <v/>
      </c>
      <c r="Q268" s="343" t="str">
        <f t="shared" ref="Q268:Q305" si="83">IF(ISBLANK(F268),"",IF(J268="", "", IF(M268="","",SUM(C268*J268/M268))))</f>
        <v/>
      </c>
      <c r="R268" s="10" t="str">
        <f t="shared" si="75"/>
        <v/>
      </c>
      <c r="S268" s="337" t="str">
        <f t="shared" si="76"/>
        <v/>
      </c>
      <c r="T268" s="9"/>
      <c r="U268" s="8"/>
      <c r="V268" s="202" t="str">
        <f>IF(OR(E268="",E268&lt;$U$2),"",ProjTvdAtBit(E268,F268,G268,H268,D268,W268,X268))</f>
        <v/>
      </c>
      <c r="W268" s="344" t="str">
        <f>IF(OR(E268="",E268&lt;$U$2),"",ProjIncAtBit(F268,J268,C268,M268,AJ268,IF(AK268="",0,AK268)))</f>
        <v/>
      </c>
      <c r="X268" s="455" t="str">
        <f>IF(OR(E268="",E268&lt;$U$2),"",ProjAzmAtBit(F268,G268,J268,C268,M268,AJ268,IF(AK268="",0,AK268)))</f>
        <v/>
      </c>
      <c r="Y268" s="461"/>
      <c r="Z268" s="206"/>
      <c r="AA268" s="512" t="str">
        <f t="shared" si="73"/>
        <v/>
      </c>
      <c r="AB268" s="520" t="str">
        <f t="shared" si="74"/>
        <v/>
      </c>
      <c r="AC268" s="510"/>
      <c r="AD268" s="515"/>
      <c r="AE268" s="516"/>
      <c r="AJ268" s="452">
        <f>IF(OR(E268="",D268=""),0,ProjSlideMetersBetween(E268,D268,$R$13:$R$305,$S$13:$S$305))</f>
        <v>0</v>
      </c>
      <c r="AK268" s="452" t="str">
        <f>IF(U268="","",ProjParseTF(U268))</f>
        <v/>
      </c>
      <c r="AL268" s="219" t="str">
        <f>IF(E268="","",ProjCumN(AL267,E267,F267,G267,E268,F268,G268,FALSE))</f>
        <v/>
      </c>
      <c r="AM268" s="331" t="str">
        <f>IF(E268="","",ProjCumE(AM267,E267,F267,G267,E268,F268,G268,FALSE))</f>
        <v/>
      </c>
      <c r="AN268" s="330" t="str">
        <f t="shared" si="72"/>
        <v/>
      </c>
      <c r="AO268" s="330" t="str">
        <f>IF(OR(E268="",E268&lt;$U$2),"",ProjActiveTargetMdEx(D268,W268,V268,ProjTargets_MD,ProjTargets_INC,ProjTargets_AZM,ProjTargets_TVD,F268,H268))</f>
        <v/>
      </c>
      <c r="AP268" s="207" t="str">
        <f>IF(OR(E268="",E268&lt;$U$2),"",ProjBitN(E268,F268,G268,AL268,D268,W268,X268))</f>
        <v/>
      </c>
      <c r="AQ268" s="207" t="str">
        <f>IF(OR(E268="",E268&lt;$U$2),"",ProjBitE(E268,F268,G268,AM268,D268,W268,X268))</f>
        <v/>
      </c>
      <c r="AR268" s="207" t="str">
        <f>IF(OR(E268="",E268&lt;$U$2,AO268=""),"",ProjBurr(D268,W268,X268,Q268,C268,ProjTargets_MD,ProjTargets_INC,ProjTargets_AZM,ProjTargets_TVD,V268))</f>
        <v/>
      </c>
      <c r="AS268" s="207" t="str">
        <f>IF(OR(E268="",E268&lt;$U$2,AO268=""),"",ProjMetersToSlide(D268,W268,X268,Q268,C268,ProjTargets_MD,ProjTargets_INC,ProjTargets_AZM,ProjTargets_TVD,V268))</f>
        <v/>
      </c>
      <c r="AT268" s="207" t="str">
        <f>IF(OR(E268="",E268&lt;$U$2,AO268=""),"",ProjRequiredTf(D268,W268,X268,ProjTargets_MD,ProjTargets_INC,ProjTargets_AZM,ProjTargets_TVD,5,V268))</f>
        <v/>
      </c>
    </row>
    <row r="269" spans="2:46" s="209" customFormat="1" ht="15" customHeight="1" x14ac:dyDescent="0.3">
      <c r="B269" s="208" t="str">
        <f t="shared" si="77"/>
        <v/>
      </c>
      <c r="C269" s="335" t="str">
        <f t="shared" ref="C269:C305" si="84">IF(ISBLANK(D269),"",D269-D268)</f>
        <v/>
      </c>
      <c r="D269" s="27"/>
      <c r="E269" s="336" t="str">
        <f t="shared" ref="E269:E305" si="85">IF(D269="","",(ROUND(SUM(D269-B269),2)))</f>
        <v/>
      </c>
      <c r="F269" s="9"/>
      <c r="G269" s="9"/>
      <c r="H269" s="337" t="str">
        <f>IF(ISNUMBER(F269),COS(((F269+F268)/2)*(PI()/180))*(E269-E268)+H268,"")</f>
        <v/>
      </c>
      <c r="I269" s="337" t="str">
        <f t="shared" si="71"/>
        <v xml:space="preserve">  </v>
      </c>
      <c r="J269" s="338" t="str">
        <f>IF(AND(ISNUMBER(E269),ISNUMBER(F269),ISNUMBER(G269)),ACOS(SIN(F268*PI()/180)*SIN(F269*PI()/180)*COS((G269*PI()/180)-(G268*PI()/180))+COS(F268*PI()/180)*COS(F269*PI()/180))*30/(E269-E268)*180/PI(),"")</f>
        <v/>
      </c>
      <c r="K269" s="339" t="str">
        <f>IF(F269=0," ",SUM(F269-F268)/SUM(E269-E268)*30)</f>
        <v xml:space="preserve"> </v>
      </c>
      <c r="L269" s="339" t="str">
        <f t="shared" ref="L269:L305" si="86">IF(J269="","",IF(G268&lt;180,IF(AND(G269&gt;G268,G269&lt;SUM(G268+180)),SUM(((G269-G268)/SUM(E269-E268)*30)),IF(G269&lt;G268,SUM(((G269-G268)/SUM(E269-E268)*30)),SUM(((G268+(360-G269))*(-1))/SUM(E269-E268)*30))),IF(G269&gt;G268,SUM(((G269-G268)/SUM(E269-E268)*30)),IF(G269&gt;SUM(G268-180),SUM(((G269-G268)/SUM(E269-E268)*30)),SUM(((360-G268+G269)/SUM(E269-E268)*30))))))</f>
        <v/>
      </c>
      <c r="M269" s="339" t="str">
        <f t="shared" si="79"/>
        <v/>
      </c>
      <c r="N269" s="340" t="str">
        <f>IF(J269=0,"",IF(AND(ISNUMBER(F269),ISNUMBER(J269)),(IF(AND(F269&gt;F268,G269=G268),0,IF(AND(F269&lt;F268,G269=G268),180,IF(AND(G268=0,G269&gt;0),G269,ACOS((C269*K269/30)/(C269*J269/30))*180/PI())))),""))</f>
        <v/>
      </c>
      <c r="O269" s="341" t="str">
        <f>IF(F269="","",IF(N269="","",IF(F269&lt;5,"Mag",IF(L269&lt;0,"L",IF(N269=0,"HS",IF(N269=360,"HS",IF(N269=180,"LS","R")))))))</f>
        <v/>
      </c>
      <c r="P269" s="342" t="str">
        <f>IF(F269="","",IF(M269="","",SUM((F269-F268)/M269)))</f>
        <v/>
      </c>
      <c r="Q269" s="343" t="str">
        <f>IF(ISBLANK(F269),"",IF(J269="", "", IF(M269="","",SUM(C269*J269/M269))))</f>
        <v/>
      </c>
      <c r="R269" s="10" t="str">
        <f t="shared" si="75"/>
        <v/>
      </c>
      <c r="S269" s="337" t="str">
        <f t="shared" si="76"/>
        <v/>
      </c>
      <c r="T269" s="9"/>
      <c r="U269" s="8"/>
      <c r="V269" s="202" t="str">
        <f>IF(OR(E269="",E269&lt;$U$2),"",ProjTvdAtBit(E269,F269,G269,H269,D269,W269,X269))</f>
        <v/>
      </c>
      <c r="W269" s="344" t="str">
        <f>IF(OR(E269="",E269&lt;$U$2),"",ProjIncAtBit(F269,J269,C269,M269,AJ269,IF(AK269="",0,AK269)))</f>
        <v/>
      </c>
      <c r="X269" s="455" t="str">
        <f>IF(OR(E269="",E269&lt;$U$2),"",ProjAzmAtBit(F269,G269,J269,C269,M269,AJ269,IF(AK269="",0,AK269)))</f>
        <v/>
      </c>
      <c r="Y269" s="461"/>
      <c r="Z269" s="206"/>
      <c r="AA269" s="512" t="str">
        <f t="shared" si="73"/>
        <v/>
      </c>
      <c r="AB269" s="520" t="str">
        <f t="shared" si="74"/>
        <v/>
      </c>
      <c r="AC269" s="510"/>
      <c r="AD269" s="515"/>
      <c r="AE269" s="516"/>
      <c r="AJ269" s="452">
        <f>IF(OR(E269="",D269=""),0,ProjSlideMetersBetween(E269,D269,$R$13:$R$305,$S$13:$S$305))</f>
        <v>0</v>
      </c>
      <c r="AK269" s="452" t="str">
        <f>IF(U269="","",ProjParseTF(U269))</f>
        <v/>
      </c>
      <c r="AL269" s="219" t="str">
        <f>IF(E269="","",ProjCumN(AL268,E268,F268,G268,E269,F269,G269,FALSE))</f>
        <v/>
      </c>
      <c r="AM269" s="331" t="str">
        <f>IF(E269="","",ProjCumE(AM268,E268,F268,G268,E269,F269,G269,FALSE))</f>
        <v/>
      </c>
      <c r="AN269" s="330" t="str">
        <f t="shared" si="72"/>
        <v/>
      </c>
      <c r="AO269" s="330" t="str">
        <f>IF(OR(E269="",E269&lt;$U$2),"",ProjActiveTargetMdEx(D269,W269,V269,ProjTargets_MD,ProjTargets_INC,ProjTargets_AZM,ProjTargets_TVD,F269,H269))</f>
        <v/>
      </c>
      <c r="AP269" s="207" t="str">
        <f>IF(OR(E269="",E269&lt;$U$2),"",ProjBitN(E269,F269,G269,AL269,D269,W269,X269))</f>
        <v/>
      </c>
      <c r="AQ269" s="207" t="str">
        <f>IF(OR(E269="",E269&lt;$U$2),"",ProjBitE(E269,F269,G269,AM269,D269,W269,X269))</f>
        <v/>
      </c>
      <c r="AR269" s="207" t="str">
        <f>IF(OR(E269="",E269&lt;$U$2,AO269=""),"",ProjBurr(D269,W269,X269,Q269,C269,ProjTargets_MD,ProjTargets_INC,ProjTargets_AZM,ProjTargets_TVD,V269))</f>
        <v/>
      </c>
      <c r="AS269" s="207" t="str">
        <f>IF(OR(E269="",E269&lt;$U$2,AO269=""),"",ProjMetersToSlide(D269,W269,X269,Q269,C269,ProjTargets_MD,ProjTargets_INC,ProjTargets_AZM,ProjTargets_TVD,V269))</f>
        <v/>
      </c>
      <c r="AT269" s="207" t="str">
        <f>IF(OR(E269="",E269&lt;$U$2,AO269=""),"",ProjRequiredTf(D269,W269,X269,ProjTargets_MD,ProjTargets_INC,ProjTargets_AZM,ProjTargets_TVD,5,V269))</f>
        <v/>
      </c>
    </row>
    <row r="270" spans="2:46" s="209" customFormat="1" ht="15" customHeight="1" x14ac:dyDescent="0.3">
      <c r="B270" s="208" t="str">
        <f t="shared" si="77"/>
        <v/>
      </c>
      <c r="C270" s="335" t="str">
        <f t="shared" si="84"/>
        <v/>
      </c>
      <c r="D270" s="27"/>
      <c r="E270" s="336" t="str">
        <f t="shared" si="85"/>
        <v/>
      </c>
      <c r="F270" s="9"/>
      <c r="G270" s="9"/>
      <c r="H270" s="337" t="str">
        <f>IF(ISNUMBER(F270),COS(((F270+F269)/2)*(PI()/180))*(E270-E269)+H269,"")</f>
        <v/>
      </c>
      <c r="I270" s="337" t="str">
        <f t="shared" ref="I270:I305" si="87">IF(ISBLANK(F270),"  ",H270-$R$4)</f>
        <v xml:space="preserve">  </v>
      </c>
      <c r="J270" s="338" t="str">
        <f>IF(AND(ISNUMBER(E270),ISNUMBER(F270),ISNUMBER(G270)),ACOS(SIN(F269*PI()/180)*SIN(F270*PI()/180)*COS((G270*PI()/180)-(G269*PI()/180))+COS(F269*PI()/180)*COS(F270*PI()/180))*30/(E270-E269)*180/PI(),"")</f>
        <v/>
      </c>
      <c r="K270" s="339" t="str">
        <f>IF(F270=0," ",SUM(F270-F269)/SUM(E270-E269)*30)</f>
        <v xml:space="preserve"> </v>
      </c>
      <c r="L270" s="339" t="str">
        <f t="shared" si="86"/>
        <v/>
      </c>
      <c r="M270" s="339" t="str">
        <f t="shared" si="79"/>
        <v/>
      </c>
      <c r="N270" s="340" t="str">
        <f>IF(J270=0,"",IF(AND(ISNUMBER(F270),ISNUMBER(J270)),(IF(AND(F270&gt;F269,G270=G269),0,IF(AND(F270&lt;F269,G270=G269),180,IF(AND(G269=0,G270&gt;0),G270,ACOS((C270*K270/30)/(C270*J270/30))*180/PI())))),""))</f>
        <v/>
      </c>
      <c r="O270" s="341" t="str">
        <f>IF(F270="","",IF(N270="","",IF(F270&lt;5,"Mag",IF(L270&lt;0,"L",IF(N270=0,"HS",IF(N270=360,"HS",IF(N270=180,"LS","R")))))))</f>
        <v/>
      </c>
      <c r="P270" s="342" t="str">
        <f>IF(F270="","",IF(M270="","",SUM((F270-F269)/M270)))</f>
        <v/>
      </c>
      <c r="Q270" s="343" t="str">
        <f>IF(ISBLANK(F270),"",IF(J270="", "", IF(M270="","",SUM(C270*J270/M270))))</f>
        <v/>
      </c>
      <c r="R270" s="10" t="str">
        <f t="shared" si="75"/>
        <v/>
      </c>
      <c r="S270" s="337" t="str">
        <f t="shared" si="76"/>
        <v/>
      </c>
      <c r="T270" s="9"/>
      <c r="U270" s="8"/>
      <c r="V270" s="202" t="str">
        <f>IF(OR(E270="",E270&lt;$U$2),"",ProjTvdAtBit(E270,F270,G270,H270,D270,W270,X270))</f>
        <v/>
      </c>
      <c r="W270" s="344" t="str">
        <f>IF(OR(E270="",E270&lt;$U$2),"",ProjIncAtBit(F270,J270,C270,M270,AJ270,IF(AK270="",0,AK270)))</f>
        <v/>
      </c>
      <c r="X270" s="455" t="str">
        <f>IF(OR(E270="",E270&lt;$U$2),"",ProjAzmAtBit(F270,G270,J270,C270,M270,AJ270,IF(AK270="",0,AK270)))</f>
        <v/>
      </c>
      <c r="Y270" s="461"/>
      <c r="Z270" s="206"/>
      <c r="AA270" s="512" t="str">
        <f t="shared" si="73"/>
        <v/>
      </c>
      <c r="AB270" s="520" t="str">
        <f t="shared" si="74"/>
        <v/>
      </c>
      <c r="AC270" s="510"/>
      <c r="AD270" s="515"/>
      <c r="AE270" s="516"/>
      <c r="AJ270" s="452">
        <f>IF(OR(E270="",D270=""),0,ProjSlideMetersBetween(E270,D270,$R$13:$R$305,$S$13:$S$305))</f>
        <v>0</v>
      </c>
      <c r="AK270" s="452" t="str">
        <f>IF(U270="","",ProjParseTF(U270))</f>
        <v/>
      </c>
      <c r="AL270" s="219" t="str">
        <f>IF(E270="","",ProjCumN(AL269,E269,F269,G269,E270,F270,G270,FALSE))</f>
        <v/>
      </c>
      <c r="AM270" s="331" t="str">
        <f>IF(E270="","",ProjCumE(AM269,E269,F269,G269,E270,F270,G270,FALSE))</f>
        <v/>
      </c>
      <c r="AN270" s="330" t="str">
        <f t="shared" ref="AN270:AN305" si="88">IF(X270="","",X270)</f>
        <v/>
      </c>
      <c r="AO270" s="330" t="str">
        <f>IF(OR(E270="",E270&lt;$U$2),"",ProjActiveTargetMdEx(D270,W270,V270,ProjTargets_MD,ProjTargets_INC,ProjTargets_AZM,ProjTargets_TVD,F270,H270))</f>
        <v/>
      </c>
      <c r="AP270" s="207" t="str">
        <f>IF(OR(E270="",E270&lt;$U$2),"",ProjBitN(E270,F270,G270,AL270,D270,W270,X270))</f>
        <v/>
      </c>
      <c r="AQ270" s="207" t="str">
        <f>IF(OR(E270="",E270&lt;$U$2),"",ProjBitE(E270,F270,G270,AM270,D270,W270,X270))</f>
        <v/>
      </c>
      <c r="AR270" s="207" t="str">
        <f>IF(OR(E270="",E270&lt;$U$2,AO270=""),"",ProjBurr(D270,W270,X270,Q270,C270,ProjTargets_MD,ProjTargets_INC,ProjTargets_AZM,ProjTargets_TVD,V270))</f>
        <v/>
      </c>
      <c r="AS270" s="207" t="str">
        <f>IF(OR(E270="",E270&lt;$U$2,AO270=""),"",ProjMetersToSlide(D270,W270,X270,Q270,C270,ProjTargets_MD,ProjTargets_INC,ProjTargets_AZM,ProjTargets_TVD,V270))</f>
        <v/>
      </c>
      <c r="AT270" s="207" t="str">
        <f>IF(OR(E270="",E270&lt;$U$2,AO270=""),"",ProjRequiredTf(D270,W270,X270,ProjTargets_MD,ProjTargets_INC,ProjTargets_AZM,ProjTargets_TVD,5,V270))</f>
        <v/>
      </c>
    </row>
    <row r="271" spans="2:46" s="209" customFormat="1" ht="15" customHeight="1" x14ac:dyDescent="0.3">
      <c r="B271" s="208" t="str">
        <f t="shared" si="77"/>
        <v/>
      </c>
      <c r="C271" s="335" t="str">
        <f t="shared" si="84"/>
        <v/>
      </c>
      <c r="D271" s="27"/>
      <c r="E271" s="336" t="str">
        <f t="shared" si="85"/>
        <v/>
      </c>
      <c r="F271" s="9"/>
      <c r="G271" s="9"/>
      <c r="H271" s="337" t="str">
        <f>IF(ISNUMBER(F271),COS(((F271+F270)/2)*(PI()/180))*(E271-E270)+H270,"")</f>
        <v/>
      </c>
      <c r="I271" s="337" t="str">
        <f t="shared" si="87"/>
        <v xml:space="preserve">  </v>
      </c>
      <c r="J271" s="338" t="str">
        <f>IF(AND(ISNUMBER(E271),ISNUMBER(F271),ISNUMBER(G271)),ACOS(SIN(F270*PI()/180)*SIN(F271*PI()/180)*COS((G271*PI()/180)-(G270*PI()/180))+COS(F270*PI()/180)*COS(F271*PI()/180))*30/(E271-E270)*180/PI(),"")</f>
        <v/>
      </c>
      <c r="K271" s="339" t="str">
        <f>IF(F271=0," ",SUM(F271-F270)/SUM(E271-E270)*30)</f>
        <v xml:space="preserve"> </v>
      </c>
      <c r="L271" s="339" t="str">
        <f t="shared" si="86"/>
        <v/>
      </c>
      <c r="M271" s="339" t="str">
        <f t="shared" si="79"/>
        <v/>
      </c>
      <c r="N271" s="340" t="str">
        <f>IF(J271=0,"",IF(AND(ISNUMBER(F271),ISNUMBER(J271)),(IF(AND(F271&gt;F270,G271=G270),0,IF(AND(F271&lt;F270,G271=G270),180,IF(AND(G270=0,G271&gt;0),G271,ACOS((C271*K271/30)/(C271*J271/30))*180/PI())))),""))</f>
        <v/>
      </c>
      <c r="O271" s="341" t="str">
        <f t="shared" si="81"/>
        <v/>
      </c>
      <c r="P271" s="342" t="str">
        <f>IF(F271="","",IF(M271="","",SUM((F271-F270)/M271)))</f>
        <v/>
      </c>
      <c r="Q271" s="343" t="str">
        <f t="shared" si="83"/>
        <v/>
      </c>
      <c r="R271" s="10" t="str">
        <f t="shared" si="75"/>
        <v/>
      </c>
      <c r="S271" s="337" t="str">
        <f t="shared" si="76"/>
        <v/>
      </c>
      <c r="T271" s="9"/>
      <c r="U271" s="8"/>
      <c r="V271" s="202" t="str">
        <f>IF(OR(E271="",E271&lt;$U$2),"",ProjTvdAtBit(E271,F271,G271,H271,D271,W271,X271))</f>
        <v/>
      </c>
      <c r="W271" s="344" t="str">
        <f>IF(OR(E271="",E271&lt;$U$2),"",ProjIncAtBit(F271,J271,C271,M271,AJ271,IF(AK271="",0,AK271)))</f>
        <v/>
      </c>
      <c r="X271" s="455" t="str">
        <f>IF(OR(E271="",E271&lt;$U$2),"",ProjAzmAtBit(F271,G271,J271,C271,M271,AJ271,IF(AK271="",0,AK271)))</f>
        <v/>
      </c>
      <c r="Y271" s="461"/>
      <c r="Z271" s="206"/>
      <c r="AA271" s="512" t="str">
        <f t="shared" si="73"/>
        <v/>
      </c>
      <c r="AB271" s="520" t="str">
        <f t="shared" si="74"/>
        <v/>
      </c>
      <c r="AC271" s="510"/>
      <c r="AD271" s="515"/>
      <c r="AE271" s="516"/>
      <c r="AJ271" s="452">
        <f>IF(OR(E271="",D271=""),0,ProjSlideMetersBetween(E271,D271,$R$13:$R$305,$S$13:$S$305))</f>
        <v>0</v>
      </c>
      <c r="AK271" s="452" t="str">
        <f>IF(U271="","",ProjParseTF(U271))</f>
        <v/>
      </c>
      <c r="AL271" s="219" t="str">
        <f>IF(E271="","",ProjCumN(AL270,E270,F270,G270,E271,F271,G271,FALSE))</f>
        <v/>
      </c>
      <c r="AM271" s="331" t="str">
        <f>IF(E271="","",ProjCumE(AM270,E270,F270,G270,E271,F271,G271,FALSE))</f>
        <v/>
      </c>
      <c r="AN271" s="330" t="str">
        <f t="shared" si="88"/>
        <v/>
      </c>
      <c r="AO271" s="330" t="str">
        <f>IF(OR(E271="",E271&lt;$U$2),"",ProjActiveTargetMdEx(D271,W271,V271,ProjTargets_MD,ProjTargets_INC,ProjTargets_AZM,ProjTargets_TVD,F271,H271))</f>
        <v/>
      </c>
      <c r="AP271" s="207" t="str">
        <f>IF(OR(E271="",E271&lt;$U$2),"",ProjBitN(E271,F271,G271,AL271,D271,W271,X271))</f>
        <v/>
      </c>
      <c r="AQ271" s="207" t="str">
        <f>IF(OR(E271="",E271&lt;$U$2),"",ProjBitE(E271,F271,G271,AM271,D271,W271,X271))</f>
        <v/>
      </c>
      <c r="AR271" s="207" t="str">
        <f>IF(OR(E271="",E271&lt;$U$2,AO271=""),"",ProjBurr(D271,W271,X271,Q271,C271,ProjTargets_MD,ProjTargets_INC,ProjTargets_AZM,ProjTargets_TVD,V271))</f>
        <v/>
      </c>
      <c r="AS271" s="207" t="str">
        <f>IF(OR(E271="",E271&lt;$U$2,AO271=""),"",ProjMetersToSlide(D271,W271,X271,Q271,C271,ProjTargets_MD,ProjTargets_INC,ProjTargets_AZM,ProjTargets_TVD,V271))</f>
        <v/>
      </c>
      <c r="AT271" s="207" t="str">
        <f>IF(OR(E271="",E271&lt;$U$2,AO271=""),"",ProjRequiredTf(D271,W271,X271,ProjTargets_MD,ProjTargets_INC,ProjTargets_AZM,ProjTargets_TVD,5,V271))</f>
        <v/>
      </c>
    </row>
    <row r="272" spans="2:46" s="209" customFormat="1" ht="15" customHeight="1" x14ac:dyDescent="0.3">
      <c r="B272" s="208" t="str">
        <f t="shared" si="77"/>
        <v/>
      </c>
      <c r="C272" s="335" t="str">
        <f t="shared" si="84"/>
        <v/>
      </c>
      <c r="D272" s="27"/>
      <c r="E272" s="336" t="str">
        <f t="shared" si="85"/>
        <v/>
      </c>
      <c r="F272" s="9"/>
      <c r="G272" s="9"/>
      <c r="H272" s="337" t="str">
        <f t="shared" si="78"/>
        <v/>
      </c>
      <c r="I272" s="337" t="str">
        <f t="shared" si="87"/>
        <v xml:space="preserve">  </v>
      </c>
      <c r="J272" s="338" t="str">
        <f t="shared" ref="J272:J305" si="89">IF(AND(ISNUMBER(E272),ISNUMBER(F272),ISNUMBER(G272)),ACOS(SIN(F271*PI()/180)*SIN(F272*PI()/180)*COS((G272*PI()/180)-(G271*PI()/180))+COS(F271*PI()/180)*COS(F272*PI()/180))*30/(E272-E271)*180/PI(),"")</f>
        <v/>
      </c>
      <c r="K272" s="339" t="str">
        <f t="shared" ref="K272:K304" si="90">IF(F272=0," ",SUM(F272-F271)/SUM(E272-E271)*30)</f>
        <v xml:space="preserve"> </v>
      </c>
      <c r="L272" s="339" t="str">
        <f t="shared" si="86"/>
        <v/>
      </c>
      <c r="M272" s="339" t="str">
        <f t="shared" si="79"/>
        <v/>
      </c>
      <c r="N272" s="340" t="str">
        <f t="shared" si="80"/>
        <v/>
      </c>
      <c r="O272" s="341" t="str">
        <f t="shared" si="81"/>
        <v/>
      </c>
      <c r="P272" s="342" t="str">
        <f t="shared" si="82"/>
        <v/>
      </c>
      <c r="Q272" s="343" t="str">
        <f t="shared" si="83"/>
        <v/>
      </c>
      <c r="R272" s="10" t="str">
        <f t="shared" si="75"/>
        <v/>
      </c>
      <c r="S272" s="337" t="str">
        <f t="shared" si="76"/>
        <v/>
      </c>
      <c r="T272" s="9"/>
      <c r="U272" s="8"/>
      <c r="V272" s="202" t="str">
        <f>IF(OR(E272="",E272&lt;$U$2),"",ProjTvdAtBit(E272,F272,G272,H272,D272,W272,X272))</f>
        <v/>
      </c>
      <c r="W272" s="344" t="str">
        <f>IF(OR(E272="",E272&lt;$U$2),"",ProjIncAtBit(F272,J272,C272,M272,AJ272,IF(AK272="",0,AK272)))</f>
        <v/>
      </c>
      <c r="X272" s="455" t="str">
        <f>IF(OR(E272="",E272&lt;$U$2),"",ProjAzmAtBit(F272,G272,J272,C272,M272,AJ272,IF(AK272="",0,AK272)))</f>
        <v/>
      </c>
      <c r="Y272" s="461"/>
      <c r="Z272" s="206"/>
      <c r="AA272" s="512" t="str">
        <f t="shared" ref="AA272:AA305" si="91">IFERROR(IF(D272="","",IF(COUNT($AC$14:$AC$33)=0,"",IF(D272&lt;_xlfn.AGGREGATE(5,6,$AC$14:$AC$33),"",INDEX($AE$15:$AE$33,MATCH(D272,$AC$14:$AC$33,1))))),"")</f>
        <v/>
      </c>
      <c r="AB272" s="520" t="str">
        <f t="shared" ref="AB272:AB305" si="92">IF(OR(D272="",H272=""),"",IF(COUNT($AC$14:$AC$33)&lt;2,"",IF(OR(D272&lt;_xlfn.AGGREGATE(5,6,$AC$14:$AC$33),D272&gt;_xlfn.AGGREGATE(4,6,$AC$14:$AC$33)),"",IFERROR((INDEX($AD$14:$AD$33,MATCH(D272,$AC$14:$AC$33,1))+(D272-INDEX($AC$14:$AC$33,MATCH(D272,$AC$14:$AC$33,1)))*(INDEX($AD$14:$AD$33,MATCH(D272,$AC$14:$AC$33,1)+1)-INDEX($AD$14:$AD$33,MATCH(D272,$AC$14:$AC$33,1)))/(INDEX($AC$14:$AC$33,MATCH(D272,$AC$14:$AC$33,1)+1)-INDEX($AC$14:$AC$33,MATCH(D272,$AC$14:$AC$33,1))))-H272,""))))</f>
        <v/>
      </c>
      <c r="AC272" s="510"/>
      <c r="AD272" s="515"/>
      <c r="AE272" s="516"/>
      <c r="AJ272" s="452">
        <f>IF(OR(E272="",D272=""),0,ProjSlideMetersBetween(E272,D272,$R$13:$R$305,$S$13:$S$305))</f>
        <v>0</v>
      </c>
      <c r="AK272" s="452" t="str">
        <f>IF(U272="","",ProjParseTF(U272))</f>
        <v/>
      </c>
      <c r="AL272" s="219" t="str">
        <f>IF(E272="","",ProjCumN(AL271,E271,F271,G271,E272,F272,G272,FALSE))</f>
        <v/>
      </c>
      <c r="AM272" s="331" t="str">
        <f>IF(E272="","",ProjCumE(AM271,E271,F271,G271,E272,F272,G272,FALSE))</f>
        <v/>
      </c>
      <c r="AN272" s="330" t="str">
        <f t="shared" si="88"/>
        <v/>
      </c>
      <c r="AO272" s="330" t="str">
        <f>IF(OR(E272="",E272&lt;$U$2),"",ProjActiveTargetMdEx(D272,W272,V272,ProjTargets_MD,ProjTargets_INC,ProjTargets_AZM,ProjTargets_TVD,F272,H272))</f>
        <v/>
      </c>
      <c r="AP272" s="207" t="str">
        <f>IF(OR(E272="",E272&lt;$U$2),"",ProjBitN(E272,F272,G272,AL272,D272,W272,X272))</f>
        <v/>
      </c>
      <c r="AQ272" s="207" t="str">
        <f>IF(OR(E272="",E272&lt;$U$2),"",ProjBitE(E272,F272,G272,AM272,D272,W272,X272))</f>
        <v/>
      </c>
      <c r="AR272" s="207" t="str">
        <f>IF(OR(E272="",E272&lt;$U$2,AO272=""),"",ProjBurr(D272,W272,X272,Q272,C272,ProjTargets_MD,ProjTargets_INC,ProjTargets_AZM,ProjTargets_TVD,V272))</f>
        <v/>
      </c>
      <c r="AS272" s="207" t="str">
        <f>IF(OR(E272="",E272&lt;$U$2,AO272=""),"",ProjMetersToSlide(D272,W272,X272,Q272,C272,ProjTargets_MD,ProjTargets_INC,ProjTargets_AZM,ProjTargets_TVD,V272))</f>
        <v/>
      </c>
      <c r="AT272" s="207" t="str">
        <f>IF(OR(E272="",E272&lt;$U$2,AO272=""),"",ProjRequiredTf(D272,W272,X272,ProjTargets_MD,ProjTargets_INC,ProjTargets_AZM,ProjTargets_TVD,5,V272))</f>
        <v/>
      </c>
    </row>
    <row r="273" spans="2:46" s="209" customFormat="1" ht="15" customHeight="1" x14ac:dyDescent="0.3">
      <c r="B273" s="208" t="str">
        <f t="shared" si="77"/>
        <v/>
      </c>
      <c r="C273" s="335" t="str">
        <f t="shared" si="84"/>
        <v/>
      </c>
      <c r="D273" s="27"/>
      <c r="E273" s="336" t="str">
        <f t="shared" si="85"/>
        <v/>
      </c>
      <c r="F273" s="9"/>
      <c r="G273" s="9"/>
      <c r="H273" s="337" t="str">
        <f t="shared" si="78"/>
        <v/>
      </c>
      <c r="I273" s="337" t="str">
        <f t="shared" si="87"/>
        <v xml:space="preserve">  </v>
      </c>
      <c r="J273" s="338" t="str">
        <f t="shared" si="89"/>
        <v/>
      </c>
      <c r="K273" s="339" t="str">
        <f t="shared" si="90"/>
        <v xml:space="preserve"> </v>
      </c>
      <c r="L273" s="339" t="str">
        <f t="shared" si="86"/>
        <v/>
      </c>
      <c r="M273" s="339" t="str">
        <f t="shared" si="79"/>
        <v/>
      </c>
      <c r="N273" s="340" t="str">
        <f t="shared" si="80"/>
        <v/>
      </c>
      <c r="O273" s="341" t="str">
        <f t="shared" si="81"/>
        <v/>
      </c>
      <c r="P273" s="342" t="str">
        <f t="shared" si="82"/>
        <v/>
      </c>
      <c r="Q273" s="343" t="str">
        <f t="shared" si="83"/>
        <v/>
      </c>
      <c r="R273" s="10" t="str">
        <f t="shared" ref="R273:R297" si="93">IF(T273="", "", D273)</f>
        <v/>
      </c>
      <c r="S273" s="337" t="str">
        <f t="shared" si="76"/>
        <v/>
      </c>
      <c r="T273" s="9"/>
      <c r="U273" s="8"/>
      <c r="V273" s="202" t="str">
        <f>IF(OR(E273="",E273&lt;$U$2),"",ProjTvdAtBit(E273,F273,G273,H273,D273,W273,X273))</f>
        <v/>
      </c>
      <c r="W273" s="344" t="str">
        <f>IF(OR(E273="",E273&lt;$U$2),"",ProjIncAtBit(F273,J273,C273,M273,AJ273,IF(AK273="",0,AK273)))</f>
        <v/>
      </c>
      <c r="X273" s="455" t="str">
        <f>IF(OR(E273="",E273&lt;$U$2),"",ProjAzmAtBit(F273,G273,J273,C273,M273,AJ273,IF(AK273="",0,AK273)))</f>
        <v/>
      </c>
      <c r="Y273" s="461"/>
      <c r="Z273" s="206"/>
      <c r="AA273" s="512" t="str">
        <f t="shared" si="91"/>
        <v/>
      </c>
      <c r="AB273" s="520" t="str">
        <f t="shared" si="92"/>
        <v/>
      </c>
      <c r="AC273" s="510"/>
      <c r="AD273" s="515"/>
      <c r="AE273" s="516"/>
      <c r="AJ273" s="452">
        <f>IF(OR(E273="",D273=""),0,ProjSlideMetersBetween(E273,D273,$R$13:$R$305,$S$13:$S$305))</f>
        <v>0</v>
      </c>
      <c r="AK273" s="452" t="str">
        <f>IF(U273="","",ProjParseTF(U273))</f>
        <v/>
      </c>
      <c r="AL273" s="219" t="str">
        <f>IF(E273="","",ProjCumN(AL272,E272,F272,G272,E273,F273,G273,FALSE))</f>
        <v/>
      </c>
      <c r="AM273" s="331" t="str">
        <f>IF(E273="","",ProjCumE(AM272,E272,F272,G272,E273,F273,G273,FALSE))</f>
        <v/>
      </c>
      <c r="AN273" s="330" t="str">
        <f t="shared" si="88"/>
        <v/>
      </c>
      <c r="AO273" s="330" t="str">
        <f>IF(OR(E273="",E273&lt;$U$2),"",ProjActiveTargetMdEx(D273,W273,V273,ProjTargets_MD,ProjTargets_INC,ProjTargets_AZM,ProjTargets_TVD,F273,H273))</f>
        <v/>
      </c>
      <c r="AP273" s="207" t="str">
        <f>IF(OR(E273="",E273&lt;$U$2),"",ProjBitN(E273,F273,G273,AL273,D273,W273,X273))</f>
        <v/>
      </c>
      <c r="AQ273" s="207" t="str">
        <f>IF(OR(E273="",E273&lt;$U$2),"",ProjBitE(E273,F273,G273,AM273,D273,W273,X273))</f>
        <v/>
      </c>
      <c r="AR273" s="207" t="str">
        <f>IF(OR(E273="",E273&lt;$U$2,AO273=""),"",ProjBurr(D273,W273,X273,Q273,C273,ProjTargets_MD,ProjTargets_INC,ProjTargets_AZM,ProjTargets_TVD,V273))</f>
        <v/>
      </c>
      <c r="AS273" s="207" t="str">
        <f>IF(OR(E273="",E273&lt;$U$2,AO273=""),"",ProjMetersToSlide(D273,W273,X273,Q273,C273,ProjTargets_MD,ProjTargets_INC,ProjTargets_AZM,ProjTargets_TVD,V273))</f>
        <v/>
      </c>
      <c r="AT273" s="207" t="str">
        <f>IF(OR(E273="",E273&lt;$U$2,AO273=""),"",ProjRequiredTf(D273,W273,X273,ProjTargets_MD,ProjTargets_INC,ProjTargets_AZM,ProjTargets_TVD,5,V273))</f>
        <v/>
      </c>
    </row>
    <row r="274" spans="2:46" s="209" customFormat="1" ht="15" customHeight="1" x14ac:dyDescent="0.3">
      <c r="B274" s="208" t="str">
        <f t="shared" si="77"/>
        <v/>
      </c>
      <c r="C274" s="335" t="str">
        <f t="shared" si="84"/>
        <v/>
      </c>
      <c r="D274" s="27"/>
      <c r="E274" s="336" t="str">
        <f t="shared" si="85"/>
        <v/>
      </c>
      <c r="F274" s="9"/>
      <c r="G274" s="9"/>
      <c r="H274" s="337" t="str">
        <f t="shared" si="78"/>
        <v/>
      </c>
      <c r="I274" s="337" t="str">
        <f t="shared" si="87"/>
        <v xml:space="preserve">  </v>
      </c>
      <c r="J274" s="338" t="str">
        <f t="shared" si="89"/>
        <v/>
      </c>
      <c r="K274" s="339" t="str">
        <f t="shared" si="90"/>
        <v xml:space="preserve"> </v>
      </c>
      <c r="L274" s="339" t="str">
        <f t="shared" si="86"/>
        <v/>
      </c>
      <c r="M274" s="339" t="str">
        <f t="shared" si="79"/>
        <v/>
      </c>
      <c r="N274" s="340" t="str">
        <f t="shared" si="80"/>
        <v/>
      </c>
      <c r="O274" s="341" t="str">
        <f t="shared" si="81"/>
        <v/>
      </c>
      <c r="P274" s="342" t="str">
        <f t="shared" si="82"/>
        <v/>
      </c>
      <c r="Q274" s="343" t="str">
        <f t="shared" si="83"/>
        <v/>
      </c>
      <c r="R274" s="10" t="str">
        <f t="shared" si="93"/>
        <v/>
      </c>
      <c r="S274" s="337" t="str">
        <f t="shared" si="76"/>
        <v/>
      </c>
      <c r="T274" s="9"/>
      <c r="U274" s="8"/>
      <c r="V274" s="202" t="str">
        <f>IF(OR(E274="",E274&lt;$U$2),"",ProjTvdAtBit(E274,F274,G274,H274,D274,W274,X274))</f>
        <v/>
      </c>
      <c r="W274" s="344" t="str">
        <f>IF(OR(E274="",E274&lt;$U$2),"",ProjIncAtBit(F274,J274,C274,M274,AJ274,IF(AK274="",0,AK274)))</f>
        <v/>
      </c>
      <c r="X274" s="455" t="str">
        <f>IF(OR(E274="",E274&lt;$U$2),"",ProjAzmAtBit(F274,G274,J274,C274,M274,AJ274,IF(AK274="",0,AK274)))</f>
        <v/>
      </c>
      <c r="Y274" s="461"/>
      <c r="Z274" s="206"/>
      <c r="AA274" s="512" t="str">
        <f t="shared" si="91"/>
        <v/>
      </c>
      <c r="AB274" s="520" t="str">
        <f t="shared" si="92"/>
        <v/>
      </c>
      <c r="AC274" s="510"/>
      <c r="AD274" s="515"/>
      <c r="AE274" s="516"/>
      <c r="AJ274" s="452">
        <f>IF(OR(E274="",D274=""),0,ProjSlideMetersBetween(E274,D274,$R$13:$R$305,$S$13:$S$305))</f>
        <v>0</v>
      </c>
      <c r="AK274" s="452" t="str">
        <f>IF(U274="","",ProjParseTF(U274))</f>
        <v/>
      </c>
      <c r="AL274" s="219" t="str">
        <f>IF(E274="","",ProjCumN(AL273,E273,F273,G273,E274,F274,G274,FALSE))</f>
        <v/>
      </c>
      <c r="AM274" s="331" t="str">
        <f>IF(E274="","",ProjCumE(AM273,E273,F273,G273,E274,F274,G274,FALSE))</f>
        <v/>
      </c>
      <c r="AN274" s="330" t="str">
        <f t="shared" si="88"/>
        <v/>
      </c>
      <c r="AO274" s="330" t="str">
        <f>IF(OR(E274="",E274&lt;$U$2),"",ProjActiveTargetMdEx(D274,W274,V274,ProjTargets_MD,ProjTargets_INC,ProjTargets_AZM,ProjTargets_TVD,F274,H274))</f>
        <v/>
      </c>
      <c r="AP274" s="207" t="str">
        <f>IF(OR(E274="",E274&lt;$U$2),"",ProjBitN(E274,F274,G274,AL274,D274,W274,X274))</f>
        <v/>
      </c>
      <c r="AQ274" s="207" t="str">
        <f>IF(OR(E274="",E274&lt;$U$2),"",ProjBitE(E274,F274,G274,AM274,D274,W274,X274))</f>
        <v/>
      </c>
      <c r="AR274" s="207" t="str">
        <f>IF(OR(E274="",E274&lt;$U$2,AO274=""),"",ProjBurr(D274,W274,X274,Q274,C274,ProjTargets_MD,ProjTargets_INC,ProjTargets_AZM,ProjTargets_TVD,V274))</f>
        <v/>
      </c>
      <c r="AS274" s="207" t="str">
        <f>IF(OR(E274="",E274&lt;$U$2,AO274=""),"",ProjMetersToSlide(D274,W274,X274,Q274,C274,ProjTargets_MD,ProjTargets_INC,ProjTargets_AZM,ProjTargets_TVD,V274))</f>
        <v/>
      </c>
      <c r="AT274" s="207" t="str">
        <f>IF(OR(E274="",E274&lt;$U$2,AO274=""),"",ProjRequiredTf(D274,W274,X274,ProjTargets_MD,ProjTargets_INC,ProjTargets_AZM,ProjTargets_TVD,5,V274))</f>
        <v/>
      </c>
    </row>
    <row r="275" spans="2:46" s="209" customFormat="1" ht="15" customHeight="1" x14ac:dyDescent="0.3">
      <c r="B275" s="208" t="str">
        <f t="shared" si="77"/>
        <v/>
      </c>
      <c r="C275" s="335" t="str">
        <f t="shared" si="84"/>
        <v/>
      </c>
      <c r="D275" s="27"/>
      <c r="E275" s="336" t="str">
        <f t="shared" si="85"/>
        <v/>
      </c>
      <c r="F275" s="9"/>
      <c r="G275" s="9"/>
      <c r="H275" s="337" t="str">
        <f t="shared" si="78"/>
        <v/>
      </c>
      <c r="I275" s="337" t="str">
        <f t="shared" si="87"/>
        <v xml:space="preserve">  </v>
      </c>
      <c r="J275" s="338" t="str">
        <f t="shared" si="89"/>
        <v/>
      </c>
      <c r="K275" s="339" t="str">
        <f t="shared" si="90"/>
        <v xml:space="preserve"> </v>
      </c>
      <c r="L275" s="339" t="str">
        <f t="shared" si="86"/>
        <v/>
      </c>
      <c r="M275" s="339" t="str">
        <f t="shared" si="79"/>
        <v/>
      </c>
      <c r="N275" s="340" t="str">
        <f t="shared" si="80"/>
        <v/>
      </c>
      <c r="O275" s="341" t="str">
        <f t="shared" si="81"/>
        <v/>
      </c>
      <c r="P275" s="342" t="str">
        <f t="shared" si="82"/>
        <v/>
      </c>
      <c r="Q275" s="343" t="str">
        <f t="shared" si="83"/>
        <v/>
      </c>
      <c r="R275" s="10" t="str">
        <f t="shared" si="93"/>
        <v/>
      </c>
      <c r="S275" s="337" t="str">
        <f t="shared" si="76"/>
        <v/>
      </c>
      <c r="T275" s="9"/>
      <c r="U275" s="8"/>
      <c r="V275" s="202" t="str">
        <f>IF(OR(E275="",E275&lt;$U$2),"",ProjTvdAtBit(E275,F275,G275,H275,D275,W275,X275))</f>
        <v/>
      </c>
      <c r="W275" s="344" t="str">
        <f>IF(OR(E275="",E275&lt;$U$2),"",ProjIncAtBit(F275,J275,C275,M275,AJ275,IF(AK275="",0,AK275)))</f>
        <v/>
      </c>
      <c r="X275" s="455" t="str">
        <f>IF(OR(E275="",E275&lt;$U$2),"",ProjAzmAtBit(F275,G275,J275,C275,M275,AJ275,IF(AK275="",0,AK275)))</f>
        <v/>
      </c>
      <c r="Y275" s="461"/>
      <c r="Z275" s="206"/>
      <c r="AA275" s="512" t="str">
        <f t="shared" si="91"/>
        <v/>
      </c>
      <c r="AB275" s="520" t="str">
        <f t="shared" si="92"/>
        <v/>
      </c>
      <c r="AC275" s="510"/>
      <c r="AD275" s="515"/>
      <c r="AE275" s="516"/>
      <c r="AJ275" s="452">
        <f>IF(OR(E275="",D275=""),0,ProjSlideMetersBetween(E275,D275,$R$13:$R$305,$S$13:$S$305))</f>
        <v>0</v>
      </c>
      <c r="AK275" s="452" t="str">
        <f>IF(U275="","",ProjParseTF(U275))</f>
        <v/>
      </c>
      <c r="AL275" s="219" t="str">
        <f>IF(E275="","",ProjCumN(AL274,E274,F274,G274,E275,F275,G275,FALSE))</f>
        <v/>
      </c>
      <c r="AM275" s="331" t="str">
        <f>IF(E275="","",ProjCumE(AM274,E274,F274,G274,E275,F275,G275,FALSE))</f>
        <v/>
      </c>
      <c r="AN275" s="330" t="str">
        <f t="shared" si="88"/>
        <v/>
      </c>
      <c r="AO275" s="330" t="str">
        <f>IF(OR(E275="",E275&lt;$U$2),"",ProjActiveTargetMdEx(D275,W275,V275,ProjTargets_MD,ProjTargets_INC,ProjTargets_AZM,ProjTargets_TVD,F275,H275))</f>
        <v/>
      </c>
      <c r="AP275" s="207" t="str">
        <f>IF(OR(E275="",E275&lt;$U$2),"",ProjBitN(E275,F275,G275,AL275,D275,W275,X275))</f>
        <v/>
      </c>
      <c r="AQ275" s="207" t="str">
        <f>IF(OR(E275="",E275&lt;$U$2),"",ProjBitE(E275,F275,G275,AM275,D275,W275,X275))</f>
        <v/>
      </c>
      <c r="AR275" s="207" t="str">
        <f>IF(OR(E275="",E275&lt;$U$2,AO275=""),"",ProjBurr(D275,W275,X275,Q275,C275,ProjTargets_MD,ProjTargets_INC,ProjTargets_AZM,ProjTargets_TVD,V275))</f>
        <v/>
      </c>
      <c r="AS275" s="207" t="str">
        <f>IF(OR(E275="",E275&lt;$U$2,AO275=""),"",ProjMetersToSlide(D275,W275,X275,Q275,C275,ProjTargets_MD,ProjTargets_INC,ProjTargets_AZM,ProjTargets_TVD,V275))</f>
        <v/>
      </c>
      <c r="AT275" s="207" t="str">
        <f>IF(OR(E275="",E275&lt;$U$2,AO275=""),"",ProjRequiredTf(D275,W275,X275,ProjTargets_MD,ProjTargets_INC,ProjTargets_AZM,ProjTargets_TVD,5,V275))</f>
        <v/>
      </c>
    </row>
    <row r="276" spans="2:46" s="209" customFormat="1" ht="15" customHeight="1" x14ac:dyDescent="0.3">
      <c r="B276" s="208" t="str">
        <f t="shared" si="77"/>
        <v/>
      </c>
      <c r="C276" s="335" t="str">
        <f t="shared" si="84"/>
        <v/>
      </c>
      <c r="D276" s="27"/>
      <c r="E276" s="336" t="str">
        <f t="shared" si="85"/>
        <v/>
      </c>
      <c r="F276" s="9"/>
      <c r="G276" s="9"/>
      <c r="H276" s="337" t="str">
        <f t="shared" si="78"/>
        <v/>
      </c>
      <c r="I276" s="337" t="str">
        <f t="shared" si="87"/>
        <v xml:space="preserve">  </v>
      </c>
      <c r="J276" s="338" t="str">
        <f t="shared" si="89"/>
        <v/>
      </c>
      <c r="K276" s="339" t="str">
        <f t="shared" si="90"/>
        <v xml:space="preserve"> </v>
      </c>
      <c r="L276" s="339" t="str">
        <f t="shared" si="86"/>
        <v/>
      </c>
      <c r="M276" s="339" t="str">
        <f t="shared" si="79"/>
        <v/>
      </c>
      <c r="N276" s="340" t="str">
        <f t="shared" si="80"/>
        <v/>
      </c>
      <c r="O276" s="341" t="str">
        <f t="shared" si="81"/>
        <v/>
      </c>
      <c r="P276" s="342" t="str">
        <f t="shared" si="82"/>
        <v/>
      </c>
      <c r="Q276" s="343" t="str">
        <f t="shared" si="83"/>
        <v/>
      </c>
      <c r="R276" s="10" t="str">
        <f t="shared" si="93"/>
        <v/>
      </c>
      <c r="S276" s="337" t="str">
        <f t="shared" si="76"/>
        <v/>
      </c>
      <c r="T276" s="9"/>
      <c r="U276" s="8"/>
      <c r="V276" s="202" t="str">
        <f>IF(OR(E276="",E276&lt;$U$2),"",ProjTvdAtBit(E276,F276,G276,H276,D276,W276,X276))</f>
        <v/>
      </c>
      <c r="W276" s="344" t="str">
        <f>IF(OR(E276="",E276&lt;$U$2),"",ProjIncAtBit(F276,J276,C276,M276,AJ276,IF(AK276="",0,AK276)))</f>
        <v/>
      </c>
      <c r="X276" s="455" t="str">
        <f>IF(OR(E276="",E276&lt;$U$2),"",ProjAzmAtBit(F276,G276,J276,C276,M276,AJ276,IF(AK276="",0,AK276)))</f>
        <v/>
      </c>
      <c r="Y276" s="461"/>
      <c r="Z276" s="206"/>
      <c r="AA276" s="512" t="str">
        <f t="shared" si="91"/>
        <v/>
      </c>
      <c r="AB276" s="520" t="str">
        <f t="shared" si="92"/>
        <v/>
      </c>
      <c r="AC276" s="510"/>
      <c r="AD276" s="515"/>
      <c r="AE276" s="516"/>
      <c r="AJ276" s="452">
        <f>IF(OR(E276="",D276=""),0,ProjSlideMetersBetween(E276,D276,$R$13:$R$305,$S$13:$S$305))</f>
        <v>0</v>
      </c>
      <c r="AK276" s="452" t="str">
        <f>IF(U276="","",ProjParseTF(U276))</f>
        <v/>
      </c>
      <c r="AL276" s="219" t="str">
        <f>IF(E276="","",ProjCumN(AL275,E275,F275,G275,E276,F276,G276,FALSE))</f>
        <v/>
      </c>
      <c r="AM276" s="331" t="str">
        <f>IF(E276="","",ProjCumE(AM275,E275,F275,G275,E276,F276,G276,FALSE))</f>
        <v/>
      </c>
      <c r="AN276" s="330" t="str">
        <f t="shared" si="88"/>
        <v/>
      </c>
      <c r="AO276" s="330" t="str">
        <f>IF(OR(E276="",E276&lt;$U$2),"",ProjActiveTargetMdEx(D276,W276,V276,ProjTargets_MD,ProjTargets_INC,ProjTargets_AZM,ProjTargets_TVD,F276,H276))</f>
        <v/>
      </c>
      <c r="AP276" s="207" t="str">
        <f>IF(OR(E276="",E276&lt;$U$2),"",ProjBitN(E276,F276,G276,AL276,D276,W276,X276))</f>
        <v/>
      </c>
      <c r="AQ276" s="207" t="str">
        <f>IF(OR(E276="",E276&lt;$U$2),"",ProjBitE(E276,F276,G276,AM276,D276,W276,X276))</f>
        <v/>
      </c>
      <c r="AR276" s="207" t="str">
        <f>IF(OR(E276="",E276&lt;$U$2,AO276=""),"",ProjBurr(D276,W276,X276,Q276,C276,ProjTargets_MD,ProjTargets_INC,ProjTargets_AZM,ProjTargets_TVD,V276))</f>
        <v/>
      </c>
      <c r="AS276" s="207" t="str">
        <f>IF(OR(E276="",E276&lt;$U$2,AO276=""),"",ProjMetersToSlide(D276,W276,X276,Q276,C276,ProjTargets_MD,ProjTargets_INC,ProjTargets_AZM,ProjTargets_TVD,V276))</f>
        <v/>
      </c>
      <c r="AT276" s="207" t="str">
        <f>IF(OR(E276="",E276&lt;$U$2,AO276=""),"",ProjRequiredTf(D276,W276,X276,ProjTargets_MD,ProjTargets_INC,ProjTargets_AZM,ProjTargets_TVD,5,V276))</f>
        <v/>
      </c>
    </row>
    <row r="277" spans="2:46" s="209" customFormat="1" ht="15" customHeight="1" x14ac:dyDescent="0.3">
      <c r="B277" s="208" t="str">
        <f t="shared" si="77"/>
        <v/>
      </c>
      <c r="C277" s="335" t="str">
        <f t="shared" si="84"/>
        <v/>
      </c>
      <c r="D277" s="27"/>
      <c r="E277" s="336" t="str">
        <f t="shared" si="85"/>
        <v/>
      </c>
      <c r="F277" s="9"/>
      <c r="G277" s="9"/>
      <c r="H277" s="337" t="str">
        <f t="shared" si="78"/>
        <v/>
      </c>
      <c r="I277" s="337" t="str">
        <f t="shared" si="87"/>
        <v xml:space="preserve">  </v>
      </c>
      <c r="J277" s="338" t="str">
        <f t="shared" si="89"/>
        <v/>
      </c>
      <c r="K277" s="339" t="str">
        <f t="shared" si="90"/>
        <v xml:space="preserve"> </v>
      </c>
      <c r="L277" s="339" t="str">
        <f t="shared" si="86"/>
        <v/>
      </c>
      <c r="M277" s="339" t="str">
        <f t="shared" si="79"/>
        <v/>
      </c>
      <c r="N277" s="340" t="str">
        <f t="shared" si="80"/>
        <v/>
      </c>
      <c r="O277" s="341" t="str">
        <f t="shared" si="81"/>
        <v/>
      </c>
      <c r="P277" s="342" t="str">
        <f t="shared" si="82"/>
        <v/>
      </c>
      <c r="Q277" s="343" t="str">
        <f t="shared" si="83"/>
        <v/>
      </c>
      <c r="R277" s="10" t="str">
        <f t="shared" si="93"/>
        <v/>
      </c>
      <c r="S277" s="337" t="str">
        <f t="shared" si="76"/>
        <v/>
      </c>
      <c r="T277" s="9"/>
      <c r="U277" s="8"/>
      <c r="V277" s="202" t="str">
        <f>IF(OR(E277="",E277&lt;$U$2),"",ProjTvdAtBit(E277,F277,G277,H277,D277,W277,X277))</f>
        <v/>
      </c>
      <c r="W277" s="344" t="str">
        <f>IF(OR(E277="",E277&lt;$U$2),"",ProjIncAtBit(F277,J277,C277,M277,AJ277,IF(AK277="",0,AK277)))</f>
        <v/>
      </c>
      <c r="X277" s="455" t="str">
        <f>IF(OR(E277="",E277&lt;$U$2),"",ProjAzmAtBit(F277,G277,J277,C277,M277,AJ277,IF(AK277="",0,AK277)))</f>
        <v/>
      </c>
      <c r="Y277" s="461"/>
      <c r="Z277" s="206"/>
      <c r="AA277" s="512" t="str">
        <f t="shared" si="91"/>
        <v/>
      </c>
      <c r="AB277" s="520" t="str">
        <f t="shared" si="92"/>
        <v/>
      </c>
      <c r="AC277" s="510"/>
      <c r="AD277" s="515"/>
      <c r="AE277" s="516"/>
      <c r="AJ277" s="452">
        <f>IF(OR(E277="",D277=""),0,ProjSlideMetersBetween(E277,D277,$R$13:$R$305,$S$13:$S$305))</f>
        <v>0</v>
      </c>
      <c r="AK277" s="452" t="str">
        <f>IF(U277="","",ProjParseTF(U277))</f>
        <v/>
      </c>
      <c r="AL277" s="219" t="str">
        <f>IF(E277="","",ProjCumN(AL276,E276,F276,G276,E277,F277,G277,FALSE))</f>
        <v/>
      </c>
      <c r="AM277" s="331" t="str">
        <f>IF(E277="","",ProjCumE(AM276,E276,F276,G276,E277,F277,G277,FALSE))</f>
        <v/>
      </c>
      <c r="AN277" s="330" t="str">
        <f t="shared" si="88"/>
        <v/>
      </c>
      <c r="AO277" s="330" t="str">
        <f>IF(OR(E277="",E277&lt;$U$2),"",ProjActiveTargetMdEx(D277,W277,V277,ProjTargets_MD,ProjTargets_INC,ProjTargets_AZM,ProjTargets_TVD,F277,H277))</f>
        <v/>
      </c>
      <c r="AP277" s="207" t="str">
        <f>IF(OR(E277="",E277&lt;$U$2),"",ProjBitN(E277,F277,G277,AL277,D277,W277,X277))</f>
        <v/>
      </c>
      <c r="AQ277" s="207" t="str">
        <f>IF(OR(E277="",E277&lt;$U$2),"",ProjBitE(E277,F277,G277,AM277,D277,W277,X277))</f>
        <v/>
      </c>
      <c r="AR277" s="207" t="str">
        <f>IF(OR(E277="",E277&lt;$U$2,AO277=""),"",ProjBurr(D277,W277,X277,Q277,C277,ProjTargets_MD,ProjTargets_INC,ProjTargets_AZM,ProjTargets_TVD,V277))</f>
        <v/>
      </c>
      <c r="AS277" s="207" t="str">
        <f>IF(OR(E277="",E277&lt;$U$2,AO277=""),"",ProjMetersToSlide(D277,W277,X277,Q277,C277,ProjTargets_MD,ProjTargets_INC,ProjTargets_AZM,ProjTargets_TVD,V277))</f>
        <v/>
      </c>
      <c r="AT277" s="207" t="str">
        <f>IF(OR(E277="",E277&lt;$U$2,AO277=""),"",ProjRequiredTf(D277,W277,X277,ProjTargets_MD,ProjTargets_INC,ProjTargets_AZM,ProjTargets_TVD,5,V277))</f>
        <v/>
      </c>
    </row>
    <row r="278" spans="2:46" s="209" customFormat="1" ht="15" customHeight="1" x14ac:dyDescent="0.3">
      <c r="B278" s="208" t="str">
        <f t="shared" si="77"/>
        <v/>
      </c>
      <c r="C278" s="335" t="str">
        <f t="shared" si="84"/>
        <v/>
      </c>
      <c r="D278" s="27"/>
      <c r="E278" s="336" t="str">
        <f t="shared" si="85"/>
        <v/>
      </c>
      <c r="F278" s="9"/>
      <c r="G278" s="9"/>
      <c r="H278" s="337" t="str">
        <f t="shared" si="78"/>
        <v/>
      </c>
      <c r="I278" s="337" t="str">
        <f t="shared" si="87"/>
        <v xml:space="preserve">  </v>
      </c>
      <c r="J278" s="338" t="str">
        <f t="shared" si="89"/>
        <v/>
      </c>
      <c r="K278" s="339" t="str">
        <f t="shared" si="90"/>
        <v xml:space="preserve"> </v>
      </c>
      <c r="L278" s="339" t="str">
        <f t="shared" si="86"/>
        <v/>
      </c>
      <c r="M278" s="339" t="str">
        <f t="shared" si="79"/>
        <v/>
      </c>
      <c r="N278" s="340" t="str">
        <f t="shared" si="80"/>
        <v/>
      </c>
      <c r="O278" s="341" t="str">
        <f t="shared" si="81"/>
        <v/>
      </c>
      <c r="P278" s="342" t="str">
        <f t="shared" si="82"/>
        <v/>
      </c>
      <c r="Q278" s="343" t="str">
        <f t="shared" si="83"/>
        <v/>
      </c>
      <c r="R278" s="10" t="str">
        <f t="shared" si="93"/>
        <v/>
      </c>
      <c r="S278" s="337" t="str">
        <f t="shared" si="76"/>
        <v/>
      </c>
      <c r="T278" s="9"/>
      <c r="U278" s="8"/>
      <c r="V278" s="202" t="str">
        <f>IF(OR(E278="",E278&lt;$U$2),"",ProjTvdAtBit(E278,F278,G278,H278,D278,W278,X278))</f>
        <v/>
      </c>
      <c r="W278" s="344" t="str">
        <f>IF(OR(E278="",E278&lt;$U$2),"",ProjIncAtBit(F278,J278,C278,M278,AJ278,IF(AK278="",0,AK278)))</f>
        <v/>
      </c>
      <c r="X278" s="455" t="str">
        <f>IF(OR(E278="",E278&lt;$U$2),"",ProjAzmAtBit(F278,G278,J278,C278,M278,AJ278,IF(AK278="",0,AK278)))</f>
        <v/>
      </c>
      <c r="Y278" s="461"/>
      <c r="Z278" s="206"/>
      <c r="AA278" s="512" t="str">
        <f t="shared" si="91"/>
        <v/>
      </c>
      <c r="AB278" s="520" t="str">
        <f t="shared" si="92"/>
        <v/>
      </c>
      <c r="AC278" s="510"/>
      <c r="AD278" s="515"/>
      <c r="AE278" s="516"/>
      <c r="AJ278" s="452">
        <f>IF(OR(E278="",D278=""),0,ProjSlideMetersBetween(E278,D278,$R$13:$R$305,$S$13:$S$305))</f>
        <v>0</v>
      </c>
      <c r="AK278" s="452" t="str">
        <f>IF(U278="","",ProjParseTF(U278))</f>
        <v/>
      </c>
      <c r="AL278" s="219" t="str">
        <f>IF(E278="","",ProjCumN(AL277,E277,F277,G277,E278,F278,G278,FALSE))</f>
        <v/>
      </c>
      <c r="AM278" s="331" t="str">
        <f>IF(E278="","",ProjCumE(AM277,E277,F277,G277,E278,F278,G278,FALSE))</f>
        <v/>
      </c>
      <c r="AN278" s="330" t="str">
        <f t="shared" si="88"/>
        <v/>
      </c>
      <c r="AO278" s="330" t="str">
        <f>IF(OR(E278="",E278&lt;$U$2),"",ProjActiveTargetMdEx(D278,W278,V278,ProjTargets_MD,ProjTargets_INC,ProjTargets_AZM,ProjTargets_TVD,F278,H278))</f>
        <v/>
      </c>
      <c r="AP278" s="207" t="str">
        <f>IF(OR(E278="",E278&lt;$U$2),"",ProjBitN(E278,F278,G278,AL278,D278,W278,X278))</f>
        <v/>
      </c>
      <c r="AQ278" s="207" t="str">
        <f>IF(OR(E278="",E278&lt;$U$2),"",ProjBitE(E278,F278,G278,AM278,D278,W278,X278))</f>
        <v/>
      </c>
      <c r="AR278" s="207" t="str">
        <f>IF(OR(E278="",E278&lt;$U$2,AO278=""),"",ProjBurr(D278,W278,X278,Q278,C278,ProjTargets_MD,ProjTargets_INC,ProjTargets_AZM,ProjTargets_TVD,V278))</f>
        <v/>
      </c>
      <c r="AS278" s="207" t="str">
        <f>IF(OR(E278="",E278&lt;$U$2,AO278=""),"",ProjMetersToSlide(D278,W278,X278,Q278,C278,ProjTargets_MD,ProjTargets_INC,ProjTargets_AZM,ProjTargets_TVD,V278))</f>
        <v/>
      </c>
      <c r="AT278" s="207" t="str">
        <f>IF(OR(E278="",E278&lt;$U$2,AO278=""),"",ProjRequiredTf(D278,W278,X278,ProjTargets_MD,ProjTargets_INC,ProjTargets_AZM,ProjTargets_TVD,5,V278))</f>
        <v/>
      </c>
    </row>
    <row r="279" spans="2:46" s="209" customFormat="1" ht="15" customHeight="1" x14ac:dyDescent="0.3">
      <c r="B279" s="208" t="str">
        <f t="shared" si="77"/>
        <v/>
      </c>
      <c r="C279" s="335" t="str">
        <f t="shared" si="84"/>
        <v/>
      </c>
      <c r="D279" s="27"/>
      <c r="E279" s="336" t="str">
        <f t="shared" si="85"/>
        <v/>
      </c>
      <c r="F279" s="9"/>
      <c r="G279" s="9"/>
      <c r="H279" s="337" t="str">
        <f t="shared" si="78"/>
        <v/>
      </c>
      <c r="I279" s="337" t="str">
        <f t="shared" si="87"/>
        <v xml:space="preserve">  </v>
      </c>
      <c r="J279" s="338" t="str">
        <f t="shared" si="89"/>
        <v/>
      </c>
      <c r="K279" s="339" t="str">
        <f t="shared" si="90"/>
        <v xml:space="preserve"> </v>
      </c>
      <c r="L279" s="339" t="str">
        <f t="shared" si="86"/>
        <v/>
      </c>
      <c r="M279" s="339" t="str">
        <f t="shared" si="79"/>
        <v/>
      </c>
      <c r="N279" s="340" t="str">
        <f t="shared" si="80"/>
        <v/>
      </c>
      <c r="O279" s="341" t="str">
        <f t="shared" si="81"/>
        <v/>
      </c>
      <c r="P279" s="342" t="str">
        <f t="shared" si="82"/>
        <v/>
      </c>
      <c r="Q279" s="343" t="str">
        <f t="shared" si="83"/>
        <v/>
      </c>
      <c r="R279" s="10" t="str">
        <f t="shared" si="93"/>
        <v/>
      </c>
      <c r="S279" s="337" t="str">
        <f t="shared" si="76"/>
        <v/>
      </c>
      <c r="T279" s="9"/>
      <c r="U279" s="8"/>
      <c r="V279" s="202" t="str">
        <f>IF(OR(E279="",E279&lt;$U$2),"",ProjTvdAtBit(E279,F279,G279,H279,D279,W279,X279))</f>
        <v/>
      </c>
      <c r="W279" s="344" t="str">
        <f>IF(OR(E279="",E279&lt;$U$2),"",ProjIncAtBit(F279,J279,C279,M279,AJ279,IF(AK279="",0,AK279)))</f>
        <v/>
      </c>
      <c r="X279" s="455" t="str">
        <f>IF(OR(E279="",E279&lt;$U$2),"",ProjAzmAtBit(F279,G279,J279,C279,M279,AJ279,IF(AK279="",0,AK279)))</f>
        <v/>
      </c>
      <c r="Y279" s="461"/>
      <c r="Z279" s="206"/>
      <c r="AA279" s="512" t="str">
        <f t="shared" si="91"/>
        <v/>
      </c>
      <c r="AB279" s="520" t="str">
        <f t="shared" si="92"/>
        <v/>
      </c>
      <c r="AC279" s="510"/>
      <c r="AD279" s="515"/>
      <c r="AE279" s="516"/>
      <c r="AJ279" s="452">
        <f>IF(OR(E279="",D279=""),0,ProjSlideMetersBetween(E279,D279,$R$13:$R$305,$S$13:$S$305))</f>
        <v>0</v>
      </c>
      <c r="AK279" s="452" t="str">
        <f>IF(U279="","",ProjParseTF(U279))</f>
        <v/>
      </c>
      <c r="AL279" s="219" t="str">
        <f>IF(E279="","",ProjCumN(AL278,E278,F278,G278,E279,F279,G279,FALSE))</f>
        <v/>
      </c>
      <c r="AM279" s="331" t="str">
        <f>IF(E279="","",ProjCumE(AM278,E278,F278,G278,E279,F279,G279,FALSE))</f>
        <v/>
      </c>
      <c r="AN279" s="330" t="str">
        <f t="shared" si="88"/>
        <v/>
      </c>
      <c r="AO279" s="330" t="str">
        <f>IF(OR(E279="",E279&lt;$U$2),"",ProjActiveTargetMdEx(D279,W279,V279,ProjTargets_MD,ProjTargets_INC,ProjTargets_AZM,ProjTargets_TVD,F279,H279))</f>
        <v/>
      </c>
      <c r="AP279" s="207" t="str">
        <f>IF(OR(E279="",E279&lt;$U$2),"",ProjBitN(E279,F279,G279,AL279,D279,W279,X279))</f>
        <v/>
      </c>
      <c r="AQ279" s="207" t="str">
        <f>IF(OR(E279="",E279&lt;$U$2),"",ProjBitE(E279,F279,G279,AM279,D279,W279,X279))</f>
        <v/>
      </c>
      <c r="AR279" s="207" t="str">
        <f>IF(OR(E279="",E279&lt;$U$2,AO279=""),"",ProjBurr(D279,W279,X279,Q279,C279,ProjTargets_MD,ProjTargets_INC,ProjTargets_AZM,ProjTargets_TVD,V279))</f>
        <v/>
      </c>
      <c r="AS279" s="207" t="str">
        <f>IF(OR(E279="",E279&lt;$U$2,AO279=""),"",ProjMetersToSlide(D279,W279,X279,Q279,C279,ProjTargets_MD,ProjTargets_INC,ProjTargets_AZM,ProjTargets_TVD,V279))</f>
        <v/>
      </c>
      <c r="AT279" s="207" t="str">
        <f>IF(OR(E279="",E279&lt;$U$2,AO279=""),"",ProjRequiredTf(D279,W279,X279,ProjTargets_MD,ProjTargets_INC,ProjTargets_AZM,ProjTargets_TVD,5,V279))</f>
        <v/>
      </c>
    </row>
    <row r="280" spans="2:46" s="209" customFormat="1" ht="15" customHeight="1" x14ac:dyDescent="0.3">
      <c r="B280" s="208" t="str">
        <f t="shared" si="77"/>
        <v/>
      </c>
      <c r="C280" s="335" t="str">
        <f t="shared" si="84"/>
        <v/>
      </c>
      <c r="D280" s="27"/>
      <c r="E280" s="336" t="str">
        <f t="shared" si="85"/>
        <v/>
      </c>
      <c r="F280" s="9"/>
      <c r="G280" s="9"/>
      <c r="H280" s="337" t="str">
        <f t="shared" si="78"/>
        <v/>
      </c>
      <c r="I280" s="337" t="str">
        <f t="shared" si="87"/>
        <v xml:space="preserve">  </v>
      </c>
      <c r="J280" s="338" t="str">
        <f t="shared" si="89"/>
        <v/>
      </c>
      <c r="K280" s="339" t="str">
        <f t="shared" si="90"/>
        <v xml:space="preserve"> </v>
      </c>
      <c r="L280" s="339" t="str">
        <f t="shared" si="86"/>
        <v/>
      </c>
      <c r="M280" s="339" t="str">
        <f t="shared" si="79"/>
        <v/>
      </c>
      <c r="N280" s="340" t="str">
        <f t="shared" si="80"/>
        <v/>
      </c>
      <c r="O280" s="341" t="str">
        <f t="shared" si="81"/>
        <v/>
      </c>
      <c r="P280" s="342" t="str">
        <f t="shared" si="82"/>
        <v/>
      </c>
      <c r="Q280" s="343" t="str">
        <f t="shared" si="83"/>
        <v/>
      </c>
      <c r="R280" s="10" t="str">
        <f t="shared" si="93"/>
        <v/>
      </c>
      <c r="S280" s="337" t="str">
        <f t="shared" si="76"/>
        <v/>
      </c>
      <c r="T280" s="9"/>
      <c r="U280" s="8"/>
      <c r="V280" s="202" t="str">
        <f>IF(OR(E280="",E280&lt;$U$2),"",ProjTvdAtBit(E280,F280,G280,H280,D280,W280,X280))</f>
        <v/>
      </c>
      <c r="W280" s="344" t="str">
        <f>IF(OR(E280="",E280&lt;$U$2),"",ProjIncAtBit(F280,J280,C280,M280,AJ280,IF(AK280="",0,AK280)))</f>
        <v/>
      </c>
      <c r="X280" s="455" t="str">
        <f>IF(OR(E280="",E280&lt;$U$2),"",ProjAzmAtBit(F280,G280,J280,C280,M280,AJ280,IF(AK280="",0,AK280)))</f>
        <v/>
      </c>
      <c r="Y280" s="461"/>
      <c r="Z280" s="206"/>
      <c r="AA280" s="512" t="str">
        <f t="shared" si="91"/>
        <v/>
      </c>
      <c r="AB280" s="520" t="str">
        <f t="shared" si="92"/>
        <v/>
      </c>
      <c r="AC280" s="510"/>
      <c r="AD280" s="515"/>
      <c r="AE280" s="516"/>
      <c r="AJ280" s="452">
        <f>IF(OR(E280="",D280=""),0,ProjSlideMetersBetween(E280,D280,$R$13:$R$305,$S$13:$S$305))</f>
        <v>0</v>
      </c>
      <c r="AK280" s="452" t="str">
        <f>IF(U280="","",ProjParseTF(U280))</f>
        <v/>
      </c>
      <c r="AL280" s="219" t="str">
        <f>IF(E280="","",ProjCumN(AL279,E279,F279,G279,E280,F280,G280,FALSE))</f>
        <v/>
      </c>
      <c r="AM280" s="331" t="str">
        <f>IF(E280="","",ProjCumE(AM279,E279,F279,G279,E280,F280,G280,FALSE))</f>
        <v/>
      </c>
      <c r="AN280" s="330" t="str">
        <f t="shared" si="88"/>
        <v/>
      </c>
      <c r="AO280" s="330" t="str">
        <f>IF(OR(E280="",E280&lt;$U$2),"",ProjActiveTargetMdEx(D280,W280,V280,ProjTargets_MD,ProjTargets_INC,ProjTargets_AZM,ProjTargets_TVD,F280,H280))</f>
        <v/>
      </c>
      <c r="AP280" s="207" t="str">
        <f>IF(OR(E280="",E280&lt;$U$2),"",ProjBitN(E280,F280,G280,AL280,D280,W280,X280))</f>
        <v/>
      </c>
      <c r="AQ280" s="207" t="str">
        <f>IF(OR(E280="",E280&lt;$U$2),"",ProjBitE(E280,F280,G280,AM280,D280,W280,X280))</f>
        <v/>
      </c>
      <c r="AR280" s="207" t="str">
        <f>IF(OR(E280="",E280&lt;$U$2,AO280=""),"",ProjBurr(D280,W280,X280,Q280,C280,ProjTargets_MD,ProjTargets_INC,ProjTargets_AZM,ProjTargets_TVD,V280))</f>
        <v/>
      </c>
      <c r="AS280" s="207" t="str">
        <f>IF(OR(E280="",E280&lt;$U$2,AO280=""),"",ProjMetersToSlide(D280,W280,X280,Q280,C280,ProjTargets_MD,ProjTargets_INC,ProjTargets_AZM,ProjTargets_TVD,V280))</f>
        <v/>
      </c>
      <c r="AT280" s="207" t="str">
        <f>IF(OR(E280="",E280&lt;$U$2,AO280=""),"",ProjRequiredTf(D280,W280,X280,ProjTargets_MD,ProjTargets_INC,ProjTargets_AZM,ProjTargets_TVD,5,V280))</f>
        <v/>
      </c>
    </row>
    <row r="281" spans="2:46" s="209" customFormat="1" ht="15" customHeight="1" x14ac:dyDescent="0.3">
      <c r="B281" s="208" t="str">
        <f t="shared" si="77"/>
        <v/>
      </c>
      <c r="C281" s="335" t="str">
        <f t="shared" si="84"/>
        <v/>
      </c>
      <c r="D281" s="27"/>
      <c r="E281" s="336" t="str">
        <f t="shared" si="85"/>
        <v/>
      </c>
      <c r="F281" s="9"/>
      <c r="G281" s="9"/>
      <c r="H281" s="337" t="str">
        <f t="shared" si="78"/>
        <v/>
      </c>
      <c r="I281" s="337" t="str">
        <f t="shared" si="87"/>
        <v xml:space="preserve">  </v>
      </c>
      <c r="J281" s="338" t="str">
        <f t="shared" si="89"/>
        <v/>
      </c>
      <c r="K281" s="339" t="str">
        <f t="shared" si="90"/>
        <v xml:space="preserve"> </v>
      </c>
      <c r="L281" s="339" t="str">
        <f t="shared" si="86"/>
        <v/>
      </c>
      <c r="M281" s="339" t="str">
        <f t="shared" si="79"/>
        <v/>
      </c>
      <c r="N281" s="340" t="str">
        <f t="shared" si="80"/>
        <v/>
      </c>
      <c r="O281" s="341" t="str">
        <f t="shared" si="81"/>
        <v/>
      </c>
      <c r="P281" s="342" t="str">
        <f t="shared" si="82"/>
        <v/>
      </c>
      <c r="Q281" s="343" t="str">
        <f t="shared" si="83"/>
        <v/>
      </c>
      <c r="R281" s="10" t="str">
        <f t="shared" si="93"/>
        <v/>
      </c>
      <c r="S281" s="337" t="str">
        <f t="shared" si="76"/>
        <v/>
      </c>
      <c r="T281" s="9"/>
      <c r="U281" s="8"/>
      <c r="V281" s="202" t="str">
        <f>IF(OR(E281="",E281&lt;$U$2),"",ProjTvdAtBit(E281,F281,G281,H281,D281,W281,X281))</f>
        <v/>
      </c>
      <c r="W281" s="344" t="str">
        <f>IF(OR(E281="",E281&lt;$U$2),"",ProjIncAtBit(F281,J281,C281,M281,AJ281,IF(AK281="",0,AK281)))</f>
        <v/>
      </c>
      <c r="X281" s="455" t="str">
        <f>IF(OR(E281="",E281&lt;$U$2),"",ProjAzmAtBit(F281,G281,J281,C281,M281,AJ281,IF(AK281="",0,AK281)))</f>
        <v/>
      </c>
      <c r="Y281" s="461"/>
      <c r="Z281" s="206"/>
      <c r="AA281" s="512" t="str">
        <f t="shared" si="91"/>
        <v/>
      </c>
      <c r="AB281" s="520" t="str">
        <f t="shared" si="92"/>
        <v/>
      </c>
      <c r="AC281" s="510"/>
      <c r="AD281" s="515"/>
      <c r="AE281" s="516"/>
      <c r="AJ281" s="452">
        <f>IF(OR(E281="",D281=""),0,ProjSlideMetersBetween(E281,D281,$R$13:$R$305,$S$13:$S$305))</f>
        <v>0</v>
      </c>
      <c r="AK281" s="452" t="str">
        <f>IF(U281="","",ProjParseTF(U281))</f>
        <v/>
      </c>
      <c r="AL281" s="219" t="str">
        <f>IF(E281="","",ProjCumN(AL280,E280,F280,G280,E281,F281,G281,FALSE))</f>
        <v/>
      </c>
      <c r="AM281" s="331" t="str">
        <f>IF(E281="","",ProjCumE(AM280,E280,F280,G280,E281,F281,G281,FALSE))</f>
        <v/>
      </c>
      <c r="AN281" s="330" t="str">
        <f t="shared" si="88"/>
        <v/>
      </c>
      <c r="AO281" s="330" t="str">
        <f>IF(OR(E281="",E281&lt;$U$2),"",ProjActiveTargetMdEx(D281,W281,V281,ProjTargets_MD,ProjTargets_INC,ProjTargets_AZM,ProjTargets_TVD,F281,H281))</f>
        <v/>
      </c>
      <c r="AP281" s="207" t="str">
        <f>IF(OR(E281="",E281&lt;$U$2),"",ProjBitN(E281,F281,G281,AL281,D281,W281,X281))</f>
        <v/>
      </c>
      <c r="AQ281" s="207" t="str">
        <f>IF(OR(E281="",E281&lt;$U$2),"",ProjBitE(E281,F281,G281,AM281,D281,W281,X281))</f>
        <v/>
      </c>
      <c r="AR281" s="207" t="str">
        <f>IF(OR(E281="",E281&lt;$U$2,AO281=""),"",ProjBurr(D281,W281,X281,Q281,C281,ProjTargets_MD,ProjTargets_INC,ProjTargets_AZM,ProjTargets_TVD,V281))</f>
        <v/>
      </c>
      <c r="AS281" s="207" t="str">
        <f>IF(OR(E281="",E281&lt;$U$2,AO281=""),"",ProjMetersToSlide(D281,W281,X281,Q281,C281,ProjTargets_MD,ProjTargets_INC,ProjTargets_AZM,ProjTargets_TVD,V281))</f>
        <v/>
      </c>
      <c r="AT281" s="207" t="str">
        <f>IF(OR(E281="",E281&lt;$U$2,AO281=""),"",ProjRequiredTf(D281,W281,X281,ProjTargets_MD,ProjTargets_INC,ProjTargets_AZM,ProjTargets_TVD,5,V281))</f>
        <v/>
      </c>
    </row>
    <row r="282" spans="2:46" s="209" customFormat="1" ht="15" customHeight="1" x14ac:dyDescent="0.3">
      <c r="B282" s="208" t="str">
        <f t="shared" si="77"/>
        <v/>
      </c>
      <c r="C282" s="335" t="str">
        <f t="shared" si="84"/>
        <v/>
      </c>
      <c r="D282" s="27"/>
      <c r="E282" s="336" t="str">
        <f t="shared" si="85"/>
        <v/>
      </c>
      <c r="F282" s="9"/>
      <c r="G282" s="9"/>
      <c r="H282" s="337" t="str">
        <f t="shared" si="78"/>
        <v/>
      </c>
      <c r="I282" s="337" t="str">
        <f t="shared" si="87"/>
        <v xml:space="preserve">  </v>
      </c>
      <c r="J282" s="338" t="str">
        <f t="shared" si="89"/>
        <v/>
      </c>
      <c r="K282" s="339" t="str">
        <f t="shared" si="90"/>
        <v xml:space="preserve"> </v>
      </c>
      <c r="L282" s="339" t="str">
        <f t="shared" si="86"/>
        <v/>
      </c>
      <c r="M282" s="339" t="str">
        <f t="shared" si="79"/>
        <v/>
      </c>
      <c r="N282" s="340" t="str">
        <f t="shared" si="80"/>
        <v/>
      </c>
      <c r="O282" s="341" t="str">
        <f t="shared" si="81"/>
        <v/>
      </c>
      <c r="P282" s="342" t="str">
        <f t="shared" si="82"/>
        <v/>
      </c>
      <c r="Q282" s="343" t="str">
        <f t="shared" si="83"/>
        <v/>
      </c>
      <c r="R282" s="10" t="str">
        <f t="shared" si="93"/>
        <v/>
      </c>
      <c r="S282" s="337" t="str">
        <f t="shared" si="76"/>
        <v/>
      </c>
      <c r="T282" s="9"/>
      <c r="U282" s="8"/>
      <c r="V282" s="202" t="str">
        <f>IF(OR(E282="",E282&lt;$U$2),"",ProjTvdAtBit(E282,F282,G282,H282,D282,W282,X282))</f>
        <v/>
      </c>
      <c r="W282" s="344" t="str">
        <f>IF(OR(E282="",E282&lt;$U$2),"",ProjIncAtBit(F282,J282,C282,M282,AJ282,IF(AK282="",0,AK282)))</f>
        <v/>
      </c>
      <c r="X282" s="455" t="str">
        <f>IF(OR(E282="",E282&lt;$U$2),"",ProjAzmAtBit(F282,G282,J282,C282,M282,AJ282,IF(AK282="",0,AK282)))</f>
        <v/>
      </c>
      <c r="Y282" s="461"/>
      <c r="Z282" s="206"/>
      <c r="AA282" s="512" t="str">
        <f t="shared" si="91"/>
        <v/>
      </c>
      <c r="AB282" s="520" t="str">
        <f t="shared" si="92"/>
        <v/>
      </c>
      <c r="AC282" s="510"/>
      <c r="AD282" s="515"/>
      <c r="AE282" s="516"/>
      <c r="AJ282" s="452">
        <f>IF(OR(E282="",D282=""),0,ProjSlideMetersBetween(E282,D282,$R$13:$R$305,$S$13:$S$305))</f>
        <v>0</v>
      </c>
      <c r="AK282" s="452" t="str">
        <f>IF(U282="","",ProjParseTF(U282))</f>
        <v/>
      </c>
      <c r="AL282" s="219" t="str">
        <f>IF(E282="","",ProjCumN(AL281,E281,F281,G281,E282,F282,G282,FALSE))</f>
        <v/>
      </c>
      <c r="AM282" s="331" t="str">
        <f>IF(E282="","",ProjCumE(AM281,E281,F281,G281,E282,F282,G282,FALSE))</f>
        <v/>
      </c>
      <c r="AN282" s="330" t="str">
        <f t="shared" si="88"/>
        <v/>
      </c>
      <c r="AO282" s="330" t="str">
        <f>IF(OR(E282="",E282&lt;$U$2),"",ProjActiveTargetMdEx(D282,W282,V282,ProjTargets_MD,ProjTargets_INC,ProjTargets_AZM,ProjTargets_TVD,F282,H282))</f>
        <v/>
      </c>
      <c r="AP282" s="207" t="str">
        <f>IF(OR(E282="",E282&lt;$U$2),"",ProjBitN(E282,F282,G282,AL282,D282,W282,X282))</f>
        <v/>
      </c>
      <c r="AQ282" s="207" t="str">
        <f>IF(OR(E282="",E282&lt;$U$2),"",ProjBitE(E282,F282,G282,AM282,D282,W282,X282))</f>
        <v/>
      </c>
      <c r="AR282" s="207" t="str">
        <f>IF(OR(E282="",E282&lt;$U$2,AO282=""),"",ProjBurr(D282,W282,X282,Q282,C282,ProjTargets_MD,ProjTargets_INC,ProjTargets_AZM,ProjTargets_TVD,V282))</f>
        <v/>
      </c>
      <c r="AS282" s="207" t="str">
        <f>IF(OR(E282="",E282&lt;$U$2,AO282=""),"",ProjMetersToSlide(D282,W282,X282,Q282,C282,ProjTargets_MD,ProjTargets_INC,ProjTargets_AZM,ProjTargets_TVD,V282))</f>
        <v/>
      </c>
      <c r="AT282" s="207" t="str">
        <f>IF(OR(E282="",E282&lt;$U$2,AO282=""),"",ProjRequiredTf(D282,W282,X282,ProjTargets_MD,ProjTargets_INC,ProjTargets_AZM,ProjTargets_TVD,5,V282))</f>
        <v/>
      </c>
    </row>
    <row r="283" spans="2:46" s="209" customFormat="1" ht="15" customHeight="1" x14ac:dyDescent="0.3">
      <c r="B283" s="208" t="str">
        <f t="shared" si="77"/>
        <v/>
      </c>
      <c r="C283" s="335" t="str">
        <f t="shared" si="84"/>
        <v/>
      </c>
      <c r="D283" s="27"/>
      <c r="E283" s="336" t="str">
        <f t="shared" si="85"/>
        <v/>
      </c>
      <c r="F283" s="9"/>
      <c r="G283" s="9"/>
      <c r="H283" s="337" t="str">
        <f t="shared" si="78"/>
        <v/>
      </c>
      <c r="I283" s="337" t="str">
        <f t="shared" si="87"/>
        <v xml:space="preserve">  </v>
      </c>
      <c r="J283" s="338" t="str">
        <f t="shared" si="89"/>
        <v/>
      </c>
      <c r="K283" s="339" t="str">
        <f t="shared" si="90"/>
        <v xml:space="preserve"> </v>
      </c>
      <c r="L283" s="339" t="str">
        <f t="shared" si="86"/>
        <v/>
      </c>
      <c r="M283" s="339" t="str">
        <f t="shared" si="79"/>
        <v/>
      </c>
      <c r="N283" s="340" t="str">
        <f t="shared" si="80"/>
        <v/>
      </c>
      <c r="O283" s="341" t="str">
        <f t="shared" si="81"/>
        <v/>
      </c>
      <c r="P283" s="342" t="str">
        <f t="shared" si="82"/>
        <v/>
      </c>
      <c r="Q283" s="343" t="str">
        <f t="shared" si="83"/>
        <v/>
      </c>
      <c r="R283" s="10" t="str">
        <f t="shared" si="93"/>
        <v/>
      </c>
      <c r="S283" s="337" t="str">
        <f t="shared" si="76"/>
        <v/>
      </c>
      <c r="T283" s="9"/>
      <c r="U283" s="8"/>
      <c r="V283" s="202" t="str">
        <f>IF(OR(E283="",E283&lt;$U$2),"",ProjTvdAtBit(E283,F283,G283,H283,D283,W283,X283))</f>
        <v/>
      </c>
      <c r="W283" s="344" t="str">
        <f>IF(OR(E283="",E283&lt;$U$2),"",ProjIncAtBit(F283,J283,C283,M283,AJ283,IF(AK283="",0,AK283)))</f>
        <v/>
      </c>
      <c r="X283" s="455" t="str">
        <f>IF(OR(E283="",E283&lt;$U$2),"",ProjAzmAtBit(F283,G283,J283,C283,M283,AJ283,IF(AK283="",0,AK283)))</f>
        <v/>
      </c>
      <c r="Y283" s="461"/>
      <c r="Z283" s="206"/>
      <c r="AA283" s="512" t="str">
        <f t="shared" si="91"/>
        <v/>
      </c>
      <c r="AB283" s="520" t="str">
        <f t="shared" si="92"/>
        <v/>
      </c>
      <c r="AC283" s="510"/>
      <c r="AD283" s="515"/>
      <c r="AE283" s="516"/>
      <c r="AJ283" s="452">
        <f>IF(OR(E283="",D283=""),0,ProjSlideMetersBetween(E283,D283,$R$13:$R$305,$S$13:$S$305))</f>
        <v>0</v>
      </c>
      <c r="AK283" s="452" t="str">
        <f>IF(U283="","",ProjParseTF(U283))</f>
        <v/>
      </c>
      <c r="AL283" s="219" t="str">
        <f>IF(E283="","",ProjCumN(AL282,E282,F282,G282,E283,F283,G283,FALSE))</f>
        <v/>
      </c>
      <c r="AM283" s="331" t="str">
        <f>IF(E283="","",ProjCumE(AM282,E282,F282,G282,E283,F283,G283,FALSE))</f>
        <v/>
      </c>
      <c r="AN283" s="330" t="str">
        <f t="shared" si="88"/>
        <v/>
      </c>
      <c r="AO283" s="330" t="str">
        <f>IF(OR(E283="",E283&lt;$U$2),"",ProjActiveTargetMdEx(D283,W283,V283,ProjTargets_MD,ProjTargets_INC,ProjTargets_AZM,ProjTargets_TVD,F283,H283))</f>
        <v/>
      </c>
      <c r="AP283" s="207" t="str">
        <f>IF(OR(E283="",E283&lt;$U$2),"",ProjBitN(E283,F283,G283,AL283,D283,W283,X283))</f>
        <v/>
      </c>
      <c r="AQ283" s="207" t="str">
        <f>IF(OR(E283="",E283&lt;$U$2),"",ProjBitE(E283,F283,G283,AM283,D283,W283,X283))</f>
        <v/>
      </c>
      <c r="AR283" s="207" t="str">
        <f>IF(OR(E283="",E283&lt;$U$2,AO283=""),"",ProjBurr(D283,W283,X283,Q283,C283,ProjTargets_MD,ProjTargets_INC,ProjTargets_AZM,ProjTargets_TVD,V283))</f>
        <v/>
      </c>
      <c r="AS283" s="207" t="str">
        <f>IF(OR(E283="",E283&lt;$U$2,AO283=""),"",ProjMetersToSlide(D283,W283,X283,Q283,C283,ProjTargets_MD,ProjTargets_INC,ProjTargets_AZM,ProjTargets_TVD,V283))</f>
        <v/>
      </c>
      <c r="AT283" s="207" t="str">
        <f>IF(OR(E283="",E283&lt;$U$2,AO283=""),"",ProjRequiredTf(D283,W283,X283,ProjTargets_MD,ProjTargets_INC,ProjTargets_AZM,ProjTargets_TVD,5,V283))</f>
        <v/>
      </c>
    </row>
    <row r="284" spans="2:46" s="209" customFormat="1" ht="15" customHeight="1" x14ac:dyDescent="0.3">
      <c r="B284" s="208" t="str">
        <f t="shared" si="77"/>
        <v/>
      </c>
      <c r="C284" s="335" t="str">
        <f t="shared" si="84"/>
        <v/>
      </c>
      <c r="D284" s="27"/>
      <c r="E284" s="336" t="str">
        <f t="shared" si="85"/>
        <v/>
      </c>
      <c r="F284" s="9"/>
      <c r="G284" s="9"/>
      <c r="H284" s="337" t="str">
        <f t="shared" si="78"/>
        <v/>
      </c>
      <c r="I284" s="337" t="str">
        <f t="shared" si="87"/>
        <v xml:space="preserve">  </v>
      </c>
      <c r="J284" s="338" t="str">
        <f t="shared" si="89"/>
        <v/>
      </c>
      <c r="K284" s="339" t="str">
        <f t="shared" si="90"/>
        <v xml:space="preserve"> </v>
      </c>
      <c r="L284" s="339" t="str">
        <f t="shared" si="86"/>
        <v/>
      </c>
      <c r="M284" s="339" t="str">
        <f t="shared" si="79"/>
        <v/>
      </c>
      <c r="N284" s="340" t="str">
        <f t="shared" si="80"/>
        <v/>
      </c>
      <c r="O284" s="341" t="str">
        <f t="shared" si="81"/>
        <v/>
      </c>
      <c r="P284" s="342" t="str">
        <f t="shared" si="82"/>
        <v/>
      </c>
      <c r="Q284" s="343" t="str">
        <f t="shared" si="83"/>
        <v/>
      </c>
      <c r="R284" s="10" t="str">
        <f t="shared" si="93"/>
        <v/>
      </c>
      <c r="S284" s="337" t="str">
        <f t="shared" si="76"/>
        <v/>
      </c>
      <c r="T284" s="9"/>
      <c r="U284" s="8"/>
      <c r="V284" s="202" t="str">
        <f>IF(OR(E284="",E284&lt;$U$2),"",ProjTvdAtBit(E284,F284,G284,H284,D284,W284,X284))</f>
        <v/>
      </c>
      <c r="W284" s="344" t="str">
        <f>IF(OR(E284="",E284&lt;$U$2),"",ProjIncAtBit(F284,J284,C284,M284,AJ284,IF(AK284="",0,AK284)))</f>
        <v/>
      </c>
      <c r="X284" s="455" t="str">
        <f>IF(OR(E284="",E284&lt;$U$2),"",ProjAzmAtBit(F284,G284,J284,C284,M284,AJ284,IF(AK284="",0,AK284)))</f>
        <v/>
      </c>
      <c r="Y284" s="461"/>
      <c r="Z284" s="206"/>
      <c r="AA284" s="512" t="str">
        <f t="shared" si="91"/>
        <v/>
      </c>
      <c r="AB284" s="520" t="str">
        <f t="shared" si="92"/>
        <v/>
      </c>
      <c r="AC284" s="510"/>
      <c r="AD284" s="515"/>
      <c r="AE284" s="516"/>
      <c r="AJ284" s="452">
        <f>IF(OR(E284="",D284=""),0,ProjSlideMetersBetween(E284,D284,$R$13:$R$305,$S$13:$S$305))</f>
        <v>0</v>
      </c>
      <c r="AK284" s="452" t="str">
        <f>IF(U284="","",ProjParseTF(U284))</f>
        <v/>
      </c>
      <c r="AL284" s="219" t="str">
        <f>IF(E284="","",ProjCumN(AL283,E283,F283,G283,E284,F284,G284,FALSE))</f>
        <v/>
      </c>
      <c r="AM284" s="331" t="str">
        <f>IF(E284="","",ProjCumE(AM283,E283,F283,G283,E284,F284,G284,FALSE))</f>
        <v/>
      </c>
      <c r="AN284" s="330" t="str">
        <f t="shared" si="88"/>
        <v/>
      </c>
      <c r="AO284" s="330" t="str">
        <f>IF(OR(E284="",E284&lt;$U$2),"",ProjActiveTargetMdEx(D284,W284,V284,ProjTargets_MD,ProjTargets_INC,ProjTargets_AZM,ProjTargets_TVD,F284,H284))</f>
        <v/>
      </c>
      <c r="AP284" s="207" t="str">
        <f>IF(OR(E284="",E284&lt;$U$2),"",ProjBitN(E284,F284,G284,AL284,D284,W284,X284))</f>
        <v/>
      </c>
      <c r="AQ284" s="207" t="str">
        <f>IF(OR(E284="",E284&lt;$U$2),"",ProjBitE(E284,F284,G284,AM284,D284,W284,X284))</f>
        <v/>
      </c>
      <c r="AR284" s="207" t="str">
        <f>IF(OR(E284="",E284&lt;$U$2,AO284=""),"",ProjBurr(D284,W284,X284,Q284,C284,ProjTargets_MD,ProjTargets_INC,ProjTargets_AZM,ProjTargets_TVD,V284))</f>
        <v/>
      </c>
      <c r="AS284" s="207" t="str">
        <f>IF(OR(E284="",E284&lt;$U$2,AO284=""),"",ProjMetersToSlide(D284,W284,X284,Q284,C284,ProjTargets_MD,ProjTargets_INC,ProjTargets_AZM,ProjTargets_TVD,V284))</f>
        <v/>
      </c>
      <c r="AT284" s="207" t="str">
        <f>IF(OR(E284="",E284&lt;$U$2,AO284=""),"",ProjRequiredTf(D284,W284,X284,ProjTargets_MD,ProjTargets_INC,ProjTargets_AZM,ProjTargets_TVD,5,V284))</f>
        <v/>
      </c>
    </row>
    <row r="285" spans="2:46" s="209" customFormat="1" ht="15" customHeight="1" x14ac:dyDescent="0.3">
      <c r="B285" s="208" t="str">
        <f t="shared" si="77"/>
        <v/>
      </c>
      <c r="C285" s="335" t="str">
        <f t="shared" si="84"/>
        <v/>
      </c>
      <c r="D285" s="27"/>
      <c r="E285" s="336" t="str">
        <f t="shared" si="85"/>
        <v/>
      </c>
      <c r="F285" s="9"/>
      <c r="G285" s="9"/>
      <c r="H285" s="337" t="str">
        <f t="shared" si="78"/>
        <v/>
      </c>
      <c r="I285" s="337" t="str">
        <f t="shared" si="87"/>
        <v xml:space="preserve">  </v>
      </c>
      <c r="J285" s="338" t="str">
        <f t="shared" si="89"/>
        <v/>
      </c>
      <c r="K285" s="339" t="str">
        <f t="shared" si="90"/>
        <v xml:space="preserve"> </v>
      </c>
      <c r="L285" s="339" t="str">
        <f t="shared" si="86"/>
        <v/>
      </c>
      <c r="M285" s="339" t="str">
        <f t="shared" si="79"/>
        <v/>
      </c>
      <c r="N285" s="340" t="str">
        <f t="shared" si="80"/>
        <v/>
      </c>
      <c r="O285" s="341" t="str">
        <f t="shared" si="81"/>
        <v/>
      </c>
      <c r="P285" s="342" t="str">
        <f t="shared" si="82"/>
        <v/>
      </c>
      <c r="Q285" s="343" t="str">
        <f t="shared" si="83"/>
        <v/>
      </c>
      <c r="R285" s="10" t="str">
        <f t="shared" si="93"/>
        <v/>
      </c>
      <c r="S285" s="337" t="str">
        <f t="shared" si="76"/>
        <v/>
      </c>
      <c r="T285" s="9"/>
      <c r="U285" s="8"/>
      <c r="V285" s="202" t="str">
        <f>IF(OR(E285="",E285&lt;$U$2),"",ProjTvdAtBit(E285,F285,G285,H285,D285,W285,X285))</f>
        <v/>
      </c>
      <c r="W285" s="344" t="str">
        <f>IF(OR(E285="",E285&lt;$U$2),"",ProjIncAtBit(F285,J285,C285,M285,AJ285,IF(AK285="",0,AK285)))</f>
        <v/>
      </c>
      <c r="X285" s="455" t="str">
        <f>IF(OR(E285="",E285&lt;$U$2),"",ProjAzmAtBit(F285,G285,J285,C285,M285,AJ285,IF(AK285="",0,AK285)))</f>
        <v/>
      </c>
      <c r="Y285" s="461"/>
      <c r="Z285" s="206"/>
      <c r="AA285" s="512" t="str">
        <f t="shared" si="91"/>
        <v/>
      </c>
      <c r="AB285" s="520" t="str">
        <f t="shared" si="92"/>
        <v/>
      </c>
      <c r="AC285" s="510"/>
      <c r="AD285" s="515"/>
      <c r="AE285" s="516"/>
      <c r="AJ285" s="452">
        <f>IF(OR(E285="",D285=""),0,ProjSlideMetersBetween(E285,D285,$R$13:$R$305,$S$13:$S$305))</f>
        <v>0</v>
      </c>
      <c r="AK285" s="452" t="str">
        <f>IF(U285="","",ProjParseTF(U285))</f>
        <v/>
      </c>
      <c r="AL285" s="219" t="str">
        <f>IF(E285="","",ProjCumN(AL284,E284,F284,G284,E285,F285,G285,FALSE))</f>
        <v/>
      </c>
      <c r="AM285" s="331" t="str">
        <f>IF(E285="","",ProjCumE(AM284,E284,F284,G284,E285,F285,G285,FALSE))</f>
        <v/>
      </c>
      <c r="AN285" s="330" t="str">
        <f t="shared" si="88"/>
        <v/>
      </c>
      <c r="AO285" s="330" t="str">
        <f>IF(OR(E285="",E285&lt;$U$2),"",ProjActiveTargetMdEx(D285,W285,V285,ProjTargets_MD,ProjTargets_INC,ProjTargets_AZM,ProjTargets_TVD,F285,H285))</f>
        <v/>
      </c>
      <c r="AP285" s="207" t="str">
        <f>IF(OR(E285="",E285&lt;$U$2),"",ProjBitN(E285,F285,G285,AL285,D285,W285,X285))</f>
        <v/>
      </c>
      <c r="AQ285" s="207" t="str">
        <f>IF(OR(E285="",E285&lt;$U$2),"",ProjBitE(E285,F285,G285,AM285,D285,W285,X285))</f>
        <v/>
      </c>
      <c r="AR285" s="207" t="str">
        <f>IF(OR(E285="",E285&lt;$U$2,AO285=""),"",ProjBurr(D285,W285,X285,Q285,C285,ProjTargets_MD,ProjTargets_INC,ProjTargets_AZM,ProjTargets_TVD,V285))</f>
        <v/>
      </c>
      <c r="AS285" s="207" t="str">
        <f>IF(OR(E285="",E285&lt;$U$2,AO285=""),"",ProjMetersToSlide(D285,W285,X285,Q285,C285,ProjTargets_MD,ProjTargets_INC,ProjTargets_AZM,ProjTargets_TVD,V285))</f>
        <v/>
      </c>
      <c r="AT285" s="207" t="str">
        <f>IF(OR(E285="",E285&lt;$U$2,AO285=""),"",ProjRequiredTf(D285,W285,X285,ProjTargets_MD,ProjTargets_INC,ProjTargets_AZM,ProjTargets_TVD,5,V285))</f>
        <v/>
      </c>
    </row>
    <row r="286" spans="2:46" s="209" customFormat="1" ht="15" customHeight="1" x14ac:dyDescent="0.3">
      <c r="B286" s="208" t="str">
        <f t="shared" si="77"/>
        <v/>
      </c>
      <c r="C286" s="335" t="str">
        <f t="shared" si="84"/>
        <v/>
      </c>
      <c r="D286" s="27"/>
      <c r="E286" s="336" t="str">
        <f t="shared" si="85"/>
        <v/>
      </c>
      <c r="F286" s="9"/>
      <c r="G286" s="9"/>
      <c r="H286" s="337" t="str">
        <f t="shared" si="78"/>
        <v/>
      </c>
      <c r="I286" s="337" t="str">
        <f t="shared" si="87"/>
        <v xml:space="preserve">  </v>
      </c>
      <c r="J286" s="338" t="str">
        <f t="shared" si="89"/>
        <v/>
      </c>
      <c r="K286" s="339" t="str">
        <f t="shared" si="90"/>
        <v xml:space="preserve"> </v>
      </c>
      <c r="L286" s="339" t="str">
        <f t="shared" si="86"/>
        <v/>
      </c>
      <c r="M286" s="339" t="str">
        <f t="shared" si="79"/>
        <v/>
      </c>
      <c r="N286" s="340" t="str">
        <f t="shared" si="80"/>
        <v/>
      </c>
      <c r="O286" s="341" t="str">
        <f t="shared" si="81"/>
        <v/>
      </c>
      <c r="P286" s="342" t="str">
        <f t="shared" si="82"/>
        <v/>
      </c>
      <c r="Q286" s="343" t="str">
        <f t="shared" si="83"/>
        <v/>
      </c>
      <c r="R286" s="10" t="str">
        <f t="shared" si="93"/>
        <v/>
      </c>
      <c r="S286" s="337" t="str">
        <f t="shared" si="76"/>
        <v/>
      </c>
      <c r="T286" s="9"/>
      <c r="U286" s="8"/>
      <c r="V286" s="202" t="str">
        <f>IF(OR(E286="",E286&lt;$U$2),"",ProjTvdAtBit(E286,F286,G286,H286,D286,W286,X286))</f>
        <v/>
      </c>
      <c r="W286" s="344" t="str">
        <f>IF(OR(E286="",E286&lt;$U$2),"",ProjIncAtBit(F286,J286,C286,M286,AJ286,IF(AK286="",0,AK286)))</f>
        <v/>
      </c>
      <c r="X286" s="455" t="str">
        <f>IF(OR(E286="",E286&lt;$U$2),"",ProjAzmAtBit(F286,G286,J286,C286,M286,AJ286,IF(AK286="",0,AK286)))</f>
        <v/>
      </c>
      <c r="Y286" s="461"/>
      <c r="Z286" s="206"/>
      <c r="AA286" s="512" t="str">
        <f t="shared" si="91"/>
        <v/>
      </c>
      <c r="AB286" s="520" t="str">
        <f t="shared" si="92"/>
        <v/>
      </c>
      <c r="AC286" s="510"/>
      <c r="AD286" s="515"/>
      <c r="AE286" s="516"/>
      <c r="AJ286" s="452">
        <f>IF(OR(E286="",D286=""),0,ProjSlideMetersBetween(E286,D286,$R$13:$R$305,$S$13:$S$305))</f>
        <v>0</v>
      </c>
      <c r="AK286" s="452" t="str">
        <f>IF(U286="","",ProjParseTF(U286))</f>
        <v/>
      </c>
      <c r="AL286" s="219" t="str">
        <f>IF(E286="","",ProjCumN(AL285,E285,F285,G285,E286,F286,G286,FALSE))</f>
        <v/>
      </c>
      <c r="AM286" s="331" t="str">
        <f>IF(E286="","",ProjCumE(AM285,E285,F285,G285,E286,F286,G286,FALSE))</f>
        <v/>
      </c>
      <c r="AN286" s="330" t="str">
        <f t="shared" si="88"/>
        <v/>
      </c>
      <c r="AO286" s="330" t="str">
        <f>IF(OR(E286="",E286&lt;$U$2),"",ProjActiveTargetMdEx(D286,W286,V286,ProjTargets_MD,ProjTargets_INC,ProjTargets_AZM,ProjTargets_TVD,F286,H286))</f>
        <v/>
      </c>
      <c r="AP286" s="207" t="str">
        <f>IF(OR(E286="",E286&lt;$U$2),"",ProjBitN(E286,F286,G286,AL286,D286,W286,X286))</f>
        <v/>
      </c>
      <c r="AQ286" s="207" t="str">
        <f>IF(OR(E286="",E286&lt;$U$2),"",ProjBitE(E286,F286,G286,AM286,D286,W286,X286))</f>
        <v/>
      </c>
      <c r="AR286" s="207" t="str">
        <f>IF(OR(E286="",E286&lt;$U$2,AO286=""),"",ProjBurr(D286,W286,X286,Q286,C286,ProjTargets_MD,ProjTargets_INC,ProjTargets_AZM,ProjTargets_TVD,V286))</f>
        <v/>
      </c>
      <c r="AS286" s="207" t="str">
        <f>IF(OR(E286="",E286&lt;$U$2,AO286=""),"",ProjMetersToSlide(D286,W286,X286,Q286,C286,ProjTargets_MD,ProjTargets_INC,ProjTargets_AZM,ProjTargets_TVD,V286))</f>
        <v/>
      </c>
      <c r="AT286" s="207" t="str">
        <f>IF(OR(E286="",E286&lt;$U$2,AO286=""),"",ProjRequiredTf(D286,W286,X286,ProjTargets_MD,ProjTargets_INC,ProjTargets_AZM,ProjTargets_TVD,5,V286))</f>
        <v/>
      </c>
    </row>
    <row r="287" spans="2:46" s="209" customFormat="1" ht="15" customHeight="1" x14ac:dyDescent="0.3">
      <c r="B287" s="208" t="str">
        <f t="shared" si="77"/>
        <v/>
      </c>
      <c r="C287" s="335" t="str">
        <f t="shared" si="84"/>
        <v/>
      </c>
      <c r="D287" s="27"/>
      <c r="E287" s="336" t="str">
        <f t="shared" si="85"/>
        <v/>
      </c>
      <c r="F287" s="9"/>
      <c r="G287" s="9"/>
      <c r="H287" s="337" t="str">
        <f t="shared" si="78"/>
        <v/>
      </c>
      <c r="I287" s="337" t="str">
        <f t="shared" si="87"/>
        <v xml:space="preserve">  </v>
      </c>
      <c r="J287" s="338" t="str">
        <f t="shared" si="89"/>
        <v/>
      </c>
      <c r="K287" s="339" t="str">
        <f t="shared" si="90"/>
        <v xml:space="preserve"> </v>
      </c>
      <c r="L287" s="339" t="str">
        <f t="shared" si="86"/>
        <v/>
      </c>
      <c r="M287" s="339" t="str">
        <f t="shared" si="79"/>
        <v/>
      </c>
      <c r="N287" s="340" t="str">
        <f t="shared" si="80"/>
        <v/>
      </c>
      <c r="O287" s="341" t="str">
        <f t="shared" si="81"/>
        <v/>
      </c>
      <c r="P287" s="342" t="str">
        <f t="shared" si="82"/>
        <v/>
      </c>
      <c r="Q287" s="343" t="str">
        <f t="shared" si="83"/>
        <v/>
      </c>
      <c r="R287" s="10" t="str">
        <f t="shared" si="93"/>
        <v/>
      </c>
      <c r="S287" s="337" t="str">
        <f t="shared" si="76"/>
        <v/>
      </c>
      <c r="T287" s="9"/>
      <c r="U287" s="8"/>
      <c r="V287" s="202" t="str">
        <f>IF(OR(E287="",E287&lt;$U$2),"",ProjTvdAtBit(E287,F287,G287,H287,D287,W287,X287))</f>
        <v/>
      </c>
      <c r="W287" s="344" t="str">
        <f>IF(OR(E287="",E287&lt;$U$2),"",ProjIncAtBit(F287,J287,C287,M287,AJ287,IF(AK287="",0,AK287)))</f>
        <v/>
      </c>
      <c r="X287" s="455" t="str">
        <f>IF(OR(E287="",E287&lt;$U$2),"",ProjAzmAtBit(F287,G287,J287,C287,M287,AJ287,IF(AK287="",0,AK287)))</f>
        <v/>
      </c>
      <c r="Y287" s="461"/>
      <c r="Z287" s="206"/>
      <c r="AA287" s="512" t="str">
        <f t="shared" si="91"/>
        <v/>
      </c>
      <c r="AB287" s="520" t="str">
        <f t="shared" si="92"/>
        <v/>
      </c>
      <c r="AC287" s="510"/>
      <c r="AD287" s="515"/>
      <c r="AE287" s="516"/>
      <c r="AJ287" s="452">
        <f>IF(OR(E287="",D287=""),0,ProjSlideMetersBetween(E287,D287,$R$13:$R$305,$S$13:$S$305))</f>
        <v>0</v>
      </c>
      <c r="AK287" s="452" t="str">
        <f>IF(U287="","",ProjParseTF(U287))</f>
        <v/>
      </c>
      <c r="AL287" s="219" t="str">
        <f>IF(E287="","",ProjCumN(AL286,E286,F286,G286,E287,F287,G287,FALSE))</f>
        <v/>
      </c>
      <c r="AM287" s="331" t="str">
        <f>IF(E287="","",ProjCumE(AM286,E286,F286,G286,E287,F287,G287,FALSE))</f>
        <v/>
      </c>
      <c r="AN287" s="330" t="str">
        <f t="shared" si="88"/>
        <v/>
      </c>
      <c r="AO287" s="330" t="str">
        <f>IF(OR(E287="",E287&lt;$U$2),"",ProjActiveTargetMdEx(D287,W287,V287,ProjTargets_MD,ProjTargets_INC,ProjTargets_AZM,ProjTargets_TVD,F287,H287))</f>
        <v/>
      </c>
      <c r="AP287" s="207" t="str">
        <f>IF(OR(E287="",E287&lt;$U$2),"",ProjBitN(E287,F287,G287,AL287,D287,W287,X287))</f>
        <v/>
      </c>
      <c r="AQ287" s="207" t="str">
        <f>IF(OR(E287="",E287&lt;$U$2),"",ProjBitE(E287,F287,G287,AM287,D287,W287,X287))</f>
        <v/>
      </c>
      <c r="AR287" s="207" t="str">
        <f>IF(OR(E287="",E287&lt;$U$2,AO287=""),"",ProjBurr(D287,W287,X287,Q287,C287,ProjTargets_MD,ProjTargets_INC,ProjTargets_AZM,ProjTargets_TVD,V287))</f>
        <v/>
      </c>
      <c r="AS287" s="207" t="str">
        <f>IF(OR(E287="",E287&lt;$U$2,AO287=""),"",ProjMetersToSlide(D287,W287,X287,Q287,C287,ProjTargets_MD,ProjTargets_INC,ProjTargets_AZM,ProjTargets_TVD,V287))</f>
        <v/>
      </c>
      <c r="AT287" s="207" t="str">
        <f>IF(OR(E287="",E287&lt;$U$2,AO287=""),"",ProjRequiredTf(D287,W287,X287,ProjTargets_MD,ProjTargets_INC,ProjTargets_AZM,ProjTargets_TVD,5,V287))</f>
        <v/>
      </c>
    </row>
    <row r="288" spans="2:46" s="209" customFormat="1" ht="15" customHeight="1" x14ac:dyDescent="0.3">
      <c r="B288" s="208" t="str">
        <f t="shared" si="77"/>
        <v/>
      </c>
      <c r="C288" s="335" t="str">
        <f t="shared" si="84"/>
        <v/>
      </c>
      <c r="D288" s="27"/>
      <c r="E288" s="336" t="str">
        <f t="shared" si="85"/>
        <v/>
      </c>
      <c r="F288" s="9"/>
      <c r="G288" s="9"/>
      <c r="H288" s="337" t="str">
        <f t="shared" si="78"/>
        <v/>
      </c>
      <c r="I288" s="337" t="str">
        <f t="shared" si="87"/>
        <v xml:space="preserve">  </v>
      </c>
      <c r="J288" s="338" t="str">
        <f t="shared" si="89"/>
        <v/>
      </c>
      <c r="K288" s="339" t="str">
        <f t="shared" si="90"/>
        <v xml:space="preserve"> </v>
      </c>
      <c r="L288" s="339" t="str">
        <f t="shared" si="86"/>
        <v/>
      </c>
      <c r="M288" s="339" t="str">
        <f t="shared" si="79"/>
        <v/>
      </c>
      <c r="N288" s="340" t="str">
        <f t="shared" si="80"/>
        <v/>
      </c>
      <c r="O288" s="341" t="str">
        <f t="shared" si="81"/>
        <v/>
      </c>
      <c r="P288" s="342" t="str">
        <f t="shared" si="82"/>
        <v/>
      </c>
      <c r="Q288" s="343" t="str">
        <f t="shared" si="83"/>
        <v/>
      </c>
      <c r="R288" s="10" t="str">
        <f t="shared" si="93"/>
        <v/>
      </c>
      <c r="S288" s="337" t="str">
        <f t="shared" si="76"/>
        <v/>
      </c>
      <c r="T288" s="9"/>
      <c r="U288" s="8"/>
      <c r="V288" s="202" t="str">
        <f>IF(OR(E288="",E288&lt;$U$2),"",ProjTvdAtBit(E288,F288,G288,H288,D288,W288,X288))</f>
        <v/>
      </c>
      <c r="W288" s="344" t="str">
        <f>IF(OR(E288="",E288&lt;$U$2),"",ProjIncAtBit(F288,J288,C288,M288,AJ288,IF(AK288="",0,AK288)))</f>
        <v/>
      </c>
      <c r="X288" s="455" t="str">
        <f>IF(OR(E288="",E288&lt;$U$2),"",ProjAzmAtBit(F288,G288,J288,C288,M288,AJ288,IF(AK288="",0,AK288)))</f>
        <v/>
      </c>
      <c r="Y288" s="461"/>
      <c r="Z288" s="206"/>
      <c r="AA288" s="512" t="str">
        <f t="shared" si="91"/>
        <v/>
      </c>
      <c r="AB288" s="520" t="str">
        <f t="shared" si="92"/>
        <v/>
      </c>
      <c r="AC288" s="510"/>
      <c r="AD288" s="515"/>
      <c r="AE288" s="516"/>
      <c r="AJ288" s="452">
        <f>IF(OR(E288="",D288=""),0,ProjSlideMetersBetween(E288,D288,$R$13:$R$305,$S$13:$S$305))</f>
        <v>0</v>
      </c>
      <c r="AK288" s="452" t="str">
        <f>IF(U288="","",ProjParseTF(U288))</f>
        <v/>
      </c>
      <c r="AL288" s="219" t="str">
        <f>IF(E288="","",ProjCumN(AL287,E287,F287,G287,E288,F288,G288,FALSE))</f>
        <v/>
      </c>
      <c r="AM288" s="331" t="str">
        <f>IF(E288="","",ProjCumE(AM287,E287,F287,G287,E288,F288,G288,FALSE))</f>
        <v/>
      </c>
      <c r="AN288" s="330" t="str">
        <f t="shared" si="88"/>
        <v/>
      </c>
      <c r="AO288" s="330" t="str">
        <f>IF(OR(E288="",E288&lt;$U$2),"",ProjActiveTargetMdEx(D288,W288,V288,ProjTargets_MD,ProjTargets_INC,ProjTargets_AZM,ProjTargets_TVD,F288,H288))</f>
        <v/>
      </c>
      <c r="AP288" s="207" t="str">
        <f>IF(OR(E288="",E288&lt;$U$2),"",ProjBitN(E288,F288,G288,AL288,D288,W288,X288))</f>
        <v/>
      </c>
      <c r="AQ288" s="207" t="str">
        <f>IF(OR(E288="",E288&lt;$U$2),"",ProjBitE(E288,F288,G288,AM288,D288,W288,X288))</f>
        <v/>
      </c>
      <c r="AR288" s="207" t="str">
        <f>IF(OR(E288="",E288&lt;$U$2,AO288=""),"",ProjBurr(D288,W288,X288,Q288,C288,ProjTargets_MD,ProjTargets_INC,ProjTargets_AZM,ProjTargets_TVD,V288))</f>
        <v/>
      </c>
      <c r="AS288" s="207" t="str">
        <f>IF(OR(E288="",E288&lt;$U$2,AO288=""),"",ProjMetersToSlide(D288,W288,X288,Q288,C288,ProjTargets_MD,ProjTargets_INC,ProjTargets_AZM,ProjTargets_TVD,V288))</f>
        <v/>
      </c>
      <c r="AT288" s="207" t="str">
        <f>IF(OR(E288="",E288&lt;$U$2,AO288=""),"",ProjRequiredTf(D288,W288,X288,ProjTargets_MD,ProjTargets_INC,ProjTargets_AZM,ProjTargets_TVD,5,V288))</f>
        <v/>
      </c>
    </row>
    <row r="289" spans="2:46" s="209" customFormat="1" ht="15" customHeight="1" x14ac:dyDescent="0.3">
      <c r="B289" s="208" t="str">
        <f t="shared" si="77"/>
        <v/>
      </c>
      <c r="C289" s="335" t="str">
        <f t="shared" si="84"/>
        <v/>
      </c>
      <c r="D289" s="27"/>
      <c r="E289" s="336" t="str">
        <f t="shared" si="85"/>
        <v/>
      </c>
      <c r="F289" s="9"/>
      <c r="G289" s="9"/>
      <c r="H289" s="337" t="str">
        <f t="shared" si="78"/>
        <v/>
      </c>
      <c r="I289" s="337" t="str">
        <f t="shared" si="87"/>
        <v xml:space="preserve">  </v>
      </c>
      <c r="J289" s="338" t="str">
        <f t="shared" si="89"/>
        <v/>
      </c>
      <c r="K289" s="339" t="str">
        <f t="shared" si="90"/>
        <v xml:space="preserve"> </v>
      </c>
      <c r="L289" s="339" t="str">
        <f t="shared" si="86"/>
        <v/>
      </c>
      <c r="M289" s="339" t="str">
        <f t="shared" si="79"/>
        <v/>
      </c>
      <c r="N289" s="340" t="str">
        <f t="shared" si="80"/>
        <v/>
      </c>
      <c r="O289" s="341" t="str">
        <f t="shared" si="81"/>
        <v/>
      </c>
      <c r="P289" s="342" t="str">
        <f t="shared" si="82"/>
        <v/>
      </c>
      <c r="Q289" s="343" t="str">
        <f t="shared" si="83"/>
        <v/>
      </c>
      <c r="R289" s="10" t="str">
        <f t="shared" si="93"/>
        <v/>
      </c>
      <c r="S289" s="337" t="str">
        <f t="shared" si="76"/>
        <v/>
      </c>
      <c r="T289" s="9"/>
      <c r="U289" s="8"/>
      <c r="V289" s="202" t="str">
        <f>IF(OR(E289="",E289&lt;$U$2),"",ProjTvdAtBit(E289,F289,G289,H289,D289,W289,X289))</f>
        <v/>
      </c>
      <c r="W289" s="344" t="str">
        <f>IF(OR(E289="",E289&lt;$U$2),"",ProjIncAtBit(F289,J289,C289,M289,AJ289,IF(AK289="",0,AK289)))</f>
        <v/>
      </c>
      <c r="X289" s="455" t="str">
        <f>IF(OR(E289="",E289&lt;$U$2),"",ProjAzmAtBit(F289,G289,J289,C289,M289,AJ289,IF(AK289="",0,AK289)))</f>
        <v/>
      </c>
      <c r="Y289" s="461"/>
      <c r="Z289" s="206"/>
      <c r="AA289" s="512" t="str">
        <f t="shared" si="91"/>
        <v/>
      </c>
      <c r="AB289" s="520" t="str">
        <f t="shared" si="92"/>
        <v/>
      </c>
      <c r="AC289" s="510"/>
      <c r="AD289" s="515"/>
      <c r="AE289" s="516"/>
      <c r="AJ289" s="452">
        <f>IF(OR(E289="",D289=""),0,ProjSlideMetersBetween(E289,D289,$R$13:$R$305,$S$13:$S$305))</f>
        <v>0</v>
      </c>
      <c r="AK289" s="452" t="str">
        <f>IF(U289="","",ProjParseTF(U289))</f>
        <v/>
      </c>
      <c r="AL289" s="219" t="str">
        <f>IF(E289="","",ProjCumN(AL288,E288,F288,G288,E289,F289,G289,FALSE))</f>
        <v/>
      </c>
      <c r="AM289" s="331" t="str">
        <f>IF(E289="","",ProjCumE(AM288,E288,F288,G288,E289,F289,G289,FALSE))</f>
        <v/>
      </c>
      <c r="AN289" s="330" t="str">
        <f t="shared" si="88"/>
        <v/>
      </c>
      <c r="AO289" s="330" t="str">
        <f>IF(OR(E289="",E289&lt;$U$2),"",ProjActiveTargetMdEx(D289,W289,V289,ProjTargets_MD,ProjTargets_INC,ProjTargets_AZM,ProjTargets_TVD,F289,H289))</f>
        <v/>
      </c>
      <c r="AP289" s="207" t="str">
        <f>IF(OR(E289="",E289&lt;$U$2),"",ProjBitN(E289,F289,G289,AL289,D289,W289,X289))</f>
        <v/>
      </c>
      <c r="AQ289" s="207" t="str">
        <f>IF(OR(E289="",E289&lt;$U$2),"",ProjBitE(E289,F289,G289,AM289,D289,W289,X289))</f>
        <v/>
      </c>
      <c r="AR289" s="207" t="str">
        <f>IF(OR(E289="",E289&lt;$U$2,AO289=""),"",ProjBurr(D289,W289,X289,Q289,C289,ProjTargets_MD,ProjTargets_INC,ProjTargets_AZM,ProjTargets_TVD,V289))</f>
        <v/>
      </c>
      <c r="AS289" s="207" t="str">
        <f>IF(OR(E289="",E289&lt;$U$2,AO289=""),"",ProjMetersToSlide(D289,W289,X289,Q289,C289,ProjTargets_MD,ProjTargets_INC,ProjTargets_AZM,ProjTargets_TVD,V289))</f>
        <v/>
      </c>
      <c r="AT289" s="207" t="str">
        <f>IF(OR(E289="",E289&lt;$U$2,AO289=""),"",ProjRequiredTf(D289,W289,X289,ProjTargets_MD,ProjTargets_INC,ProjTargets_AZM,ProjTargets_TVD,5,V289))</f>
        <v/>
      </c>
    </row>
    <row r="290" spans="2:46" s="209" customFormat="1" ht="15" customHeight="1" x14ac:dyDescent="0.3">
      <c r="B290" s="208" t="str">
        <f t="shared" si="77"/>
        <v/>
      </c>
      <c r="C290" s="335" t="str">
        <f t="shared" si="84"/>
        <v/>
      </c>
      <c r="D290" s="27"/>
      <c r="E290" s="336" t="str">
        <f t="shared" si="85"/>
        <v/>
      </c>
      <c r="F290" s="9"/>
      <c r="G290" s="9"/>
      <c r="H290" s="337" t="str">
        <f t="shared" si="78"/>
        <v/>
      </c>
      <c r="I290" s="337" t="str">
        <f t="shared" si="87"/>
        <v xml:space="preserve">  </v>
      </c>
      <c r="J290" s="338" t="str">
        <f t="shared" si="89"/>
        <v/>
      </c>
      <c r="K290" s="339" t="str">
        <f t="shared" si="90"/>
        <v xml:space="preserve"> </v>
      </c>
      <c r="L290" s="339" t="str">
        <f t="shared" si="86"/>
        <v/>
      </c>
      <c r="M290" s="339" t="str">
        <f t="shared" si="79"/>
        <v/>
      </c>
      <c r="N290" s="340" t="str">
        <f t="shared" si="80"/>
        <v/>
      </c>
      <c r="O290" s="341" t="str">
        <f t="shared" si="81"/>
        <v/>
      </c>
      <c r="P290" s="342" t="str">
        <f t="shared" si="82"/>
        <v/>
      </c>
      <c r="Q290" s="343" t="str">
        <f t="shared" si="83"/>
        <v/>
      </c>
      <c r="R290" s="10" t="str">
        <f t="shared" si="93"/>
        <v/>
      </c>
      <c r="S290" s="337" t="str">
        <f t="shared" si="76"/>
        <v/>
      </c>
      <c r="T290" s="9"/>
      <c r="U290" s="8"/>
      <c r="V290" s="202" t="str">
        <f>IF(OR(E290="",E290&lt;$U$2),"",ProjTvdAtBit(E290,F290,G290,H290,D290,W290,X290))</f>
        <v/>
      </c>
      <c r="W290" s="344" t="str">
        <f>IF(OR(E290="",E290&lt;$U$2),"",ProjIncAtBit(F290,J290,C290,M290,AJ290,IF(AK290="",0,AK290)))</f>
        <v/>
      </c>
      <c r="X290" s="455" t="str">
        <f>IF(OR(E290="",E290&lt;$U$2),"",ProjAzmAtBit(F290,G290,J290,C290,M290,AJ290,IF(AK290="",0,AK290)))</f>
        <v/>
      </c>
      <c r="Y290" s="461"/>
      <c r="Z290" s="206"/>
      <c r="AA290" s="512" t="str">
        <f t="shared" si="91"/>
        <v/>
      </c>
      <c r="AB290" s="520" t="str">
        <f t="shared" si="92"/>
        <v/>
      </c>
      <c r="AC290" s="510"/>
      <c r="AD290" s="515"/>
      <c r="AE290" s="516"/>
      <c r="AJ290" s="452">
        <f>IF(OR(E290="",D290=""),0,ProjSlideMetersBetween(E290,D290,$R$13:$R$305,$S$13:$S$305))</f>
        <v>0</v>
      </c>
      <c r="AK290" s="452" t="str">
        <f>IF(U290="","",ProjParseTF(U290))</f>
        <v/>
      </c>
      <c r="AL290" s="219" t="str">
        <f>IF(E290="","",ProjCumN(AL289,E289,F289,G289,E290,F290,G290,FALSE))</f>
        <v/>
      </c>
      <c r="AM290" s="331" t="str">
        <f>IF(E290="","",ProjCumE(AM289,E289,F289,G289,E290,F290,G290,FALSE))</f>
        <v/>
      </c>
      <c r="AN290" s="330" t="str">
        <f t="shared" si="88"/>
        <v/>
      </c>
      <c r="AO290" s="330" t="str">
        <f>IF(OR(E290="",E290&lt;$U$2),"",ProjActiveTargetMdEx(D290,W290,V290,ProjTargets_MD,ProjTargets_INC,ProjTargets_AZM,ProjTargets_TVD,F290,H290))</f>
        <v/>
      </c>
      <c r="AP290" s="207" t="str">
        <f>IF(OR(E290="",E290&lt;$U$2),"",ProjBitN(E290,F290,G290,AL290,D290,W290,X290))</f>
        <v/>
      </c>
      <c r="AQ290" s="207" t="str">
        <f>IF(OR(E290="",E290&lt;$U$2),"",ProjBitE(E290,F290,G290,AM290,D290,W290,X290))</f>
        <v/>
      </c>
      <c r="AR290" s="207" t="str">
        <f>IF(OR(E290="",E290&lt;$U$2,AO290=""),"",ProjBurr(D290,W290,X290,Q290,C290,ProjTargets_MD,ProjTargets_INC,ProjTargets_AZM,ProjTargets_TVD,V290))</f>
        <v/>
      </c>
      <c r="AS290" s="207" t="str">
        <f>IF(OR(E290="",E290&lt;$U$2,AO290=""),"",ProjMetersToSlide(D290,W290,X290,Q290,C290,ProjTargets_MD,ProjTargets_INC,ProjTargets_AZM,ProjTargets_TVD,V290))</f>
        <v/>
      </c>
      <c r="AT290" s="207" t="str">
        <f>IF(OR(E290="",E290&lt;$U$2,AO290=""),"",ProjRequiredTf(D290,W290,X290,ProjTargets_MD,ProjTargets_INC,ProjTargets_AZM,ProjTargets_TVD,5,V290))</f>
        <v/>
      </c>
    </row>
    <row r="291" spans="2:46" s="209" customFormat="1" ht="15" customHeight="1" x14ac:dyDescent="0.3">
      <c r="B291" s="208" t="str">
        <f t="shared" si="77"/>
        <v/>
      </c>
      <c r="C291" s="335" t="str">
        <f t="shared" si="84"/>
        <v/>
      </c>
      <c r="D291" s="27"/>
      <c r="E291" s="336" t="str">
        <f t="shared" si="85"/>
        <v/>
      </c>
      <c r="F291" s="9"/>
      <c r="G291" s="9"/>
      <c r="H291" s="337" t="str">
        <f t="shared" si="78"/>
        <v/>
      </c>
      <c r="I291" s="337" t="str">
        <f t="shared" si="87"/>
        <v xml:space="preserve">  </v>
      </c>
      <c r="J291" s="338" t="str">
        <f t="shared" si="89"/>
        <v/>
      </c>
      <c r="K291" s="339" t="str">
        <f t="shared" si="90"/>
        <v xml:space="preserve"> </v>
      </c>
      <c r="L291" s="339" t="str">
        <f t="shared" si="86"/>
        <v/>
      </c>
      <c r="M291" s="339" t="str">
        <f t="shared" si="79"/>
        <v/>
      </c>
      <c r="N291" s="340" t="str">
        <f t="shared" si="80"/>
        <v/>
      </c>
      <c r="O291" s="341" t="str">
        <f t="shared" si="81"/>
        <v/>
      </c>
      <c r="P291" s="342" t="str">
        <f t="shared" si="82"/>
        <v/>
      </c>
      <c r="Q291" s="343" t="str">
        <f t="shared" si="83"/>
        <v/>
      </c>
      <c r="R291" s="10" t="str">
        <f t="shared" si="93"/>
        <v/>
      </c>
      <c r="S291" s="337" t="str">
        <f t="shared" si="76"/>
        <v/>
      </c>
      <c r="T291" s="9"/>
      <c r="U291" s="8"/>
      <c r="V291" s="202" t="str">
        <f>IF(OR(E291="",E291&lt;$U$2),"",ProjTvdAtBit(E291,F291,G291,H291,D291,W291,X291))</f>
        <v/>
      </c>
      <c r="W291" s="344" t="str">
        <f>IF(OR(E291="",E291&lt;$U$2),"",ProjIncAtBit(F291,J291,C291,M291,AJ291,IF(AK291="",0,AK291)))</f>
        <v/>
      </c>
      <c r="X291" s="455" t="str">
        <f>IF(OR(E291="",E291&lt;$U$2),"",ProjAzmAtBit(F291,G291,J291,C291,M291,AJ291,IF(AK291="",0,AK291)))</f>
        <v/>
      </c>
      <c r="Y291" s="461"/>
      <c r="Z291" s="206"/>
      <c r="AA291" s="512" t="str">
        <f t="shared" si="91"/>
        <v/>
      </c>
      <c r="AB291" s="520" t="str">
        <f t="shared" si="92"/>
        <v/>
      </c>
      <c r="AC291" s="510"/>
      <c r="AD291" s="515"/>
      <c r="AE291" s="516"/>
      <c r="AJ291" s="452">
        <f>IF(OR(E291="",D291=""),0,ProjSlideMetersBetween(E291,D291,$R$13:$R$305,$S$13:$S$305))</f>
        <v>0</v>
      </c>
      <c r="AK291" s="452" t="str">
        <f>IF(U291="","",ProjParseTF(U291))</f>
        <v/>
      </c>
      <c r="AL291" s="219" t="str">
        <f>IF(E291="","",ProjCumN(AL290,E290,F290,G290,E291,F291,G291,FALSE))</f>
        <v/>
      </c>
      <c r="AM291" s="331" t="str">
        <f>IF(E291="","",ProjCumE(AM290,E290,F290,G290,E291,F291,G291,FALSE))</f>
        <v/>
      </c>
      <c r="AN291" s="330" t="str">
        <f t="shared" si="88"/>
        <v/>
      </c>
      <c r="AO291" s="330" t="str">
        <f>IF(OR(E291="",E291&lt;$U$2),"",ProjActiveTargetMdEx(D291,W291,V291,ProjTargets_MD,ProjTargets_INC,ProjTargets_AZM,ProjTargets_TVD,F291,H291))</f>
        <v/>
      </c>
      <c r="AP291" s="207" t="str">
        <f>IF(OR(E291="",E291&lt;$U$2),"",ProjBitN(E291,F291,G291,AL291,D291,W291,X291))</f>
        <v/>
      </c>
      <c r="AQ291" s="207" t="str">
        <f>IF(OR(E291="",E291&lt;$U$2),"",ProjBitE(E291,F291,G291,AM291,D291,W291,X291))</f>
        <v/>
      </c>
      <c r="AR291" s="207" t="str">
        <f>IF(OR(E291="",E291&lt;$U$2,AO291=""),"",ProjBurr(D291,W291,X291,Q291,C291,ProjTargets_MD,ProjTargets_INC,ProjTargets_AZM,ProjTargets_TVD,V291))</f>
        <v/>
      </c>
      <c r="AS291" s="207" t="str">
        <f>IF(OR(E291="",E291&lt;$U$2,AO291=""),"",ProjMetersToSlide(D291,W291,X291,Q291,C291,ProjTargets_MD,ProjTargets_INC,ProjTargets_AZM,ProjTargets_TVD,V291))</f>
        <v/>
      </c>
      <c r="AT291" s="207" t="str">
        <f>IF(OR(E291="",E291&lt;$U$2,AO291=""),"",ProjRequiredTf(D291,W291,X291,ProjTargets_MD,ProjTargets_INC,ProjTargets_AZM,ProjTargets_TVD,5,V291))</f>
        <v/>
      </c>
    </row>
    <row r="292" spans="2:46" s="209" customFormat="1" ht="15" customHeight="1" x14ac:dyDescent="0.3">
      <c r="B292" s="208" t="str">
        <f t="shared" si="77"/>
        <v/>
      </c>
      <c r="C292" s="335" t="str">
        <f t="shared" si="84"/>
        <v/>
      </c>
      <c r="D292" s="27"/>
      <c r="E292" s="336" t="str">
        <f t="shared" si="85"/>
        <v/>
      </c>
      <c r="F292" s="9"/>
      <c r="G292" s="9"/>
      <c r="H292" s="337" t="str">
        <f t="shared" si="78"/>
        <v/>
      </c>
      <c r="I292" s="337" t="str">
        <f t="shared" si="87"/>
        <v xml:space="preserve">  </v>
      </c>
      <c r="J292" s="338" t="str">
        <f t="shared" si="89"/>
        <v/>
      </c>
      <c r="K292" s="339" t="str">
        <f t="shared" si="90"/>
        <v xml:space="preserve"> </v>
      </c>
      <c r="L292" s="339" t="str">
        <f t="shared" si="86"/>
        <v/>
      </c>
      <c r="M292" s="339" t="str">
        <f t="shared" si="79"/>
        <v/>
      </c>
      <c r="N292" s="340" t="str">
        <f t="shared" si="80"/>
        <v/>
      </c>
      <c r="O292" s="341" t="str">
        <f t="shared" si="81"/>
        <v/>
      </c>
      <c r="P292" s="342" t="str">
        <f t="shared" si="82"/>
        <v/>
      </c>
      <c r="Q292" s="343" t="str">
        <f t="shared" si="83"/>
        <v/>
      </c>
      <c r="R292" s="10" t="str">
        <f t="shared" si="93"/>
        <v/>
      </c>
      <c r="S292" s="337" t="str">
        <f t="shared" si="76"/>
        <v/>
      </c>
      <c r="T292" s="9"/>
      <c r="U292" s="8"/>
      <c r="V292" s="202" t="str">
        <f>IF(OR(E292="",E292&lt;$U$2),"",ProjTvdAtBit(E292,F292,G292,H292,D292,W292,X292))</f>
        <v/>
      </c>
      <c r="W292" s="344" t="str">
        <f>IF(OR(E292="",E292&lt;$U$2),"",ProjIncAtBit(F292,J292,C292,M292,AJ292,IF(AK292="",0,AK292)))</f>
        <v/>
      </c>
      <c r="X292" s="455" t="str">
        <f>IF(OR(E292="",E292&lt;$U$2),"",ProjAzmAtBit(F292,G292,J292,C292,M292,AJ292,IF(AK292="",0,AK292)))</f>
        <v/>
      </c>
      <c r="Y292" s="461"/>
      <c r="Z292" s="206"/>
      <c r="AA292" s="512" t="str">
        <f t="shared" si="91"/>
        <v/>
      </c>
      <c r="AB292" s="520" t="str">
        <f t="shared" si="92"/>
        <v/>
      </c>
      <c r="AC292" s="510"/>
      <c r="AD292" s="515"/>
      <c r="AE292" s="516"/>
      <c r="AJ292" s="452">
        <f>IF(OR(E292="",D292=""),0,ProjSlideMetersBetween(E292,D292,$R$13:$R$305,$S$13:$S$305))</f>
        <v>0</v>
      </c>
      <c r="AK292" s="452" t="str">
        <f>IF(U292="","",ProjParseTF(U292))</f>
        <v/>
      </c>
      <c r="AL292" s="219" t="str">
        <f>IF(E292="","",ProjCumN(AL291,E291,F291,G291,E292,F292,G292,FALSE))</f>
        <v/>
      </c>
      <c r="AM292" s="331" t="str">
        <f>IF(E292="","",ProjCumE(AM291,E291,F291,G291,E292,F292,G292,FALSE))</f>
        <v/>
      </c>
      <c r="AN292" s="330" t="str">
        <f t="shared" si="88"/>
        <v/>
      </c>
      <c r="AO292" s="330" t="str">
        <f>IF(OR(E292="",E292&lt;$U$2),"",ProjActiveTargetMdEx(D292,W292,V292,ProjTargets_MD,ProjTargets_INC,ProjTargets_AZM,ProjTargets_TVD,F292,H292))</f>
        <v/>
      </c>
      <c r="AP292" s="207" t="str">
        <f>IF(OR(E292="",E292&lt;$U$2),"",ProjBitN(E292,F292,G292,AL292,D292,W292,X292))</f>
        <v/>
      </c>
      <c r="AQ292" s="207" t="str">
        <f>IF(OR(E292="",E292&lt;$U$2),"",ProjBitE(E292,F292,G292,AM292,D292,W292,X292))</f>
        <v/>
      </c>
      <c r="AR292" s="207" t="str">
        <f>IF(OR(E292="",E292&lt;$U$2,AO292=""),"",ProjBurr(D292,W292,X292,Q292,C292,ProjTargets_MD,ProjTargets_INC,ProjTargets_AZM,ProjTargets_TVD,V292))</f>
        <v/>
      </c>
      <c r="AS292" s="207" t="str">
        <f>IF(OR(E292="",E292&lt;$U$2,AO292=""),"",ProjMetersToSlide(D292,W292,X292,Q292,C292,ProjTargets_MD,ProjTargets_INC,ProjTargets_AZM,ProjTargets_TVD,V292))</f>
        <v/>
      </c>
      <c r="AT292" s="207" t="str">
        <f>IF(OR(E292="",E292&lt;$U$2,AO292=""),"",ProjRequiredTf(D292,W292,X292,ProjTargets_MD,ProjTargets_INC,ProjTargets_AZM,ProjTargets_TVD,5,V292))</f>
        <v/>
      </c>
    </row>
    <row r="293" spans="2:46" s="209" customFormat="1" ht="15" customHeight="1" x14ac:dyDescent="0.3">
      <c r="B293" s="208" t="str">
        <f t="shared" si="77"/>
        <v/>
      </c>
      <c r="C293" s="335" t="str">
        <f t="shared" si="84"/>
        <v/>
      </c>
      <c r="D293" s="27"/>
      <c r="E293" s="336" t="str">
        <f t="shared" si="85"/>
        <v/>
      </c>
      <c r="F293" s="9"/>
      <c r="G293" s="9"/>
      <c r="H293" s="337" t="str">
        <f t="shared" si="78"/>
        <v/>
      </c>
      <c r="I293" s="337" t="str">
        <f t="shared" si="87"/>
        <v xml:space="preserve">  </v>
      </c>
      <c r="J293" s="338" t="str">
        <f t="shared" si="89"/>
        <v/>
      </c>
      <c r="K293" s="339" t="str">
        <f t="shared" si="90"/>
        <v xml:space="preserve"> </v>
      </c>
      <c r="L293" s="339" t="str">
        <f t="shared" si="86"/>
        <v/>
      </c>
      <c r="M293" s="339" t="str">
        <f t="shared" si="79"/>
        <v/>
      </c>
      <c r="N293" s="340" t="str">
        <f t="shared" si="80"/>
        <v/>
      </c>
      <c r="O293" s="341" t="str">
        <f t="shared" si="81"/>
        <v/>
      </c>
      <c r="P293" s="342" t="str">
        <f t="shared" si="82"/>
        <v/>
      </c>
      <c r="Q293" s="343" t="str">
        <f t="shared" si="83"/>
        <v/>
      </c>
      <c r="R293" s="10" t="str">
        <f t="shared" si="93"/>
        <v/>
      </c>
      <c r="S293" s="337" t="str">
        <f t="shared" si="76"/>
        <v/>
      </c>
      <c r="T293" s="9"/>
      <c r="U293" s="8"/>
      <c r="V293" s="202" t="str">
        <f>IF(OR(E293="",E293&lt;$U$2),"",ProjTvdAtBit(E293,F293,G293,H293,D293,W293,X293))</f>
        <v/>
      </c>
      <c r="W293" s="344" t="str">
        <f>IF(OR(E293="",E293&lt;$U$2),"",ProjIncAtBit(F293,J293,C293,M293,AJ293,IF(AK293="",0,AK293)))</f>
        <v/>
      </c>
      <c r="X293" s="455" t="str">
        <f>IF(OR(E293="",E293&lt;$U$2),"",ProjAzmAtBit(F293,G293,J293,C293,M293,AJ293,IF(AK293="",0,AK293)))</f>
        <v/>
      </c>
      <c r="Y293" s="461"/>
      <c r="Z293" s="206"/>
      <c r="AA293" s="512" t="str">
        <f t="shared" si="91"/>
        <v/>
      </c>
      <c r="AB293" s="520" t="str">
        <f t="shared" si="92"/>
        <v/>
      </c>
      <c r="AC293" s="510"/>
      <c r="AD293" s="515"/>
      <c r="AE293" s="516"/>
      <c r="AJ293" s="452">
        <f>IF(OR(E293="",D293=""),0,ProjSlideMetersBetween(E293,D293,$R$13:$R$305,$S$13:$S$305))</f>
        <v>0</v>
      </c>
      <c r="AK293" s="452" t="str">
        <f>IF(U293="","",ProjParseTF(U293))</f>
        <v/>
      </c>
      <c r="AL293" s="219" t="str">
        <f>IF(E293="","",ProjCumN(AL292,E292,F292,G292,E293,F293,G293,FALSE))</f>
        <v/>
      </c>
      <c r="AM293" s="331" t="str">
        <f>IF(E293="","",ProjCumE(AM292,E292,F292,G292,E293,F293,G293,FALSE))</f>
        <v/>
      </c>
      <c r="AN293" s="330" t="str">
        <f t="shared" si="88"/>
        <v/>
      </c>
      <c r="AO293" s="330" t="str">
        <f>IF(OR(E293="",E293&lt;$U$2),"",ProjActiveTargetMdEx(D293,W293,V293,ProjTargets_MD,ProjTargets_INC,ProjTargets_AZM,ProjTargets_TVD,F293,H293))</f>
        <v/>
      </c>
      <c r="AP293" s="207" t="str">
        <f>IF(OR(E293="",E293&lt;$U$2),"",ProjBitN(E293,F293,G293,AL293,D293,W293,X293))</f>
        <v/>
      </c>
      <c r="AQ293" s="207" t="str">
        <f>IF(OR(E293="",E293&lt;$U$2),"",ProjBitE(E293,F293,G293,AM293,D293,W293,X293))</f>
        <v/>
      </c>
      <c r="AR293" s="207" t="str">
        <f>IF(OR(E293="",E293&lt;$U$2,AO293=""),"",ProjBurr(D293,W293,X293,Q293,C293,ProjTargets_MD,ProjTargets_INC,ProjTargets_AZM,ProjTargets_TVD,V293))</f>
        <v/>
      </c>
      <c r="AS293" s="207" t="str">
        <f>IF(OR(E293="",E293&lt;$U$2,AO293=""),"",ProjMetersToSlide(D293,W293,X293,Q293,C293,ProjTargets_MD,ProjTargets_INC,ProjTargets_AZM,ProjTargets_TVD,V293))</f>
        <v/>
      </c>
      <c r="AT293" s="207" t="str">
        <f>IF(OR(E293="",E293&lt;$U$2,AO293=""),"",ProjRequiredTf(D293,W293,X293,ProjTargets_MD,ProjTargets_INC,ProjTargets_AZM,ProjTargets_TVD,5,V293))</f>
        <v/>
      </c>
    </row>
    <row r="294" spans="2:46" s="209" customFormat="1" ht="15" customHeight="1" x14ac:dyDescent="0.3">
      <c r="B294" s="208" t="str">
        <f t="shared" si="77"/>
        <v/>
      </c>
      <c r="C294" s="335" t="str">
        <f t="shared" si="84"/>
        <v/>
      </c>
      <c r="D294" s="27"/>
      <c r="E294" s="336" t="str">
        <f t="shared" si="85"/>
        <v/>
      </c>
      <c r="F294" s="9"/>
      <c r="G294" s="9"/>
      <c r="H294" s="337" t="str">
        <f t="shared" si="78"/>
        <v/>
      </c>
      <c r="I294" s="337" t="str">
        <f t="shared" si="87"/>
        <v xml:space="preserve">  </v>
      </c>
      <c r="J294" s="338" t="str">
        <f t="shared" si="89"/>
        <v/>
      </c>
      <c r="K294" s="339" t="str">
        <f t="shared" si="90"/>
        <v xml:space="preserve"> </v>
      </c>
      <c r="L294" s="339" t="str">
        <f t="shared" si="86"/>
        <v/>
      </c>
      <c r="M294" s="339" t="str">
        <f t="shared" si="79"/>
        <v/>
      </c>
      <c r="N294" s="340" t="str">
        <f t="shared" si="80"/>
        <v/>
      </c>
      <c r="O294" s="341" t="str">
        <f t="shared" si="81"/>
        <v/>
      </c>
      <c r="P294" s="342" t="str">
        <f t="shared" si="82"/>
        <v/>
      </c>
      <c r="Q294" s="343" t="str">
        <f t="shared" si="83"/>
        <v/>
      </c>
      <c r="R294" s="10" t="str">
        <f t="shared" si="93"/>
        <v/>
      </c>
      <c r="S294" s="337" t="str">
        <f t="shared" si="76"/>
        <v/>
      </c>
      <c r="T294" s="9"/>
      <c r="U294" s="8"/>
      <c r="V294" s="202" t="str">
        <f>IF(OR(E294="",E294&lt;$U$2),"",ProjTvdAtBit(E294,F294,G294,H294,D294,W294,X294))</f>
        <v/>
      </c>
      <c r="W294" s="344" t="str">
        <f>IF(OR(E294="",E294&lt;$U$2),"",ProjIncAtBit(F294,J294,C294,M294,AJ294,IF(AK294="",0,AK294)))</f>
        <v/>
      </c>
      <c r="X294" s="455" t="str">
        <f>IF(OR(E294="",E294&lt;$U$2),"",ProjAzmAtBit(F294,G294,J294,C294,M294,AJ294,IF(AK294="",0,AK294)))</f>
        <v/>
      </c>
      <c r="Y294" s="461"/>
      <c r="Z294" s="206"/>
      <c r="AA294" s="512" t="str">
        <f t="shared" si="91"/>
        <v/>
      </c>
      <c r="AB294" s="520" t="str">
        <f t="shared" si="92"/>
        <v/>
      </c>
      <c r="AC294" s="510"/>
      <c r="AD294" s="515"/>
      <c r="AE294" s="516"/>
      <c r="AJ294" s="452">
        <f>IF(OR(E294="",D294=""),0,ProjSlideMetersBetween(E294,D294,$R$13:$R$305,$S$13:$S$305))</f>
        <v>0</v>
      </c>
      <c r="AK294" s="452" t="str">
        <f>IF(U294="","",ProjParseTF(U294))</f>
        <v/>
      </c>
      <c r="AL294" s="219" t="str">
        <f>IF(E294="","",ProjCumN(AL293,E293,F293,G293,E294,F294,G294,FALSE))</f>
        <v/>
      </c>
      <c r="AM294" s="331" t="str">
        <f>IF(E294="","",ProjCumE(AM293,E293,F293,G293,E294,F294,G294,FALSE))</f>
        <v/>
      </c>
      <c r="AN294" s="330" t="str">
        <f t="shared" si="88"/>
        <v/>
      </c>
      <c r="AO294" s="330" t="str">
        <f>IF(OR(E294="",E294&lt;$U$2),"",ProjActiveTargetMdEx(D294,W294,V294,ProjTargets_MD,ProjTargets_INC,ProjTargets_AZM,ProjTargets_TVD,F294,H294))</f>
        <v/>
      </c>
      <c r="AP294" s="207" t="str">
        <f>IF(OR(E294="",E294&lt;$U$2),"",ProjBitN(E294,F294,G294,AL294,D294,W294,X294))</f>
        <v/>
      </c>
      <c r="AQ294" s="207" t="str">
        <f>IF(OR(E294="",E294&lt;$U$2),"",ProjBitE(E294,F294,G294,AM294,D294,W294,X294))</f>
        <v/>
      </c>
      <c r="AR294" s="207" t="str">
        <f>IF(OR(E294="",E294&lt;$U$2,AO294=""),"",ProjBurr(D294,W294,X294,Q294,C294,ProjTargets_MD,ProjTargets_INC,ProjTargets_AZM,ProjTargets_TVD,V294))</f>
        <v/>
      </c>
      <c r="AS294" s="207" t="str">
        <f>IF(OR(E294="",E294&lt;$U$2,AO294=""),"",ProjMetersToSlide(D294,W294,X294,Q294,C294,ProjTargets_MD,ProjTargets_INC,ProjTargets_AZM,ProjTargets_TVD,V294))</f>
        <v/>
      </c>
      <c r="AT294" s="207" t="str">
        <f>IF(OR(E294="",E294&lt;$U$2,AO294=""),"",ProjRequiredTf(D294,W294,X294,ProjTargets_MD,ProjTargets_INC,ProjTargets_AZM,ProjTargets_TVD,5,V294))</f>
        <v/>
      </c>
    </row>
    <row r="295" spans="2:46" s="209" customFormat="1" ht="15" customHeight="1" x14ac:dyDescent="0.3">
      <c r="B295" s="208" t="str">
        <f t="shared" si="77"/>
        <v/>
      </c>
      <c r="C295" s="335" t="str">
        <f t="shared" si="84"/>
        <v/>
      </c>
      <c r="D295" s="27"/>
      <c r="E295" s="336" t="str">
        <f t="shared" si="85"/>
        <v/>
      </c>
      <c r="F295" s="9"/>
      <c r="G295" s="9"/>
      <c r="H295" s="337" t="str">
        <f t="shared" si="78"/>
        <v/>
      </c>
      <c r="I295" s="337" t="str">
        <f t="shared" si="87"/>
        <v xml:space="preserve">  </v>
      </c>
      <c r="J295" s="338" t="str">
        <f t="shared" si="89"/>
        <v/>
      </c>
      <c r="K295" s="339" t="str">
        <f t="shared" si="90"/>
        <v xml:space="preserve"> </v>
      </c>
      <c r="L295" s="339" t="str">
        <f t="shared" si="86"/>
        <v/>
      </c>
      <c r="M295" s="339" t="str">
        <f t="shared" si="79"/>
        <v/>
      </c>
      <c r="N295" s="340" t="str">
        <f t="shared" si="80"/>
        <v/>
      </c>
      <c r="O295" s="341" t="str">
        <f t="shared" si="81"/>
        <v/>
      </c>
      <c r="P295" s="342" t="str">
        <f t="shared" si="82"/>
        <v/>
      </c>
      <c r="Q295" s="343" t="str">
        <f t="shared" si="83"/>
        <v/>
      </c>
      <c r="R295" s="10" t="str">
        <f t="shared" si="93"/>
        <v/>
      </c>
      <c r="S295" s="337" t="str">
        <f t="shared" si="76"/>
        <v/>
      </c>
      <c r="T295" s="9"/>
      <c r="U295" s="8"/>
      <c r="V295" s="202" t="str">
        <f>IF(OR(E295="",E295&lt;$U$2),"",ProjTvdAtBit(E295,F295,G295,H295,D295,W295,X295))</f>
        <v/>
      </c>
      <c r="W295" s="344" t="str">
        <f>IF(OR(E295="",E295&lt;$U$2),"",ProjIncAtBit(F295,J295,C295,M295,AJ295,IF(AK295="",0,AK295)))</f>
        <v/>
      </c>
      <c r="X295" s="455" t="str">
        <f>IF(OR(E295="",E295&lt;$U$2),"",ProjAzmAtBit(F295,G295,J295,C295,M295,AJ295,IF(AK295="",0,AK295)))</f>
        <v/>
      </c>
      <c r="Y295" s="461"/>
      <c r="Z295" s="206"/>
      <c r="AA295" s="512" t="str">
        <f t="shared" si="91"/>
        <v/>
      </c>
      <c r="AB295" s="520" t="str">
        <f t="shared" si="92"/>
        <v/>
      </c>
      <c r="AC295" s="510"/>
      <c r="AD295" s="515"/>
      <c r="AE295" s="516"/>
      <c r="AJ295" s="452">
        <f>IF(OR(E295="",D295=""),0,ProjSlideMetersBetween(E295,D295,$R$13:$R$305,$S$13:$S$305))</f>
        <v>0</v>
      </c>
      <c r="AK295" s="452" t="str">
        <f>IF(U295="","",ProjParseTF(U295))</f>
        <v/>
      </c>
      <c r="AL295" s="219" t="str">
        <f>IF(E295="","",ProjCumN(AL294,E294,F294,G294,E295,F295,G295,FALSE))</f>
        <v/>
      </c>
      <c r="AM295" s="331" t="str">
        <f>IF(E295="","",ProjCumE(AM294,E294,F294,G294,E295,F295,G295,FALSE))</f>
        <v/>
      </c>
      <c r="AN295" s="330" t="str">
        <f t="shared" si="88"/>
        <v/>
      </c>
      <c r="AO295" s="330" t="str">
        <f>IF(OR(E295="",E295&lt;$U$2),"",ProjActiveTargetMdEx(D295,W295,V295,ProjTargets_MD,ProjTargets_INC,ProjTargets_AZM,ProjTargets_TVD,F295,H295))</f>
        <v/>
      </c>
      <c r="AP295" s="207" t="str">
        <f>IF(OR(E295="",E295&lt;$U$2),"",ProjBitN(E295,F295,G295,AL295,D295,W295,X295))</f>
        <v/>
      </c>
      <c r="AQ295" s="207" t="str">
        <f>IF(OR(E295="",E295&lt;$U$2),"",ProjBitE(E295,F295,G295,AM295,D295,W295,X295))</f>
        <v/>
      </c>
      <c r="AR295" s="207" t="str">
        <f>IF(OR(E295="",E295&lt;$U$2,AO295=""),"",ProjBurr(D295,W295,X295,Q295,C295,ProjTargets_MD,ProjTargets_INC,ProjTargets_AZM,ProjTargets_TVD,V295))</f>
        <v/>
      </c>
      <c r="AS295" s="207" t="str">
        <f>IF(OR(E295="",E295&lt;$U$2,AO295=""),"",ProjMetersToSlide(D295,W295,X295,Q295,C295,ProjTargets_MD,ProjTargets_INC,ProjTargets_AZM,ProjTargets_TVD,V295))</f>
        <v/>
      </c>
      <c r="AT295" s="207" t="str">
        <f>IF(OR(E295="",E295&lt;$U$2,AO295=""),"",ProjRequiredTf(D295,W295,X295,ProjTargets_MD,ProjTargets_INC,ProjTargets_AZM,ProjTargets_TVD,5,V295))</f>
        <v/>
      </c>
    </row>
    <row r="296" spans="2:46" s="209" customFormat="1" ht="15" customHeight="1" x14ac:dyDescent="0.3">
      <c r="B296" s="208" t="str">
        <f t="shared" si="77"/>
        <v/>
      </c>
      <c r="C296" s="335" t="str">
        <f t="shared" si="84"/>
        <v/>
      </c>
      <c r="D296" s="27"/>
      <c r="E296" s="336" t="str">
        <f t="shared" si="85"/>
        <v/>
      </c>
      <c r="F296" s="9"/>
      <c r="G296" s="9"/>
      <c r="H296" s="337" t="str">
        <f t="shared" si="78"/>
        <v/>
      </c>
      <c r="I296" s="337" t="str">
        <f t="shared" si="87"/>
        <v xml:space="preserve">  </v>
      </c>
      <c r="J296" s="338" t="str">
        <f t="shared" si="89"/>
        <v/>
      </c>
      <c r="K296" s="339" t="str">
        <f t="shared" si="90"/>
        <v xml:space="preserve"> </v>
      </c>
      <c r="L296" s="339" t="str">
        <f t="shared" si="86"/>
        <v/>
      </c>
      <c r="M296" s="339" t="str">
        <f t="shared" si="79"/>
        <v/>
      </c>
      <c r="N296" s="340" t="str">
        <f t="shared" si="80"/>
        <v/>
      </c>
      <c r="O296" s="341" t="str">
        <f t="shared" si="81"/>
        <v/>
      </c>
      <c r="P296" s="342" t="str">
        <f t="shared" si="82"/>
        <v/>
      </c>
      <c r="Q296" s="343" t="str">
        <f t="shared" si="83"/>
        <v/>
      </c>
      <c r="R296" s="10" t="str">
        <f t="shared" si="93"/>
        <v/>
      </c>
      <c r="S296" s="337" t="str">
        <f t="shared" si="76"/>
        <v/>
      </c>
      <c r="T296" s="9"/>
      <c r="U296" s="8"/>
      <c r="V296" s="202" t="str">
        <f>IF(OR(E296="",E296&lt;$U$2),"",ProjTvdAtBit(E296,F296,G296,H296,D296,W296,X296))</f>
        <v/>
      </c>
      <c r="W296" s="344" t="str">
        <f>IF(OR(E296="",E296&lt;$U$2),"",ProjIncAtBit(F296,J296,C296,M296,AJ296,IF(AK296="",0,AK296)))</f>
        <v/>
      </c>
      <c r="X296" s="455" t="str">
        <f>IF(OR(E296="",E296&lt;$U$2),"",ProjAzmAtBit(F296,G296,J296,C296,M296,AJ296,IF(AK296="",0,AK296)))</f>
        <v/>
      </c>
      <c r="Y296" s="461"/>
      <c r="Z296" s="206"/>
      <c r="AA296" s="512" t="str">
        <f t="shared" si="91"/>
        <v/>
      </c>
      <c r="AB296" s="520" t="str">
        <f t="shared" si="92"/>
        <v/>
      </c>
      <c r="AC296" s="510"/>
      <c r="AD296" s="515"/>
      <c r="AE296" s="516"/>
      <c r="AJ296" s="452">
        <f>IF(OR(E296="",D296=""),0,ProjSlideMetersBetween(E296,D296,$R$13:$R$305,$S$13:$S$305))</f>
        <v>0</v>
      </c>
      <c r="AK296" s="452" t="str">
        <f>IF(U296="","",ProjParseTF(U296))</f>
        <v/>
      </c>
      <c r="AL296" s="219" t="str">
        <f>IF(E296="","",ProjCumN(AL295,E295,F295,G295,E296,F296,G296,FALSE))</f>
        <v/>
      </c>
      <c r="AM296" s="331" t="str">
        <f>IF(E296="","",ProjCumE(AM295,E295,F295,G295,E296,F296,G296,FALSE))</f>
        <v/>
      </c>
      <c r="AN296" s="330" t="str">
        <f t="shared" si="88"/>
        <v/>
      </c>
      <c r="AO296" s="330" t="str">
        <f>IF(OR(E296="",E296&lt;$U$2),"",ProjActiveTargetMdEx(D296,W296,V296,ProjTargets_MD,ProjTargets_INC,ProjTargets_AZM,ProjTargets_TVD,F296,H296))</f>
        <v/>
      </c>
      <c r="AP296" s="207" t="str">
        <f>IF(OR(E296="",E296&lt;$U$2),"",ProjBitN(E296,F296,G296,AL296,D296,W296,X296))</f>
        <v/>
      </c>
      <c r="AQ296" s="207" t="str">
        <f>IF(OR(E296="",E296&lt;$U$2),"",ProjBitE(E296,F296,G296,AM296,D296,W296,X296))</f>
        <v/>
      </c>
      <c r="AR296" s="207" t="str">
        <f>IF(OR(E296="",E296&lt;$U$2,AO296=""),"",ProjBurr(D296,W296,X296,Q296,C296,ProjTargets_MD,ProjTargets_INC,ProjTargets_AZM,ProjTargets_TVD,V296))</f>
        <v/>
      </c>
      <c r="AS296" s="207" t="str">
        <f>IF(OR(E296="",E296&lt;$U$2,AO296=""),"",ProjMetersToSlide(D296,W296,X296,Q296,C296,ProjTargets_MD,ProjTargets_INC,ProjTargets_AZM,ProjTargets_TVD,V296))</f>
        <v/>
      </c>
      <c r="AT296" s="207" t="str">
        <f>IF(OR(E296="",E296&lt;$U$2,AO296=""),"",ProjRequiredTf(D296,W296,X296,ProjTargets_MD,ProjTargets_INC,ProjTargets_AZM,ProjTargets_TVD,5,V296))</f>
        <v/>
      </c>
    </row>
    <row r="297" spans="2:46" s="209" customFormat="1" ht="15" customHeight="1" x14ac:dyDescent="0.3">
      <c r="B297" s="208" t="str">
        <f t="shared" si="77"/>
        <v/>
      </c>
      <c r="C297" s="335" t="str">
        <f t="shared" si="84"/>
        <v/>
      </c>
      <c r="D297" s="27"/>
      <c r="E297" s="336" t="str">
        <f t="shared" si="85"/>
        <v/>
      </c>
      <c r="F297" s="9"/>
      <c r="G297" s="9"/>
      <c r="H297" s="337" t="str">
        <f t="shared" si="78"/>
        <v/>
      </c>
      <c r="I297" s="337" t="str">
        <f t="shared" si="87"/>
        <v xml:space="preserve">  </v>
      </c>
      <c r="J297" s="338" t="str">
        <f t="shared" si="89"/>
        <v/>
      </c>
      <c r="K297" s="339" t="str">
        <f t="shared" si="90"/>
        <v xml:space="preserve"> </v>
      </c>
      <c r="L297" s="339" t="str">
        <f t="shared" si="86"/>
        <v/>
      </c>
      <c r="M297" s="339" t="str">
        <f t="shared" si="79"/>
        <v/>
      </c>
      <c r="N297" s="340" t="str">
        <f t="shared" si="80"/>
        <v/>
      </c>
      <c r="O297" s="341" t="str">
        <f t="shared" si="81"/>
        <v/>
      </c>
      <c r="P297" s="342" t="str">
        <f t="shared" si="82"/>
        <v/>
      </c>
      <c r="Q297" s="343" t="str">
        <f t="shared" si="83"/>
        <v/>
      </c>
      <c r="R297" s="10" t="str">
        <f t="shared" si="93"/>
        <v/>
      </c>
      <c r="S297" s="337" t="str">
        <f t="shared" si="76"/>
        <v/>
      </c>
      <c r="T297" s="9"/>
      <c r="U297" s="8"/>
      <c r="V297" s="202" t="str">
        <f>IF(OR(E297="",E297&lt;$U$2),"",ProjTvdAtBit(E297,F297,G297,H297,D297,W297,X297))</f>
        <v/>
      </c>
      <c r="W297" s="344" t="str">
        <f>IF(OR(E297="",E297&lt;$U$2),"",ProjIncAtBit(F297,J297,C297,M297,AJ297,IF(AK297="",0,AK297)))</f>
        <v/>
      </c>
      <c r="X297" s="455" t="str">
        <f>IF(OR(E297="",E297&lt;$U$2),"",ProjAzmAtBit(F297,G297,J297,C297,M297,AJ297,IF(AK297="",0,AK297)))</f>
        <v/>
      </c>
      <c r="Y297" s="461"/>
      <c r="Z297" s="206"/>
      <c r="AA297" s="512" t="str">
        <f t="shared" si="91"/>
        <v/>
      </c>
      <c r="AB297" s="520" t="str">
        <f t="shared" si="92"/>
        <v/>
      </c>
      <c r="AC297" s="510"/>
      <c r="AD297" s="515"/>
      <c r="AE297" s="516"/>
      <c r="AJ297" s="452">
        <f>IF(OR(E297="",D297=""),0,ProjSlideMetersBetween(E297,D297,$R$13:$R$305,$S$13:$S$305))</f>
        <v>0</v>
      </c>
      <c r="AK297" s="452" t="str">
        <f>IF(U297="","",ProjParseTF(U297))</f>
        <v/>
      </c>
      <c r="AL297" s="219" t="str">
        <f>IF(E297="","",ProjCumN(AL296,E296,F296,G296,E297,F297,G297,FALSE))</f>
        <v/>
      </c>
      <c r="AM297" s="331" t="str">
        <f>IF(E297="","",ProjCumE(AM296,E296,F296,G296,E297,F297,G297,FALSE))</f>
        <v/>
      </c>
      <c r="AN297" s="330" t="str">
        <f t="shared" si="88"/>
        <v/>
      </c>
      <c r="AO297" s="330" t="str">
        <f>IF(OR(E297="",E297&lt;$U$2),"",ProjActiveTargetMdEx(D297,W297,V297,ProjTargets_MD,ProjTargets_INC,ProjTargets_AZM,ProjTargets_TVD,F297,H297))</f>
        <v/>
      </c>
      <c r="AP297" s="207" t="str">
        <f>IF(OR(E297="",E297&lt;$U$2),"",ProjBitN(E297,F297,G297,AL297,D297,W297,X297))</f>
        <v/>
      </c>
      <c r="AQ297" s="207" t="str">
        <f>IF(OR(E297="",E297&lt;$U$2),"",ProjBitE(E297,F297,G297,AM297,D297,W297,X297))</f>
        <v/>
      </c>
      <c r="AR297" s="207" t="str">
        <f>IF(OR(E297="",E297&lt;$U$2,AO297=""),"",ProjBurr(D297,W297,X297,Q297,C297,ProjTargets_MD,ProjTargets_INC,ProjTargets_AZM,ProjTargets_TVD,V297))</f>
        <v/>
      </c>
      <c r="AS297" s="207" t="str">
        <f>IF(OR(E297="",E297&lt;$U$2,AO297=""),"",ProjMetersToSlide(D297,W297,X297,Q297,C297,ProjTargets_MD,ProjTargets_INC,ProjTargets_AZM,ProjTargets_TVD,V297))</f>
        <v/>
      </c>
      <c r="AT297" s="207" t="str">
        <f>IF(OR(E297="",E297&lt;$U$2,AO297=""),"",ProjRequiredTf(D297,W297,X297,ProjTargets_MD,ProjTargets_INC,ProjTargets_AZM,ProjTargets_TVD,5,V297))</f>
        <v/>
      </c>
    </row>
    <row r="298" spans="2:46" s="209" customFormat="1" ht="15" customHeight="1" x14ac:dyDescent="0.3">
      <c r="B298" s="208" t="str">
        <f t="shared" si="77"/>
        <v/>
      </c>
      <c r="C298" s="335" t="str">
        <f t="shared" si="84"/>
        <v/>
      </c>
      <c r="D298" s="27"/>
      <c r="E298" s="336" t="str">
        <f t="shared" si="85"/>
        <v/>
      </c>
      <c r="F298" s="9"/>
      <c r="G298" s="9"/>
      <c r="H298" s="337" t="str">
        <f t="shared" si="78"/>
        <v/>
      </c>
      <c r="I298" s="337" t="str">
        <f t="shared" si="87"/>
        <v xml:space="preserve">  </v>
      </c>
      <c r="J298" s="338" t="str">
        <f t="shared" si="89"/>
        <v/>
      </c>
      <c r="K298" s="339" t="str">
        <f t="shared" si="90"/>
        <v xml:space="preserve"> </v>
      </c>
      <c r="L298" s="339" t="str">
        <f t="shared" si="86"/>
        <v/>
      </c>
      <c r="M298" s="339" t="str">
        <f t="shared" si="79"/>
        <v/>
      </c>
      <c r="N298" s="340" t="str">
        <f t="shared" si="80"/>
        <v/>
      </c>
      <c r="O298" s="341" t="str">
        <f t="shared" si="81"/>
        <v/>
      </c>
      <c r="P298" s="342" t="str">
        <f t="shared" si="82"/>
        <v/>
      </c>
      <c r="Q298" s="343" t="str">
        <f t="shared" si="83"/>
        <v/>
      </c>
      <c r="R298" s="10" t="str">
        <f t="shared" ref="R298:R305" si="94">IF(T298="", "", D298)</f>
        <v/>
      </c>
      <c r="S298" s="337" t="str">
        <f t="shared" si="76"/>
        <v/>
      </c>
      <c r="T298" s="9"/>
      <c r="U298" s="8"/>
      <c r="V298" s="202" t="str">
        <f>IF(OR(E298="",E298&lt;$U$2),"",ProjTvdAtBit(E298,F298,G298,H298,D298,W298,X298))</f>
        <v/>
      </c>
      <c r="W298" s="344" t="str">
        <f>IF(OR(E298="",E298&lt;$U$2),"",ProjIncAtBit(F298,J298,C298,M298,AJ298,IF(AK298="",0,AK298)))</f>
        <v/>
      </c>
      <c r="X298" s="455" t="str">
        <f>IF(OR(E298="",E298&lt;$U$2),"",ProjAzmAtBit(F298,G298,J298,C298,M298,AJ298,IF(AK298="",0,AK298)))</f>
        <v/>
      </c>
      <c r="Y298" s="461"/>
      <c r="Z298" s="206"/>
      <c r="AA298" s="512" t="str">
        <f t="shared" si="91"/>
        <v/>
      </c>
      <c r="AB298" s="520" t="str">
        <f t="shared" si="92"/>
        <v/>
      </c>
      <c r="AC298" s="510"/>
      <c r="AD298" s="515"/>
      <c r="AE298" s="516"/>
      <c r="AJ298" s="452">
        <f>IF(OR(E298="",D298=""),0,ProjSlideMetersBetween(E298,D298,$R$13:$R$305,$S$13:$S$305))</f>
        <v>0</v>
      </c>
      <c r="AK298" s="452" t="str">
        <f>IF(U298="","",ProjParseTF(U298))</f>
        <v/>
      </c>
      <c r="AL298" s="219" t="str">
        <f>IF(E298="","",ProjCumN(AL297,E297,F297,G297,E298,F298,G298,FALSE))</f>
        <v/>
      </c>
      <c r="AM298" s="331" t="str">
        <f>IF(E298="","",ProjCumE(AM297,E297,F297,G297,E298,F298,G298,FALSE))</f>
        <v/>
      </c>
      <c r="AN298" s="330" t="str">
        <f t="shared" si="88"/>
        <v/>
      </c>
      <c r="AO298" s="330" t="str">
        <f>IF(OR(E298="",E298&lt;$U$2),"",ProjActiveTargetMdEx(D298,W298,V298,ProjTargets_MD,ProjTargets_INC,ProjTargets_AZM,ProjTargets_TVD,F298,H298))</f>
        <v/>
      </c>
      <c r="AP298" s="207" t="str">
        <f>IF(OR(E298="",E298&lt;$U$2),"",ProjBitN(E298,F298,G298,AL298,D298,W298,X298))</f>
        <v/>
      </c>
      <c r="AQ298" s="207" t="str">
        <f>IF(OR(E298="",E298&lt;$U$2),"",ProjBitE(E298,F298,G298,AM298,D298,W298,X298))</f>
        <v/>
      </c>
      <c r="AR298" s="207" t="str">
        <f>IF(OR(E298="",E298&lt;$U$2,AO298=""),"",ProjBurr(D298,W298,X298,Q298,C298,ProjTargets_MD,ProjTargets_INC,ProjTargets_AZM,ProjTargets_TVD,V298))</f>
        <v/>
      </c>
      <c r="AS298" s="207" t="str">
        <f>IF(OR(E298="",E298&lt;$U$2,AO298=""),"",ProjMetersToSlide(D298,W298,X298,Q298,C298,ProjTargets_MD,ProjTargets_INC,ProjTargets_AZM,ProjTargets_TVD,V298))</f>
        <v/>
      </c>
      <c r="AT298" s="207" t="str">
        <f>IF(OR(E298="",E298&lt;$U$2,AO298=""),"",ProjRequiredTf(D298,W298,X298,ProjTargets_MD,ProjTargets_INC,ProjTargets_AZM,ProjTargets_TVD,5,V298))</f>
        <v/>
      </c>
    </row>
    <row r="299" spans="2:46" s="209" customFormat="1" ht="15" customHeight="1" x14ac:dyDescent="0.3">
      <c r="B299" s="208" t="str">
        <f t="shared" si="77"/>
        <v/>
      </c>
      <c r="C299" s="335" t="str">
        <f t="shared" si="84"/>
        <v/>
      </c>
      <c r="D299" s="27"/>
      <c r="E299" s="336" t="str">
        <f t="shared" si="85"/>
        <v/>
      </c>
      <c r="F299" s="9"/>
      <c r="G299" s="9"/>
      <c r="H299" s="337" t="str">
        <f t="shared" si="78"/>
        <v/>
      </c>
      <c r="I299" s="337" t="str">
        <f t="shared" si="87"/>
        <v xml:space="preserve">  </v>
      </c>
      <c r="J299" s="338" t="str">
        <f t="shared" si="89"/>
        <v/>
      </c>
      <c r="K299" s="339" t="str">
        <f t="shared" si="90"/>
        <v xml:space="preserve"> </v>
      </c>
      <c r="L299" s="339" t="str">
        <f t="shared" si="86"/>
        <v/>
      </c>
      <c r="M299" s="339" t="str">
        <f t="shared" si="79"/>
        <v/>
      </c>
      <c r="N299" s="340" t="str">
        <f t="shared" si="80"/>
        <v/>
      </c>
      <c r="O299" s="341" t="str">
        <f t="shared" si="81"/>
        <v/>
      </c>
      <c r="P299" s="342" t="str">
        <f t="shared" si="82"/>
        <v/>
      </c>
      <c r="Q299" s="343" t="str">
        <f t="shared" si="83"/>
        <v/>
      </c>
      <c r="R299" s="10" t="str">
        <f t="shared" si="94"/>
        <v/>
      </c>
      <c r="S299" s="337" t="str">
        <f t="shared" si="76"/>
        <v/>
      </c>
      <c r="T299" s="9"/>
      <c r="U299" s="8"/>
      <c r="V299" s="202" t="str">
        <f>IF(OR(E299="",E299&lt;$U$2),"",ProjTvdAtBit(E299,F299,G299,H299,D299,W299,X299))</f>
        <v/>
      </c>
      <c r="W299" s="344" t="str">
        <f>IF(OR(E299="",E299&lt;$U$2),"",ProjIncAtBit(F299,J299,C299,M299,AJ299,IF(AK299="",0,AK299)))</f>
        <v/>
      </c>
      <c r="X299" s="455" t="str">
        <f>IF(OR(E299="",E299&lt;$U$2),"",ProjAzmAtBit(F299,G299,J299,C299,M299,AJ299,IF(AK299="",0,AK299)))</f>
        <v/>
      </c>
      <c r="Y299" s="461"/>
      <c r="Z299" s="206"/>
      <c r="AA299" s="512" t="str">
        <f t="shared" si="91"/>
        <v/>
      </c>
      <c r="AB299" s="520" t="str">
        <f t="shared" si="92"/>
        <v/>
      </c>
      <c r="AC299" s="510"/>
      <c r="AD299" s="515"/>
      <c r="AE299" s="516"/>
      <c r="AJ299" s="452">
        <f>IF(OR(E299="",D299=""),0,ProjSlideMetersBetween(E299,D299,$R$13:$R$305,$S$13:$S$305))</f>
        <v>0</v>
      </c>
      <c r="AK299" s="452" t="str">
        <f>IF(U299="","",ProjParseTF(U299))</f>
        <v/>
      </c>
      <c r="AL299" s="219" t="str">
        <f>IF(E299="","",ProjCumN(AL298,E298,F298,G298,E299,F299,G299,FALSE))</f>
        <v/>
      </c>
      <c r="AM299" s="331" t="str">
        <f>IF(E299="","",ProjCumE(AM298,E298,F298,G298,E299,F299,G299,FALSE))</f>
        <v/>
      </c>
      <c r="AN299" s="330" t="str">
        <f t="shared" si="88"/>
        <v/>
      </c>
      <c r="AO299" s="330" t="str">
        <f>IF(OR(E299="",E299&lt;$U$2),"",ProjActiveTargetMdEx(D299,W299,V299,ProjTargets_MD,ProjTargets_INC,ProjTargets_AZM,ProjTargets_TVD,F299,H299))</f>
        <v/>
      </c>
      <c r="AP299" s="207" t="str">
        <f>IF(OR(E299="",E299&lt;$U$2),"",ProjBitN(E299,F299,G299,AL299,D299,W299,X299))</f>
        <v/>
      </c>
      <c r="AQ299" s="207" t="str">
        <f>IF(OR(E299="",E299&lt;$U$2),"",ProjBitE(E299,F299,G299,AM299,D299,W299,X299))</f>
        <v/>
      </c>
      <c r="AR299" s="207" t="str">
        <f>IF(OR(E299="",E299&lt;$U$2,AO299=""),"",ProjBurr(D299,W299,X299,Q299,C299,ProjTargets_MD,ProjTargets_INC,ProjTargets_AZM,ProjTargets_TVD,V299))</f>
        <v/>
      </c>
      <c r="AS299" s="207" t="str">
        <f>IF(OR(E299="",E299&lt;$U$2,AO299=""),"",ProjMetersToSlide(D299,W299,X299,Q299,C299,ProjTargets_MD,ProjTargets_INC,ProjTargets_AZM,ProjTargets_TVD,V299))</f>
        <v/>
      </c>
      <c r="AT299" s="207" t="str">
        <f>IF(OR(E299="",E299&lt;$U$2,AO299=""),"",ProjRequiredTf(D299,W299,X299,ProjTargets_MD,ProjTargets_INC,ProjTargets_AZM,ProjTargets_TVD,5,V299))</f>
        <v/>
      </c>
    </row>
    <row r="300" spans="2:46" s="209" customFormat="1" ht="15" customHeight="1" x14ac:dyDescent="0.3">
      <c r="B300" s="208" t="str">
        <f t="shared" si="77"/>
        <v/>
      </c>
      <c r="C300" s="335" t="str">
        <f t="shared" si="84"/>
        <v/>
      </c>
      <c r="D300" s="27"/>
      <c r="E300" s="336" t="str">
        <f t="shared" si="85"/>
        <v/>
      </c>
      <c r="F300" s="9"/>
      <c r="G300" s="9"/>
      <c r="H300" s="337" t="str">
        <f t="shared" si="78"/>
        <v/>
      </c>
      <c r="I300" s="337" t="str">
        <f t="shared" si="87"/>
        <v xml:space="preserve">  </v>
      </c>
      <c r="J300" s="338" t="str">
        <f t="shared" si="89"/>
        <v/>
      </c>
      <c r="K300" s="339" t="str">
        <f t="shared" si="90"/>
        <v xml:space="preserve"> </v>
      </c>
      <c r="L300" s="339" t="str">
        <f t="shared" si="86"/>
        <v/>
      </c>
      <c r="M300" s="339" t="str">
        <f t="shared" si="79"/>
        <v/>
      </c>
      <c r="N300" s="340" t="str">
        <f t="shared" si="80"/>
        <v/>
      </c>
      <c r="O300" s="341" t="str">
        <f t="shared" si="81"/>
        <v/>
      </c>
      <c r="P300" s="342" t="str">
        <f t="shared" si="82"/>
        <v/>
      </c>
      <c r="Q300" s="343" t="str">
        <f t="shared" si="83"/>
        <v/>
      </c>
      <c r="R300" s="10" t="str">
        <f t="shared" si="94"/>
        <v/>
      </c>
      <c r="S300" s="337" t="str">
        <f t="shared" si="76"/>
        <v/>
      </c>
      <c r="T300" s="9"/>
      <c r="U300" s="8"/>
      <c r="V300" s="202" t="str">
        <f>IF(OR(E300="",E300&lt;$U$2),"",ProjTvdAtBit(E300,F300,G300,H300,D300,W300,X300))</f>
        <v/>
      </c>
      <c r="W300" s="344" t="str">
        <f>IF(OR(E300="",E300&lt;$U$2),"",ProjIncAtBit(F300,J300,C300,M300,AJ300,IF(AK300="",0,AK300)))</f>
        <v/>
      </c>
      <c r="X300" s="455" t="str">
        <f>IF(OR(E300="",E300&lt;$U$2),"",ProjAzmAtBit(F300,G300,J300,C300,M300,AJ300,IF(AK300="",0,AK300)))</f>
        <v/>
      </c>
      <c r="Y300" s="461"/>
      <c r="Z300" s="206"/>
      <c r="AA300" s="512" t="str">
        <f t="shared" si="91"/>
        <v/>
      </c>
      <c r="AB300" s="520" t="str">
        <f t="shared" si="92"/>
        <v/>
      </c>
      <c r="AC300" s="510"/>
      <c r="AD300" s="515"/>
      <c r="AE300" s="516"/>
      <c r="AJ300" s="452">
        <f>IF(OR(E300="",D300=""),0,ProjSlideMetersBetween(E300,D300,$R$13:$R$305,$S$13:$S$305))</f>
        <v>0</v>
      </c>
      <c r="AK300" s="452" t="str">
        <f>IF(U300="","",ProjParseTF(U300))</f>
        <v/>
      </c>
      <c r="AL300" s="219" t="str">
        <f>IF(E300="","",ProjCumN(AL299,E299,F299,G299,E300,F300,G300,FALSE))</f>
        <v/>
      </c>
      <c r="AM300" s="331" t="str">
        <f>IF(E300="","",ProjCumE(AM299,E299,F299,G299,E300,F300,G300,FALSE))</f>
        <v/>
      </c>
      <c r="AN300" s="330" t="str">
        <f t="shared" si="88"/>
        <v/>
      </c>
      <c r="AO300" s="330" t="str">
        <f>IF(OR(E300="",E300&lt;$U$2),"",ProjActiveTargetMdEx(D300,W300,V300,ProjTargets_MD,ProjTargets_INC,ProjTargets_AZM,ProjTargets_TVD,F300,H300))</f>
        <v/>
      </c>
      <c r="AP300" s="207" t="str">
        <f>IF(OR(E300="",E300&lt;$U$2),"",ProjBitN(E300,F300,G300,AL300,D300,W300,X300))</f>
        <v/>
      </c>
      <c r="AQ300" s="207" t="str">
        <f>IF(OR(E300="",E300&lt;$U$2),"",ProjBitE(E300,F300,G300,AM300,D300,W300,X300))</f>
        <v/>
      </c>
      <c r="AR300" s="207" t="str">
        <f>IF(OR(E300="",E300&lt;$U$2,AO300=""),"",ProjBurr(D300,W300,X300,Q300,C300,ProjTargets_MD,ProjTargets_INC,ProjTargets_AZM,ProjTargets_TVD,V300))</f>
        <v/>
      </c>
      <c r="AS300" s="207" t="str">
        <f>IF(OR(E300="",E300&lt;$U$2,AO300=""),"",ProjMetersToSlide(D300,W300,X300,Q300,C300,ProjTargets_MD,ProjTargets_INC,ProjTargets_AZM,ProjTargets_TVD,V300))</f>
        <v/>
      </c>
      <c r="AT300" s="207" t="str">
        <f>IF(OR(E300="",E300&lt;$U$2,AO300=""),"",ProjRequiredTf(D300,W300,X300,ProjTargets_MD,ProjTargets_INC,ProjTargets_AZM,ProjTargets_TVD,5,V300))</f>
        <v/>
      </c>
    </row>
    <row r="301" spans="2:46" s="209" customFormat="1" ht="15" customHeight="1" x14ac:dyDescent="0.3">
      <c r="B301" s="208" t="str">
        <f t="shared" si="77"/>
        <v/>
      </c>
      <c r="C301" s="335" t="str">
        <f t="shared" si="84"/>
        <v/>
      </c>
      <c r="D301" s="27"/>
      <c r="E301" s="336" t="str">
        <f t="shared" si="85"/>
        <v/>
      </c>
      <c r="F301" s="9"/>
      <c r="G301" s="9"/>
      <c r="H301" s="337" t="str">
        <f t="shared" si="78"/>
        <v/>
      </c>
      <c r="I301" s="337" t="str">
        <f t="shared" si="87"/>
        <v xml:space="preserve">  </v>
      </c>
      <c r="J301" s="338" t="str">
        <f t="shared" si="89"/>
        <v/>
      </c>
      <c r="K301" s="339" t="str">
        <f t="shared" si="90"/>
        <v xml:space="preserve"> </v>
      </c>
      <c r="L301" s="339" t="str">
        <f t="shared" si="86"/>
        <v/>
      </c>
      <c r="M301" s="339" t="str">
        <f t="shared" si="79"/>
        <v/>
      </c>
      <c r="N301" s="340" t="str">
        <f t="shared" si="80"/>
        <v/>
      </c>
      <c r="O301" s="341" t="str">
        <f t="shared" si="81"/>
        <v/>
      </c>
      <c r="P301" s="342" t="str">
        <f t="shared" si="82"/>
        <v/>
      </c>
      <c r="Q301" s="343" t="str">
        <f t="shared" si="83"/>
        <v/>
      </c>
      <c r="R301" s="10" t="str">
        <f t="shared" si="94"/>
        <v/>
      </c>
      <c r="S301" s="337" t="str">
        <f t="shared" si="76"/>
        <v/>
      </c>
      <c r="T301" s="9"/>
      <c r="U301" s="8"/>
      <c r="V301" s="202" t="str">
        <f>IF(OR(E301="",E301&lt;$U$2),"",ProjTvdAtBit(E301,F301,G301,H301,D301,W301,X301))</f>
        <v/>
      </c>
      <c r="W301" s="344" t="str">
        <f>IF(OR(E301="",E301&lt;$U$2),"",ProjIncAtBit(F301,J301,C301,M301,AJ301,IF(AK301="",0,AK301)))</f>
        <v/>
      </c>
      <c r="X301" s="455" t="str">
        <f>IF(OR(E301="",E301&lt;$U$2),"",ProjAzmAtBit(F301,G301,J301,C301,M301,AJ301,IF(AK301="",0,AK301)))</f>
        <v/>
      </c>
      <c r="Y301" s="461"/>
      <c r="Z301" s="206"/>
      <c r="AA301" s="512" t="str">
        <f t="shared" si="91"/>
        <v/>
      </c>
      <c r="AB301" s="520" t="str">
        <f t="shared" si="92"/>
        <v/>
      </c>
      <c r="AC301" s="510"/>
      <c r="AD301" s="515"/>
      <c r="AE301" s="516"/>
      <c r="AJ301" s="452">
        <f>IF(OR(E301="",D301=""),0,ProjSlideMetersBetween(E301,D301,$R$13:$R$305,$S$13:$S$305))</f>
        <v>0</v>
      </c>
      <c r="AK301" s="452" t="str">
        <f>IF(U301="","",ProjParseTF(U301))</f>
        <v/>
      </c>
      <c r="AL301" s="219" t="str">
        <f>IF(E301="","",ProjCumN(AL300,E300,F300,G300,E301,F301,G301,FALSE))</f>
        <v/>
      </c>
      <c r="AM301" s="331" t="str">
        <f>IF(E301="","",ProjCumE(AM300,E300,F300,G300,E301,F301,G301,FALSE))</f>
        <v/>
      </c>
      <c r="AN301" s="330" t="str">
        <f t="shared" si="88"/>
        <v/>
      </c>
      <c r="AO301" s="330" t="str">
        <f>IF(OR(E301="",E301&lt;$U$2),"",ProjActiveTargetMdEx(D301,W301,V301,ProjTargets_MD,ProjTargets_INC,ProjTargets_AZM,ProjTargets_TVD,F301,H301))</f>
        <v/>
      </c>
      <c r="AP301" s="207" t="str">
        <f>IF(OR(E301="",E301&lt;$U$2),"",ProjBitN(E301,F301,G301,AL301,D301,W301,X301))</f>
        <v/>
      </c>
      <c r="AQ301" s="207" t="str">
        <f>IF(OR(E301="",E301&lt;$U$2),"",ProjBitE(E301,F301,G301,AM301,D301,W301,X301))</f>
        <v/>
      </c>
      <c r="AR301" s="207" t="str">
        <f>IF(OR(E301="",E301&lt;$U$2,AO301=""),"",ProjBurr(D301,W301,X301,Q301,C301,ProjTargets_MD,ProjTargets_INC,ProjTargets_AZM,ProjTargets_TVD,V301))</f>
        <v/>
      </c>
      <c r="AS301" s="207" t="str">
        <f>IF(OR(E301="",E301&lt;$U$2,AO301=""),"",ProjMetersToSlide(D301,W301,X301,Q301,C301,ProjTargets_MD,ProjTargets_INC,ProjTargets_AZM,ProjTargets_TVD,V301))</f>
        <v/>
      </c>
      <c r="AT301" s="207" t="str">
        <f>IF(OR(E301="",E301&lt;$U$2,AO301=""),"",ProjRequiredTf(D301,W301,X301,ProjTargets_MD,ProjTargets_INC,ProjTargets_AZM,ProjTargets_TVD,5,V301))</f>
        <v/>
      </c>
    </row>
    <row r="302" spans="2:46" s="209" customFormat="1" ht="15" customHeight="1" x14ac:dyDescent="0.3">
      <c r="B302" s="208" t="str">
        <f t="shared" si="77"/>
        <v/>
      </c>
      <c r="C302" s="335" t="str">
        <f t="shared" si="84"/>
        <v/>
      </c>
      <c r="D302" s="27"/>
      <c r="E302" s="336" t="str">
        <f t="shared" si="85"/>
        <v/>
      </c>
      <c r="F302" s="9"/>
      <c r="G302" s="9"/>
      <c r="H302" s="337" t="str">
        <f t="shared" si="78"/>
        <v/>
      </c>
      <c r="I302" s="337" t="str">
        <f t="shared" si="87"/>
        <v xml:space="preserve">  </v>
      </c>
      <c r="J302" s="338" t="str">
        <f t="shared" si="89"/>
        <v/>
      </c>
      <c r="K302" s="339" t="str">
        <f t="shared" si="90"/>
        <v xml:space="preserve"> </v>
      </c>
      <c r="L302" s="339" t="str">
        <f t="shared" si="86"/>
        <v/>
      </c>
      <c r="M302" s="339" t="str">
        <f t="shared" si="79"/>
        <v/>
      </c>
      <c r="N302" s="340" t="str">
        <f t="shared" si="80"/>
        <v/>
      </c>
      <c r="O302" s="341" t="str">
        <f t="shared" si="81"/>
        <v/>
      </c>
      <c r="P302" s="342" t="str">
        <f t="shared" si="82"/>
        <v/>
      </c>
      <c r="Q302" s="343" t="str">
        <f t="shared" si="83"/>
        <v/>
      </c>
      <c r="R302" s="10" t="str">
        <f t="shared" si="94"/>
        <v/>
      </c>
      <c r="S302" s="337" t="str">
        <f t="shared" si="76"/>
        <v/>
      </c>
      <c r="T302" s="9"/>
      <c r="U302" s="8"/>
      <c r="V302" s="202" t="str">
        <f>IF(OR(E302="",E302&lt;$U$2),"",ProjTvdAtBit(E302,F302,G302,H302,D302,W302,X302))</f>
        <v/>
      </c>
      <c r="W302" s="344" t="str">
        <f>IF(OR(E302="",E302&lt;$U$2),"",ProjIncAtBit(F302,J302,C302,M302,AJ302,IF(AK302="",0,AK302)))</f>
        <v/>
      </c>
      <c r="X302" s="455" t="str">
        <f>IF(OR(E302="",E302&lt;$U$2),"",ProjAzmAtBit(F302,G302,J302,C302,M302,AJ302,IF(AK302="",0,AK302)))</f>
        <v/>
      </c>
      <c r="Y302" s="461"/>
      <c r="Z302" s="206"/>
      <c r="AA302" s="512" t="str">
        <f t="shared" si="91"/>
        <v/>
      </c>
      <c r="AB302" s="520" t="str">
        <f t="shared" si="92"/>
        <v/>
      </c>
      <c r="AC302" s="510"/>
      <c r="AD302" s="515"/>
      <c r="AE302" s="516"/>
      <c r="AJ302" s="452">
        <f>IF(OR(E302="",D302=""),0,ProjSlideMetersBetween(E302,D302,$R$13:$R$305,$S$13:$S$305))</f>
        <v>0</v>
      </c>
      <c r="AK302" s="452" t="str">
        <f>IF(U302="","",ProjParseTF(U302))</f>
        <v/>
      </c>
      <c r="AL302" s="219" t="str">
        <f>IF(E302="","",ProjCumN(AL301,E301,F301,G301,E302,F302,G302,FALSE))</f>
        <v/>
      </c>
      <c r="AM302" s="331" t="str">
        <f>IF(E302="","",ProjCumE(AM301,E301,F301,G301,E302,F302,G302,FALSE))</f>
        <v/>
      </c>
      <c r="AN302" s="330" t="str">
        <f t="shared" si="88"/>
        <v/>
      </c>
      <c r="AO302" s="330" t="str">
        <f>IF(OR(E302="",E302&lt;$U$2),"",ProjActiveTargetMdEx(D302,W302,V302,ProjTargets_MD,ProjTargets_INC,ProjTargets_AZM,ProjTargets_TVD,F302,H302))</f>
        <v/>
      </c>
      <c r="AP302" s="207" t="str">
        <f>IF(OR(E302="",E302&lt;$U$2),"",ProjBitN(E302,F302,G302,AL302,D302,W302,X302))</f>
        <v/>
      </c>
      <c r="AQ302" s="207" t="str">
        <f>IF(OR(E302="",E302&lt;$U$2),"",ProjBitE(E302,F302,G302,AM302,D302,W302,X302))</f>
        <v/>
      </c>
      <c r="AR302" s="207" t="str">
        <f>IF(OR(E302="",E302&lt;$U$2,AO302=""),"",ProjBurr(D302,W302,X302,Q302,C302,ProjTargets_MD,ProjTargets_INC,ProjTargets_AZM,ProjTargets_TVD,V302))</f>
        <v/>
      </c>
      <c r="AS302" s="207" t="str">
        <f>IF(OR(E302="",E302&lt;$U$2,AO302=""),"",ProjMetersToSlide(D302,W302,X302,Q302,C302,ProjTargets_MD,ProjTargets_INC,ProjTargets_AZM,ProjTargets_TVD,V302))</f>
        <v/>
      </c>
      <c r="AT302" s="207" t="str">
        <f>IF(OR(E302="",E302&lt;$U$2,AO302=""),"",ProjRequiredTf(D302,W302,X302,ProjTargets_MD,ProjTargets_INC,ProjTargets_AZM,ProjTargets_TVD,5,V302))</f>
        <v/>
      </c>
    </row>
    <row r="303" spans="2:46" s="209" customFormat="1" ht="15" customHeight="1" x14ac:dyDescent="0.3">
      <c r="B303" s="208" t="str">
        <f t="shared" si="77"/>
        <v/>
      </c>
      <c r="C303" s="335" t="str">
        <f t="shared" si="84"/>
        <v/>
      </c>
      <c r="D303" s="27"/>
      <c r="E303" s="336" t="str">
        <f t="shared" si="85"/>
        <v/>
      </c>
      <c r="F303" s="9"/>
      <c r="G303" s="9"/>
      <c r="H303" s="337" t="str">
        <f t="shared" si="78"/>
        <v/>
      </c>
      <c r="I303" s="337" t="str">
        <f t="shared" si="87"/>
        <v xml:space="preserve">  </v>
      </c>
      <c r="J303" s="338" t="str">
        <f t="shared" si="89"/>
        <v/>
      </c>
      <c r="K303" s="339" t="str">
        <f t="shared" si="90"/>
        <v xml:space="preserve"> </v>
      </c>
      <c r="L303" s="339" t="str">
        <f t="shared" si="86"/>
        <v/>
      </c>
      <c r="M303" s="339" t="str">
        <f t="shared" si="79"/>
        <v/>
      </c>
      <c r="N303" s="340" t="str">
        <f t="shared" si="80"/>
        <v/>
      </c>
      <c r="O303" s="341" t="str">
        <f t="shared" si="81"/>
        <v/>
      </c>
      <c r="P303" s="342" t="str">
        <f t="shared" si="82"/>
        <v/>
      </c>
      <c r="Q303" s="343" t="str">
        <f t="shared" si="83"/>
        <v/>
      </c>
      <c r="R303" s="10" t="str">
        <f t="shared" si="94"/>
        <v/>
      </c>
      <c r="S303" s="337" t="str">
        <f t="shared" si="76"/>
        <v/>
      </c>
      <c r="T303" s="9"/>
      <c r="U303" s="8"/>
      <c r="V303" s="202" t="str">
        <f>IF(OR(E303="",E303&lt;$U$2),"",ProjTvdAtBit(E303,F303,G303,H303,D303,W303,X303))</f>
        <v/>
      </c>
      <c r="W303" s="344" t="str">
        <f>IF(OR(E303="",E303&lt;$U$2),"",ProjIncAtBit(F303,J303,C303,M303,AJ303,IF(AK303="",0,AK303)))</f>
        <v/>
      </c>
      <c r="X303" s="455" t="str">
        <f>IF(OR(E303="",E303&lt;$U$2),"",ProjAzmAtBit(F303,G303,J303,C303,M303,AJ303,IF(AK303="",0,AK303)))</f>
        <v/>
      </c>
      <c r="Y303" s="461"/>
      <c r="Z303" s="206"/>
      <c r="AA303" s="512" t="str">
        <f t="shared" si="91"/>
        <v/>
      </c>
      <c r="AB303" s="520" t="str">
        <f t="shared" si="92"/>
        <v/>
      </c>
      <c r="AC303" s="510"/>
      <c r="AD303" s="515"/>
      <c r="AE303" s="516"/>
      <c r="AJ303" s="452">
        <f>IF(OR(E303="",D303=""),0,ProjSlideMetersBetween(E303,D303,$R$13:$R$305,$S$13:$S$305))</f>
        <v>0</v>
      </c>
      <c r="AK303" s="452" t="str">
        <f>IF(U303="","",ProjParseTF(U303))</f>
        <v/>
      </c>
      <c r="AL303" s="219" t="str">
        <f>IF(E303="","",ProjCumN(AL302,E302,F302,G302,E303,F303,G303,FALSE))</f>
        <v/>
      </c>
      <c r="AM303" s="331" t="str">
        <f>IF(E303="","",ProjCumE(AM302,E302,F302,G302,E303,F303,G303,FALSE))</f>
        <v/>
      </c>
      <c r="AN303" s="330" t="str">
        <f t="shared" si="88"/>
        <v/>
      </c>
      <c r="AO303" s="330" t="str">
        <f>IF(OR(E303="",E303&lt;$U$2),"",ProjActiveTargetMdEx(D303,W303,V303,ProjTargets_MD,ProjTargets_INC,ProjTargets_AZM,ProjTargets_TVD,F303,H303))</f>
        <v/>
      </c>
      <c r="AP303" s="207" t="str">
        <f>IF(OR(E303="",E303&lt;$U$2),"",ProjBitN(E303,F303,G303,AL303,D303,W303,X303))</f>
        <v/>
      </c>
      <c r="AQ303" s="207" t="str">
        <f>IF(OR(E303="",E303&lt;$U$2),"",ProjBitE(E303,F303,G303,AM303,D303,W303,X303))</f>
        <v/>
      </c>
      <c r="AR303" s="207" t="str">
        <f>IF(OR(E303="",E303&lt;$U$2,AO303=""),"",ProjBurr(D303,W303,X303,Q303,C303,ProjTargets_MD,ProjTargets_INC,ProjTargets_AZM,ProjTargets_TVD,V303))</f>
        <v/>
      </c>
      <c r="AS303" s="207" t="str">
        <f>IF(OR(E303="",E303&lt;$U$2,AO303=""),"",ProjMetersToSlide(D303,W303,X303,Q303,C303,ProjTargets_MD,ProjTargets_INC,ProjTargets_AZM,ProjTargets_TVD,V303))</f>
        <v/>
      </c>
      <c r="AT303" s="207" t="str">
        <f>IF(OR(E303="",E303&lt;$U$2,AO303=""),"",ProjRequiredTf(D303,W303,X303,ProjTargets_MD,ProjTargets_INC,ProjTargets_AZM,ProjTargets_TVD,5,V303))</f>
        <v/>
      </c>
    </row>
    <row r="304" spans="2:46" s="209" customFormat="1" ht="15" customHeight="1" x14ac:dyDescent="0.3">
      <c r="B304" s="208" t="str">
        <f t="shared" si="77"/>
        <v/>
      </c>
      <c r="C304" s="335" t="str">
        <f t="shared" si="84"/>
        <v/>
      </c>
      <c r="D304" s="27"/>
      <c r="E304" s="336" t="str">
        <f t="shared" si="85"/>
        <v/>
      </c>
      <c r="F304" s="9"/>
      <c r="G304" s="9"/>
      <c r="H304" s="337" t="str">
        <f t="shared" si="78"/>
        <v/>
      </c>
      <c r="I304" s="337" t="str">
        <f t="shared" si="87"/>
        <v xml:space="preserve">  </v>
      </c>
      <c r="J304" s="338" t="str">
        <f t="shared" si="89"/>
        <v/>
      </c>
      <c r="K304" s="339" t="str">
        <f t="shared" si="90"/>
        <v xml:space="preserve"> </v>
      </c>
      <c r="L304" s="339" t="str">
        <f t="shared" si="86"/>
        <v/>
      </c>
      <c r="M304" s="339" t="str">
        <f t="shared" si="79"/>
        <v/>
      </c>
      <c r="N304" s="340" t="str">
        <f t="shared" si="80"/>
        <v/>
      </c>
      <c r="O304" s="341" t="str">
        <f t="shared" si="81"/>
        <v/>
      </c>
      <c r="P304" s="342" t="str">
        <f t="shared" si="82"/>
        <v/>
      </c>
      <c r="Q304" s="343" t="str">
        <f t="shared" si="83"/>
        <v/>
      </c>
      <c r="R304" s="10" t="str">
        <f t="shared" si="94"/>
        <v/>
      </c>
      <c r="S304" s="337" t="str">
        <f t="shared" si="76"/>
        <v/>
      </c>
      <c r="T304" s="9"/>
      <c r="U304" s="8"/>
      <c r="V304" s="202" t="str">
        <f>IF(OR(E304="",E304&lt;$U$2),"",ProjTvdAtBit(E304,F304,G304,H304,D304,W304,X304))</f>
        <v/>
      </c>
      <c r="W304" s="344" t="str">
        <f>IF(OR(E304="",E304&lt;$U$2),"",ProjIncAtBit(F304,J304,C304,M304,AJ304,IF(AK304="",0,AK304)))</f>
        <v/>
      </c>
      <c r="X304" s="455" t="str">
        <f>IF(OR(E304="",E304&lt;$U$2),"",ProjAzmAtBit(F304,G304,J304,C304,M304,AJ304,IF(AK304="",0,AK304)))</f>
        <v/>
      </c>
      <c r="Y304" s="461"/>
      <c r="Z304" s="206"/>
      <c r="AA304" s="512" t="str">
        <f t="shared" si="91"/>
        <v/>
      </c>
      <c r="AB304" s="520" t="str">
        <f t="shared" si="92"/>
        <v/>
      </c>
      <c r="AC304" s="510"/>
      <c r="AD304" s="515"/>
      <c r="AE304" s="517"/>
      <c r="AF304" s="210"/>
      <c r="AG304" s="210"/>
      <c r="AJ304" s="452">
        <f>IF(OR(E304="",D304=""),0,ProjSlideMetersBetween(E304,D304,$R$13:$R$305,$S$13:$S$305))</f>
        <v>0</v>
      </c>
      <c r="AK304" s="452" t="str">
        <f>IF(U304="","",ProjParseTF(U304))</f>
        <v/>
      </c>
      <c r="AL304" s="219" t="str">
        <f>IF(E304="","",ProjCumN(AL303,E303,F303,G303,E304,F304,G304,FALSE))</f>
        <v/>
      </c>
      <c r="AM304" s="331" t="str">
        <f>IF(E304="","",ProjCumE(AM303,E303,F303,G303,E304,F304,G304,FALSE))</f>
        <v/>
      </c>
      <c r="AN304" s="330" t="str">
        <f t="shared" si="88"/>
        <v/>
      </c>
      <c r="AO304" s="330" t="str">
        <f>IF(OR(E304="",E304&lt;$U$2),"",ProjActiveTargetMdEx(D304,W304,V304,ProjTargets_MD,ProjTargets_INC,ProjTargets_AZM,ProjTargets_TVD,F304,H304))</f>
        <v/>
      </c>
      <c r="AP304" s="207" t="str">
        <f>IF(OR(E304="",E304&lt;$U$2),"",ProjBitN(E304,F304,G304,AL304,D304,W304,X304))</f>
        <v/>
      </c>
      <c r="AQ304" s="207" t="str">
        <f>IF(OR(E304="",E304&lt;$U$2),"",ProjBitE(E304,F304,G304,AM304,D304,W304,X304))</f>
        <v/>
      </c>
      <c r="AR304" s="207" t="str">
        <f>IF(OR(E304="",E304&lt;$U$2,AO304=""),"",ProjBurr(D304,W304,X304,Q304,C304,ProjTargets_MD,ProjTargets_INC,ProjTargets_AZM,ProjTargets_TVD,V304))</f>
        <v/>
      </c>
      <c r="AS304" s="207" t="str">
        <f>IF(OR(E304="",E304&lt;$U$2,AO304=""),"",ProjMetersToSlide(D304,W304,X304,Q304,C304,ProjTargets_MD,ProjTargets_INC,ProjTargets_AZM,ProjTargets_TVD,V304))</f>
        <v/>
      </c>
      <c r="AT304" s="207" t="str">
        <f>IF(OR(E304="",E304&lt;$U$2,AO304=""),"",ProjRequiredTf(D304,W304,X304,ProjTargets_MD,ProjTargets_INC,ProjTargets_AZM,ProjTargets_TVD,5,V304))</f>
        <v/>
      </c>
    </row>
    <row r="305" spans="2:46" ht="15" customHeight="1" thickBot="1" x14ac:dyDescent="0.35">
      <c r="B305" s="208" t="str">
        <f>IF(ISBLANK(D305),"",B304)</f>
        <v/>
      </c>
      <c r="C305" s="335" t="str">
        <f t="shared" si="84"/>
        <v/>
      </c>
      <c r="D305" s="27"/>
      <c r="E305" s="336" t="str">
        <f t="shared" si="85"/>
        <v/>
      </c>
      <c r="F305" s="9"/>
      <c r="G305" s="9"/>
      <c r="H305" s="337" t="str">
        <f>IF(ISNUMBER(F305),COS(((F305+F304)/2)*(PI()/180))*(E305-E304)+H304,"")</f>
        <v/>
      </c>
      <c r="I305" s="337" t="str">
        <f t="shared" si="87"/>
        <v xml:space="preserve">  </v>
      </c>
      <c r="J305" s="338" t="str">
        <f t="shared" si="89"/>
        <v/>
      </c>
      <c r="K305" s="339" t="str">
        <f>IF(F305=0," ",SUM(F305-F304)/SUM(E305-E304)*30)</f>
        <v xml:space="preserve"> </v>
      </c>
      <c r="L305" s="339" t="str">
        <f t="shared" si="86"/>
        <v/>
      </c>
      <c r="M305" s="339" t="str">
        <f t="shared" si="79"/>
        <v/>
      </c>
      <c r="N305" s="340" t="str">
        <f t="shared" si="80"/>
        <v/>
      </c>
      <c r="O305" s="341" t="str">
        <f t="shared" si="81"/>
        <v/>
      </c>
      <c r="P305" s="342" t="str">
        <f t="shared" si="82"/>
        <v/>
      </c>
      <c r="Q305" s="343" t="str">
        <f t="shared" si="83"/>
        <v/>
      </c>
      <c r="R305" s="10" t="str">
        <f t="shared" si="94"/>
        <v/>
      </c>
      <c r="S305" s="337" t="str">
        <f>IF(T305="","",SUM(R305+T305))</f>
        <v/>
      </c>
      <c r="T305" s="9"/>
      <c r="U305" s="8"/>
      <c r="V305" s="202" t="str">
        <f>IF(OR(E305="",E305&lt;$U$2),"",ProjTvdAtBit(E305,F305,G305,H305,D305,W305,X305))</f>
        <v/>
      </c>
      <c r="W305" s="344" t="str">
        <f>IF(OR(E305="",E305&lt;$U$2),"",ProjIncAtBit(F305,J305,C305,M305,AJ305,IF(AK305="",0,AK305)))</f>
        <v/>
      </c>
      <c r="X305" s="455" t="str">
        <f>IF(OR(E305="",E305&lt;$U$2),"",ProjAzmAtBit(F305,G305,J305,C305,M305,AJ305,IF(AK305="",0,AK305)))</f>
        <v/>
      </c>
      <c r="Y305" s="461"/>
      <c r="Z305" s="206"/>
      <c r="AA305" s="522" t="str">
        <f t="shared" si="91"/>
        <v/>
      </c>
      <c r="AB305" s="523" t="str">
        <f t="shared" si="92"/>
        <v/>
      </c>
      <c r="AC305" s="510"/>
      <c r="AD305" s="515"/>
      <c r="AE305" s="517"/>
      <c r="AJ305" s="452">
        <f>IF(OR(E305="",D305=""),0,ProjSlideMetersBetween(E305,D305,$R$13:$R$305,$S$13:$S$305))</f>
        <v>0</v>
      </c>
      <c r="AK305" s="452" t="str">
        <f>IF(U305="","",ProjParseTF(U305))</f>
        <v/>
      </c>
      <c r="AL305" s="219" t="str">
        <f>IF(E305="","",ProjCumN(AL304,E304,F304,G304,E305,F305,G305,FALSE))</f>
        <v/>
      </c>
      <c r="AM305" s="331" t="str">
        <f>IF(E305="","",ProjCumE(AM304,E304,F304,G304,E305,F305,G305,FALSE))</f>
        <v/>
      </c>
      <c r="AN305" s="330" t="str">
        <f t="shared" si="88"/>
        <v/>
      </c>
      <c r="AO305" s="330" t="str">
        <f>IF(OR(E305="",E305&lt;$U$2),"",ProjActiveTargetMdEx(D305,W305,V305,ProjTargets_MD,ProjTargets_INC,ProjTargets_AZM,ProjTargets_TVD,F305,H305))</f>
        <v/>
      </c>
      <c r="AP305" s="207" t="str">
        <f>IF(OR(E305="",E305&lt;$U$2),"",ProjBitN(E305,F305,G305,AL305,D305,W305,X305))</f>
        <v/>
      </c>
      <c r="AQ305" s="207" t="str">
        <f>IF(OR(E305="",E305&lt;$U$2),"",ProjBitE(E305,F305,G305,AM305,D305,W305,X305))</f>
        <v/>
      </c>
      <c r="AR305" s="207" t="str">
        <f>IF(OR(E305="",E305&lt;$U$2,AO305=""),"",ProjBurr(D305,W305,X305,Q305,C305,ProjTargets_MD,ProjTargets_INC,ProjTargets_AZM,ProjTargets_TVD,V305))</f>
        <v/>
      </c>
      <c r="AS305" s="207" t="str">
        <f>IF(OR(E305="",E305&lt;$U$2,AO305=""),"",ProjMetersToSlide(D305,W305,X305,Q305,C305,ProjTargets_MD,ProjTargets_INC,ProjTargets_AZM,ProjTargets_TVD,V305))</f>
        <v/>
      </c>
      <c r="AT305" s="207" t="str">
        <f>IF(OR(E305="",E305&lt;$U$2,AO305=""),"",ProjRequiredTf(D305,W305,X305,ProjTargets_MD,ProjTargets_INC,ProjTargets_AZM,ProjTargets_TVD,5,V305))</f>
        <v/>
      </c>
    </row>
    <row r="306" spans="2:46" ht="17.25" customHeight="1" x14ac:dyDescent="0.3">
      <c r="B306" s="225"/>
      <c r="C306" s="226">
        <f>AVERAGE(C16:C305)</f>
        <v>26.376375545851527</v>
      </c>
      <c r="D306" s="226" cm="1">
        <f t="array" ref="D306">LOOKUP(2,1/(F12:F305&lt;&gt;""),D12:D305)</f>
        <v>6028.74</v>
      </c>
      <c r="E306" s="226" cm="1">
        <f t="array" ref="E306">LOOKUP(2,1/(F12:F305&lt;&gt;""),E12:E305)</f>
        <v>6011.74</v>
      </c>
      <c r="F306" s="226" cm="1">
        <f t="array" ref="F306">LOOKUP(2,1/(F12:F305&lt;&gt;""),F12:F305)</f>
        <v>90.38</v>
      </c>
      <c r="G306" s="226">
        <v>0.59</v>
      </c>
      <c r="H306" s="226" cm="1">
        <f t="array" ref="H306">LOOKUP(2,1/(H12:H305&lt;&gt;""),H12:H305)</f>
        <v>3070.6313769994513</v>
      </c>
      <c r="I306" s="227"/>
      <c r="J306" s="227" cm="1">
        <f t="array" ref="J306">LOOKUP(2,1/(J12:J305&lt;&gt;""),J12:J305)</f>
        <v>0.53112823123875741</v>
      </c>
      <c r="K306" s="227"/>
      <c r="L306" s="227"/>
      <c r="M306" s="227"/>
      <c r="N306" s="228"/>
      <c r="O306" s="229"/>
      <c r="P306" s="227"/>
      <c r="Q306" s="226" t="e">
        <f>AVERAGE(Q12:Q304)</f>
        <v>#DIV/0!</v>
      </c>
      <c r="R306" s="227"/>
      <c r="S306" s="227"/>
      <c r="T306" s="225">
        <f>SUM(T16:T305)</f>
        <v>626.59</v>
      </c>
      <c r="U306" s="225"/>
      <c r="V306" s="225">
        <f>SUM(V16:V305)</f>
        <v>433387.72914029524</v>
      </c>
      <c r="W306" s="230"/>
      <c r="X306" s="230"/>
      <c r="Y306" s="230"/>
      <c r="AB306" s="519">
        <f t="shared" ref="AB306" si="95">IFERROR(IF(E306="","",IF(COUNT($AE$14:$AE$33)=0,"",IF(E306&lt;_xlfn.AGGREGATE(5,6,$AE$14:$AE$33),"",INDEX($AG$15:$AG$33,MATCH(E306,$AE$14:$AE$33,1))))),"")</f>
        <v>0</v>
      </c>
      <c r="AC306" s="518" t="str">
        <f t="shared" ref="AC306" si="96">IF(OR(E306="",H306=""),"",IF(COUNT($AE$14:$AE$33)&lt;2,"",IF(OR(E306&lt;_xlfn.AGGREGATE(5,6,$AE$14:$AE$33),E306&gt;_xlfn.AGGREGATE(4,6,$AE$14:$AE$33)),"",IFERROR((INDEX($AF$14:$AF$33,MATCH(E306,$AE$14:$AE$33,1))+(E306-INDEX($AE$14:$AE$33,MATCH(E306,$AE$14:$AE$33,1)))*(INDEX($AF$14:$AF$33,MATCH(E306,$AE$14:$AE$33,1)+1)-INDEX($AF$14:$AF$33,MATCH(E306,$AE$14:$AE$33,1)))/(INDEX($AE$14:$AE$33,MATCH(E306,$AE$14:$AE$33,1)+1)-INDEX($AE$14:$AE$33,MATCH(E306,$AE$14:$AE$33,1))))-H306,""))))</f>
        <v/>
      </c>
    </row>
    <row r="307" spans="2:46" x14ac:dyDescent="0.3">
      <c r="B307" s="225"/>
      <c r="C307" s="226"/>
      <c r="D307" s="231" cm="1">
        <f t="array" ref="D307">IF(ISBLANK(D13),D12,LOOKUP(2,1/(D13:D304&lt;&gt;""),D13:D304))</f>
        <v>6168</v>
      </c>
      <c r="E307" s="226"/>
      <c r="F307" s="226"/>
      <c r="G307" s="226"/>
      <c r="H307" s="227"/>
      <c r="I307" s="227"/>
      <c r="J307" s="227"/>
      <c r="K307" s="227"/>
      <c r="L307" s="227"/>
      <c r="M307" s="227"/>
      <c r="N307" s="228"/>
      <c r="O307" s="229"/>
      <c r="P307" s="227"/>
      <c r="Q307" s="227"/>
      <c r="R307" s="227"/>
      <c r="S307" s="227"/>
      <c r="T307" s="225"/>
      <c r="U307" s="232"/>
      <c r="V307" s="230"/>
      <c r="W307" s="232"/>
      <c r="X307" s="232"/>
      <c r="Y307" s="232"/>
      <c r="Z307" s="217"/>
      <c r="AB307" s="217" t="s">
        <v>703</v>
      </c>
      <c r="AC307" s="212" t="str">
        <f>IFERROR(LOOKUP(2,1/(H12:H306&lt;&gt;""),AC12:AC306),"")</f>
        <v/>
      </c>
    </row>
    <row r="308" spans="2:46" ht="15" hidden="1" customHeight="1" x14ac:dyDescent="0.3">
      <c r="T308" s="211"/>
      <c r="U308" s="217"/>
      <c r="V308" s="215"/>
      <c r="W308" s="217"/>
      <c r="X308" s="217"/>
      <c r="Y308" s="217"/>
      <c r="Z308" s="217"/>
      <c r="AB308" s="217"/>
    </row>
    <row r="309" spans="2:46" ht="15" hidden="1" customHeight="1" x14ac:dyDescent="0.3">
      <c r="T309" s="211"/>
      <c r="U309" s="217"/>
      <c r="V309" s="215"/>
      <c r="W309" s="217"/>
      <c r="X309" s="217"/>
      <c r="Y309" s="217"/>
      <c r="Z309" s="217"/>
      <c r="AB309" s="217"/>
    </row>
    <row r="310" spans="2:46" ht="15" hidden="1" customHeight="1" x14ac:dyDescent="0.3">
      <c r="T310" s="211"/>
      <c r="U310" s="211"/>
      <c r="V310" s="215"/>
      <c r="W310" s="217"/>
      <c r="X310" s="217"/>
      <c r="Y310" s="217"/>
      <c r="Z310" s="217"/>
      <c r="AB310" s="217"/>
    </row>
    <row r="311" spans="2:46" ht="15" hidden="1" customHeight="1" x14ac:dyDescent="0.3">
      <c r="T311" s="211"/>
      <c r="U311" s="211"/>
      <c r="V311" s="215"/>
      <c r="W311" s="217"/>
      <c r="X311" s="217"/>
      <c r="Y311" s="217"/>
      <c r="Z311" s="217"/>
      <c r="AB311" s="217"/>
    </row>
    <row r="312" spans="2:46" ht="15" hidden="1" customHeight="1" x14ac:dyDescent="0.3">
      <c r="T312" s="211"/>
      <c r="U312" s="211"/>
      <c r="V312" s="215"/>
      <c r="W312" s="217"/>
      <c r="X312" s="217"/>
      <c r="Y312" s="217"/>
      <c r="Z312" s="217"/>
      <c r="AB312" s="217"/>
    </row>
    <row r="313" spans="2:46" ht="15" hidden="1" customHeight="1" x14ac:dyDescent="0.3">
      <c r="T313" s="215"/>
      <c r="U313" s="215"/>
      <c r="V313" s="215"/>
      <c r="AB313" s="217"/>
    </row>
    <row r="314" spans="2:46" x14ac:dyDescent="0.3">
      <c r="T314" s="212"/>
      <c r="V314" s="212"/>
      <c r="AB314" s="217"/>
    </row>
    <row r="315" spans="2:46" ht="31.2" x14ac:dyDescent="0.3">
      <c r="P315" s="333"/>
      <c r="Q315" s="333"/>
      <c r="R315" s="333"/>
      <c r="S315" s="333"/>
      <c r="T315" s="333"/>
      <c r="U315" s="333"/>
      <c r="V315" s="333"/>
      <c r="W315" s="333"/>
      <c r="X315" s="333"/>
      <c r="Y315" s="333"/>
      <c r="Z315" s="185"/>
      <c r="AB315" s="217"/>
    </row>
    <row r="316" spans="2:46" ht="24.75" customHeight="1" x14ac:dyDescent="0.3">
      <c r="P316" s="334"/>
      <c r="Q316" s="334"/>
      <c r="R316" s="334"/>
      <c r="S316" s="334"/>
      <c r="T316" s="334"/>
      <c r="U316" s="334"/>
      <c r="V316" s="334"/>
      <c r="W316" s="334"/>
      <c r="X316" s="334"/>
      <c r="Y316" s="334"/>
      <c r="Z316" s="220"/>
      <c r="AB316" s="217"/>
    </row>
    <row r="317" spans="2:46" ht="22.5" customHeight="1" x14ac:dyDescent="0.3">
      <c r="P317" s="334"/>
      <c r="Q317" s="334"/>
      <c r="R317" s="334"/>
      <c r="S317" s="334"/>
      <c r="T317" s="334"/>
      <c r="U317" s="334"/>
      <c r="V317" s="334"/>
      <c r="W317" s="334"/>
      <c r="X317" s="334"/>
      <c r="Y317" s="334"/>
      <c r="Z317" s="220"/>
      <c r="AB317" s="217"/>
    </row>
    <row r="318" spans="2:46" ht="22.5" customHeight="1" x14ac:dyDescent="0.3">
      <c r="P318" s="334"/>
      <c r="Q318" s="334"/>
      <c r="R318" s="334"/>
      <c r="S318" s="334"/>
      <c r="T318" s="334"/>
      <c r="U318" s="334"/>
      <c r="V318" s="334"/>
      <c r="W318" s="334"/>
      <c r="X318" s="334"/>
      <c r="Y318" s="334"/>
      <c r="Z318" s="220"/>
      <c r="AB318" s="217"/>
    </row>
    <row r="319" spans="2:46" ht="26.25" customHeight="1" x14ac:dyDescent="0.3">
      <c r="P319" s="334"/>
      <c r="Q319" s="334"/>
      <c r="R319" s="334"/>
      <c r="S319" s="334"/>
      <c r="T319" s="334"/>
      <c r="U319" s="334"/>
      <c r="V319" s="334"/>
      <c r="W319" s="334"/>
      <c r="X319" s="334"/>
      <c r="Y319" s="334"/>
      <c r="Z319" s="221"/>
      <c r="AB319" s="217"/>
    </row>
    <row r="320" spans="2:46" x14ac:dyDescent="0.3">
      <c r="W320" s="210"/>
      <c r="X320" s="210"/>
      <c r="Y320" s="210"/>
      <c r="Z320" s="210"/>
    </row>
  </sheetData>
  <mergeCells count="43">
    <mergeCell ref="B6:B7"/>
    <mergeCell ref="R4:S5"/>
    <mergeCell ref="D2:I3"/>
    <mergeCell ref="B2:C3"/>
    <mergeCell ref="J4:K5"/>
    <mergeCell ref="F4:G5"/>
    <mergeCell ref="H4:I5"/>
    <mergeCell ref="J2:K3"/>
    <mergeCell ref="B4:C5"/>
    <mergeCell ref="D4:E5"/>
    <mergeCell ref="H6:H7"/>
    <mergeCell ref="K6:K7"/>
    <mergeCell ref="M4:N5"/>
    <mergeCell ref="O4:Q5"/>
    <mergeCell ref="I6:I7"/>
    <mergeCell ref="J6:J7"/>
    <mergeCell ref="B1:E1"/>
    <mergeCell ref="F1:I1"/>
    <mergeCell ref="Y6:Y7"/>
    <mergeCell ref="C6:C7"/>
    <mergeCell ref="D6:D7"/>
    <mergeCell ref="E6:E7"/>
    <mergeCell ref="F6:F7"/>
    <mergeCell ref="G6:G7"/>
    <mergeCell ref="W6:W7"/>
    <mergeCell ref="Q6:Q7"/>
    <mergeCell ref="X6:X7"/>
    <mergeCell ref="L4:L5"/>
    <mergeCell ref="U6:U7"/>
    <mergeCell ref="V6:V7"/>
    <mergeCell ref="P6:P7"/>
    <mergeCell ref="L6:L7"/>
    <mergeCell ref="AC12:AE12"/>
    <mergeCell ref="AA1:AC7"/>
    <mergeCell ref="N6:O7"/>
    <mergeCell ref="M6:M7"/>
    <mergeCell ref="R6:R7"/>
    <mergeCell ref="S6:S7"/>
    <mergeCell ref="T6:T7"/>
    <mergeCell ref="Z1:Z3"/>
    <mergeCell ref="Z4:Z6"/>
    <mergeCell ref="L2:Q3"/>
    <mergeCell ref="R2:S3"/>
  </mergeCells>
  <phoneticPr fontId="29" type="noConversion"/>
  <conditionalFormatting sqref="L2 I13:I305">
    <cfRule type="containsErrors" dxfId="31" priority="113">
      <formula>ISERROR(I2)</formula>
    </cfRule>
  </conditionalFormatting>
  <conditionalFormatting sqref="AC8:AC11 AD16:AD1048576 F13:G46">
    <cfRule type="containsErrors" dxfId="30" priority="112">
      <formula>ISERROR(F8)</formula>
    </cfRule>
  </conditionalFormatting>
  <conditionalFormatting sqref="AC8:AC11 AA307:AB1048576 AA306">
    <cfRule type="cellIs" dxfId="29" priority="109" operator="equal">
      <formula>0</formula>
    </cfRule>
  </conditionalFormatting>
  <conditionalFormatting sqref="Q12:Q305 N12:O305">
    <cfRule type="expression" dxfId="28" priority="126">
      <formula>#REF!=0</formula>
    </cfRule>
    <cfRule type="expression" dxfId="27" priority="127">
      <formula>#REF!=""</formula>
    </cfRule>
  </conditionalFormatting>
  <conditionalFormatting sqref="Y12:Y305">
    <cfRule type="containsText" dxfId="26" priority="10" operator="containsText" text="Target">
      <formula>NOT(ISERROR(SEARCH("Target",Y12)))</formula>
    </cfRule>
    <cfRule type="expression" dxfId="25" priority="108">
      <formula>_xlfn.ISFORMULA(Y12)</formula>
    </cfRule>
    <cfRule type="expression" dxfId="24" priority="110">
      <formula>ISBLANK(Y12)</formula>
    </cfRule>
  </conditionalFormatting>
  <conditionalFormatting sqref="AA8:AB11">
    <cfRule type="cellIs" dxfId="23" priority="90" operator="equal">
      <formula>0</formula>
    </cfRule>
  </conditionalFormatting>
  <conditionalFormatting sqref="J2 J6:J11 Q6:Q1048576 N6:O1048576 AA8:AC11 J13:J1048576 AA16:AA146 AA307:AC1048576 AA148:AA306">
    <cfRule type="containsErrors" dxfId="22" priority="87">
      <formula>ISERROR(J2)</formula>
    </cfRule>
  </conditionalFormatting>
  <conditionalFormatting sqref="AA306:AA1048576 AA8:AA12 AA15">
    <cfRule type="containsErrors" dxfId="21" priority="64">
      <formula>ISERROR(AA8)</formula>
    </cfRule>
  </conditionalFormatting>
  <conditionalFormatting sqref="I12">
    <cfRule type="containsErrors" dxfId="20" priority="20">
      <formula>ISERROR(I12)</formula>
    </cfRule>
  </conditionalFormatting>
  <conditionalFormatting sqref="J12">
    <cfRule type="containsErrors" dxfId="19" priority="19">
      <formula>ISERROR(J12)</formula>
    </cfRule>
  </conditionalFormatting>
  <conditionalFormatting sqref="F51:G52 F53:F70">
    <cfRule type="containsErrors" dxfId="18" priority="18">
      <formula>ISERROR(F51)</formula>
    </cfRule>
  </conditionalFormatting>
  <conditionalFormatting sqref="F50:G50">
    <cfRule type="containsErrors" dxfId="17" priority="17">
      <formula>ISERROR(F50)</formula>
    </cfRule>
  </conditionalFormatting>
  <conditionalFormatting sqref="F47:G49">
    <cfRule type="containsErrors" dxfId="16" priority="16">
      <formula>ISERROR(F47)</formula>
    </cfRule>
  </conditionalFormatting>
  <conditionalFormatting sqref="M4">
    <cfRule type="containsErrors" dxfId="15" priority="11">
      <formula>ISERROR(M4)</formula>
    </cfRule>
  </conditionalFormatting>
  <conditionalFormatting sqref="W1:W6 W8:W1048576">
    <cfRule type="containsErrors" dxfId="14" priority="132">
      <formula>ISERROR(W1)</formula>
    </cfRule>
  </conditionalFormatting>
  <conditionalFormatting sqref="AA12">
    <cfRule type="containsErrors" dxfId="13" priority="7">
      <formula>ISERROR(AA12)</formula>
    </cfRule>
  </conditionalFormatting>
  <conditionalFormatting sqref="AA15:AB15 AA12">
    <cfRule type="cellIs" dxfId="12" priority="5" operator="equal">
      <formula>0</formula>
    </cfRule>
  </conditionalFormatting>
  <conditionalFormatting sqref="AA15:AB15">
    <cfRule type="containsErrors" dxfId="11" priority="4">
      <formula>ISERROR(AA15)</formula>
    </cfRule>
  </conditionalFormatting>
  <conditionalFormatting sqref="AA12">
    <cfRule type="containsErrors" dxfId="10" priority="3">
      <formula>ISERROR(AA12)</formula>
    </cfRule>
  </conditionalFormatting>
  <conditionalFormatting sqref="AB16:AB306">
    <cfRule type="expression" dxfId="9" priority="1" stopIfTrue="1">
      <formula>AND(ISNUMBER(AB16),OR(AB16&gt;$AB$14,AB16&lt;-$AB$14))</formula>
    </cfRule>
  </conditionalFormatting>
  <conditionalFormatting sqref="AB16:AB306">
    <cfRule type="colorScale" priority="2">
      <colorScale>
        <cfvo type="formula" val="-$AB$14"/>
        <cfvo type="num" val="0"/>
        <cfvo type="formula" val="$AB$14"/>
        <color rgb="FFFFC000"/>
        <color rgb="FF92D050"/>
        <color rgb="FFFFC000"/>
      </colorScale>
    </cfRule>
  </conditionalFormatting>
  <dataValidations count="4">
    <dataValidation type="list" showInputMessage="1" sqref="H4" xr:uid="{67F44B27-B2AF-4388-A10A-855AE0E3163D}">
      <formula1>"Surface, Top Hole, Inter./Curve, Curve, Curve/Lateral, Lateral"</formula1>
    </dataValidation>
    <dataValidation type="list" allowBlank="1" showInputMessage="1" sqref="Y12:Y305" xr:uid="{104CAD95-4962-4963-BFB6-6ECAD4DABF6A}">
      <formula1>#REF!</formula1>
    </dataValidation>
    <dataValidation type="list" errorStyle="information" allowBlank="1" showInputMessage="1" showErrorMessage="1" promptTitle="Mag / Gravity threshold" prompt="Only 3° or 5°. Inc under → Magnetic (N/S|E/W). At/over → Gravity (UP/DN|L/R). Override: U ends with M = Magnetic; L/R or +/- = Gravity." sqref="T1" xr:uid="{2F983568-A62C-4574-92DE-06AA1A6E3186}">
      <formula1>"3,5"</formula1>
    </dataValidation>
    <dataValidation type="list" allowBlank="1" sqref="Y2:Y5" xr:uid="{55E74B55-6A83-4EDF-B3D2-76AA3F729E51}">
      <formula1>"KOP,TANGENT,HEEL,SOT,EOT,TD"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56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0" r:id="rId4" name="btnClearSlidesheetRanges">
              <controlPr defaultSize="0" print="0" autoFill="0" autoPict="0" macro="[0]!ClearSlidesheetRanges">
                <anchor moveWithCells="1" sizeWithCells="1">
                  <from>
                    <xdr:col>25</xdr:col>
                    <xdr:colOff>0</xdr:colOff>
                    <xdr:row>0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5" name="btnPipeTallyForm">
              <controlPr defaultSize="0" print="0" autoFill="0" autoPict="0" macro="[0]!ShowPipeTallyForm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9B857-14F7-419C-BBCD-24FDCE212F5B}">
  <sheetPr codeName="Sheet9">
    <tabColor rgb="FFFFFF00"/>
  </sheetPr>
  <dimension ref="A1:AE1047990"/>
  <sheetViews>
    <sheetView zoomScale="70" zoomScaleNormal="70" workbookViewId="0">
      <selection activeCell="AJ51" sqref="AJ51"/>
    </sheetView>
  </sheetViews>
  <sheetFormatPr defaultRowHeight="14.4" x14ac:dyDescent="0.3"/>
  <cols>
    <col min="1" max="1" width="2" customWidth="1"/>
    <col min="2" max="4" width="10.6640625" customWidth="1"/>
    <col min="5" max="5" width="2.109375" customWidth="1"/>
    <col min="6" max="6" width="10.109375" style="463" customWidth="1"/>
    <col min="7" max="7" width="13.6640625" style="463" customWidth="1"/>
    <col min="8" max="8" width="17.6640625" style="15" customWidth="1"/>
    <col min="9" max="9" width="2.33203125" customWidth="1"/>
    <col min="10" max="10" width="14.6640625" hidden="1" customWidth="1"/>
    <col min="11" max="11" width="0.88671875" hidden="1" customWidth="1"/>
    <col min="12" max="12" width="14.6640625" hidden="1" customWidth="1"/>
    <col min="13" max="15" width="15.5546875" hidden="1" customWidth="1"/>
    <col min="16" max="16" width="15.5546875" style="464" hidden="1" customWidth="1"/>
    <col min="17" max="17" width="15.5546875" hidden="1" customWidth="1"/>
    <col min="18" max="18" width="14.6640625" style="15" hidden="1" customWidth="1"/>
    <col min="19" max="19" width="0.88671875" style="15" hidden="1" customWidth="1"/>
    <col min="20" max="20" width="14.6640625" hidden="1" customWidth="1"/>
    <col min="21" max="22" width="15.5546875" hidden="1" customWidth="1"/>
    <col min="23" max="23" width="4.33203125" customWidth="1"/>
  </cols>
  <sheetData>
    <row r="1" spans="1:31" ht="10.5" customHeight="1" thickBot="1" x14ac:dyDescent="0.35">
      <c r="B1">
        <v>1</v>
      </c>
    </row>
    <row r="2" spans="1:31" ht="31.8" thickBot="1" x14ac:dyDescent="0.65">
      <c r="A2" s="465"/>
      <c r="B2" s="915" t="s">
        <v>790</v>
      </c>
      <c r="C2" s="916"/>
      <c r="D2" s="916"/>
      <c r="E2" s="916"/>
      <c r="F2" s="916"/>
      <c r="G2" s="916"/>
      <c r="H2" s="916"/>
      <c r="I2" s="916"/>
      <c r="J2" s="916"/>
      <c r="K2" s="916"/>
      <c r="L2" s="916"/>
      <c r="M2" s="916"/>
      <c r="N2" s="916"/>
      <c r="O2" s="916"/>
      <c r="P2" s="916"/>
      <c r="Q2" s="916"/>
      <c r="R2" s="916"/>
      <c r="S2" s="916"/>
      <c r="T2" s="917"/>
      <c r="U2" s="466"/>
      <c r="W2" s="467"/>
    </row>
    <row r="3" spans="1:31" ht="12.75" customHeight="1" thickBot="1" x14ac:dyDescent="0.65">
      <c r="A3" s="468"/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  <c r="U3" s="468"/>
    </row>
    <row r="4" spans="1:31" ht="31.8" thickBot="1" x14ac:dyDescent="0.65">
      <c r="A4" s="468"/>
      <c r="B4" s="918" t="s">
        <v>92</v>
      </c>
      <c r="C4" s="919"/>
      <c r="D4" s="920"/>
      <c r="E4" s="470"/>
      <c r="F4" s="471" t="s">
        <v>791</v>
      </c>
      <c r="G4" s="472"/>
      <c r="H4" s="473" t="s">
        <v>792</v>
      </c>
      <c r="I4" s="472"/>
      <c r="J4" s="921" t="s">
        <v>793</v>
      </c>
      <c r="K4" s="922"/>
      <c r="L4" s="923"/>
      <c r="M4" s="474"/>
      <c r="N4" s="474"/>
      <c r="O4" s="474"/>
      <c r="P4" s="474"/>
      <c r="Q4" s="474"/>
      <c r="R4" s="921" t="s">
        <v>794</v>
      </c>
      <c r="S4" s="922"/>
      <c r="T4" s="923"/>
      <c r="U4" s="468"/>
    </row>
    <row r="5" spans="1:31" ht="15.75" customHeight="1" thickBot="1" x14ac:dyDescent="0.35">
      <c r="B5" s="924">
        <f>LOOKUP(2,1/(Slidesheet!D:D&lt;&gt;""),Slidesheet!D:D)</f>
        <v>6168</v>
      </c>
      <c r="C5" s="925"/>
      <c r="D5" s="926"/>
      <c r="E5" s="475"/>
      <c r="F5" s="463" t="s">
        <v>795</v>
      </c>
      <c r="H5" s="463" t="s">
        <v>796</v>
      </c>
      <c r="I5" s="15"/>
      <c r="J5" s="463" t="s">
        <v>797</v>
      </c>
      <c r="K5" s="15"/>
      <c r="L5" s="463" t="s">
        <v>798</v>
      </c>
      <c r="M5" s="15"/>
      <c r="P5" s="476"/>
      <c r="Q5" s="15"/>
      <c r="R5" s="463" t="s">
        <v>797</v>
      </c>
      <c r="T5" s="463" t="s">
        <v>798</v>
      </c>
    </row>
    <row r="6" spans="1:31" ht="38.25" customHeight="1" thickBot="1" x14ac:dyDescent="0.35">
      <c r="A6" s="15"/>
      <c r="B6" s="927"/>
      <c r="C6" s="928"/>
      <c r="D6" s="929"/>
      <c r="E6" s="477"/>
      <c r="F6" s="478" t="s">
        <v>799</v>
      </c>
      <c r="G6" s="478" t="s">
        <v>800</v>
      </c>
      <c r="H6" s="478" t="s">
        <v>801</v>
      </c>
      <c r="I6" s="479"/>
      <c r="J6" s="478" t="s">
        <v>802</v>
      </c>
      <c r="K6" s="479"/>
      <c r="L6" s="478" t="s">
        <v>803</v>
      </c>
      <c r="M6" s="15"/>
      <c r="N6" s="15"/>
      <c r="O6" s="15"/>
      <c r="P6" s="476"/>
      <c r="Q6" s="15"/>
      <c r="R6" s="478" t="s">
        <v>804</v>
      </c>
      <c r="S6" s="462"/>
      <c r="T6" s="478" t="s">
        <v>805</v>
      </c>
      <c r="X6" s="6"/>
      <c r="Y6" s="6"/>
      <c r="Z6" s="6"/>
      <c r="AA6" s="6"/>
      <c r="AB6" s="6"/>
      <c r="AC6" s="6"/>
      <c r="AD6" s="6"/>
      <c r="AE6" s="6"/>
    </row>
    <row r="7" spans="1:31" ht="15" customHeight="1" x14ac:dyDescent="0.3">
      <c r="B7" s="930" t="s">
        <v>806</v>
      </c>
      <c r="C7" s="931"/>
      <c r="D7" s="932"/>
      <c r="E7" s="480"/>
      <c r="F7" s="481"/>
      <c r="G7" s="482">
        <v>3001.8</v>
      </c>
      <c r="H7" s="483" t="str">
        <f ca="1">IFERROR(IF(OR($C$11="",$C$11=0),"",IF(OR($D$11=0,$D$11=""),IF(NOT(ISNUMBER(INDEX($F$7:$F$1000,ROWS($I$7:I7)*$C$11))),"",$B$5+SUM(OFFSET($F$7,0,0,ROWS($I$7:I7)*$C$11))),IF(NOT(ISNUMBER(INDEX($F$7:$F$1000,ROUNDUP(ROWS($I$7:I7)/2,0)*$C$11))),"",IF(MOD(ROWS($I$7:I7),2)=1,IF(ISNUMBER($B$5),$B$5+SUM(OFFSET($F$7,0,0,ROUNDUP(ROWS($I$7:I7)/2,0)*$C$11))-SUM(OFFSET($F$7,(ROUNDUP(ROWS($I$7:I7)/2,0)*$C$11)-$C$11,0,$C$11))+$D$11,""),$B$5+SUM(OFFSET($F$7,0,0,ROUNDUP(ROWS($I$7:I7)/2,0)*$C$11)))))),"")</f>
        <v/>
      </c>
      <c r="I7" s="484"/>
      <c r="J7" s="485" t="str">
        <f>IF(F8="","",F7+F8)</f>
        <v/>
      </c>
      <c r="K7" s="484"/>
      <c r="L7" s="486" t="str">
        <f>IF(J7="","",J7+$B$5)</f>
        <v/>
      </c>
      <c r="M7" s="484"/>
      <c r="N7" s="484"/>
      <c r="O7" s="484"/>
      <c r="P7" s="487">
        <f>O8</f>
        <v>0</v>
      </c>
      <c r="Q7" s="484"/>
      <c r="R7" s="488" t="str">
        <f>IF(P7=0,"",ROUNDDOWN(P7,2))</f>
        <v/>
      </c>
      <c r="S7" s="484"/>
      <c r="T7" s="489" t="str">
        <f>IF(R7="","",R7+$B$5)</f>
        <v/>
      </c>
      <c r="U7" s="479"/>
      <c r="X7" s="6"/>
      <c r="Y7" s="6"/>
      <c r="Z7" s="6"/>
      <c r="AA7" s="6"/>
      <c r="AB7" s="6"/>
      <c r="AC7" s="6"/>
      <c r="AD7" s="6"/>
      <c r="AE7" s="6"/>
    </row>
    <row r="8" spans="1:31" ht="15" customHeight="1" x14ac:dyDescent="0.3">
      <c r="B8" s="933"/>
      <c r="C8" s="934"/>
      <c r="D8" s="935"/>
      <c r="E8" s="490"/>
      <c r="F8" s="491"/>
      <c r="G8" s="482">
        <v>3011.4</v>
      </c>
      <c r="H8" s="483" t="str">
        <f ca="1">IFERROR(IF(OR($C$11="",$C$11=0),"",IF(OR($D$11=0,$D$11=""),IF(NOT(ISNUMBER(INDEX($F$7:$F$1000,ROWS($I$7:I8)*$C$11))),"",$B$5+SUM(OFFSET($F$7,0,0,ROWS($I$7:I8)*$C$11))),IF(NOT(ISNUMBER(INDEX($F$7:$F$1000,ROUNDUP(ROWS($I$7:I8)/2,0)*$C$11))),"",IF(MOD(ROWS($I$7:I8),2)=1,IF(ISNUMBER($B$5),$B$5+SUM(OFFSET($F$7,0,0,ROUNDUP(ROWS($I$7:I8)/2,0)*$C$11))-SUM(OFFSET($F$7,(ROUNDUP(ROWS($I$7:I8)/2,0)*$C$11)-$C$11,0,$C$11))+$D$11,""),$B$5+SUM(OFFSET($F$7,0,0,ROUNDUP(ROWS($I$7:I8)/2,0)*$C$11)))))),"")</f>
        <v/>
      </c>
      <c r="I8" s="484"/>
      <c r="J8" s="492" t="str">
        <f>IF(F10="","",F9+F10)</f>
        <v/>
      </c>
      <c r="K8" s="484"/>
      <c r="L8" s="493" t="str">
        <f>IF(J8="","",J8+L7)</f>
        <v/>
      </c>
      <c r="M8" s="484"/>
      <c r="N8" s="484"/>
      <c r="O8" s="484">
        <f>N9/2</f>
        <v>0</v>
      </c>
      <c r="P8" s="487">
        <f>O9</f>
        <v>0</v>
      </c>
      <c r="Q8" s="484"/>
      <c r="R8" s="492" t="str">
        <f>IF(P8=0,"",ROUNDUP(P8,2))</f>
        <v/>
      </c>
      <c r="S8" s="484"/>
      <c r="T8" s="493" t="str">
        <f>IF(R8="","",T7+R8)</f>
        <v/>
      </c>
      <c r="U8" s="479"/>
      <c r="X8" s="6"/>
      <c r="Y8" s="6"/>
      <c r="Z8" s="6"/>
      <c r="AA8" s="6"/>
      <c r="AB8" s="6"/>
      <c r="AC8" s="6"/>
      <c r="AD8" s="6"/>
      <c r="AE8" s="6"/>
    </row>
    <row r="9" spans="1:31" ht="15" customHeight="1" thickBot="1" x14ac:dyDescent="0.35">
      <c r="B9" s="936"/>
      <c r="C9" s="937"/>
      <c r="D9" s="938"/>
      <c r="E9" s="490"/>
      <c r="F9" s="491"/>
      <c r="G9" s="482">
        <v>3021</v>
      </c>
      <c r="H9" s="483" t="str">
        <f ca="1">IFERROR(IF(OR($C$11="",$C$11=0),"",IF(OR($D$11=0,$D$11=""),IF(NOT(ISNUMBER(INDEX($F$7:$F$1000,ROWS($I$7:I9)*$C$11))),"",$B$5+SUM(OFFSET($F$7,0,0,ROWS($I$7:I9)*$C$11))),IF(NOT(ISNUMBER(INDEX($F$7:$F$1000,ROUNDUP(ROWS($I$7:I9)/2,0)*$C$11))),"",IF(MOD(ROWS($I$7:I9),2)=1,IF(ISNUMBER($B$5),$B$5+SUM(OFFSET($F$7,0,0,ROUNDUP(ROWS($I$7:I9)/2,0)*$C$11))-SUM(OFFSET($F$7,(ROUNDUP(ROWS($I$7:I9)/2,0)*$C$11)-$C$11,0,$C$11))+$D$11,""),$B$5+SUM(OFFSET($F$7,0,0,ROUNDUP(ROWS($I$7:I9)/2,0)*$C$11)))))),"")</f>
        <v/>
      </c>
      <c r="I9" s="484"/>
      <c r="J9" s="492" t="str">
        <f>IF(F12="","",F11+F12)</f>
        <v/>
      </c>
      <c r="K9" s="484"/>
      <c r="L9" s="493" t="str">
        <f t="shared" ref="L9:L72" si="0">IF(J9="","",J9+L8)</f>
        <v/>
      </c>
      <c r="M9" s="484"/>
      <c r="N9" s="484">
        <f>F7+F8+F9</f>
        <v>0</v>
      </c>
      <c r="O9" s="484">
        <f>N9/2</f>
        <v>0</v>
      </c>
      <c r="P9" s="487">
        <f>O11</f>
        <v>0</v>
      </c>
      <c r="Q9" s="484"/>
      <c r="R9" s="494" t="str">
        <f>IF(P9=0,"",ROUNDDOWN(P9,2))</f>
        <v/>
      </c>
      <c r="S9" s="484"/>
      <c r="T9" s="495" t="str">
        <f>IF(R9="","",T8+R9)</f>
        <v/>
      </c>
      <c r="U9" s="479"/>
      <c r="X9" s="6"/>
      <c r="Y9" s="6"/>
      <c r="Z9" s="6"/>
      <c r="AA9" s="6"/>
      <c r="AB9" s="6"/>
      <c r="AC9" s="6"/>
      <c r="AD9" s="6"/>
      <c r="AE9" s="6"/>
    </row>
    <row r="10" spans="1:31" ht="15" customHeight="1" thickBot="1" x14ac:dyDescent="0.35">
      <c r="B10" s="496"/>
      <c r="C10" s="497" t="s">
        <v>807</v>
      </c>
      <c r="D10" s="497" t="s">
        <v>808</v>
      </c>
      <c r="F10" s="491"/>
      <c r="G10" s="482">
        <v>3030.55</v>
      </c>
      <c r="H10" s="483" t="str">
        <f ca="1">IFERROR(IF(OR($C$11="",$C$11=0),"",IF(OR($D$11=0,$D$11=""),IF(NOT(ISNUMBER(INDEX($F$7:$F$1000,ROWS($I$7:I10)*$C$11))),"",$B$5+SUM(OFFSET($F$7,0,0,ROWS($I$7:I10)*$C$11))),IF(NOT(ISNUMBER(INDEX($F$7:$F$1000,ROUNDUP(ROWS($I$7:I10)/2,0)*$C$11))),"",IF(MOD(ROWS($I$7:I10),2)=1,IF(ISNUMBER($B$5),$B$5+SUM(OFFSET($F$7,0,0,ROUNDUP(ROWS($I$7:I10)/2,0)*$C$11))-SUM(OFFSET($F$7,(ROUNDUP(ROWS($I$7:I10)/2,0)*$C$11)-$C$11,0,$C$11))+$D$11,""),$B$5+SUM(OFFSET($F$7,0,0,ROUNDUP(ROWS($I$7:I10)/2,0)*$C$11)))))),"")</f>
        <v/>
      </c>
      <c r="I10" s="484"/>
      <c r="J10" s="492" t="str">
        <f>IF(F14="","",F13+F14)</f>
        <v/>
      </c>
      <c r="K10" s="484"/>
      <c r="L10" s="493" t="str">
        <f t="shared" si="0"/>
        <v/>
      </c>
      <c r="M10" s="484"/>
      <c r="N10" s="484"/>
      <c r="O10" s="484"/>
      <c r="P10" s="487">
        <f>O12</f>
        <v>0</v>
      </c>
      <c r="Q10" s="484"/>
      <c r="R10" s="492" t="str">
        <f>IF(P10=0,"",ROUNDUP(P10,2))</f>
        <v/>
      </c>
      <c r="S10" s="484"/>
      <c r="T10" s="493" t="str">
        <f>IF(R10="","",T9+R10)</f>
        <v/>
      </c>
      <c r="U10" s="479"/>
      <c r="X10" s="6"/>
      <c r="Y10" s="6"/>
      <c r="Z10" s="6"/>
      <c r="AA10" s="6"/>
      <c r="AB10" s="6"/>
      <c r="AC10" s="6"/>
      <c r="AD10" s="6"/>
      <c r="AE10" s="6"/>
    </row>
    <row r="11" spans="1:31" ht="15" customHeight="1" x14ac:dyDescent="0.3">
      <c r="B11" s="907"/>
      <c r="C11" s="909">
        <v>3</v>
      </c>
      <c r="D11" s="911">
        <v>0</v>
      </c>
      <c r="F11" s="491"/>
      <c r="G11" s="482">
        <v>3040.11</v>
      </c>
      <c r="H11" s="483" t="str">
        <f ca="1">IFERROR(IF(OR($C$11="",$C$11=0),"",IF(OR($D$11=0,$D$11=""),IF(NOT(ISNUMBER(INDEX($F$7:$F$1000,ROWS($I$7:I11)*$C$11))),"",$B$5+SUM(OFFSET($F$7,0,0,ROWS($I$7:I11)*$C$11))),IF(NOT(ISNUMBER(INDEX($F$7:$F$1000,ROUNDUP(ROWS($I$7:I11)/2,0)*$C$11))),"",IF(MOD(ROWS($I$7:I11),2)=1,IF(ISNUMBER($B$5),$B$5+SUM(OFFSET($F$7,0,0,ROUNDUP(ROWS($I$7:I11)/2,0)*$C$11))-SUM(OFFSET($F$7,(ROUNDUP(ROWS($I$7:I11)/2,0)*$C$11)-$C$11,0,$C$11))+$D$11,""),$B$5+SUM(OFFSET($F$7,0,0,ROUNDUP(ROWS($I$7:I11)/2,0)*$C$11)))))),"")</f>
        <v/>
      </c>
      <c r="I11" s="484"/>
      <c r="J11" s="492" t="str">
        <f>IF(F16="","",F15+F16)</f>
        <v/>
      </c>
      <c r="K11" s="484"/>
      <c r="L11" s="493" t="str">
        <f t="shared" si="0"/>
        <v/>
      </c>
      <c r="M11" s="484"/>
      <c r="N11" s="484"/>
      <c r="O11" s="484">
        <f>N12/2</f>
        <v>0</v>
      </c>
      <c r="P11" s="487">
        <f>O14</f>
        <v>0</v>
      </c>
      <c r="Q11" s="484"/>
      <c r="R11" s="494" t="str">
        <f>IF(P11=0,"",ROUNDDOWN(P11,2))</f>
        <v/>
      </c>
      <c r="S11" s="484"/>
      <c r="T11" s="495" t="str">
        <f t="shared" ref="T11:T74" si="1">IF(R11="","",T10+R11)</f>
        <v/>
      </c>
      <c r="U11" s="479"/>
      <c r="X11" s="6"/>
      <c r="Y11" s="6"/>
      <c r="Z11" s="6"/>
      <c r="AA11" s="6"/>
      <c r="AB11" s="6"/>
      <c r="AC11" s="6"/>
      <c r="AD11" s="6"/>
      <c r="AE11" s="6"/>
    </row>
    <row r="12" spans="1:31" ht="15" customHeight="1" x14ac:dyDescent="0.3">
      <c r="B12" s="907"/>
      <c r="C12" s="909"/>
      <c r="D12" s="912"/>
      <c r="F12" s="491"/>
      <c r="G12" s="482">
        <v>3049.66</v>
      </c>
      <c r="H12" s="483" t="str">
        <f ca="1">IFERROR(IF(OR($C$11="",$C$11=0),"",IF(OR($D$11=0,$D$11=""),IF(NOT(ISNUMBER(INDEX($F$7:$F$1000,ROWS($I$7:I12)*$C$11))),"",$B$5+SUM(OFFSET($F$7,0,0,ROWS($I$7:I12)*$C$11))),IF(NOT(ISNUMBER(INDEX($F$7:$F$1000,ROUNDUP(ROWS($I$7:I12)/2,0)*$C$11))),"",IF(MOD(ROWS($I$7:I12),2)=1,IF(ISNUMBER($B$5),$B$5+SUM(OFFSET($F$7,0,0,ROUNDUP(ROWS($I$7:I12)/2,0)*$C$11))-SUM(OFFSET($F$7,(ROUNDUP(ROWS($I$7:I12)/2,0)*$C$11)-$C$11,0,$C$11))+$D$11,""),$B$5+SUM(OFFSET($F$7,0,0,ROUNDUP(ROWS($I$7:I12)/2,0)*$C$11)))))),"")</f>
        <v/>
      </c>
      <c r="I12" s="484"/>
      <c r="J12" s="492" t="str">
        <f>IF(F18="","",F17+F18)</f>
        <v/>
      </c>
      <c r="K12" s="484"/>
      <c r="L12" s="493" t="str">
        <f t="shared" si="0"/>
        <v/>
      </c>
      <c r="M12" s="484"/>
      <c r="N12" s="484">
        <f>F10+F11+F12</f>
        <v>0</v>
      </c>
      <c r="O12" s="484">
        <f>N12/2</f>
        <v>0</v>
      </c>
      <c r="P12" s="487">
        <f>O15</f>
        <v>0</v>
      </c>
      <c r="Q12" s="484"/>
      <c r="R12" s="492" t="str">
        <f>IF(P12=0,"",ROUNDUP(P12,2))</f>
        <v/>
      </c>
      <c r="S12" s="484"/>
      <c r="T12" s="493" t="str">
        <f t="shared" si="1"/>
        <v/>
      </c>
      <c r="U12" s="479"/>
      <c r="X12" s="6"/>
      <c r="Y12" s="6"/>
      <c r="Z12" s="6"/>
      <c r="AA12" s="6"/>
      <c r="AB12" s="6"/>
      <c r="AC12" s="6"/>
      <c r="AD12" s="6"/>
      <c r="AE12" s="6"/>
    </row>
    <row r="13" spans="1:31" ht="15" customHeight="1" x14ac:dyDescent="0.3">
      <c r="B13" s="907"/>
      <c r="C13" s="909"/>
      <c r="D13" s="912"/>
      <c r="F13" s="491"/>
      <c r="G13" s="482">
        <v>3059.27</v>
      </c>
      <c r="H13" s="483" t="str">
        <f ca="1">IFERROR(IF(OR($C$11="",$C$11=0),"",IF(OR($D$11=0,$D$11=""),IF(NOT(ISNUMBER(INDEX($F$7:$F$1000,ROWS($I$7:I13)*$C$11))),"",$B$5+SUM(OFFSET($F$7,0,0,ROWS($I$7:I13)*$C$11))),IF(NOT(ISNUMBER(INDEX($F$7:$F$1000,ROUNDUP(ROWS($I$7:I13)/2,0)*$C$11))),"",IF(MOD(ROWS($I$7:I13),2)=1,IF(ISNUMBER($B$5),$B$5+SUM(OFFSET($F$7,0,0,ROUNDUP(ROWS($I$7:I13)/2,0)*$C$11))-SUM(OFFSET($F$7,(ROUNDUP(ROWS($I$7:I13)/2,0)*$C$11)-$C$11,0,$C$11))+$D$11,""),$B$5+SUM(OFFSET($F$7,0,0,ROUNDUP(ROWS($I$7:I13)/2,0)*$C$11)))))),"")</f>
        <v/>
      </c>
      <c r="I13" s="484"/>
      <c r="J13" s="492" t="str">
        <f>IF(F20="","",F19+F20)</f>
        <v/>
      </c>
      <c r="K13" s="484"/>
      <c r="L13" s="493" t="str">
        <f t="shared" si="0"/>
        <v/>
      </c>
      <c r="M13" s="484"/>
      <c r="N13" s="484"/>
      <c r="O13" s="484"/>
      <c r="P13" s="487">
        <f>O17</f>
        <v>0</v>
      </c>
      <c r="Q13" s="484"/>
      <c r="R13" s="494" t="str">
        <f>IF(P13=0,"",ROUNDDOWN(P13,2))</f>
        <v/>
      </c>
      <c r="S13" s="484"/>
      <c r="T13" s="495" t="str">
        <f t="shared" si="1"/>
        <v/>
      </c>
      <c r="U13" s="479"/>
      <c r="X13" s="6"/>
      <c r="Y13" s="6"/>
      <c r="Z13" s="6"/>
      <c r="AA13" s="6"/>
      <c r="AB13" s="6"/>
      <c r="AC13" s="6"/>
      <c r="AD13" s="6"/>
      <c r="AE13" s="6"/>
    </row>
    <row r="14" spans="1:31" ht="15" thickBot="1" x14ac:dyDescent="0.35">
      <c r="B14" s="908"/>
      <c r="C14" s="910"/>
      <c r="D14" s="913"/>
      <c r="E14" s="479"/>
      <c r="F14" s="491"/>
      <c r="G14" s="482">
        <v>3068.82</v>
      </c>
      <c r="H14" s="483" t="str">
        <f ca="1">IFERROR(IF(OR($C$11="",$C$11=0),"",IF(OR($D$11=0,$D$11=""),IF(NOT(ISNUMBER(INDEX($F$7:$F$1000,ROWS($I$7:I14)*$C$11))),"",$B$5+SUM(OFFSET($F$7,0,0,ROWS($I$7:I14)*$C$11))),IF(NOT(ISNUMBER(INDEX($F$7:$F$1000,ROUNDUP(ROWS($I$7:I14)/2,0)*$C$11))),"",IF(MOD(ROWS($I$7:I14),2)=1,IF(ISNUMBER($B$5),$B$5+SUM(OFFSET($F$7,0,0,ROUNDUP(ROWS($I$7:I14)/2,0)*$C$11))-SUM(OFFSET($F$7,(ROUNDUP(ROWS($I$7:I14)/2,0)*$C$11)-$C$11,0,$C$11))+$D$11,""),$B$5+SUM(OFFSET($F$7,0,0,ROUNDUP(ROWS($I$7:I14)/2,0)*$C$11)))))),"")</f>
        <v/>
      </c>
      <c r="I14" s="484"/>
      <c r="J14" s="492" t="str">
        <f>IF(F22="","",F21+F22)</f>
        <v/>
      </c>
      <c r="K14" s="484"/>
      <c r="L14" s="493" t="str">
        <f t="shared" si="0"/>
        <v/>
      </c>
      <c r="M14" s="484"/>
      <c r="N14" s="484"/>
      <c r="O14" s="484">
        <f>N15/2</f>
        <v>0</v>
      </c>
      <c r="P14" s="487">
        <f>O18</f>
        <v>0</v>
      </c>
      <c r="Q14" s="484"/>
      <c r="R14" s="492" t="str">
        <f>IF(P14=0,"",ROUNDUP(P14,2))</f>
        <v/>
      </c>
      <c r="S14" s="484"/>
      <c r="T14" s="493" t="str">
        <f t="shared" si="1"/>
        <v/>
      </c>
      <c r="U14" s="479"/>
      <c r="X14" s="6"/>
      <c r="Y14" s="6"/>
      <c r="Z14" s="6"/>
      <c r="AA14" s="6"/>
      <c r="AB14" s="6"/>
      <c r="AC14" s="6"/>
      <c r="AD14" s="6"/>
      <c r="AE14" s="6"/>
    </row>
    <row r="15" spans="1:31" x14ac:dyDescent="0.3">
      <c r="B15" s="479"/>
      <c r="C15" s="479"/>
      <c r="D15" s="479"/>
      <c r="E15" s="479"/>
      <c r="F15" s="491"/>
      <c r="G15" s="482">
        <v>3078.41</v>
      </c>
      <c r="H15" s="483" t="str">
        <f ca="1">IFERROR(IF(OR($C$11="",$C$11=0),"",IF(OR($D$11=0,$D$11=""),IF(NOT(ISNUMBER(INDEX($F$7:$F$1000,ROWS($I$7:I15)*$C$11))),"",$B$5+SUM(OFFSET($F$7,0,0,ROWS($I$7:I15)*$C$11))),IF(NOT(ISNUMBER(INDEX($F$7:$F$1000,ROUNDUP(ROWS($I$7:I15)/2,0)*$C$11))),"",IF(MOD(ROWS($I$7:I15),2)=1,IF(ISNUMBER($B$5),$B$5+SUM(OFFSET($F$7,0,0,ROUNDUP(ROWS($I$7:I15)/2,0)*$C$11))-SUM(OFFSET($F$7,(ROUNDUP(ROWS($I$7:I15)/2,0)*$C$11)-$C$11,0,$C$11))+$D$11,""),$B$5+SUM(OFFSET($F$7,0,0,ROUNDUP(ROWS($I$7:I15)/2,0)*$C$11)))))),"")</f>
        <v/>
      </c>
      <c r="I15" s="484"/>
      <c r="J15" s="492" t="str">
        <f>IF(F24="","",F23+F24)</f>
        <v/>
      </c>
      <c r="K15" s="484"/>
      <c r="L15" s="493" t="str">
        <f t="shared" si="0"/>
        <v/>
      </c>
      <c r="M15" s="484"/>
      <c r="N15" s="484">
        <f>F13+F14+F15</f>
        <v>0</v>
      </c>
      <c r="O15" s="484">
        <f>N15/2</f>
        <v>0</v>
      </c>
      <c r="P15" s="487">
        <f>O20</f>
        <v>0</v>
      </c>
      <c r="Q15" s="484"/>
      <c r="R15" s="494" t="str">
        <f>IF(P15=0,"",ROUNDDOWN(P15,2))</f>
        <v/>
      </c>
      <c r="S15" s="484"/>
      <c r="T15" s="495" t="str">
        <f t="shared" si="1"/>
        <v/>
      </c>
      <c r="U15" s="479"/>
      <c r="X15" s="6"/>
      <c r="Y15" s="6"/>
      <c r="Z15" s="6"/>
      <c r="AA15" s="6"/>
      <c r="AB15" s="6"/>
      <c r="AC15" s="6"/>
      <c r="AD15" s="6"/>
      <c r="AE15" s="6"/>
    </row>
    <row r="16" spans="1:31" x14ac:dyDescent="0.3">
      <c r="B16" s="914"/>
      <c r="C16" s="914"/>
      <c r="D16" s="914"/>
      <c r="E16" s="479"/>
      <c r="F16" s="491"/>
      <c r="G16" s="482">
        <v>3087.98</v>
      </c>
      <c r="H16" s="483" t="str">
        <f ca="1">IFERROR(IF(OR($C$11="",$C$11=0),"",IF(OR($D$11=0,$D$11=""),IF(NOT(ISNUMBER(INDEX($F$7:$F$1000,ROWS($I$7:I16)*$C$11))),"",$B$5+SUM(OFFSET($F$7,0,0,ROWS($I$7:I16)*$C$11))),IF(NOT(ISNUMBER(INDEX($F$7:$F$1000,ROUNDUP(ROWS($I$7:I16)/2,0)*$C$11))),"",IF(MOD(ROWS($I$7:I16),2)=1,IF(ISNUMBER($B$5),$B$5+SUM(OFFSET($F$7,0,0,ROUNDUP(ROWS($I$7:I16)/2,0)*$C$11))-SUM(OFFSET($F$7,(ROUNDUP(ROWS($I$7:I16)/2,0)*$C$11)-$C$11,0,$C$11))+$D$11,""),$B$5+SUM(OFFSET($F$7,0,0,ROUNDUP(ROWS($I$7:I16)/2,0)*$C$11)))))),"")</f>
        <v/>
      </c>
      <c r="I16" s="484"/>
      <c r="J16" s="492" t="str">
        <f>IF(F26="","",F25+F26)</f>
        <v/>
      </c>
      <c r="K16" s="484"/>
      <c r="L16" s="493" t="str">
        <f t="shared" si="0"/>
        <v/>
      </c>
      <c r="M16" s="484"/>
      <c r="N16" s="484"/>
      <c r="O16" s="484"/>
      <c r="P16" s="487">
        <f>O21</f>
        <v>0</v>
      </c>
      <c r="Q16" s="484"/>
      <c r="R16" s="492" t="str">
        <f>IF(P16=0,"",ROUNDUP(P16,2))</f>
        <v/>
      </c>
      <c r="S16" s="484"/>
      <c r="T16" s="493" t="str">
        <f t="shared" si="1"/>
        <v/>
      </c>
      <c r="U16" s="479"/>
      <c r="X16" s="6"/>
      <c r="Y16" s="6"/>
      <c r="Z16" s="6"/>
      <c r="AA16" s="6"/>
      <c r="AB16" s="6"/>
      <c r="AC16" s="6"/>
      <c r="AD16" s="6"/>
      <c r="AE16" s="6"/>
    </row>
    <row r="17" spans="2:31" x14ac:dyDescent="0.3">
      <c r="B17" s="914"/>
      <c r="C17" s="914"/>
      <c r="D17" s="914"/>
      <c r="E17" s="479"/>
      <c r="F17" s="491"/>
      <c r="G17" s="482">
        <v>3097.6</v>
      </c>
      <c r="H17" s="483" t="str">
        <f ca="1">IFERROR(IF(OR($C$11="",$C$11=0),"",IF(OR($D$11=0,$D$11=""),IF(NOT(ISNUMBER(INDEX($F$7:$F$1000,ROWS($I$7:I17)*$C$11))),"",$B$5+SUM(OFFSET($F$7,0,0,ROWS($I$7:I17)*$C$11))),IF(NOT(ISNUMBER(INDEX($F$7:$F$1000,ROUNDUP(ROWS($I$7:I17)/2,0)*$C$11))),"",IF(MOD(ROWS($I$7:I17),2)=1,IF(ISNUMBER($B$5),$B$5+SUM(OFFSET($F$7,0,0,ROUNDUP(ROWS($I$7:I17)/2,0)*$C$11))-SUM(OFFSET($F$7,(ROUNDUP(ROWS($I$7:I17)/2,0)*$C$11)-$C$11,0,$C$11))+$D$11,""),$B$5+SUM(OFFSET($F$7,0,0,ROUNDUP(ROWS($I$7:I17)/2,0)*$C$11)))))),"")</f>
        <v/>
      </c>
      <c r="I17" s="484"/>
      <c r="J17" s="492" t="str">
        <f>IF(F28="","",F27+F28)</f>
        <v/>
      </c>
      <c r="K17" s="484"/>
      <c r="L17" s="493" t="str">
        <f t="shared" si="0"/>
        <v/>
      </c>
      <c r="M17" s="484"/>
      <c r="N17" s="484"/>
      <c r="O17" s="484">
        <f>N18/2</f>
        <v>0</v>
      </c>
      <c r="P17" s="487">
        <f>O23</f>
        <v>0</v>
      </c>
      <c r="Q17" s="484"/>
      <c r="R17" s="494" t="str">
        <f>IF(P17=0,"",ROUNDDOWN(P17,2))</f>
        <v/>
      </c>
      <c r="S17" s="484"/>
      <c r="T17" s="495" t="str">
        <f t="shared" si="1"/>
        <v/>
      </c>
      <c r="U17" s="479"/>
      <c r="X17" s="6"/>
      <c r="Y17" s="6"/>
      <c r="Z17" s="6"/>
      <c r="AA17" s="6"/>
      <c r="AB17" s="6"/>
      <c r="AC17" s="6"/>
      <c r="AD17" s="6"/>
      <c r="AE17" s="6"/>
    </row>
    <row r="18" spans="2:31" x14ac:dyDescent="0.3">
      <c r="B18" s="914"/>
      <c r="C18" s="914"/>
      <c r="D18" s="914"/>
      <c r="E18" s="479"/>
      <c r="F18" s="491"/>
      <c r="G18" s="482">
        <v>3107.21</v>
      </c>
      <c r="H18" s="483" t="str">
        <f ca="1">IFERROR(IF(OR($C$11="",$C$11=0),"",IF(OR($D$11=0,$D$11=""),IF(NOT(ISNUMBER(INDEX($F$7:$F$1000,ROWS($I$7:I18)*$C$11))),"",$B$5+SUM(OFFSET($F$7,0,0,ROWS($I$7:I18)*$C$11))),IF(NOT(ISNUMBER(INDEX($F$7:$F$1000,ROUNDUP(ROWS($I$7:I18)/2,0)*$C$11))),"",IF(MOD(ROWS($I$7:I18),2)=1,IF(ISNUMBER($B$5),$B$5+SUM(OFFSET($F$7,0,0,ROUNDUP(ROWS($I$7:I18)/2,0)*$C$11))-SUM(OFFSET($F$7,(ROUNDUP(ROWS($I$7:I18)/2,0)*$C$11)-$C$11,0,$C$11))+$D$11,""),$B$5+SUM(OFFSET($F$7,0,0,ROUNDUP(ROWS($I$7:I18)/2,0)*$C$11)))))),"")</f>
        <v/>
      </c>
      <c r="I18" s="484"/>
      <c r="J18" s="492" t="str">
        <f>IF(F30="","",F29+F30)</f>
        <v/>
      </c>
      <c r="K18" s="484"/>
      <c r="L18" s="493" t="str">
        <f t="shared" si="0"/>
        <v/>
      </c>
      <c r="M18" s="484"/>
      <c r="N18" s="484">
        <f>F16+F17+F18</f>
        <v>0</v>
      </c>
      <c r="O18" s="484">
        <f>N18/2</f>
        <v>0</v>
      </c>
      <c r="P18" s="487">
        <f>O24</f>
        <v>0</v>
      </c>
      <c r="Q18" s="484"/>
      <c r="R18" s="492" t="str">
        <f>IF(P18=0,"",ROUNDUP(P18,2))</f>
        <v/>
      </c>
      <c r="S18" s="484"/>
      <c r="T18" s="493" t="str">
        <f t="shared" si="1"/>
        <v/>
      </c>
      <c r="U18" s="479"/>
      <c r="X18" s="6"/>
      <c r="Y18" s="6"/>
      <c r="Z18" s="6"/>
      <c r="AA18" s="6"/>
      <c r="AB18" s="6"/>
      <c r="AC18" s="6"/>
      <c r="AD18" s="6"/>
      <c r="AE18" s="6"/>
    </row>
    <row r="19" spans="2:31" x14ac:dyDescent="0.3">
      <c r="B19" s="914"/>
      <c r="C19" s="914"/>
      <c r="D19" s="914"/>
      <c r="E19" s="479"/>
      <c r="F19" s="491"/>
      <c r="G19" s="482">
        <v>3116.82</v>
      </c>
      <c r="H19" s="483" t="str">
        <f ca="1">IFERROR(IF(OR($C$11="",$C$11=0),"",IF(OR($D$11=0,$D$11=""),IF(NOT(ISNUMBER(INDEX($F$7:$F$1000,ROWS($I$7:I19)*$C$11))),"",$B$5+SUM(OFFSET($F$7,0,0,ROWS($I$7:I19)*$C$11))),IF(NOT(ISNUMBER(INDEX($F$7:$F$1000,ROUNDUP(ROWS($I$7:I19)/2,0)*$C$11))),"",IF(MOD(ROWS($I$7:I19),2)=1,IF(ISNUMBER($B$5),$B$5+SUM(OFFSET($F$7,0,0,ROUNDUP(ROWS($I$7:I19)/2,0)*$C$11))-SUM(OFFSET($F$7,(ROUNDUP(ROWS($I$7:I19)/2,0)*$C$11)-$C$11,0,$C$11))+$D$11,""),$B$5+SUM(OFFSET($F$7,0,0,ROUNDUP(ROWS($I$7:I19)/2,0)*$C$11)))))),"")</f>
        <v/>
      </c>
      <c r="I19" s="484"/>
      <c r="J19" s="492" t="str">
        <f>IF(F32="","",F31+F32)</f>
        <v/>
      </c>
      <c r="K19" s="484"/>
      <c r="L19" s="493" t="str">
        <f t="shared" si="0"/>
        <v/>
      </c>
      <c r="M19" s="484"/>
      <c r="N19" s="484"/>
      <c r="O19" s="484"/>
      <c r="P19" s="487">
        <f>O26</f>
        <v>0</v>
      </c>
      <c r="Q19" s="484"/>
      <c r="R19" s="494" t="str">
        <f>IF(P19=0,"",ROUNDDOWN(P19,2))</f>
        <v/>
      </c>
      <c r="S19" s="484"/>
      <c r="T19" s="495" t="str">
        <f t="shared" si="1"/>
        <v/>
      </c>
      <c r="U19" s="479"/>
      <c r="X19" s="6"/>
      <c r="Y19" s="6"/>
      <c r="Z19" s="6"/>
      <c r="AA19" s="6"/>
      <c r="AB19" s="6"/>
      <c r="AC19" s="6"/>
      <c r="AD19" s="6"/>
      <c r="AE19" s="6"/>
    </row>
    <row r="20" spans="2:31" x14ac:dyDescent="0.3">
      <c r="B20" s="479"/>
      <c r="C20" s="479"/>
      <c r="D20" s="479"/>
      <c r="E20" s="479"/>
      <c r="F20" s="491"/>
      <c r="G20" s="482">
        <v>3126.42</v>
      </c>
      <c r="H20" s="483" t="str">
        <f ca="1">IFERROR(IF(OR($C$11="",$C$11=0),"",IF(OR($D$11=0,$D$11=""),IF(NOT(ISNUMBER(INDEX($F$7:$F$1000,ROWS($I$7:I20)*$C$11))),"",$B$5+SUM(OFFSET($F$7,0,0,ROWS($I$7:I20)*$C$11))),IF(NOT(ISNUMBER(INDEX($F$7:$F$1000,ROUNDUP(ROWS($I$7:I20)/2,0)*$C$11))),"",IF(MOD(ROWS($I$7:I20),2)=1,IF(ISNUMBER($B$5),$B$5+SUM(OFFSET($F$7,0,0,ROUNDUP(ROWS($I$7:I20)/2,0)*$C$11))-SUM(OFFSET($F$7,(ROUNDUP(ROWS($I$7:I20)/2,0)*$C$11)-$C$11,0,$C$11))+$D$11,""),$B$5+SUM(OFFSET($F$7,0,0,ROUNDUP(ROWS($I$7:I20)/2,0)*$C$11)))))),"")</f>
        <v/>
      </c>
      <c r="I20" s="484"/>
      <c r="J20" s="492" t="str">
        <f>IF(F34="","",F33+F34)</f>
        <v/>
      </c>
      <c r="K20" s="484"/>
      <c r="L20" s="493" t="str">
        <f t="shared" si="0"/>
        <v/>
      </c>
      <c r="M20" s="484"/>
      <c r="N20" s="484"/>
      <c r="O20" s="484">
        <f>N21/2</f>
        <v>0</v>
      </c>
      <c r="P20" s="487">
        <f>O27</f>
        <v>0</v>
      </c>
      <c r="Q20" s="484"/>
      <c r="R20" s="492" t="str">
        <f>IF(P20=0,"",ROUNDUP(P20,2))</f>
        <v/>
      </c>
      <c r="S20" s="484"/>
      <c r="T20" s="493" t="str">
        <f t="shared" si="1"/>
        <v/>
      </c>
      <c r="U20" s="479"/>
      <c r="X20" s="6"/>
      <c r="Y20" s="6"/>
      <c r="Z20" s="6"/>
      <c r="AA20" s="6"/>
      <c r="AB20" s="6"/>
      <c r="AC20" s="6"/>
      <c r="AD20" s="6"/>
      <c r="AE20" s="6"/>
    </row>
    <row r="21" spans="2:31" x14ac:dyDescent="0.3">
      <c r="B21" s="479"/>
      <c r="C21" s="479"/>
      <c r="D21" s="479"/>
      <c r="E21" s="479"/>
      <c r="F21" s="491"/>
      <c r="G21" s="482">
        <v>3135.97</v>
      </c>
      <c r="H21" s="483" t="str">
        <f ca="1">IFERROR(IF(OR($C$11="",$C$11=0),"",IF(OR($D$11=0,$D$11=""),IF(NOT(ISNUMBER(INDEX($F$7:$F$1000,ROWS($I$7:I21)*$C$11))),"",$B$5+SUM(OFFSET($F$7,0,0,ROWS($I$7:I21)*$C$11))),IF(NOT(ISNUMBER(INDEX($F$7:$F$1000,ROUNDUP(ROWS($I$7:I21)/2,0)*$C$11))),"",IF(MOD(ROWS($I$7:I21),2)=1,IF(ISNUMBER($B$5),$B$5+SUM(OFFSET($F$7,0,0,ROUNDUP(ROWS($I$7:I21)/2,0)*$C$11))-SUM(OFFSET($F$7,(ROUNDUP(ROWS($I$7:I21)/2,0)*$C$11)-$C$11,0,$C$11))+$D$11,""),$B$5+SUM(OFFSET($F$7,0,0,ROUNDUP(ROWS($I$7:I21)/2,0)*$C$11)))))),"")</f>
        <v/>
      </c>
      <c r="I21" s="484"/>
      <c r="J21" s="492" t="str">
        <f>IF(F36="","",F35+F36)</f>
        <v/>
      </c>
      <c r="K21" s="484"/>
      <c r="L21" s="493" t="str">
        <f t="shared" si="0"/>
        <v/>
      </c>
      <c r="M21" s="484"/>
      <c r="N21" s="484">
        <f>F19+F20+F21</f>
        <v>0</v>
      </c>
      <c r="O21" s="484">
        <f>N21/2</f>
        <v>0</v>
      </c>
      <c r="P21" s="487">
        <f>O29</f>
        <v>0</v>
      </c>
      <c r="Q21" s="484"/>
      <c r="R21" s="494" t="str">
        <f>IF(P21=0,"",ROUNDDOWN(P21,2))</f>
        <v/>
      </c>
      <c r="S21" s="484"/>
      <c r="T21" s="495" t="str">
        <f t="shared" si="1"/>
        <v/>
      </c>
      <c r="U21" s="479"/>
      <c r="X21" s="6"/>
      <c r="Y21" s="6"/>
      <c r="Z21" s="6"/>
      <c r="AA21" s="6"/>
      <c r="AB21" s="6"/>
      <c r="AC21" s="6"/>
      <c r="AD21" s="6"/>
      <c r="AE21" s="6"/>
    </row>
    <row r="22" spans="2:31" x14ac:dyDescent="0.3">
      <c r="B22" s="479"/>
      <c r="C22" s="479"/>
      <c r="D22" s="479"/>
      <c r="E22" s="479"/>
      <c r="F22" s="491"/>
      <c r="G22" s="482">
        <v>3145.61</v>
      </c>
      <c r="H22" s="483" t="str">
        <f ca="1">IFERROR(IF(OR($C$11="",$C$11=0),"",IF(OR($D$11=0,$D$11=""),IF(NOT(ISNUMBER(INDEX($F$7:$F$1000,ROWS($I$7:I22)*$C$11))),"",$B$5+SUM(OFFSET($F$7,0,0,ROWS($I$7:I22)*$C$11))),IF(NOT(ISNUMBER(INDEX($F$7:$F$1000,ROUNDUP(ROWS($I$7:I22)/2,0)*$C$11))),"",IF(MOD(ROWS($I$7:I22),2)=1,IF(ISNUMBER($B$5),$B$5+SUM(OFFSET($F$7,0,0,ROUNDUP(ROWS($I$7:I22)/2,0)*$C$11))-SUM(OFFSET($F$7,(ROUNDUP(ROWS($I$7:I22)/2,0)*$C$11)-$C$11,0,$C$11))+$D$11,""),$B$5+SUM(OFFSET($F$7,0,0,ROUNDUP(ROWS($I$7:I22)/2,0)*$C$11)))))),"")</f>
        <v/>
      </c>
      <c r="I22" s="484"/>
      <c r="J22" s="492" t="str">
        <f>IF(F38="","",F37+F38)</f>
        <v/>
      </c>
      <c r="K22" s="484"/>
      <c r="L22" s="493" t="str">
        <f t="shared" si="0"/>
        <v/>
      </c>
      <c r="M22" s="484"/>
      <c r="N22" s="484"/>
      <c r="O22" s="484"/>
      <c r="P22" s="487">
        <f>O30</f>
        <v>0</v>
      </c>
      <c r="Q22" s="484"/>
      <c r="R22" s="492" t="str">
        <f>IF(P22=0,"",ROUNDUP(P22,2))</f>
        <v/>
      </c>
      <c r="S22" s="484"/>
      <c r="T22" s="493" t="str">
        <f t="shared" si="1"/>
        <v/>
      </c>
      <c r="U22" s="479"/>
      <c r="X22" s="6"/>
      <c r="Y22" s="6"/>
      <c r="Z22" s="6"/>
      <c r="AA22" s="6"/>
      <c r="AB22" s="6"/>
      <c r="AC22" s="6"/>
      <c r="AD22" s="6"/>
      <c r="AE22" s="6"/>
    </row>
    <row r="23" spans="2:31" x14ac:dyDescent="0.3">
      <c r="B23" s="479"/>
      <c r="C23" s="479"/>
      <c r="D23" s="479"/>
      <c r="E23" s="479"/>
      <c r="F23" s="491"/>
      <c r="G23" s="482">
        <v>3155.21</v>
      </c>
      <c r="H23" s="483" t="str">
        <f ca="1">IFERROR(IF(OR($C$11="",$C$11=0),"",IF(OR($D$11=0,$D$11=""),IF(NOT(ISNUMBER(INDEX($F$7:$F$1000,ROWS($I$7:I23)*$C$11))),"",$B$5+SUM(OFFSET($F$7,0,0,ROWS($I$7:I23)*$C$11))),IF(NOT(ISNUMBER(INDEX($F$7:$F$1000,ROUNDUP(ROWS($I$7:I23)/2,0)*$C$11))),"",IF(MOD(ROWS($I$7:I23),2)=1,IF(ISNUMBER($B$5),$B$5+SUM(OFFSET($F$7,0,0,ROUNDUP(ROWS($I$7:I23)/2,0)*$C$11))-SUM(OFFSET($F$7,(ROUNDUP(ROWS($I$7:I23)/2,0)*$C$11)-$C$11,0,$C$11))+$D$11,""),$B$5+SUM(OFFSET($F$7,0,0,ROUNDUP(ROWS($I$7:I23)/2,0)*$C$11)))))),"")</f>
        <v/>
      </c>
      <c r="I23" s="484"/>
      <c r="J23" s="492" t="str">
        <f>IF(F40="","",F39+F40)</f>
        <v/>
      </c>
      <c r="K23" s="484"/>
      <c r="L23" s="493" t="str">
        <f t="shared" si="0"/>
        <v/>
      </c>
      <c r="M23" s="484"/>
      <c r="N23" s="484"/>
      <c r="O23" s="484">
        <f>N24/2</f>
        <v>0</v>
      </c>
      <c r="P23" s="487">
        <f>O32</f>
        <v>0</v>
      </c>
      <c r="Q23" s="484"/>
      <c r="R23" s="494" t="str">
        <f>IF(P23=0,"",ROUNDDOWN(P23,2))</f>
        <v/>
      </c>
      <c r="S23" s="484"/>
      <c r="T23" s="495" t="str">
        <f t="shared" si="1"/>
        <v/>
      </c>
      <c r="U23" s="479"/>
      <c r="X23" s="6"/>
      <c r="Y23" s="6"/>
      <c r="Z23" s="6"/>
      <c r="AA23" s="6"/>
      <c r="AB23" s="6"/>
      <c r="AC23" s="6"/>
      <c r="AD23" s="6"/>
      <c r="AE23" s="6"/>
    </row>
    <row r="24" spans="2:31" x14ac:dyDescent="0.3">
      <c r="B24" s="479"/>
      <c r="C24" s="479"/>
      <c r="D24" s="479"/>
      <c r="E24" s="479"/>
      <c r="F24" s="491"/>
      <c r="G24" s="482">
        <v>3164.74</v>
      </c>
      <c r="H24" s="483" t="str">
        <f ca="1">IFERROR(IF(OR($C$11="",$C$11=0),"",IF(OR($D$11=0,$D$11=""),IF(NOT(ISNUMBER(INDEX($F$7:$F$1000,ROWS($I$7:I24)*$C$11))),"",$B$5+SUM(OFFSET($F$7,0,0,ROWS($I$7:I24)*$C$11))),IF(NOT(ISNUMBER(INDEX($F$7:$F$1000,ROUNDUP(ROWS($I$7:I24)/2,0)*$C$11))),"",IF(MOD(ROWS($I$7:I24),2)=1,IF(ISNUMBER($B$5),$B$5+SUM(OFFSET($F$7,0,0,ROUNDUP(ROWS($I$7:I24)/2,0)*$C$11))-SUM(OFFSET($F$7,(ROUNDUP(ROWS($I$7:I24)/2,0)*$C$11)-$C$11,0,$C$11))+$D$11,""),$B$5+SUM(OFFSET($F$7,0,0,ROUNDUP(ROWS($I$7:I24)/2,0)*$C$11)))))),"")</f>
        <v/>
      </c>
      <c r="I24" s="484"/>
      <c r="J24" s="492" t="str">
        <f>IF(F42="","",F41+F42)</f>
        <v/>
      </c>
      <c r="K24" s="484"/>
      <c r="L24" s="493" t="str">
        <f t="shared" si="0"/>
        <v/>
      </c>
      <c r="M24" s="484"/>
      <c r="N24" s="484">
        <f>F22+F23+F24</f>
        <v>0</v>
      </c>
      <c r="O24" s="484">
        <f>N24/2</f>
        <v>0</v>
      </c>
      <c r="P24" s="487">
        <f>O33</f>
        <v>0</v>
      </c>
      <c r="Q24" s="484"/>
      <c r="R24" s="492" t="str">
        <f>IF(P24=0,"",ROUNDUP(P24,2))</f>
        <v/>
      </c>
      <c r="S24" s="484"/>
      <c r="T24" s="493" t="str">
        <f t="shared" si="1"/>
        <v/>
      </c>
      <c r="U24" s="479"/>
      <c r="X24" s="6"/>
      <c r="Y24" s="6"/>
      <c r="Z24" s="6"/>
      <c r="AA24" s="6"/>
      <c r="AB24" s="6"/>
      <c r="AC24" s="6"/>
      <c r="AD24" s="6"/>
      <c r="AE24" s="6"/>
    </row>
    <row r="25" spans="2:31" x14ac:dyDescent="0.3">
      <c r="B25" s="479"/>
      <c r="C25" s="479"/>
      <c r="D25" s="479"/>
      <c r="E25" s="479"/>
      <c r="F25" s="491"/>
      <c r="G25" s="482">
        <v>3174.11</v>
      </c>
      <c r="H25" s="483" t="str">
        <f ca="1">IFERROR(IF(OR($C$11="",$C$11=0),"",IF(OR($D$11=0,$D$11=""),IF(NOT(ISNUMBER(INDEX($F$7:$F$1000,ROWS($I$7:I25)*$C$11))),"",$B$5+SUM(OFFSET($F$7,0,0,ROWS($I$7:I25)*$C$11))),IF(NOT(ISNUMBER(INDEX($F$7:$F$1000,ROUNDUP(ROWS($I$7:I25)/2,0)*$C$11))),"",IF(MOD(ROWS($I$7:I25),2)=1,IF(ISNUMBER($B$5),$B$5+SUM(OFFSET($F$7,0,0,ROUNDUP(ROWS($I$7:I25)/2,0)*$C$11))-SUM(OFFSET($F$7,(ROUNDUP(ROWS($I$7:I25)/2,0)*$C$11)-$C$11,0,$C$11))+$D$11,""),$B$5+SUM(OFFSET($F$7,0,0,ROUNDUP(ROWS($I$7:I25)/2,0)*$C$11)))))),"")</f>
        <v/>
      </c>
      <c r="I25" s="484"/>
      <c r="J25" s="492" t="str">
        <f>IF(F44="","",F43+F44)</f>
        <v/>
      </c>
      <c r="K25" s="484"/>
      <c r="L25" s="493" t="str">
        <f t="shared" si="0"/>
        <v/>
      </c>
      <c r="M25" s="484"/>
      <c r="N25" s="484"/>
      <c r="O25" s="484"/>
      <c r="P25" s="487">
        <f>O35</f>
        <v>0</v>
      </c>
      <c r="Q25" s="484"/>
      <c r="R25" s="494" t="str">
        <f>IF(P25=0,"",ROUNDDOWN(P25,2))</f>
        <v/>
      </c>
      <c r="S25" s="484"/>
      <c r="T25" s="495" t="str">
        <f t="shared" si="1"/>
        <v/>
      </c>
      <c r="U25" s="479"/>
      <c r="X25" s="6"/>
      <c r="Y25" s="6"/>
      <c r="Z25" s="6"/>
      <c r="AA25" s="6"/>
      <c r="AB25" s="6"/>
      <c r="AC25" s="6"/>
      <c r="AD25" s="6"/>
      <c r="AE25" s="6"/>
    </row>
    <row r="26" spans="2:31" x14ac:dyDescent="0.3">
      <c r="B26" s="479"/>
      <c r="C26" s="479"/>
      <c r="D26" s="479"/>
      <c r="E26" s="479"/>
      <c r="F26" s="491"/>
      <c r="G26" s="482">
        <v>3183.49</v>
      </c>
      <c r="H26" s="483" t="str">
        <f ca="1">IFERROR(IF(OR($C$11="",$C$11=0),"",IF(OR($D$11=0,$D$11=""),IF(NOT(ISNUMBER(INDEX($F$7:$F$1000,ROWS($I$7:I26)*$C$11))),"",$B$5+SUM(OFFSET($F$7,0,0,ROWS($I$7:I26)*$C$11))),IF(NOT(ISNUMBER(INDEX($F$7:$F$1000,ROUNDUP(ROWS($I$7:I26)/2,0)*$C$11))),"",IF(MOD(ROWS($I$7:I26),2)=1,IF(ISNUMBER($B$5),$B$5+SUM(OFFSET($F$7,0,0,ROUNDUP(ROWS($I$7:I26)/2,0)*$C$11))-SUM(OFFSET($F$7,(ROUNDUP(ROWS($I$7:I26)/2,0)*$C$11)-$C$11,0,$C$11))+$D$11,""),$B$5+SUM(OFFSET($F$7,0,0,ROUNDUP(ROWS($I$7:I26)/2,0)*$C$11)))))),"")</f>
        <v/>
      </c>
      <c r="I26" s="484"/>
      <c r="J26" s="492" t="str">
        <f>IF(F46="","",F45+F46)</f>
        <v/>
      </c>
      <c r="K26" s="484"/>
      <c r="L26" s="493" t="str">
        <f t="shared" si="0"/>
        <v/>
      </c>
      <c r="M26" s="484"/>
      <c r="N26" s="484"/>
      <c r="O26" s="484">
        <f>N27/2</f>
        <v>0</v>
      </c>
      <c r="P26" s="487">
        <f>O36</f>
        <v>0</v>
      </c>
      <c r="Q26" s="484"/>
      <c r="R26" s="492" t="str">
        <f>IF(P26=0,"",ROUNDUP(P26,2))</f>
        <v/>
      </c>
      <c r="S26" s="484"/>
      <c r="T26" s="493" t="str">
        <f t="shared" si="1"/>
        <v/>
      </c>
      <c r="U26" s="479"/>
      <c r="X26" s="6"/>
      <c r="Y26" s="6"/>
      <c r="Z26" s="6"/>
      <c r="AA26" s="6"/>
      <c r="AB26" s="6"/>
      <c r="AC26" s="6"/>
      <c r="AD26" s="6"/>
      <c r="AE26" s="6"/>
    </row>
    <row r="27" spans="2:31" x14ac:dyDescent="0.3">
      <c r="B27" s="479"/>
      <c r="C27" s="479"/>
      <c r="D27" s="479"/>
      <c r="E27" s="479"/>
      <c r="F27" s="491"/>
      <c r="G27" s="482">
        <v>3192.85</v>
      </c>
      <c r="H27" s="483" t="str">
        <f ca="1">IFERROR(IF(OR($C$11="",$C$11=0),"",IF(OR($D$11=0,$D$11=""),IF(NOT(ISNUMBER(INDEX($F$7:$F$1000,ROWS($I$7:I27)*$C$11))),"",$B$5+SUM(OFFSET($F$7,0,0,ROWS($I$7:I27)*$C$11))),IF(NOT(ISNUMBER(INDEX($F$7:$F$1000,ROUNDUP(ROWS($I$7:I27)/2,0)*$C$11))),"",IF(MOD(ROWS($I$7:I27),2)=1,IF(ISNUMBER($B$5),$B$5+SUM(OFFSET($F$7,0,0,ROUNDUP(ROWS($I$7:I27)/2,0)*$C$11))-SUM(OFFSET($F$7,(ROUNDUP(ROWS($I$7:I27)/2,0)*$C$11)-$C$11,0,$C$11))+$D$11,""),$B$5+SUM(OFFSET($F$7,0,0,ROUNDUP(ROWS($I$7:I27)/2,0)*$C$11)))))),"")</f>
        <v/>
      </c>
      <c r="I27" s="484"/>
      <c r="J27" s="492" t="str">
        <f>IF(F48="","",F47+F48)</f>
        <v/>
      </c>
      <c r="K27" s="484"/>
      <c r="L27" s="493" t="str">
        <f t="shared" si="0"/>
        <v/>
      </c>
      <c r="M27" s="484"/>
      <c r="N27" s="484">
        <f>F25+F26+F27</f>
        <v>0</v>
      </c>
      <c r="O27" s="484">
        <f>N27/2</f>
        <v>0</v>
      </c>
      <c r="P27" s="487">
        <f>O38</f>
        <v>0</v>
      </c>
      <c r="Q27" s="484"/>
      <c r="R27" s="494" t="str">
        <f>IF(P27=0,"",ROUNDDOWN(P27,2))</f>
        <v/>
      </c>
      <c r="S27" s="484"/>
      <c r="T27" s="495" t="str">
        <f t="shared" si="1"/>
        <v/>
      </c>
      <c r="U27" s="479"/>
      <c r="X27" s="6"/>
      <c r="Y27" s="6"/>
      <c r="Z27" s="6"/>
      <c r="AA27" s="6"/>
      <c r="AB27" s="6"/>
      <c r="AC27" s="6"/>
      <c r="AD27" s="6"/>
      <c r="AE27" s="6"/>
    </row>
    <row r="28" spans="2:31" x14ac:dyDescent="0.3">
      <c r="B28" s="479"/>
      <c r="C28" s="479"/>
      <c r="D28" s="479"/>
      <c r="E28" s="479"/>
      <c r="F28" s="491"/>
      <c r="G28" s="482">
        <v>3202.22</v>
      </c>
      <c r="H28" s="483" t="str">
        <f ca="1">IFERROR(IF(OR($C$11="",$C$11=0),"",IF(OR($D$11=0,$D$11=""),IF(NOT(ISNUMBER(INDEX($F$7:$F$1000,ROWS($I$7:I28)*$C$11))),"",$B$5+SUM(OFFSET($F$7,0,0,ROWS($I$7:I28)*$C$11))),IF(NOT(ISNUMBER(INDEX($F$7:$F$1000,ROUNDUP(ROWS($I$7:I28)/2,0)*$C$11))),"",IF(MOD(ROWS($I$7:I28),2)=1,IF(ISNUMBER($B$5),$B$5+SUM(OFFSET($F$7,0,0,ROUNDUP(ROWS($I$7:I28)/2,0)*$C$11))-SUM(OFFSET($F$7,(ROUNDUP(ROWS($I$7:I28)/2,0)*$C$11)-$C$11,0,$C$11))+$D$11,""),$B$5+SUM(OFFSET($F$7,0,0,ROUNDUP(ROWS($I$7:I28)/2,0)*$C$11)))))),"")</f>
        <v/>
      </c>
      <c r="I28" s="484"/>
      <c r="J28" s="492" t="str">
        <f>IF(F50="","",F49+F50)</f>
        <v/>
      </c>
      <c r="K28" s="484"/>
      <c r="L28" s="493" t="str">
        <f t="shared" si="0"/>
        <v/>
      </c>
      <c r="M28" s="484"/>
      <c r="N28" s="484"/>
      <c r="O28" s="484"/>
      <c r="P28" s="487">
        <f>O39</f>
        <v>0</v>
      </c>
      <c r="Q28" s="484"/>
      <c r="R28" s="492" t="str">
        <f>IF(P28=0,"",ROUNDUP(P28,2))</f>
        <v/>
      </c>
      <c r="S28" s="484"/>
      <c r="T28" s="493" t="str">
        <f t="shared" si="1"/>
        <v/>
      </c>
      <c r="U28" s="479"/>
      <c r="X28" s="6"/>
      <c r="Y28" s="6"/>
      <c r="Z28" s="6"/>
      <c r="AA28" s="6"/>
      <c r="AB28" s="6"/>
      <c r="AC28" s="6"/>
      <c r="AD28" s="6"/>
      <c r="AE28" s="6"/>
    </row>
    <row r="29" spans="2:31" x14ac:dyDescent="0.3">
      <c r="B29" s="479"/>
      <c r="C29" s="479"/>
      <c r="D29" s="479"/>
      <c r="E29" s="479"/>
      <c r="F29" s="491"/>
      <c r="G29" s="482">
        <v>3211.55</v>
      </c>
      <c r="H29" s="483" t="str">
        <f ca="1">IFERROR(IF(OR($C$11="",$C$11=0),"",IF(OR($D$11=0,$D$11=""),IF(NOT(ISNUMBER(INDEX($F$7:$F$1000,ROWS($I$7:I29)*$C$11))),"",$B$5+SUM(OFFSET($F$7,0,0,ROWS($I$7:I29)*$C$11))),IF(NOT(ISNUMBER(INDEX($F$7:$F$1000,ROUNDUP(ROWS($I$7:I29)/2,0)*$C$11))),"",IF(MOD(ROWS($I$7:I29),2)=1,IF(ISNUMBER($B$5),$B$5+SUM(OFFSET($F$7,0,0,ROUNDUP(ROWS($I$7:I29)/2,0)*$C$11))-SUM(OFFSET($F$7,(ROUNDUP(ROWS($I$7:I29)/2,0)*$C$11)-$C$11,0,$C$11))+$D$11,""),$B$5+SUM(OFFSET($F$7,0,0,ROUNDUP(ROWS($I$7:I29)/2,0)*$C$11)))))),"")</f>
        <v/>
      </c>
      <c r="I29" s="484"/>
      <c r="J29" s="492" t="str">
        <f>IF(F52="","",F51+F52)</f>
        <v/>
      </c>
      <c r="K29" s="484"/>
      <c r="L29" s="493" t="str">
        <f t="shared" si="0"/>
        <v/>
      </c>
      <c r="M29" s="484"/>
      <c r="N29" s="484"/>
      <c r="O29" s="484">
        <f>N30/2</f>
        <v>0</v>
      </c>
      <c r="P29" s="487">
        <f>O41</f>
        <v>0</v>
      </c>
      <c r="Q29" s="484"/>
      <c r="R29" s="494" t="str">
        <f>IF(P29=0,"",ROUNDDOWN(P29,2))</f>
        <v/>
      </c>
      <c r="S29" s="484"/>
      <c r="T29" s="495" t="str">
        <f t="shared" si="1"/>
        <v/>
      </c>
      <c r="U29" s="479"/>
      <c r="X29" s="6"/>
      <c r="Y29" s="6"/>
      <c r="Z29" s="6"/>
      <c r="AA29" s="6"/>
      <c r="AB29" s="6"/>
      <c r="AC29" s="6"/>
      <c r="AD29" s="6"/>
      <c r="AE29" s="6"/>
    </row>
    <row r="30" spans="2:31" x14ac:dyDescent="0.3">
      <c r="B30" s="479"/>
      <c r="C30" s="479"/>
      <c r="D30" s="479"/>
      <c r="E30" s="479"/>
      <c r="F30" s="491"/>
      <c r="G30" s="482">
        <v>3220.88</v>
      </c>
      <c r="H30" s="483" t="str">
        <f ca="1">IFERROR(IF(OR($C$11="",$C$11=0),"",IF(OR($D$11=0,$D$11=""),IF(NOT(ISNUMBER(INDEX($F$7:$F$1000,ROWS($I$7:I30)*$C$11))),"",$B$5+SUM(OFFSET($F$7,0,0,ROWS($I$7:I30)*$C$11))),IF(NOT(ISNUMBER(INDEX($F$7:$F$1000,ROUNDUP(ROWS($I$7:I30)/2,0)*$C$11))),"",IF(MOD(ROWS($I$7:I30),2)=1,IF(ISNUMBER($B$5),$B$5+SUM(OFFSET($F$7,0,0,ROUNDUP(ROWS($I$7:I30)/2,0)*$C$11))-SUM(OFFSET($F$7,(ROUNDUP(ROWS($I$7:I30)/2,0)*$C$11)-$C$11,0,$C$11))+$D$11,""),$B$5+SUM(OFFSET($F$7,0,0,ROUNDUP(ROWS($I$7:I30)/2,0)*$C$11)))))),"")</f>
        <v/>
      </c>
      <c r="I30" s="484"/>
      <c r="J30" s="492" t="str">
        <f>IF(F54="","",F53+F54)</f>
        <v/>
      </c>
      <c r="K30" s="484"/>
      <c r="L30" s="493" t="str">
        <f t="shared" si="0"/>
        <v/>
      </c>
      <c r="M30" s="484"/>
      <c r="N30" s="484">
        <f>F28+F29+F30</f>
        <v>0</v>
      </c>
      <c r="O30" s="484">
        <f>N30/2</f>
        <v>0</v>
      </c>
      <c r="P30" s="487">
        <f>O42</f>
        <v>0</v>
      </c>
      <c r="Q30" s="484"/>
      <c r="R30" s="492" t="str">
        <f>IF(P30=0,"",ROUNDUP(P30,2))</f>
        <v/>
      </c>
      <c r="S30" s="484"/>
      <c r="T30" s="493" t="str">
        <f t="shared" si="1"/>
        <v/>
      </c>
      <c r="U30" s="479"/>
      <c r="X30" s="6"/>
      <c r="Y30" s="6"/>
      <c r="Z30" s="6"/>
      <c r="AA30" s="6"/>
      <c r="AB30" s="6"/>
      <c r="AC30" s="6"/>
      <c r="AD30" s="6"/>
      <c r="AE30" s="6"/>
    </row>
    <row r="31" spans="2:31" x14ac:dyDescent="0.3">
      <c r="B31" s="479"/>
      <c r="C31" s="479"/>
      <c r="D31" s="479"/>
      <c r="E31" s="479"/>
      <c r="F31" s="491"/>
      <c r="G31" s="482">
        <v>3230.22</v>
      </c>
      <c r="H31" s="483" t="str">
        <f ca="1">IFERROR(IF(OR($C$11="",$C$11=0),"",IF(OR($D$11=0,$D$11=""),IF(NOT(ISNUMBER(INDEX($F$7:$F$1000,ROWS($I$7:I31)*$C$11))),"",$B$5+SUM(OFFSET($F$7,0,0,ROWS($I$7:I31)*$C$11))),IF(NOT(ISNUMBER(INDEX($F$7:$F$1000,ROUNDUP(ROWS($I$7:I31)/2,0)*$C$11))),"",IF(MOD(ROWS($I$7:I31),2)=1,IF(ISNUMBER($B$5),$B$5+SUM(OFFSET($F$7,0,0,ROUNDUP(ROWS($I$7:I31)/2,0)*$C$11))-SUM(OFFSET($F$7,(ROUNDUP(ROWS($I$7:I31)/2,0)*$C$11)-$C$11,0,$C$11))+$D$11,""),$B$5+SUM(OFFSET($F$7,0,0,ROUNDUP(ROWS($I$7:I31)/2,0)*$C$11)))))),"")</f>
        <v/>
      </c>
      <c r="I31" s="484"/>
      <c r="J31" s="492" t="str">
        <f>IF(F56="","",F55+F56)</f>
        <v/>
      </c>
      <c r="K31" s="484"/>
      <c r="L31" s="493" t="str">
        <f t="shared" si="0"/>
        <v/>
      </c>
      <c r="M31" s="484"/>
      <c r="N31" s="484"/>
      <c r="O31" s="484"/>
      <c r="P31" s="487">
        <f>O44</f>
        <v>0</v>
      </c>
      <c r="Q31" s="484"/>
      <c r="R31" s="494" t="str">
        <f>IF(P31=0,"",ROUNDDOWN(P31,2))</f>
        <v/>
      </c>
      <c r="S31" s="484"/>
      <c r="T31" s="495" t="str">
        <f t="shared" si="1"/>
        <v/>
      </c>
      <c r="U31" s="479"/>
      <c r="X31" s="6"/>
      <c r="Y31" s="6"/>
      <c r="Z31" s="6"/>
      <c r="AA31" s="6"/>
      <c r="AB31" s="6"/>
      <c r="AC31" s="6"/>
      <c r="AD31" s="6"/>
      <c r="AE31" s="6"/>
    </row>
    <row r="32" spans="2:31" x14ac:dyDescent="0.3">
      <c r="B32" s="479"/>
      <c r="C32" s="479"/>
      <c r="D32" s="479"/>
      <c r="E32" s="479"/>
      <c r="F32" s="491"/>
      <c r="G32" s="482">
        <v>3239.56</v>
      </c>
      <c r="H32" s="483" t="str">
        <f ca="1">IFERROR(IF(OR($C$11="",$C$11=0),"",IF(OR($D$11=0,$D$11=""),IF(NOT(ISNUMBER(INDEX($F$7:$F$1000,ROWS($I$7:I32)*$C$11))),"",$B$5+SUM(OFFSET($F$7,0,0,ROWS($I$7:I32)*$C$11))),IF(NOT(ISNUMBER(INDEX($F$7:$F$1000,ROUNDUP(ROWS($I$7:I32)/2,0)*$C$11))),"",IF(MOD(ROWS($I$7:I32),2)=1,IF(ISNUMBER($B$5),$B$5+SUM(OFFSET($F$7,0,0,ROUNDUP(ROWS($I$7:I32)/2,0)*$C$11))-SUM(OFFSET($F$7,(ROUNDUP(ROWS($I$7:I32)/2,0)*$C$11)-$C$11,0,$C$11))+$D$11,""),$B$5+SUM(OFFSET($F$7,0,0,ROUNDUP(ROWS($I$7:I32)/2,0)*$C$11)))))),"")</f>
        <v/>
      </c>
      <c r="I32" s="484"/>
      <c r="J32" s="492" t="str">
        <f>IF(F58="","",F57+F58)</f>
        <v/>
      </c>
      <c r="K32" s="484"/>
      <c r="L32" s="493" t="str">
        <f t="shared" si="0"/>
        <v/>
      </c>
      <c r="M32" s="484"/>
      <c r="N32" s="484"/>
      <c r="O32" s="484">
        <f>N33/2</f>
        <v>0</v>
      </c>
      <c r="P32" s="487">
        <f>O45</f>
        <v>0</v>
      </c>
      <c r="Q32" s="484"/>
      <c r="R32" s="492" t="str">
        <f>IF(P32=0,"",ROUNDUP(P32,2))</f>
        <v/>
      </c>
      <c r="S32" s="484"/>
      <c r="T32" s="493" t="str">
        <f t="shared" si="1"/>
        <v/>
      </c>
      <c r="U32" s="479"/>
      <c r="X32" s="6"/>
      <c r="Y32" s="6"/>
      <c r="Z32" s="6"/>
      <c r="AA32" s="6"/>
      <c r="AB32" s="6"/>
      <c r="AC32" s="6"/>
      <c r="AD32" s="6"/>
      <c r="AE32" s="6"/>
    </row>
    <row r="33" spans="2:31" x14ac:dyDescent="0.3">
      <c r="B33" s="479"/>
      <c r="C33" s="479"/>
      <c r="D33" s="479"/>
      <c r="E33" s="479"/>
      <c r="F33" s="491"/>
      <c r="G33" s="482">
        <v>3248.87</v>
      </c>
      <c r="H33" s="483" t="str">
        <f ca="1">IFERROR(IF(OR($C$11="",$C$11=0),"",IF(OR($D$11=0,$D$11=""),IF(NOT(ISNUMBER(INDEX($F$7:$F$1000,ROWS($I$7:I33)*$C$11))),"",$B$5+SUM(OFFSET($F$7,0,0,ROWS($I$7:I33)*$C$11))),IF(NOT(ISNUMBER(INDEX($F$7:$F$1000,ROUNDUP(ROWS($I$7:I33)/2,0)*$C$11))),"",IF(MOD(ROWS($I$7:I33),2)=1,IF(ISNUMBER($B$5),$B$5+SUM(OFFSET($F$7,0,0,ROUNDUP(ROWS($I$7:I33)/2,0)*$C$11))-SUM(OFFSET($F$7,(ROUNDUP(ROWS($I$7:I33)/2,0)*$C$11)-$C$11,0,$C$11))+$D$11,""),$B$5+SUM(OFFSET($F$7,0,0,ROUNDUP(ROWS($I$7:I33)/2,0)*$C$11)))))),"")</f>
        <v/>
      </c>
      <c r="I33" s="484"/>
      <c r="J33" s="492" t="str">
        <f>IF(F60="","",F59+F60)</f>
        <v/>
      </c>
      <c r="K33" s="484"/>
      <c r="L33" s="493" t="str">
        <f t="shared" si="0"/>
        <v/>
      </c>
      <c r="M33" s="484"/>
      <c r="N33" s="484">
        <f>F31+F32+F33</f>
        <v>0</v>
      </c>
      <c r="O33" s="484">
        <f>N33/2</f>
        <v>0</v>
      </c>
      <c r="P33" s="487">
        <f>O47</f>
        <v>0</v>
      </c>
      <c r="Q33" s="484"/>
      <c r="R33" s="494" t="str">
        <f>IF(P33=0,"",ROUNDDOWN(P33,2))</f>
        <v/>
      </c>
      <c r="S33" s="484"/>
      <c r="T33" s="495" t="str">
        <f t="shared" si="1"/>
        <v/>
      </c>
      <c r="U33" s="479"/>
      <c r="X33" s="6"/>
      <c r="Y33" s="6"/>
      <c r="Z33" s="6"/>
      <c r="AA33" s="6"/>
      <c r="AB33" s="6"/>
      <c r="AC33" s="6"/>
      <c r="AD33" s="6"/>
      <c r="AE33" s="6"/>
    </row>
    <row r="34" spans="2:31" x14ac:dyDescent="0.3">
      <c r="B34" s="479"/>
      <c r="C34" s="479"/>
      <c r="D34" s="479"/>
      <c r="E34" s="479"/>
      <c r="F34" s="491"/>
      <c r="G34" s="482" t="str">
        <f t="shared" ref="G34:G97" ca="1" si="2">IF(OR(H34="", H34=H33), "", H34-H33)</f>
        <v/>
      </c>
      <c r="H34" s="483" t="str">
        <f ca="1">IFERROR(IF(OR($C$11="",$C$11=0),"",IF(OR($D$11=0,$D$11=""),IF(NOT(ISNUMBER(INDEX($F$7:$F$1000,ROWS($I$7:I34)*$C$11))),"",$B$5+SUM(OFFSET($F$7,0,0,ROWS($I$7:I34)*$C$11))),IF(NOT(ISNUMBER(INDEX($F$7:$F$1000,ROUNDUP(ROWS($I$7:I34)/2,0)*$C$11))),"",IF(MOD(ROWS($I$7:I34),2)=1,IF(ISNUMBER($B$5),$B$5+SUM(OFFSET($F$7,0,0,ROUNDUP(ROWS($I$7:I34)/2,0)*$C$11))-SUM(OFFSET($F$7,(ROUNDUP(ROWS($I$7:I34)/2,0)*$C$11)-$C$11,0,$C$11))+$D$11,""),$B$5+SUM(OFFSET($F$7,0,0,ROUNDUP(ROWS($I$7:I34)/2,0)*$C$11)))))),"")</f>
        <v/>
      </c>
      <c r="I34" s="484"/>
      <c r="J34" s="492" t="str">
        <f>IF(F62="","",F61+F62)</f>
        <v/>
      </c>
      <c r="K34" s="484"/>
      <c r="L34" s="493" t="str">
        <f t="shared" si="0"/>
        <v/>
      </c>
      <c r="M34" s="484"/>
      <c r="N34" s="484"/>
      <c r="O34" s="484"/>
      <c r="P34" s="487">
        <f>O48</f>
        <v>0</v>
      </c>
      <c r="Q34" s="484"/>
      <c r="R34" s="492" t="str">
        <f>IF(P34=0,"",ROUNDUP(P34,2))</f>
        <v/>
      </c>
      <c r="S34" s="484"/>
      <c r="T34" s="493" t="str">
        <f t="shared" si="1"/>
        <v/>
      </c>
      <c r="U34" s="479"/>
      <c r="X34" s="6"/>
      <c r="Y34" s="6"/>
      <c r="Z34" s="6"/>
      <c r="AA34" s="6"/>
      <c r="AB34" s="6"/>
      <c r="AC34" s="6"/>
      <c r="AD34" s="6"/>
      <c r="AE34" s="6"/>
    </row>
    <row r="35" spans="2:31" x14ac:dyDescent="0.3">
      <c r="B35" s="479"/>
      <c r="C35" s="479"/>
      <c r="D35" s="479"/>
      <c r="E35" s="479"/>
      <c r="F35" s="491"/>
      <c r="G35" s="482" t="str">
        <f t="shared" ca="1" si="2"/>
        <v/>
      </c>
      <c r="H35" s="483" t="str">
        <f ca="1">IFERROR(IF(OR($C$11="",$C$11=0),"",IF(OR($D$11=0,$D$11=""),IF(NOT(ISNUMBER(INDEX($F$7:$F$1000,ROWS($I$7:I35)*$C$11))),"",$B$5+SUM(OFFSET($F$7,0,0,ROWS($I$7:I35)*$C$11))),IF(NOT(ISNUMBER(INDEX($F$7:$F$1000,ROUNDUP(ROWS($I$7:I35)/2,0)*$C$11))),"",IF(MOD(ROWS($I$7:I35),2)=1,IF(ISNUMBER($B$5),$B$5+SUM(OFFSET($F$7,0,0,ROUNDUP(ROWS($I$7:I35)/2,0)*$C$11))-SUM(OFFSET($F$7,(ROUNDUP(ROWS($I$7:I35)/2,0)*$C$11)-$C$11,0,$C$11))+$D$11,""),$B$5+SUM(OFFSET($F$7,0,0,ROUNDUP(ROWS($I$7:I35)/2,0)*$C$11)))))),"")</f>
        <v/>
      </c>
      <c r="I35" s="484"/>
      <c r="J35" s="492" t="str">
        <f>IF(F64="","",F63+F64)</f>
        <v/>
      </c>
      <c r="K35" s="484"/>
      <c r="L35" s="493" t="str">
        <f t="shared" si="0"/>
        <v/>
      </c>
      <c r="M35" s="484"/>
      <c r="N35" s="484"/>
      <c r="O35" s="484">
        <f>N36/2</f>
        <v>0</v>
      </c>
      <c r="P35" s="487">
        <f>O50</f>
        <v>0</v>
      </c>
      <c r="Q35" s="484"/>
      <c r="R35" s="494" t="str">
        <f>IF(P35=0,"",ROUNDDOWN(P35,2))</f>
        <v/>
      </c>
      <c r="S35" s="484"/>
      <c r="T35" s="495" t="str">
        <f t="shared" si="1"/>
        <v/>
      </c>
      <c r="U35" s="479"/>
      <c r="X35" s="6"/>
      <c r="Y35" s="6"/>
      <c r="Z35" s="6"/>
      <c r="AA35" s="6"/>
      <c r="AB35" s="6"/>
      <c r="AC35" s="6"/>
      <c r="AD35" s="6"/>
      <c r="AE35" s="6"/>
    </row>
    <row r="36" spans="2:31" x14ac:dyDescent="0.3">
      <c r="B36" s="479"/>
      <c r="C36" s="479"/>
      <c r="D36" s="479"/>
      <c r="E36" s="479"/>
      <c r="F36" s="491"/>
      <c r="G36" s="482" t="str">
        <f t="shared" ca="1" si="2"/>
        <v/>
      </c>
      <c r="H36" s="483" t="str">
        <f ca="1">IFERROR(IF(OR($C$11="",$C$11=0),"",IF(OR($D$11=0,$D$11=""),IF(NOT(ISNUMBER(INDEX($F$7:$F$1000,ROWS($I$7:I36)*$C$11))),"",$B$5+SUM(OFFSET($F$7,0,0,ROWS($I$7:I36)*$C$11))),IF(NOT(ISNUMBER(INDEX($F$7:$F$1000,ROUNDUP(ROWS($I$7:I36)/2,0)*$C$11))),"",IF(MOD(ROWS($I$7:I36),2)=1,IF(ISNUMBER($B$5),$B$5+SUM(OFFSET($F$7,0,0,ROUNDUP(ROWS($I$7:I36)/2,0)*$C$11))-SUM(OFFSET($F$7,(ROUNDUP(ROWS($I$7:I36)/2,0)*$C$11)-$C$11,0,$C$11))+$D$11,""),$B$5+SUM(OFFSET($F$7,0,0,ROUNDUP(ROWS($I$7:I36)/2,0)*$C$11)))))),"")</f>
        <v/>
      </c>
      <c r="I36" s="484"/>
      <c r="J36" s="492" t="str">
        <f>IF(F66="","",F65+F66)</f>
        <v/>
      </c>
      <c r="K36" s="484"/>
      <c r="L36" s="493" t="str">
        <f t="shared" si="0"/>
        <v/>
      </c>
      <c r="M36" s="484"/>
      <c r="N36" s="484">
        <f>F34+F35+F36</f>
        <v>0</v>
      </c>
      <c r="O36" s="484">
        <f>N36/2</f>
        <v>0</v>
      </c>
      <c r="P36" s="487">
        <f>O51</f>
        <v>0</v>
      </c>
      <c r="Q36" s="484"/>
      <c r="R36" s="492" t="str">
        <f>IF(P36=0,"",ROUNDUP(P36,2))</f>
        <v/>
      </c>
      <c r="S36" s="484"/>
      <c r="T36" s="493" t="str">
        <f t="shared" si="1"/>
        <v/>
      </c>
      <c r="U36" s="479"/>
      <c r="X36" s="6"/>
      <c r="Y36" s="6"/>
      <c r="Z36" s="6"/>
      <c r="AA36" s="6"/>
      <c r="AB36" s="6"/>
      <c r="AC36" s="6"/>
      <c r="AD36" s="6"/>
      <c r="AE36" s="6"/>
    </row>
    <row r="37" spans="2:31" x14ac:dyDescent="0.3">
      <c r="B37" s="479"/>
      <c r="C37" s="479"/>
      <c r="D37" s="479"/>
      <c r="E37" s="479"/>
      <c r="F37" s="491"/>
      <c r="G37" s="482" t="str">
        <f t="shared" ca="1" si="2"/>
        <v/>
      </c>
      <c r="H37" s="483" t="str">
        <f ca="1">IFERROR(IF(OR($C$11="",$C$11=0),"",IF(OR($D$11=0,$D$11=""),IF(NOT(ISNUMBER(INDEX($F$7:$F$1000,ROWS($I$7:I37)*$C$11))),"",$B$5+SUM(OFFSET($F$7,0,0,ROWS($I$7:I37)*$C$11))),IF(NOT(ISNUMBER(INDEX($F$7:$F$1000,ROUNDUP(ROWS($I$7:I37)/2,0)*$C$11))),"",IF(MOD(ROWS($I$7:I37),2)=1,IF(ISNUMBER($B$5),$B$5+SUM(OFFSET($F$7,0,0,ROUNDUP(ROWS($I$7:I37)/2,0)*$C$11))-SUM(OFFSET($F$7,(ROUNDUP(ROWS($I$7:I37)/2,0)*$C$11)-$C$11,0,$C$11))+$D$11,""),$B$5+SUM(OFFSET($F$7,0,0,ROUNDUP(ROWS($I$7:I37)/2,0)*$C$11)))))),"")</f>
        <v/>
      </c>
      <c r="I37" s="484"/>
      <c r="J37" s="492" t="str">
        <f>IF(F68="","",F67+F68)</f>
        <v/>
      </c>
      <c r="K37" s="484"/>
      <c r="L37" s="493" t="str">
        <f t="shared" si="0"/>
        <v/>
      </c>
      <c r="M37" s="484"/>
      <c r="N37" s="484"/>
      <c r="O37" s="484"/>
      <c r="P37" s="487">
        <f>O53</f>
        <v>0</v>
      </c>
      <c r="Q37" s="484"/>
      <c r="R37" s="494" t="str">
        <f>IF(P37=0,"",ROUNDDOWN(P37,2))</f>
        <v/>
      </c>
      <c r="S37" s="484"/>
      <c r="T37" s="495" t="str">
        <f t="shared" si="1"/>
        <v/>
      </c>
      <c r="U37" s="479"/>
      <c r="X37" s="6"/>
      <c r="Y37" s="6"/>
      <c r="Z37" s="6"/>
      <c r="AA37" s="6"/>
      <c r="AB37" s="6"/>
      <c r="AC37" s="6"/>
      <c r="AD37" s="6"/>
      <c r="AE37" s="6"/>
    </row>
    <row r="38" spans="2:31" x14ac:dyDescent="0.3">
      <c r="B38" s="479"/>
      <c r="C38" s="479"/>
      <c r="D38" s="479"/>
      <c r="E38" s="479"/>
      <c r="F38" s="491"/>
      <c r="G38" s="482" t="str">
        <f t="shared" ca="1" si="2"/>
        <v/>
      </c>
      <c r="H38" s="483" t="str">
        <f ca="1">IFERROR(IF(OR($C$11="",$C$11=0),"",IF(OR($D$11=0,$D$11=""),IF(NOT(ISNUMBER(INDEX($F$7:$F$1000,ROWS($I$7:I38)*$C$11))),"",$B$5+SUM(OFFSET($F$7,0,0,ROWS($I$7:I38)*$C$11))),IF(NOT(ISNUMBER(INDEX($F$7:$F$1000,ROUNDUP(ROWS($I$7:I38)/2,0)*$C$11))),"",IF(MOD(ROWS($I$7:I38),2)=1,IF(ISNUMBER($B$5),$B$5+SUM(OFFSET($F$7,0,0,ROUNDUP(ROWS($I$7:I38)/2,0)*$C$11))-SUM(OFFSET($F$7,(ROUNDUP(ROWS($I$7:I38)/2,0)*$C$11)-$C$11,0,$C$11))+$D$11,""),$B$5+SUM(OFFSET($F$7,0,0,ROUNDUP(ROWS($I$7:I38)/2,0)*$C$11)))))),"")</f>
        <v/>
      </c>
      <c r="I38" s="484"/>
      <c r="J38" s="492" t="str">
        <f>IF(F70="","",F69+F70)</f>
        <v/>
      </c>
      <c r="K38" s="484"/>
      <c r="L38" s="493" t="str">
        <f t="shared" si="0"/>
        <v/>
      </c>
      <c r="M38" s="484"/>
      <c r="N38" s="484"/>
      <c r="O38" s="484">
        <f>N39/2</f>
        <v>0</v>
      </c>
      <c r="P38" s="487">
        <f>O54</f>
        <v>0</v>
      </c>
      <c r="Q38" s="484"/>
      <c r="R38" s="492" t="str">
        <f>IF(P38=0,"",ROUNDUP(P38,2))</f>
        <v/>
      </c>
      <c r="S38" s="484"/>
      <c r="T38" s="493" t="str">
        <f t="shared" si="1"/>
        <v/>
      </c>
      <c r="U38" s="479"/>
      <c r="X38" s="6"/>
      <c r="Y38" s="6"/>
      <c r="Z38" s="6"/>
      <c r="AA38" s="6"/>
      <c r="AB38" s="6"/>
      <c r="AC38" s="6"/>
      <c r="AD38" s="6"/>
      <c r="AE38" s="6"/>
    </row>
    <row r="39" spans="2:31" x14ac:dyDescent="0.3">
      <c r="B39" s="479"/>
      <c r="C39" s="479"/>
      <c r="D39" s="479"/>
      <c r="E39" s="479"/>
      <c r="F39" s="491"/>
      <c r="G39" s="482" t="str">
        <f t="shared" ca="1" si="2"/>
        <v/>
      </c>
      <c r="H39" s="483" t="str">
        <f ca="1">IFERROR(IF(OR($C$11="",$C$11=0),"",IF(OR($D$11=0,$D$11=""),IF(NOT(ISNUMBER(INDEX($F$7:$F$1000,ROWS($I$7:I39)*$C$11))),"",$B$5+SUM(OFFSET($F$7,0,0,ROWS($I$7:I39)*$C$11))),IF(NOT(ISNUMBER(INDEX($F$7:$F$1000,ROUNDUP(ROWS($I$7:I39)/2,0)*$C$11))),"",IF(MOD(ROWS($I$7:I39),2)=1,IF(ISNUMBER($B$5),$B$5+SUM(OFFSET($F$7,0,0,ROUNDUP(ROWS($I$7:I39)/2,0)*$C$11))-SUM(OFFSET($F$7,(ROUNDUP(ROWS($I$7:I39)/2,0)*$C$11)-$C$11,0,$C$11))+$D$11,""),$B$5+SUM(OFFSET($F$7,0,0,ROUNDUP(ROWS($I$7:I39)/2,0)*$C$11)))))),"")</f>
        <v/>
      </c>
      <c r="I39" s="484"/>
      <c r="J39" s="492" t="str">
        <f>IF(F72="","",F71+F72)</f>
        <v/>
      </c>
      <c r="K39" s="484"/>
      <c r="L39" s="493" t="str">
        <f t="shared" si="0"/>
        <v/>
      </c>
      <c r="M39" s="484"/>
      <c r="N39" s="484">
        <f>F37+F38+F39</f>
        <v>0</v>
      </c>
      <c r="O39" s="484">
        <f>N39/2</f>
        <v>0</v>
      </c>
      <c r="P39" s="487">
        <f>O56</f>
        <v>0</v>
      </c>
      <c r="Q39" s="484"/>
      <c r="R39" s="494" t="str">
        <f>IF(P39=0,"",ROUNDDOWN(P39,2))</f>
        <v/>
      </c>
      <c r="S39" s="484"/>
      <c r="T39" s="495" t="str">
        <f t="shared" si="1"/>
        <v/>
      </c>
      <c r="U39" s="479"/>
      <c r="X39" s="6"/>
      <c r="Y39" s="6"/>
      <c r="Z39" s="6"/>
      <c r="AA39" s="6"/>
      <c r="AB39" s="6"/>
      <c r="AC39" s="6"/>
      <c r="AD39" s="6"/>
      <c r="AE39" s="6"/>
    </row>
    <row r="40" spans="2:31" x14ac:dyDescent="0.3">
      <c r="B40" s="479"/>
      <c r="C40" s="479"/>
      <c r="D40" s="479"/>
      <c r="E40" s="479"/>
      <c r="F40" s="491"/>
      <c r="G40" s="482" t="str">
        <f t="shared" ca="1" si="2"/>
        <v/>
      </c>
      <c r="H40" s="483" t="str">
        <f ca="1">IFERROR(IF(OR($C$11="",$C$11=0),"",IF(OR($D$11=0,$D$11=""),IF(NOT(ISNUMBER(INDEX($F$7:$F$1000,ROWS($I$7:I40)*$C$11))),"",$B$5+SUM(OFFSET($F$7,0,0,ROWS($I$7:I40)*$C$11))),IF(NOT(ISNUMBER(INDEX($F$7:$F$1000,ROUNDUP(ROWS($I$7:I40)/2,0)*$C$11))),"",IF(MOD(ROWS($I$7:I40),2)=1,IF(ISNUMBER($B$5),$B$5+SUM(OFFSET($F$7,0,0,ROUNDUP(ROWS($I$7:I40)/2,0)*$C$11))-SUM(OFFSET($F$7,(ROUNDUP(ROWS($I$7:I40)/2,0)*$C$11)-$C$11,0,$C$11))+$D$11,""),$B$5+SUM(OFFSET($F$7,0,0,ROUNDUP(ROWS($I$7:I40)/2,0)*$C$11)))))),"")</f>
        <v/>
      </c>
      <c r="I40" s="484"/>
      <c r="J40" s="492" t="str">
        <f>IF(F74="","",F73+F74)</f>
        <v/>
      </c>
      <c r="K40" s="484"/>
      <c r="L40" s="493" t="str">
        <f t="shared" si="0"/>
        <v/>
      </c>
      <c r="M40" s="484"/>
      <c r="N40" s="484"/>
      <c r="O40" s="484"/>
      <c r="P40" s="487">
        <f>O57</f>
        <v>0</v>
      </c>
      <c r="Q40" s="484"/>
      <c r="R40" s="492" t="str">
        <f>IF(P40=0,"",ROUNDUP(P40,2))</f>
        <v/>
      </c>
      <c r="S40" s="484"/>
      <c r="T40" s="493" t="str">
        <f t="shared" si="1"/>
        <v/>
      </c>
      <c r="U40" s="479"/>
      <c r="X40" s="6"/>
      <c r="Y40" s="6"/>
      <c r="Z40" s="6"/>
      <c r="AA40" s="6"/>
      <c r="AB40" s="6"/>
      <c r="AC40" s="6"/>
      <c r="AD40" s="6"/>
      <c r="AE40" s="6"/>
    </row>
    <row r="41" spans="2:31" x14ac:dyDescent="0.3">
      <c r="B41" s="479"/>
      <c r="C41" s="479"/>
      <c r="D41" s="479"/>
      <c r="E41" s="479"/>
      <c r="F41" s="491"/>
      <c r="G41" s="482" t="str">
        <f t="shared" ca="1" si="2"/>
        <v/>
      </c>
      <c r="H41" s="483" t="str">
        <f ca="1">IFERROR(IF(OR($C$11="",$C$11=0),"",IF(OR($D$11=0,$D$11=""),IF(NOT(ISNUMBER(INDEX($F$7:$F$1000,ROWS($I$7:I41)*$C$11))),"",$B$5+SUM(OFFSET($F$7,0,0,ROWS($I$7:I41)*$C$11))),IF(NOT(ISNUMBER(INDEX($F$7:$F$1000,ROUNDUP(ROWS($I$7:I41)/2,0)*$C$11))),"",IF(MOD(ROWS($I$7:I41),2)=1,IF(ISNUMBER($B$5),$B$5+SUM(OFFSET($F$7,0,0,ROUNDUP(ROWS($I$7:I41)/2,0)*$C$11))-SUM(OFFSET($F$7,(ROUNDUP(ROWS($I$7:I41)/2,0)*$C$11)-$C$11,0,$C$11))+$D$11,""),$B$5+SUM(OFFSET($F$7,0,0,ROUNDUP(ROWS($I$7:I41)/2,0)*$C$11)))))),"")</f>
        <v/>
      </c>
      <c r="I41" s="484"/>
      <c r="J41" s="492" t="str">
        <f>IF(F76="","",F75+F76)</f>
        <v/>
      </c>
      <c r="K41" s="484"/>
      <c r="L41" s="493" t="str">
        <f t="shared" si="0"/>
        <v/>
      </c>
      <c r="M41" s="484"/>
      <c r="N41" s="484"/>
      <c r="O41" s="484">
        <f>N42/2</f>
        <v>0</v>
      </c>
      <c r="P41" s="487">
        <f>O59</f>
        <v>0</v>
      </c>
      <c r="Q41" s="484"/>
      <c r="R41" s="494" t="str">
        <f>IF(P41=0,"",ROUNDDOWN(P41,2))</f>
        <v/>
      </c>
      <c r="S41" s="484"/>
      <c r="T41" s="495" t="str">
        <f t="shared" si="1"/>
        <v/>
      </c>
      <c r="U41" s="479"/>
      <c r="X41" s="6"/>
      <c r="Y41" s="6"/>
      <c r="Z41" s="6"/>
      <c r="AA41" s="6"/>
      <c r="AB41" s="6"/>
      <c r="AC41" s="6"/>
      <c r="AD41" s="6"/>
      <c r="AE41" s="6"/>
    </row>
    <row r="42" spans="2:31" x14ac:dyDescent="0.3">
      <c r="B42" s="479"/>
      <c r="C42" s="479"/>
      <c r="D42" s="479"/>
      <c r="E42" s="479"/>
      <c r="F42" s="491"/>
      <c r="G42" s="482" t="str">
        <f t="shared" ca="1" si="2"/>
        <v/>
      </c>
      <c r="H42" s="483" t="str">
        <f ca="1">IFERROR(IF(OR($C$11="",$C$11=0),"",IF(OR($D$11=0,$D$11=""),IF(NOT(ISNUMBER(INDEX($F$7:$F$1000,ROWS($I$7:I42)*$C$11))),"",$B$5+SUM(OFFSET($F$7,0,0,ROWS($I$7:I42)*$C$11))),IF(NOT(ISNUMBER(INDEX($F$7:$F$1000,ROUNDUP(ROWS($I$7:I42)/2,0)*$C$11))),"",IF(MOD(ROWS($I$7:I42),2)=1,IF(ISNUMBER($B$5),$B$5+SUM(OFFSET($F$7,0,0,ROUNDUP(ROWS($I$7:I42)/2,0)*$C$11))-SUM(OFFSET($F$7,(ROUNDUP(ROWS($I$7:I42)/2,0)*$C$11)-$C$11,0,$C$11))+$D$11,""),$B$5+SUM(OFFSET($F$7,0,0,ROUNDUP(ROWS($I$7:I42)/2,0)*$C$11)))))),"")</f>
        <v/>
      </c>
      <c r="I42" s="484"/>
      <c r="J42" s="492" t="str">
        <f>IF(F78="","",F77+F78)</f>
        <v/>
      </c>
      <c r="K42" s="484"/>
      <c r="L42" s="493" t="str">
        <f t="shared" si="0"/>
        <v/>
      </c>
      <c r="M42" s="484"/>
      <c r="N42" s="484">
        <f>F40+F41+F42</f>
        <v>0</v>
      </c>
      <c r="O42" s="484">
        <f>N42/2</f>
        <v>0</v>
      </c>
      <c r="P42" s="487">
        <f>O60</f>
        <v>0</v>
      </c>
      <c r="Q42" s="484"/>
      <c r="R42" s="492" t="str">
        <f>IF(P42=0,"",ROUNDUP(P42,2))</f>
        <v/>
      </c>
      <c r="S42" s="484"/>
      <c r="T42" s="493" t="str">
        <f t="shared" si="1"/>
        <v/>
      </c>
      <c r="U42" s="479"/>
      <c r="X42" s="6"/>
      <c r="Y42" s="6"/>
      <c r="Z42" s="6"/>
      <c r="AA42" s="6"/>
      <c r="AB42" s="6"/>
      <c r="AC42" s="6"/>
      <c r="AD42" s="6"/>
      <c r="AE42" s="6"/>
    </row>
    <row r="43" spans="2:31" x14ac:dyDescent="0.3">
      <c r="B43" s="479"/>
      <c r="C43" s="479"/>
      <c r="D43" s="479"/>
      <c r="E43" s="479"/>
      <c r="F43" s="491"/>
      <c r="G43" s="482" t="str">
        <f t="shared" ca="1" si="2"/>
        <v/>
      </c>
      <c r="H43" s="483" t="str">
        <f ca="1">IFERROR(IF(OR($C$11="",$C$11=0),"",IF(OR($D$11=0,$D$11=""),IF(NOT(ISNUMBER(INDEX($F$7:$F$1000,ROWS($I$7:I43)*$C$11))),"",$B$5+SUM(OFFSET($F$7,0,0,ROWS($I$7:I43)*$C$11))),IF(NOT(ISNUMBER(INDEX($F$7:$F$1000,ROUNDUP(ROWS($I$7:I43)/2,0)*$C$11))),"",IF(MOD(ROWS($I$7:I43),2)=1,IF(ISNUMBER($B$5),$B$5+SUM(OFFSET($F$7,0,0,ROUNDUP(ROWS($I$7:I43)/2,0)*$C$11))-SUM(OFFSET($F$7,(ROUNDUP(ROWS($I$7:I43)/2,0)*$C$11)-$C$11,0,$C$11))+$D$11,""),$B$5+SUM(OFFSET($F$7,0,0,ROUNDUP(ROWS($I$7:I43)/2,0)*$C$11)))))),"")</f>
        <v/>
      </c>
      <c r="I43" s="484"/>
      <c r="J43" s="492" t="str">
        <f>IF(F80="","",F79+F80)</f>
        <v/>
      </c>
      <c r="K43" s="484"/>
      <c r="L43" s="493" t="str">
        <f t="shared" si="0"/>
        <v/>
      </c>
      <c r="M43" s="484"/>
      <c r="N43" s="484"/>
      <c r="O43" s="484"/>
      <c r="P43" s="487">
        <f>O62</f>
        <v>0</v>
      </c>
      <c r="Q43" s="484"/>
      <c r="R43" s="494" t="str">
        <f>IF(P43=0,"",ROUNDDOWN(P43,2))</f>
        <v/>
      </c>
      <c r="S43" s="484"/>
      <c r="T43" s="495" t="str">
        <f t="shared" si="1"/>
        <v/>
      </c>
      <c r="U43" s="479"/>
      <c r="X43" s="6"/>
      <c r="Y43" s="6"/>
      <c r="Z43" s="6"/>
      <c r="AA43" s="6"/>
      <c r="AB43" s="6"/>
      <c r="AC43" s="6"/>
      <c r="AD43" s="6"/>
      <c r="AE43" s="6"/>
    </row>
    <row r="44" spans="2:31" x14ac:dyDescent="0.3">
      <c r="B44" s="479"/>
      <c r="C44" s="479"/>
      <c r="D44" s="479"/>
      <c r="E44" s="479"/>
      <c r="F44" s="491"/>
      <c r="G44" s="482" t="str">
        <f t="shared" ca="1" si="2"/>
        <v/>
      </c>
      <c r="H44" s="483" t="str">
        <f ca="1">IFERROR(IF(OR($C$11="",$C$11=0),"",IF(OR($D$11=0,$D$11=""),IF(NOT(ISNUMBER(INDEX($F$7:$F$1000,ROWS($I$7:I44)*$C$11))),"",$B$5+SUM(OFFSET($F$7,0,0,ROWS($I$7:I44)*$C$11))),IF(NOT(ISNUMBER(INDEX($F$7:$F$1000,ROUNDUP(ROWS($I$7:I44)/2,0)*$C$11))),"",IF(MOD(ROWS($I$7:I44),2)=1,IF(ISNUMBER($B$5),$B$5+SUM(OFFSET($F$7,0,0,ROUNDUP(ROWS($I$7:I44)/2,0)*$C$11))-SUM(OFFSET($F$7,(ROUNDUP(ROWS($I$7:I44)/2,0)*$C$11)-$C$11,0,$C$11))+$D$11,""),$B$5+SUM(OFFSET($F$7,0,0,ROUNDUP(ROWS($I$7:I44)/2,0)*$C$11)))))),"")</f>
        <v/>
      </c>
      <c r="I44" s="484"/>
      <c r="J44" s="492" t="str">
        <f>IF(F82="","",F81+F82)</f>
        <v/>
      </c>
      <c r="K44" s="484"/>
      <c r="L44" s="493" t="str">
        <f t="shared" si="0"/>
        <v/>
      </c>
      <c r="M44" s="484"/>
      <c r="N44" s="484"/>
      <c r="O44" s="484">
        <f>N45/2</f>
        <v>0</v>
      </c>
      <c r="P44" s="487">
        <f>O63</f>
        <v>0</v>
      </c>
      <c r="Q44" s="484"/>
      <c r="R44" s="492" t="str">
        <f>IF(P44=0,"",ROUNDUP(P44,2))</f>
        <v/>
      </c>
      <c r="S44" s="484"/>
      <c r="T44" s="493" t="str">
        <f t="shared" si="1"/>
        <v/>
      </c>
      <c r="U44" s="479"/>
      <c r="X44" s="6"/>
      <c r="Y44" s="6"/>
      <c r="Z44" s="6"/>
      <c r="AA44" s="6"/>
      <c r="AB44" s="6"/>
      <c r="AC44" s="6"/>
      <c r="AD44" s="6"/>
      <c r="AE44" s="6"/>
    </row>
    <row r="45" spans="2:31" x14ac:dyDescent="0.3">
      <c r="B45" s="479"/>
      <c r="C45" s="479"/>
      <c r="D45" s="479"/>
      <c r="E45" s="479"/>
      <c r="F45" s="491"/>
      <c r="G45" s="482" t="str">
        <f t="shared" ca="1" si="2"/>
        <v/>
      </c>
      <c r="H45" s="483" t="str">
        <f ca="1">IFERROR(IF(OR($C$11="",$C$11=0),"",IF(OR($D$11=0,$D$11=""),IF(NOT(ISNUMBER(INDEX($F$7:$F$1000,ROWS($I$7:I45)*$C$11))),"",$B$5+SUM(OFFSET($F$7,0,0,ROWS($I$7:I45)*$C$11))),IF(NOT(ISNUMBER(INDEX($F$7:$F$1000,ROUNDUP(ROWS($I$7:I45)/2,0)*$C$11))),"",IF(MOD(ROWS($I$7:I45),2)=1,IF(ISNUMBER($B$5),$B$5+SUM(OFFSET($F$7,0,0,ROUNDUP(ROWS($I$7:I45)/2,0)*$C$11))-SUM(OFFSET($F$7,(ROUNDUP(ROWS($I$7:I45)/2,0)*$C$11)-$C$11,0,$C$11))+$D$11,""),$B$5+SUM(OFFSET($F$7,0,0,ROUNDUP(ROWS($I$7:I45)/2,0)*$C$11)))))),"")</f>
        <v/>
      </c>
      <c r="I45" s="484"/>
      <c r="J45" s="492" t="str">
        <f>IF(F84="","",F83+F84)</f>
        <v/>
      </c>
      <c r="K45" s="484"/>
      <c r="L45" s="493" t="str">
        <f t="shared" si="0"/>
        <v/>
      </c>
      <c r="M45" s="484"/>
      <c r="N45" s="484">
        <f>F43+F44+F45</f>
        <v>0</v>
      </c>
      <c r="O45" s="484">
        <f>N45/2</f>
        <v>0</v>
      </c>
      <c r="P45" s="487">
        <f>O65</f>
        <v>0</v>
      </c>
      <c r="Q45" s="484"/>
      <c r="R45" s="494" t="str">
        <f>IF(P45=0,"",ROUNDDOWN(P45,2))</f>
        <v/>
      </c>
      <c r="S45" s="484"/>
      <c r="T45" s="495" t="str">
        <f t="shared" si="1"/>
        <v/>
      </c>
      <c r="U45" s="479"/>
      <c r="X45" s="6"/>
      <c r="Y45" s="6"/>
      <c r="Z45" s="6"/>
      <c r="AA45" s="6"/>
      <c r="AB45" s="6"/>
      <c r="AC45" s="6"/>
      <c r="AD45" s="6"/>
      <c r="AE45" s="6"/>
    </row>
    <row r="46" spans="2:31" x14ac:dyDescent="0.3">
      <c r="B46" s="479"/>
      <c r="C46" s="479"/>
      <c r="D46" s="479"/>
      <c r="E46" s="479"/>
      <c r="F46" s="491"/>
      <c r="G46" s="482" t="str">
        <f t="shared" ca="1" si="2"/>
        <v/>
      </c>
      <c r="H46" s="483" t="str">
        <f ca="1">IFERROR(IF(OR($C$11="",$C$11=0),"",IF(OR($D$11=0,$D$11=""),IF(NOT(ISNUMBER(INDEX($F$7:$F$1000,ROWS($I$7:I46)*$C$11))),"",$B$5+SUM(OFFSET($F$7,0,0,ROWS($I$7:I46)*$C$11))),IF(NOT(ISNUMBER(INDEX($F$7:$F$1000,ROUNDUP(ROWS($I$7:I46)/2,0)*$C$11))),"",IF(MOD(ROWS($I$7:I46),2)=1,IF(ISNUMBER($B$5),$B$5+SUM(OFFSET($F$7,0,0,ROUNDUP(ROWS($I$7:I46)/2,0)*$C$11))-SUM(OFFSET($F$7,(ROUNDUP(ROWS($I$7:I46)/2,0)*$C$11)-$C$11,0,$C$11))+$D$11,""),$B$5+SUM(OFFSET($F$7,0,0,ROUNDUP(ROWS($I$7:I46)/2,0)*$C$11)))))),"")</f>
        <v/>
      </c>
      <c r="I46" s="484"/>
      <c r="J46" s="492" t="str">
        <f>IF(F86="","",F85+F86)</f>
        <v/>
      </c>
      <c r="K46" s="484"/>
      <c r="L46" s="493" t="str">
        <f t="shared" si="0"/>
        <v/>
      </c>
      <c r="M46" s="484"/>
      <c r="N46" s="484"/>
      <c r="O46" s="484"/>
      <c r="P46" s="487">
        <f>O66</f>
        <v>0</v>
      </c>
      <c r="Q46" s="484"/>
      <c r="R46" s="492" t="str">
        <f>IF(P46=0,"",ROUNDUP(P46,2))</f>
        <v/>
      </c>
      <c r="S46" s="484"/>
      <c r="T46" s="493" t="str">
        <f t="shared" si="1"/>
        <v/>
      </c>
      <c r="U46" s="479"/>
      <c r="X46" s="6"/>
      <c r="Y46" s="6"/>
      <c r="Z46" s="6"/>
      <c r="AA46" s="6"/>
      <c r="AB46" s="6"/>
      <c r="AC46" s="6"/>
      <c r="AD46" s="6"/>
      <c r="AE46" s="6"/>
    </row>
    <row r="47" spans="2:31" x14ac:dyDescent="0.3">
      <c r="B47" s="479"/>
      <c r="C47" s="479"/>
      <c r="D47" s="479"/>
      <c r="E47" s="479"/>
      <c r="F47" s="491"/>
      <c r="G47" s="482" t="str">
        <f t="shared" ca="1" si="2"/>
        <v/>
      </c>
      <c r="H47" s="483" t="str">
        <f ca="1">IFERROR(IF(OR($C$11="",$C$11=0),"",IF(OR($D$11=0,$D$11=""),IF(NOT(ISNUMBER(INDEX($F$7:$F$1000,ROWS($I$7:I47)*$C$11))),"",$B$5+SUM(OFFSET($F$7,0,0,ROWS($I$7:I47)*$C$11))),IF(NOT(ISNUMBER(INDEX($F$7:$F$1000,ROUNDUP(ROWS($I$7:I47)/2,0)*$C$11))),"",IF(MOD(ROWS($I$7:I47),2)=1,IF(ISNUMBER($B$5),$B$5+SUM(OFFSET($F$7,0,0,ROUNDUP(ROWS($I$7:I47)/2,0)*$C$11))-SUM(OFFSET($F$7,(ROUNDUP(ROWS($I$7:I47)/2,0)*$C$11)-$C$11,0,$C$11))+$D$11,""),$B$5+SUM(OFFSET($F$7,0,0,ROUNDUP(ROWS($I$7:I47)/2,0)*$C$11)))))),"")</f>
        <v/>
      </c>
      <c r="I47" s="484"/>
      <c r="J47" s="492" t="str">
        <f>IF(F88="","",F87+F88)</f>
        <v/>
      </c>
      <c r="K47" s="484"/>
      <c r="L47" s="493" t="str">
        <f t="shared" si="0"/>
        <v/>
      </c>
      <c r="M47" s="484"/>
      <c r="N47" s="484"/>
      <c r="O47" s="484">
        <f>N48/2</f>
        <v>0</v>
      </c>
      <c r="P47" s="487">
        <f>O68</f>
        <v>0</v>
      </c>
      <c r="Q47" s="484"/>
      <c r="R47" s="494" t="str">
        <f>IF(P47=0,"",ROUNDDOWN(P47,2))</f>
        <v/>
      </c>
      <c r="S47" s="484"/>
      <c r="T47" s="495" t="str">
        <f t="shared" si="1"/>
        <v/>
      </c>
      <c r="U47" s="479"/>
      <c r="X47" s="6"/>
      <c r="Y47" s="6"/>
      <c r="Z47" s="6"/>
      <c r="AA47" s="6"/>
      <c r="AB47" s="6"/>
      <c r="AC47" s="6"/>
      <c r="AD47" s="6"/>
      <c r="AE47" s="6"/>
    </row>
    <row r="48" spans="2:31" x14ac:dyDescent="0.3">
      <c r="B48" s="479"/>
      <c r="C48" s="479"/>
      <c r="D48" s="479"/>
      <c r="E48" s="479"/>
      <c r="F48" s="491"/>
      <c r="G48" s="482" t="str">
        <f t="shared" ca="1" si="2"/>
        <v/>
      </c>
      <c r="H48" s="483" t="str">
        <f ca="1">IFERROR(IF(OR($C$11="",$C$11=0),"",IF(OR($D$11=0,$D$11=""),IF(NOT(ISNUMBER(INDEX($F$7:$F$1000,ROWS($I$7:I48)*$C$11))),"",$B$5+SUM(OFFSET($F$7,0,0,ROWS($I$7:I48)*$C$11))),IF(NOT(ISNUMBER(INDEX($F$7:$F$1000,ROUNDUP(ROWS($I$7:I48)/2,0)*$C$11))),"",IF(MOD(ROWS($I$7:I48),2)=1,IF(ISNUMBER($B$5),$B$5+SUM(OFFSET($F$7,0,0,ROUNDUP(ROWS($I$7:I48)/2,0)*$C$11))-SUM(OFFSET($F$7,(ROUNDUP(ROWS($I$7:I48)/2,0)*$C$11)-$C$11,0,$C$11))+$D$11,""),$B$5+SUM(OFFSET($F$7,0,0,ROUNDUP(ROWS($I$7:I48)/2,0)*$C$11)))))),"")</f>
        <v/>
      </c>
      <c r="I48" s="484"/>
      <c r="J48" s="492" t="str">
        <f>IF(F90="","",F89+F90)</f>
        <v/>
      </c>
      <c r="K48" s="484"/>
      <c r="L48" s="493" t="str">
        <f t="shared" si="0"/>
        <v/>
      </c>
      <c r="M48" s="484"/>
      <c r="N48" s="484">
        <f>F46+F47+F48</f>
        <v>0</v>
      </c>
      <c r="O48" s="484">
        <f>N48/2</f>
        <v>0</v>
      </c>
      <c r="P48" s="487">
        <f>O69</f>
        <v>0</v>
      </c>
      <c r="Q48" s="484"/>
      <c r="R48" s="492" t="str">
        <f>IF(P48=0,"",ROUNDUP(P48,2))</f>
        <v/>
      </c>
      <c r="S48" s="484"/>
      <c r="T48" s="493" t="str">
        <f t="shared" si="1"/>
        <v/>
      </c>
      <c r="U48" s="479"/>
      <c r="X48" s="6"/>
      <c r="Y48" s="6"/>
      <c r="Z48" s="6"/>
      <c r="AA48" s="6"/>
      <c r="AB48" s="6"/>
      <c r="AC48" s="6"/>
      <c r="AD48" s="6"/>
      <c r="AE48" s="6"/>
    </row>
    <row r="49" spans="2:31" x14ac:dyDescent="0.3">
      <c r="B49" s="479"/>
      <c r="C49" s="479"/>
      <c r="D49" s="479"/>
      <c r="E49" s="479"/>
      <c r="F49" s="491"/>
      <c r="G49" s="482" t="str">
        <f t="shared" ca="1" si="2"/>
        <v/>
      </c>
      <c r="H49" s="483" t="str">
        <f ca="1">IFERROR(IF(OR($C$11="",$C$11=0),"",IF(OR($D$11=0,$D$11=""),IF(NOT(ISNUMBER(INDEX($F$7:$F$1000,ROWS($I$7:I49)*$C$11))),"",$B$5+SUM(OFFSET($F$7,0,0,ROWS($I$7:I49)*$C$11))),IF(NOT(ISNUMBER(INDEX($F$7:$F$1000,ROUNDUP(ROWS($I$7:I49)/2,0)*$C$11))),"",IF(MOD(ROWS($I$7:I49),2)=1,IF(ISNUMBER($B$5),$B$5+SUM(OFFSET($F$7,0,0,ROUNDUP(ROWS($I$7:I49)/2,0)*$C$11))-SUM(OFFSET($F$7,(ROUNDUP(ROWS($I$7:I49)/2,0)*$C$11)-$C$11,0,$C$11))+$D$11,""),$B$5+SUM(OFFSET($F$7,0,0,ROUNDUP(ROWS($I$7:I49)/2,0)*$C$11)))))),"")</f>
        <v/>
      </c>
      <c r="I49" s="484"/>
      <c r="J49" s="492" t="str">
        <f>IF(F92="","",F91+F92)</f>
        <v/>
      </c>
      <c r="K49" s="484"/>
      <c r="L49" s="493" t="str">
        <f t="shared" si="0"/>
        <v/>
      </c>
      <c r="M49" s="484"/>
      <c r="N49" s="484"/>
      <c r="O49" s="484"/>
      <c r="P49" s="487">
        <f>O71</f>
        <v>0</v>
      </c>
      <c r="Q49" s="484"/>
      <c r="R49" s="494" t="str">
        <f>IF(P49=0,"",ROUNDDOWN(P49,2))</f>
        <v/>
      </c>
      <c r="S49" s="484"/>
      <c r="T49" s="495" t="str">
        <f t="shared" si="1"/>
        <v/>
      </c>
      <c r="U49" s="479"/>
      <c r="X49" s="6"/>
      <c r="Y49" s="6"/>
      <c r="Z49" s="6"/>
      <c r="AA49" s="6"/>
      <c r="AB49" s="6"/>
      <c r="AC49" s="6"/>
      <c r="AD49" s="6"/>
      <c r="AE49" s="6"/>
    </row>
    <row r="50" spans="2:31" x14ac:dyDescent="0.3">
      <c r="B50" s="479"/>
      <c r="C50" s="479"/>
      <c r="D50" s="479"/>
      <c r="E50" s="479"/>
      <c r="F50" s="491"/>
      <c r="G50" s="482" t="str">
        <f t="shared" ca="1" si="2"/>
        <v/>
      </c>
      <c r="H50" s="483" t="str">
        <f ca="1">IFERROR(IF(OR($C$11="",$C$11=0),"",IF(OR($D$11=0,$D$11=""),IF(NOT(ISNUMBER(INDEX($F$7:$F$1000,ROWS($I$7:I50)*$C$11))),"",$B$5+SUM(OFFSET($F$7,0,0,ROWS($I$7:I50)*$C$11))),IF(NOT(ISNUMBER(INDEX($F$7:$F$1000,ROUNDUP(ROWS($I$7:I50)/2,0)*$C$11))),"",IF(MOD(ROWS($I$7:I50),2)=1,IF(ISNUMBER($B$5),$B$5+SUM(OFFSET($F$7,0,0,ROUNDUP(ROWS($I$7:I50)/2,0)*$C$11))-SUM(OFFSET($F$7,(ROUNDUP(ROWS($I$7:I50)/2,0)*$C$11)-$C$11,0,$C$11))+$D$11,""),$B$5+SUM(OFFSET($F$7,0,0,ROUNDUP(ROWS($I$7:I50)/2,0)*$C$11)))))),"")</f>
        <v/>
      </c>
      <c r="I50" s="484"/>
      <c r="J50" s="492" t="str">
        <f>IF(F94="","",F93+F94)</f>
        <v/>
      </c>
      <c r="K50" s="484"/>
      <c r="L50" s="493" t="str">
        <f t="shared" si="0"/>
        <v/>
      </c>
      <c r="M50" s="484"/>
      <c r="N50" s="484"/>
      <c r="O50" s="484">
        <f>N51/2</f>
        <v>0</v>
      </c>
      <c r="P50" s="487">
        <f>O72</f>
        <v>0</v>
      </c>
      <c r="Q50" s="484"/>
      <c r="R50" s="492" t="str">
        <f>IF(P50=0,"",ROUNDUP(P50,2))</f>
        <v/>
      </c>
      <c r="S50" s="484"/>
      <c r="T50" s="493" t="str">
        <f t="shared" si="1"/>
        <v/>
      </c>
      <c r="U50" s="479"/>
      <c r="X50" s="6"/>
      <c r="Y50" s="6"/>
      <c r="Z50" s="6"/>
      <c r="AA50" s="6"/>
      <c r="AB50" s="6"/>
      <c r="AC50" s="6"/>
      <c r="AD50" s="6"/>
      <c r="AE50" s="6"/>
    </row>
    <row r="51" spans="2:31" x14ac:dyDescent="0.3">
      <c r="B51" s="479"/>
      <c r="C51" s="479"/>
      <c r="D51" s="479"/>
      <c r="E51" s="479"/>
      <c r="F51" s="491"/>
      <c r="G51" s="482" t="str">
        <f t="shared" ca="1" si="2"/>
        <v/>
      </c>
      <c r="H51" s="483" t="str">
        <f ca="1">IFERROR(IF(OR($C$11="",$C$11=0),"",IF(OR($D$11=0,$D$11=""),IF(NOT(ISNUMBER(INDEX($F$7:$F$1000,ROWS($I$7:I51)*$C$11))),"",$B$5+SUM(OFFSET($F$7,0,0,ROWS($I$7:I51)*$C$11))),IF(NOT(ISNUMBER(INDEX($F$7:$F$1000,ROUNDUP(ROWS($I$7:I51)/2,0)*$C$11))),"",IF(MOD(ROWS($I$7:I51),2)=1,IF(ISNUMBER($B$5),$B$5+SUM(OFFSET($F$7,0,0,ROUNDUP(ROWS($I$7:I51)/2,0)*$C$11))-SUM(OFFSET($F$7,(ROUNDUP(ROWS($I$7:I51)/2,0)*$C$11)-$C$11,0,$C$11))+$D$11,""),$B$5+SUM(OFFSET($F$7,0,0,ROUNDUP(ROWS($I$7:I51)/2,0)*$C$11)))))),"")</f>
        <v/>
      </c>
      <c r="I51" s="484"/>
      <c r="J51" s="492" t="str">
        <f>IF(F96="","",F95+F96)</f>
        <v/>
      </c>
      <c r="K51" s="484"/>
      <c r="L51" s="493" t="str">
        <f t="shared" si="0"/>
        <v/>
      </c>
      <c r="M51" s="484"/>
      <c r="N51" s="484">
        <f>F49+F50+F51</f>
        <v>0</v>
      </c>
      <c r="O51" s="484">
        <f>N51/2</f>
        <v>0</v>
      </c>
      <c r="P51" s="487">
        <f>O74</f>
        <v>0</v>
      </c>
      <c r="Q51" s="484"/>
      <c r="R51" s="494" t="str">
        <f>IF(P51=0,"",ROUNDDOWN(P51,2))</f>
        <v/>
      </c>
      <c r="S51" s="484"/>
      <c r="T51" s="495" t="str">
        <f t="shared" si="1"/>
        <v/>
      </c>
      <c r="U51" s="479"/>
      <c r="X51" s="6"/>
      <c r="Y51" s="6"/>
      <c r="Z51" s="6"/>
      <c r="AA51" s="6"/>
      <c r="AB51" s="6"/>
      <c r="AC51" s="6"/>
      <c r="AD51" s="6"/>
      <c r="AE51" s="6"/>
    </row>
    <row r="52" spans="2:31" x14ac:dyDescent="0.3">
      <c r="B52" s="479"/>
      <c r="C52" s="479"/>
      <c r="D52" s="479"/>
      <c r="E52" s="479"/>
      <c r="F52" s="491"/>
      <c r="G52" s="482" t="str">
        <f t="shared" ca="1" si="2"/>
        <v/>
      </c>
      <c r="H52" s="483" t="str">
        <f ca="1">IFERROR(IF(OR($C$11="",$C$11=0),"",IF(OR($D$11=0,$D$11=""),IF(NOT(ISNUMBER(INDEX($F$7:$F$1000,ROWS($I$7:I52)*$C$11))),"",$B$5+SUM(OFFSET($F$7,0,0,ROWS($I$7:I52)*$C$11))),IF(NOT(ISNUMBER(INDEX($F$7:$F$1000,ROUNDUP(ROWS($I$7:I52)/2,0)*$C$11))),"",IF(MOD(ROWS($I$7:I52),2)=1,IF(ISNUMBER($B$5),$B$5+SUM(OFFSET($F$7,0,0,ROUNDUP(ROWS($I$7:I52)/2,0)*$C$11))-SUM(OFFSET($F$7,(ROUNDUP(ROWS($I$7:I52)/2,0)*$C$11)-$C$11,0,$C$11))+$D$11,""),$B$5+SUM(OFFSET($F$7,0,0,ROUNDUP(ROWS($I$7:I52)/2,0)*$C$11)))))),"")</f>
        <v/>
      </c>
      <c r="I52" s="484"/>
      <c r="J52" s="492" t="str">
        <f>IF(F98="","",F97+F98)</f>
        <v/>
      </c>
      <c r="K52" s="484"/>
      <c r="L52" s="493" t="str">
        <f t="shared" si="0"/>
        <v/>
      </c>
      <c r="M52" s="484"/>
      <c r="N52" s="484"/>
      <c r="O52" s="484"/>
      <c r="P52" s="487">
        <f>O75</f>
        <v>0</v>
      </c>
      <c r="Q52" s="484"/>
      <c r="R52" s="492" t="str">
        <f>IF(P52=0,"",ROUNDUP(P52,2))</f>
        <v/>
      </c>
      <c r="S52" s="484"/>
      <c r="T52" s="493" t="str">
        <f t="shared" si="1"/>
        <v/>
      </c>
      <c r="U52" s="479"/>
      <c r="X52" s="6"/>
      <c r="Y52" s="6"/>
      <c r="Z52" s="6"/>
      <c r="AA52" s="6"/>
      <c r="AB52" s="6"/>
      <c r="AC52" s="6"/>
      <c r="AD52" s="6"/>
      <c r="AE52" s="6"/>
    </row>
    <row r="53" spans="2:31" x14ac:dyDescent="0.3">
      <c r="B53" s="479"/>
      <c r="C53" s="479"/>
      <c r="D53" s="479"/>
      <c r="E53" s="479"/>
      <c r="F53" s="491"/>
      <c r="G53" s="482" t="str">
        <f t="shared" ca="1" si="2"/>
        <v/>
      </c>
      <c r="H53" s="483" t="str">
        <f ca="1">IFERROR(IF(OR($C$11="",$C$11=0),"",IF(OR($D$11=0,$D$11=""),IF(NOT(ISNUMBER(INDEX($F$7:$F$1000,ROWS($I$7:I53)*$C$11))),"",$B$5+SUM(OFFSET($F$7,0,0,ROWS($I$7:I53)*$C$11))),IF(NOT(ISNUMBER(INDEX($F$7:$F$1000,ROUNDUP(ROWS($I$7:I53)/2,0)*$C$11))),"",IF(MOD(ROWS($I$7:I53),2)=1,IF(ISNUMBER($B$5),$B$5+SUM(OFFSET($F$7,0,0,ROUNDUP(ROWS($I$7:I53)/2,0)*$C$11))-SUM(OFFSET($F$7,(ROUNDUP(ROWS($I$7:I53)/2,0)*$C$11)-$C$11,0,$C$11))+$D$11,""),$B$5+SUM(OFFSET($F$7,0,0,ROUNDUP(ROWS($I$7:I53)/2,0)*$C$11)))))),"")</f>
        <v/>
      </c>
      <c r="I53" s="484"/>
      <c r="J53" s="492" t="str">
        <f>IF(F100="","",F99+F100)</f>
        <v/>
      </c>
      <c r="K53" s="484"/>
      <c r="L53" s="493" t="str">
        <f t="shared" si="0"/>
        <v/>
      </c>
      <c r="M53" s="484"/>
      <c r="N53" s="484"/>
      <c r="O53" s="484">
        <f>N54/2</f>
        <v>0</v>
      </c>
      <c r="P53" s="487">
        <f>O77</f>
        <v>0</v>
      </c>
      <c r="Q53" s="484"/>
      <c r="R53" s="494" t="str">
        <f>IF(P53=0,"",ROUNDDOWN(P53,2))</f>
        <v/>
      </c>
      <c r="S53" s="484"/>
      <c r="T53" s="495" t="str">
        <f t="shared" si="1"/>
        <v/>
      </c>
      <c r="U53" s="479"/>
      <c r="X53" s="6"/>
      <c r="Y53" s="6"/>
      <c r="Z53" s="6"/>
      <c r="AA53" s="6"/>
      <c r="AB53" s="6"/>
      <c r="AC53" s="6"/>
      <c r="AD53" s="6"/>
      <c r="AE53" s="6"/>
    </row>
    <row r="54" spans="2:31" x14ac:dyDescent="0.3">
      <c r="B54" s="479"/>
      <c r="C54" s="479"/>
      <c r="D54" s="479"/>
      <c r="E54" s="479"/>
      <c r="F54" s="491"/>
      <c r="G54" s="482" t="str">
        <f t="shared" ca="1" si="2"/>
        <v/>
      </c>
      <c r="H54" s="483" t="str">
        <f ca="1">IFERROR(IF(OR($C$11="",$C$11=0),"",IF(OR($D$11=0,$D$11=""),IF(NOT(ISNUMBER(INDEX($F$7:$F$1000,ROWS($I$7:I54)*$C$11))),"",$B$5+SUM(OFFSET($F$7,0,0,ROWS($I$7:I54)*$C$11))),IF(NOT(ISNUMBER(INDEX($F$7:$F$1000,ROUNDUP(ROWS($I$7:I54)/2,0)*$C$11))),"",IF(MOD(ROWS($I$7:I54),2)=1,IF(ISNUMBER($B$5),$B$5+SUM(OFFSET($F$7,0,0,ROUNDUP(ROWS($I$7:I54)/2,0)*$C$11))-SUM(OFFSET($F$7,(ROUNDUP(ROWS($I$7:I54)/2,0)*$C$11)-$C$11,0,$C$11))+$D$11,""),$B$5+SUM(OFFSET($F$7,0,0,ROUNDUP(ROWS($I$7:I54)/2,0)*$C$11)))))),"")</f>
        <v/>
      </c>
      <c r="I54" s="484"/>
      <c r="J54" s="492" t="str">
        <f>IF(F102="","",F101+F102)</f>
        <v/>
      </c>
      <c r="K54" s="484"/>
      <c r="L54" s="493" t="str">
        <f t="shared" si="0"/>
        <v/>
      </c>
      <c r="M54" s="484"/>
      <c r="N54" s="484">
        <f>F52+F53+F54</f>
        <v>0</v>
      </c>
      <c r="O54" s="484">
        <f>N54/2</f>
        <v>0</v>
      </c>
      <c r="P54" s="487">
        <f>O78</f>
        <v>0</v>
      </c>
      <c r="Q54" s="484"/>
      <c r="R54" s="492" t="str">
        <f>IF(P54=0,"",ROUNDUP(P54,2))</f>
        <v/>
      </c>
      <c r="S54" s="484"/>
      <c r="T54" s="493" t="str">
        <f t="shared" si="1"/>
        <v/>
      </c>
      <c r="U54" s="479"/>
      <c r="X54" s="6"/>
      <c r="Y54" s="6"/>
      <c r="Z54" s="6"/>
      <c r="AA54" s="6"/>
      <c r="AB54" s="6"/>
      <c r="AC54" s="6"/>
      <c r="AD54" s="6"/>
      <c r="AE54" s="6"/>
    </row>
    <row r="55" spans="2:31" x14ac:dyDescent="0.3">
      <c r="B55" s="479"/>
      <c r="C55" s="479"/>
      <c r="D55" s="479"/>
      <c r="E55" s="479"/>
      <c r="F55" s="491"/>
      <c r="G55" s="482" t="str">
        <f t="shared" ca="1" si="2"/>
        <v/>
      </c>
      <c r="H55" s="483" t="str">
        <f ca="1">IFERROR(IF(OR($C$11="",$C$11=0),"",IF(OR($D$11=0,$D$11=""),IF(NOT(ISNUMBER(INDEX($F$7:$F$1000,ROWS($I$7:I55)*$C$11))),"",$B$5+SUM(OFFSET($F$7,0,0,ROWS($I$7:I55)*$C$11))),IF(NOT(ISNUMBER(INDEX($F$7:$F$1000,ROUNDUP(ROWS($I$7:I55)/2,0)*$C$11))),"",IF(MOD(ROWS($I$7:I55),2)=1,IF(ISNUMBER($B$5),$B$5+SUM(OFFSET($F$7,0,0,ROUNDUP(ROWS($I$7:I55)/2,0)*$C$11))-SUM(OFFSET($F$7,(ROUNDUP(ROWS($I$7:I55)/2,0)*$C$11)-$C$11,0,$C$11))+$D$11,""),$B$5+SUM(OFFSET($F$7,0,0,ROUNDUP(ROWS($I$7:I55)/2,0)*$C$11)))))),"")</f>
        <v/>
      </c>
      <c r="I55" s="484"/>
      <c r="J55" s="492" t="str">
        <f>IF(F104="","",F103+F104)</f>
        <v/>
      </c>
      <c r="K55" s="484"/>
      <c r="L55" s="493" t="str">
        <f t="shared" si="0"/>
        <v/>
      </c>
      <c r="M55" s="484"/>
      <c r="N55" s="484"/>
      <c r="O55" s="484"/>
      <c r="P55" s="487">
        <f>O80</f>
        <v>0</v>
      </c>
      <c r="Q55" s="484"/>
      <c r="R55" s="494" t="str">
        <f>IF(P55=0,"",ROUNDDOWN(P55,2))</f>
        <v/>
      </c>
      <c r="S55" s="484"/>
      <c r="T55" s="495" t="str">
        <f t="shared" si="1"/>
        <v/>
      </c>
      <c r="U55" s="479"/>
      <c r="X55" s="6"/>
      <c r="Y55" s="6"/>
      <c r="Z55" s="6"/>
      <c r="AA55" s="6"/>
      <c r="AB55" s="6"/>
      <c r="AC55" s="6"/>
      <c r="AD55" s="6"/>
      <c r="AE55" s="6"/>
    </row>
    <row r="56" spans="2:31" x14ac:dyDescent="0.3">
      <c r="B56" s="479"/>
      <c r="C56" s="479"/>
      <c r="D56" s="479"/>
      <c r="E56" s="479"/>
      <c r="F56" s="491"/>
      <c r="G56" s="482" t="str">
        <f t="shared" ca="1" si="2"/>
        <v/>
      </c>
      <c r="H56" s="483" t="str">
        <f ca="1">IFERROR(IF(OR($C$11="",$C$11=0),"",IF(OR($D$11=0,$D$11=""),IF(NOT(ISNUMBER(INDEX($F$7:$F$1000,ROWS($I$7:I56)*$C$11))),"",$B$5+SUM(OFFSET($F$7,0,0,ROWS($I$7:I56)*$C$11))),IF(NOT(ISNUMBER(INDEX($F$7:$F$1000,ROUNDUP(ROWS($I$7:I56)/2,0)*$C$11))),"",IF(MOD(ROWS($I$7:I56),2)=1,IF(ISNUMBER($B$5),$B$5+SUM(OFFSET($F$7,0,0,ROUNDUP(ROWS($I$7:I56)/2,0)*$C$11))-SUM(OFFSET($F$7,(ROUNDUP(ROWS($I$7:I56)/2,0)*$C$11)-$C$11,0,$C$11))+$D$11,""),$B$5+SUM(OFFSET($F$7,0,0,ROUNDUP(ROWS($I$7:I56)/2,0)*$C$11)))))),"")</f>
        <v/>
      </c>
      <c r="I56" s="484"/>
      <c r="J56" s="492" t="str">
        <f>IF(F106="","",F105+F106)</f>
        <v/>
      </c>
      <c r="K56" s="484"/>
      <c r="L56" s="493" t="str">
        <f t="shared" si="0"/>
        <v/>
      </c>
      <c r="M56" s="484"/>
      <c r="N56" s="484"/>
      <c r="O56" s="484">
        <f>N57/2</f>
        <v>0</v>
      </c>
      <c r="P56" s="487">
        <f>O81</f>
        <v>0</v>
      </c>
      <c r="Q56" s="484"/>
      <c r="R56" s="492" t="str">
        <f>IF(P56=0,"",ROUNDUP(P56,2))</f>
        <v/>
      </c>
      <c r="S56" s="484"/>
      <c r="T56" s="493" t="str">
        <f t="shared" si="1"/>
        <v/>
      </c>
      <c r="U56" s="479"/>
      <c r="X56" s="6"/>
      <c r="Y56" s="6"/>
      <c r="Z56" s="6"/>
      <c r="AA56" s="6"/>
      <c r="AB56" s="6"/>
      <c r="AC56" s="6"/>
      <c r="AD56" s="6"/>
      <c r="AE56" s="6"/>
    </row>
    <row r="57" spans="2:31" x14ac:dyDescent="0.3">
      <c r="B57" s="479"/>
      <c r="C57" s="479"/>
      <c r="D57" s="479"/>
      <c r="E57" s="479"/>
      <c r="F57" s="491"/>
      <c r="G57" s="482" t="str">
        <f t="shared" ca="1" si="2"/>
        <v/>
      </c>
      <c r="H57" s="483" t="str">
        <f ca="1">IFERROR(IF(OR($C$11="",$C$11=0),"",IF(OR($D$11=0,$D$11=""),IF(NOT(ISNUMBER(INDEX($F$7:$F$1000,ROWS($I$7:I57)*$C$11))),"",$B$5+SUM(OFFSET($F$7,0,0,ROWS($I$7:I57)*$C$11))),IF(NOT(ISNUMBER(INDEX($F$7:$F$1000,ROUNDUP(ROWS($I$7:I57)/2,0)*$C$11))),"",IF(MOD(ROWS($I$7:I57),2)=1,IF(ISNUMBER($B$5),$B$5+SUM(OFFSET($F$7,0,0,ROUNDUP(ROWS($I$7:I57)/2,0)*$C$11))-SUM(OFFSET($F$7,(ROUNDUP(ROWS($I$7:I57)/2,0)*$C$11)-$C$11,0,$C$11))+$D$11,""),$B$5+SUM(OFFSET($F$7,0,0,ROUNDUP(ROWS($I$7:I57)/2,0)*$C$11)))))),"")</f>
        <v/>
      </c>
      <c r="I57" s="484"/>
      <c r="J57" s="492" t="str">
        <f>IF(F108="","",F107+F108)</f>
        <v/>
      </c>
      <c r="K57" s="484"/>
      <c r="L57" s="493" t="str">
        <f t="shared" si="0"/>
        <v/>
      </c>
      <c r="M57" s="484"/>
      <c r="N57" s="484">
        <f>F55+F56+F57</f>
        <v>0</v>
      </c>
      <c r="O57" s="484">
        <f>N57/2</f>
        <v>0</v>
      </c>
      <c r="P57" s="487">
        <f>O83</f>
        <v>0</v>
      </c>
      <c r="Q57" s="484"/>
      <c r="R57" s="494" t="str">
        <f>IF(P57=0,"",ROUNDDOWN(P57,2))</f>
        <v/>
      </c>
      <c r="S57" s="484"/>
      <c r="T57" s="495" t="str">
        <f t="shared" si="1"/>
        <v/>
      </c>
      <c r="U57" s="479"/>
      <c r="X57" s="6"/>
      <c r="Y57" s="6"/>
      <c r="Z57" s="6"/>
      <c r="AA57" s="6"/>
      <c r="AB57" s="6"/>
      <c r="AC57" s="6"/>
      <c r="AD57" s="6"/>
      <c r="AE57" s="6"/>
    </row>
    <row r="58" spans="2:31" x14ac:dyDescent="0.3">
      <c r="B58" s="479"/>
      <c r="C58" s="479"/>
      <c r="D58" s="479"/>
      <c r="E58" s="479"/>
      <c r="F58" s="491"/>
      <c r="G58" s="482" t="str">
        <f t="shared" ca="1" si="2"/>
        <v/>
      </c>
      <c r="H58" s="483" t="str">
        <f ca="1">IFERROR(IF(OR($C$11="",$C$11=0),"",IF(OR($D$11=0,$D$11=""),IF(NOT(ISNUMBER(INDEX($F$7:$F$1000,ROWS($I$7:I58)*$C$11))),"",$B$5+SUM(OFFSET($F$7,0,0,ROWS($I$7:I58)*$C$11))),IF(NOT(ISNUMBER(INDEX($F$7:$F$1000,ROUNDUP(ROWS($I$7:I58)/2,0)*$C$11))),"",IF(MOD(ROWS($I$7:I58),2)=1,IF(ISNUMBER($B$5),$B$5+SUM(OFFSET($F$7,0,0,ROUNDUP(ROWS($I$7:I58)/2,0)*$C$11))-SUM(OFFSET($F$7,(ROUNDUP(ROWS($I$7:I58)/2,0)*$C$11)-$C$11,0,$C$11))+$D$11,""),$B$5+SUM(OFFSET($F$7,0,0,ROUNDUP(ROWS($I$7:I58)/2,0)*$C$11)))))),"")</f>
        <v/>
      </c>
      <c r="I58" s="484"/>
      <c r="J58" s="492" t="str">
        <f>IF(F110="","",F109+F110)</f>
        <v/>
      </c>
      <c r="K58" s="484"/>
      <c r="L58" s="493" t="str">
        <f t="shared" si="0"/>
        <v/>
      </c>
      <c r="M58" s="484"/>
      <c r="N58" s="484"/>
      <c r="O58" s="484"/>
      <c r="P58" s="487">
        <f>O84</f>
        <v>0</v>
      </c>
      <c r="Q58" s="484"/>
      <c r="R58" s="492" t="str">
        <f>IF(P58=0,"",ROUNDUP(P58,2))</f>
        <v/>
      </c>
      <c r="S58" s="484"/>
      <c r="T58" s="493" t="str">
        <f t="shared" si="1"/>
        <v/>
      </c>
      <c r="U58" s="479"/>
      <c r="X58" s="6"/>
      <c r="Y58" s="6"/>
      <c r="Z58" s="6"/>
      <c r="AA58" s="6"/>
      <c r="AB58" s="6"/>
      <c r="AC58" s="6"/>
      <c r="AD58" s="6"/>
      <c r="AE58" s="6"/>
    </row>
    <row r="59" spans="2:31" x14ac:dyDescent="0.3">
      <c r="B59" s="479"/>
      <c r="C59" s="479"/>
      <c r="D59" s="479"/>
      <c r="E59" s="479"/>
      <c r="F59" s="491"/>
      <c r="G59" s="482" t="str">
        <f t="shared" ca="1" si="2"/>
        <v/>
      </c>
      <c r="H59" s="483" t="str">
        <f ca="1">IFERROR(IF(OR($C$11="",$C$11=0),"",IF(OR($D$11=0,$D$11=""),IF(NOT(ISNUMBER(INDEX($F$7:$F$1000,ROWS($I$7:I59)*$C$11))),"",$B$5+SUM(OFFSET($F$7,0,0,ROWS($I$7:I59)*$C$11))),IF(NOT(ISNUMBER(INDEX($F$7:$F$1000,ROUNDUP(ROWS($I$7:I59)/2,0)*$C$11))),"",IF(MOD(ROWS($I$7:I59),2)=1,IF(ISNUMBER($B$5),$B$5+SUM(OFFSET($F$7,0,0,ROUNDUP(ROWS($I$7:I59)/2,0)*$C$11))-SUM(OFFSET($F$7,(ROUNDUP(ROWS($I$7:I59)/2,0)*$C$11)-$C$11,0,$C$11))+$D$11,""),$B$5+SUM(OFFSET($F$7,0,0,ROUNDUP(ROWS($I$7:I59)/2,0)*$C$11)))))),"")</f>
        <v/>
      </c>
      <c r="I59" s="484"/>
      <c r="J59" s="492" t="str">
        <f>IF(F112="","",F111+F112)</f>
        <v/>
      </c>
      <c r="K59" s="484"/>
      <c r="L59" s="493" t="str">
        <f t="shared" si="0"/>
        <v/>
      </c>
      <c r="M59" s="484"/>
      <c r="N59" s="484"/>
      <c r="O59" s="484">
        <f>N60/2</f>
        <v>0</v>
      </c>
      <c r="P59" s="487">
        <f>O86</f>
        <v>0</v>
      </c>
      <c r="Q59" s="484"/>
      <c r="R59" s="494" t="str">
        <f>IF(P59=0,"",ROUNDDOWN(P59,2))</f>
        <v/>
      </c>
      <c r="S59" s="484"/>
      <c r="T59" s="495" t="str">
        <f t="shared" si="1"/>
        <v/>
      </c>
      <c r="U59" s="479"/>
      <c r="X59" s="6"/>
      <c r="Y59" s="6"/>
      <c r="Z59" s="6"/>
      <c r="AA59" s="6"/>
      <c r="AB59" s="6"/>
      <c r="AC59" s="6"/>
      <c r="AD59" s="6"/>
      <c r="AE59" s="6"/>
    </row>
    <row r="60" spans="2:31" x14ac:dyDescent="0.3">
      <c r="B60" s="479"/>
      <c r="C60" s="479"/>
      <c r="D60" s="479"/>
      <c r="E60" s="479"/>
      <c r="F60" s="491"/>
      <c r="G60" s="482" t="str">
        <f t="shared" ca="1" si="2"/>
        <v/>
      </c>
      <c r="H60" s="483" t="str">
        <f ca="1">IFERROR(IF(OR($C$11="",$C$11=0),"",IF(OR($D$11=0,$D$11=""),IF(NOT(ISNUMBER(INDEX($F$7:$F$1000,ROWS($I$7:I60)*$C$11))),"",$B$5+SUM(OFFSET($F$7,0,0,ROWS($I$7:I60)*$C$11))),IF(NOT(ISNUMBER(INDEX($F$7:$F$1000,ROUNDUP(ROWS($I$7:I60)/2,0)*$C$11))),"",IF(MOD(ROWS($I$7:I60),2)=1,IF(ISNUMBER($B$5),$B$5+SUM(OFFSET($F$7,0,0,ROUNDUP(ROWS($I$7:I60)/2,0)*$C$11))-SUM(OFFSET($F$7,(ROUNDUP(ROWS($I$7:I60)/2,0)*$C$11)-$C$11,0,$C$11))+$D$11,""),$B$5+SUM(OFFSET($F$7,0,0,ROUNDUP(ROWS($I$7:I60)/2,0)*$C$11)))))),"")</f>
        <v/>
      </c>
      <c r="I60" s="484"/>
      <c r="J60" s="492" t="str">
        <f>IF(F114="","",F113+F114)</f>
        <v/>
      </c>
      <c r="K60" s="484"/>
      <c r="L60" s="493" t="str">
        <f t="shared" si="0"/>
        <v/>
      </c>
      <c r="M60" s="484"/>
      <c r="N60" s="484">
        <f>F58+F59+F60</f>
        <v>0</v>
      </c>
      <c r="O60" s="484">
        <f>N60/2</f>
        <v>0</v>
      </c>
      <c r="P60" s="487">
        <f>O87</f>
        <v>0</v>
      </c>
      <c r="Q60" s="484"/>
      <c r="R60" s="492" t="str">
        <f>IF(P60=0,"",ROUNDUP(P60,2))</f>
        <v/>
      </c>
      <c r="S60" s="484"/>
      <c r="T60" s="493" t="str">
        <f t="shared" si="1"/>
        <v/>
      </c>
      <c r="U60" s="479"/>
      <c r="X60" s="6"/>
      <c r="Y60" s="6"/>
      <c r="Z60" s="6"/>
      <c r="AA60" s="6"/>
      <c r="AB60" s="6"/>
      <c r="AC60" s="6"/>
      <c r="AD60" s="6"/>
      <c r="AE60" s="6"/>
    </row>
    <row r="61" spans="2:31" x14ac:dyDescent="0.3">
      <c r="B61" s="479"/>
      <c r="C61" s="479"/>
      <c r="D61" s="479"/>
      <c r="E61" s="479"/>
      <c r="F61" s="491"/>
      <c r="G61" s="482" t="str">
        <f t="shared" ca="1" si="2"/>
        <v/>
      </c>
      <c r="H61" s="483" t="str">
        <f ca="1">IFERROR(IF(OR($C$11="",$C$11=0),"",IF(OR($D$11=0,$D$11=""),IF(NOT(ISNUMBER(INDEX($F$7:$F$1000,ROWS($I$7:I61)*$C$11))),"",$B$5+SUM(OFFSET($F$7,0,0,ROWS($I$7:I61)*$C$11))),IF(NOT(ISNUMBER(INDEX($F$7:$F$1000,ROUNDUP(ROWS($I$7:I61)/2,0)*$C$11))),"",IF(MOD(ROWS($I$7:I61),2)=1,IF(ISNUMBER($B$5),$B$5+SUM(OFFSET($F$7,0,0,ROUNDUP(ROWS($I$7:I61)/2,0)*$C$11))-SUM(OFFSET($F$7,(ROUNDUP(ROWS($I$7:I61)/2,0)*$C$11)-$C$11,0,$C$11))+$D$11,""),$B$5+SUM(OFFSET($F$7,0,0,ROUNDUP(ROWS($I$7:I61)/2,0)*$C$11)))))),"")</f>
        <v/>
      </c>
      <c r="I61" s="484"/>
      <c r="J61" s="492" t="str">
        <f>IF(F116="","",F115+F116)</f>
        <v/>
      </c>
      <c r="K61" s="484"/>
      <c r="L61" s="493" t="str">
        <f t="shared" si="0"/>
        <v/>
      </c>
      <c r="M61" s="484"/>
      <c r="N61" s="484"/>
      <c r="O61" s="484"/>
      <c r="P61" s="487">
        <f>O89</f>
        <v>0</v>
      </c>
      <c r="Q61" s="484"/>
      <c r="R61" s="494" t="str">
        <f>IF(P61=0,"",ROUNDDOWN(P61,2))</f>
        <v/>
      </c>
      <c r="S61" s="484"/>
      <c r="T61" s="495" t="str">
        <f t="shared" si="1"/>
        <v/>
      </c>
      <c r="U61" s="479"/>
      <c r="X61" s="6"/>
      <c r="Y61" s="6"/>
      <c r="Z61" s="6"/>
      <c r="AA61" s="6"/>
      <c r="AB61" s="6"/>
      <c r="AC61" s="6"/>
      <c r="AD61" s="6"/>
      <c r="AE61" s="6"/>
    </row>
    <row r="62" spans="2:31" x14ac:dyDescent="0.3">
      <c r="B62" s="479"/>
      <c r="C62" s="479"/>
      <c r="D62" s="479"/>
      <c r="E62" s="479"/>
      <c r="F62" s="491"/>
      <c r="G62" s="482" t="str">
        <f t="shared" ca="1" si="2"/>
        <v/>
      </c>
      <c r="H62" s="483" t="str">
        <f ca="1">IFERROR(IF(OR($C$11="",$C$11=0),"",IF(OR($D$11=0,$D$11=""),IF(NOT(ISNUMBER(INDEX($F$7:$F$1000,ROWS($I$7:I62)*$C$11))),"",$B$5+SUM(OFFSET($F$7,0,0,ROWS($I$7:I62)*$C$11))),IF(NOT(ISNUMBER(INDEX($F$7:$F$1000,ROUNDUP(ROWS($I$7:I62)/2,0)*$C$11))),"",IF(MOD(ROWS($I$7:I62),2)=1,IF(ISNUMBER($B$5),$B$5+SUM(OFFSET($F$7,0,0,ROUNDUP(ROWS($I$7:I62)/2,0)*$C$11))-SUM(OFFSET($F$7,(ROUNDUP(ROWS($I$7:I62)/2,0)*$C$11)-$C$11,0,$C$11))+$D$11,""),$B$5+SUM(OFFSET($F$7,0,0,ROUNDUP(ROWS($I$7:I62)/2,0)*$C$11)))))),"")</f>
        <v/>
      </c>
      <c r="I62" s="484"/>
      <c r="J62" s="492" t="str">
        <f>IF(F118="","",F117+F118)</f>
        <v/>
      </c>
      <c r="K62" s="484"/>
      <c r="L62" s="493" t="str">
        <f t="shared" si="0"/>
        <v/>
      </c>
      <c r="M62" s="484"/>
      <c r="N62" s="484"/>
      <c r="O62" s="484">
        <f>N63/2</f>
        <v>0</v>
      </c>
      <c r="P62" s="487">
        <f>O90</f>
        <v>0</v>
      </c>
      <c r="Q62" s="484"/>
      <c r="R62" s="492" t="str">
        <f>IF(P62=0,"",ROUNDUP(P62,2))</f>
        <v/>
      </c>
      <c r="S62" s="484"/>
      <c r="T62" s="493" t="str">
        <f t="shared" si="1"/>
        <v/>
      </c>
      <c r="U62" s="479"/>
      <c r="X62" s="6"/>
      <c r="Y62" s="6"/>
      <c r="Z62" s="6"/>
      <c r="AA62" s="6"/>
      <c r="AB62" s="6"/>
      <c r="AC62" s="6"/>
      <c r="AD62" s="6"/>
      <c r="AE62" s="6"/>
    </row>
    <row r="63" spans="2:31" x14ac:dyDescent="0.3">
      <c r="B63" s="479"/>
      <c r="C63" s="479"/>
      <c r="D63" s="479"/>
      <c r="E63" s="479"/>
      <c r="F63" s="491"/>
      <c r="G63" s="482" t="str">
        <f t="shared" ca="1" si="2"/>
        <v/>
      </c>
      <c r="H63" s="483" t="str">
        <f ca="1">IFERROR(IF(OR($C$11="",$C$11=0),"",IF(OR($D$11=0,$D$11=""),IF(NOT(ISNUMBER(INDEX($F$7:$F$1000,ROWS($I$7:I63)*$C$11))),"",$B$5+SUM(OFFSET($F$7,0,0,ROWS($I$7:I63)*$C$11))),IF(NOT(ISNUMBER(INDEX($F$7:$F$1000,ROUNDUP(ROWS($I$7:I63)/2,0)*$C$11))),"",IF(MOD(ROWS($I$7:I63),2)=1,IF(ISNUMBER($B$5),$B$5+SUM(OFFSET($F$7,0,0,ROUNDUP(ROWS($I$7:I63)/2,0)*$C$11))-SUM(OFFSET($F$7,(ROUNDUP(ROWS($I$7:I63)/2,0)*$C$11)-$C$11,0,$C$11))+$D$11,""),$B$5+SUM(OFFSET($F$7,0,0,ROUNDUP(ROWS($I$7:I63)/2,0)*$C$11)))))),"")</f>
        <v/>
      </c>
      <c r="I63" s="484"/>
      <c r="J63" s="492" t="str">
        <f>IF(F120="","",F119+F120)</f>
        <v/>
      </c>
      <c r="K63" s="484"/>
      <c r="L63" s="493" t="str">
        <f t="shared" si="0"/>
        <v/>
      </c>
      <c r="M63" s="484"/>
      <c r="N63" s="484">
        <f>F61+F62+F63</f>
        <v>0</v>
      </c>
      <c r="O63" s="484">
        <f>N63/2</f>
        <v>0</v>
      </c>
      <c r="P63" s="487">
        <f>O92</f>
        <v>0</v>
      </c>
      <c r="Q63" s="484"/>
      <c r="R63" s="494" t="str">
        <f>IF(P63=0,"",ROUNDDOWN(P63,2))</f>
        <v/>
      </c>
      <c r="S63" s="484"/>
      <c r="T63" s="495" t="str">
        <f t="shared" si="1"/>
        <v/>
      </c>
      <c r="U63" s="479"/>
      <c r="X63" s="6"/>
      <c r="Y63" s="6"/>
      <c r="Z63" s="6"/>
      <c r="AA63" s="6"/>
      <c r="AB63" s="6"/>
      <c r="AC63" s="6"/>
      <c r="AD63" s="6"/>
      <c r="AE63" s="6"/>
    </row>
    <row r="64" spans="2:31" x14ac:dyDescent="0.3">
      <c r="B64" s="479"/>
      <c r="C64" s="479"/>
      <c r="D64" s="479"/>
      <c r="E64" s="479"/>
      <c r="F64" s="491"/>
      <c r="G64" s="482" t="str">
        <f t="shared" ca="1" si="2"/>
        <v/>
      </c>
      <c r="H64" s="483" t="str">
        <f ca="1">IFERROR(IF(OR($C$11="",$C$11=0),"",IF(OR($D$11=0,$D$11=""),IF(NOT(ISNUMBER(INDEX($F$7:$F$1000,ROWS($I$7:I64)*$C$11))),"",$B$5+SUM(OFFSET($F$7,0,0,ROWS($I$7:I64)*$C$11))),IF(NOT(ISNUMBER(INDEX($F$7:$F$1000,ROUNDUP(ROWS($I$7:I64)/2,0)*$C$11))),"",IF(MOD(ROWS($I$7:I64),2)=1,IF(ISNUMBER($B$5),$B$5+SUM(OFFSET($F$7,0,0,ROUNDUP(ROWS($I$7:I64)/2,0)*$C$11))-SUM(OFFSET($F$7,(ROUNDUP(ROWS($I$7:I64)/2,0)*$C$11)-$C$11,0,$C$11))+$D$11,""),$B$5+SUM(OFFSET($F$7,0,0,ROUNDUP(ROWS($I$7:I64)/2,0)*$C$11)))))),"")</f>
        <v/>
      </c>
      <c r="I64" s="484"/>
      <c r="J64" s="492" t="str">
        <f>IF(F122="","",F121+F122)</f>
        <v/>
      </c>
      <c r="K64" s="484"/>
      <c r="L64" s="493" t="str">
        <f t="shared" si="0"/>
        <v/>
      </c>
      <c r="M64" s="484"/>
      <c r="N64" s="479"/>
      <c r="O64" s="484"/>
      <c r="P64" s="487">
        <f>O93</f>
        <v>0</v>
      </c>
      <c r="Q64" s="484"/>
      <c r="R64" s="492" t="str">
        <f>IF(P64=0,"",ROUNDUP(P64,2))</f>
        <v/>
      </c>
      <c r="S64" s="484"/>
      <c r="T64" s="493" t="str">
        <f t="shared" si="1"/>
        <v/>
      </c>
      <c r="U64" s="479"/>
      <c r="X64" s="6"/>
      <c r="Y64" s="6"/>
      <c r="Z64" s="6"/>
      <c r="AA64" s="6"/>
      <c r="AB64" s="6"/>
      <c r="AC64" s="6"/>
      <c r="AD64" s="6"/>
      <c r="AE64" s="6"/>
    </row>
    <row r="65" spans="2:31" x14ac:dyDescent="0.3">
      <c r="B65" s="479"/>
      <c r="C65" s="479"/>
      <c r="D65" s="479"/>
      <c r="E65" s="479"/>
      <c r="F65" s="491"/>
      <c r="G65" s="482" t="str">
        <f t="shared" ca="1" si="2"/>
        <v/>
      </c>
      <c r="H65" s="483" t="str">
        <f ca="1">IFERROR(IF(OR($C$11="",$C$11=0),"",IF(OR($D$11=0,$D$11=""),IF(NOT(ISNUMBER(INDEX($F$7:$F$1000,ROWS($I$7:I65)*$C$11))),"",$B$5+SUM(OFFSET($F$7,0,0,ROWS($I$7:I65)*$C$11))),IF(NOT(ISNUMBER(INDEX($F$7:$F$1000,ROUNDUP(ROWS($I$7:I65)/2,0)*$C$11))),"",IF(MOD(ROWS($I$7:I65),2)=1,IF(ISNUMBER($B$5),$B$5+SUM(OFFSET($F$7,0,0,ROUNDUP(ROWS($I$7:I65)/2,0)*$C$11))-SUM(OFFSET($F$7,(ROUNDUP(ROWS($I$7:I65)/2,0)*$C$11)-$C$11,0,$C$11))+$D$11,""),$B$5+SUM(OFFSET($F$7,0,0,ROUNDUP(ROWS($I$7:I65)/2,0)*$C$11)))))),"")</f>
        <v/>
      </c>
      <c r="I65" s="484"/>
      <c r="J65" s="492" t="str">
        <f>IF(F124="","",F123+F124)</f>
        <v/>
      </c>
      <c r="K65" s="484"/>
      <c r="L65" s="493" t="str">
        <f t="shared" si="0"/>
        <v/>
      </c>
      <c r="M65" s="484"/>
      <c r="N65" s="479"/>
      <c r="O65" s="484">
        <f>N66/2</f>
        <v>0</v>
      </c>
      <c r="P65" s="487">
        <f>O95</f>
        <v>0</v>
      </c>
      <c r="Q65" s="484"/>
      <c r="R65" s="494" t="str">
        <f>IF(P65=0,"",ROUNDDOWN(P65,2))</f>
        <v/>
      </c>
      <c r="S65" s="484"/>
      <c r="T65" s="495" t="str">
        <f t="shared" si="1"/>
        <v/>
      </c>
      <c r="U65" s="479"/>
      <c r="X65" s="6"/>
      <c r="Y65" s="6"/>
      <c r="Z65" s="6"/>
      <c r="AA65" s="6"/>
      <c r="AB65" s="6"/>
      <c r="AC65" s="6"/>
      <c r="AD65" s="6"/>
      <c r="AE65" s="6"/>
    </row>
    <row r="66" spans="2:31" x14ac:dyDescent="0.3">
      <c r="B66" s="479"/>
      <c r="C66" s="479"/>
      <c r="D66" s="479"/>
      <c r="E66" s="479"/>
      <c r="F66" s="491"/>
      <c r="G66" s="482" t="str">
        <f t="shared" ca="1" si="2"/>
        <v/>
      </c>
      <c r="H66" s="483" t="str">
        <f ca="1">IFERROR(IF(OR($C$11="",$C$11=0),"",IF(OR($D$11=0,$D$11=""),IF(NOT(ISNUMBER(INDEX($F$7:$F$1000,ROWS($I$7:I66)*$C$11))),"",$B$5+SUM(OFFSET($F$7,0,0,ROWS($I$7:I66)*$C$11))),IF(NOT(ISNUMBER(INDEX($F$7:$F$1000,ROUNDUP(ROWS($I$7:I66)/2,0)*$C$11))),"",IF(MOD(ROWS($I$7:I66),2)=1,IF(ISNUMBER($B$5),$B$5+SUM(OFFSET($F$7,0,0,ROUNDUP(ROWS($I$7:I66)/2,0)*$C$11))-SUM(OFFSET($F$7,(ROUNDUP(ROWS($I$7:I66)/2,0)*$C$11)-$C$11,0,$C$11))+$D$11,""),$B$5+SUM(OFFSET($F$7,0,0,ROUNDUP(ROWS($I$7:I66)/2,0)*$C$11)))))),"")</f>
        <v/>
      </c>
      <c r="I66" s="484"/>
      <c r="J66" s="492" t="str">
        <f>IF(F126="","",F125+F126)</f>
        <v/>
      </c>
      <c r="K66" s="484"/>
      <c r="L66" s="493" t="str">
        <f t="shared" si="0"/>
        <v/>
      </c>
      <c r="M66" s="484"/>
      <c r="N66" s="484">
        <f>F64+F65+F66</f>
        <v>0</v>
      </c>
      <c r="O66" s="484">
        <f>N66/2</f>
        <v>0</v>
      </c>
      <c r="P66" s="487">
        <f>O96</f>
        <v>0</v>
      </c>
      <c r="Q66" s="484"/>
      <c r="R66" s="492" t="str">
        <f>IF(P66=0,"",ROUNDUP(P66,2))</f>
        <v/>
      </c>
      <c r="S66" s="484"/>
      <c r="T66" s="493" t="str">
        <f t="shared" si="1"/>
        <v/>
      </c>
      <c r="U66" s="479"/>
      <c r="X66" s="6"/>
      <c r="Y66" s="6"/>
      <c r="Z66" s="6"/>
      <c r="AA66" s="6"/>
      <c r="AB66" s="6"/>
      <c r="AC66" s="6"/>
      <c r="AD66" s="6"/>
      <c r="AE66" s="6"/>
    </row>
    <row r="67" spans="2:31" x14ac:dyDescent="0.3">
      <c r="B67" s="479"/>
      <c r="C67" s="479"/>
      <c r="D67" s="479"/>
      <c r="E67" s="479"/>
      <c r="F67" s="491"/>
      <c r="G67" s="482" t="str">
        <f t="shared" ca="1" si="2"/>
        <v/>
      </c>
      <c r="H67" s="483" t="str">
        <f ca="1">IFERROR(IF(OR($C$11="",$C$11=0),"",IF(OR($D$11=0,$D$11=""),IF(NOT(ISNUMBER(INDEX($F$7:$F$1000,ROWS($I$7:I67)*$C$11))),"",$B$5+SUM(OFFSET($F$7,0,0,ROWS($I$7:I67)*$C$11))),IF(NOT(ISNUMBER(INDEX($F$7:$F$1000,ROUNDUP(ROWS($I$7:I67)/2,0)*$C$11))),"",IF(MOD(ROWS($I$7:I67),2)=1,IF(ISNUMBER($B$5),$B$5+SUM(OFFSET($F$7,0,0,ROUNDUP(ROWS($I$7:I67)/2,0)*$C$11))-SUM(OFFSET($F$7,(ROUNDUP(ROWS($I$7:I67)/2,0)*$C$11)-$C$11,0,$C$11))+$D$11,""),$B$5+SUM(OFFSET($F$7,0,0,ROUNDUP(ROWS($I$7:I67)/2,0)*$C$11)))))),"")</f>
        <v/>
      </c>
      <c r="I67" s="484"/>
      <c r="J67" s="492" t="str">
        <f>IF(F128="","",F127+F128)</f>
        <v/>
      </c>
      <c r="K67" s="484"/>
      <c r="L67" s="493" t="str">
        <f t="shared" si="0"/>
        <v/>
      </c>
      <c r="M67" s="484"/>
      <c r="N67" s="479"/>
      <c r="O67" s="484"/>
      <c r="P67" s="487">
        <f>O98</f>
        <v>0</v>
      </c>
      <c r="Q67" s="484"/>
      <c r="R67" s="494" t="str">
        <f>IF(P67=0,"",ROUNDDOWN(P67,2))</f>
        <v/>
      </c>
      <c r="S67" s="484"/>
      <c r="T67" s="495" t="str">
        <f t="shared" si="1"/>
        <v/>
      </c>
      <c r="U67" s="479"/>
      <c r="X67" s="6"/>
      <c r="Y67" s="6"/>
      <c r="Z67" s="6"/>
      <c r="AA67" s="6"/>
      <c r="AB67" s="6"/>
      <c r="AC67" s="6"/>
      <c r="AD67" s="6"/>
      <c r="AE67" s="6"/>
    </row>
    <row r="68" spans="2:31" x14ac:dyDescent="0.3">
      <c r="B68" s="479"/>
      <c r="C68" s="479"/>
      <c r="D68" s="479"/>
      <c r="E68" s="479"/>
      <c r="F68" s="491"/>
      <c r="G68" s="482" t="str">
        <f t="shared" ca="1" si="2"/>
        <v/>
      </c>
      <c r="H68" s="483" t="str">
        <f ca="1">IFERROR(IF(OR($C$11="",$C$11=0),"",IF(OR($D$11=0,$D$11=""),IF(NOT(ISNUMBER(INDEX($F$7:$F$1000,ROWS($I$7:I68)*$C$11))),"",$B$5+SUM(OFFSET($F$7,0,0,ROWS($I$7:I68)*$C$11))),IF(NOT(ISNUMBER(INDEX($F$7:$F$1000,ROUNDUP(ROWS($I$7:I68)/2,0)*$C$11))),"",IF(MOD(ROWS($I$7:I68),2)=1,IF(ISNUMBER($B$5),$B$5+SUM(OFFSET($F$7,0,0,ROUNDUP(ROWS($I$7:I68)/2,0)*$C$11))-SUM(OFFSET($F$7,(ROUNDUP(ROWS($I$7:I68)/2,0)*$C$11)-$C$11,0,$C$11))+$D$11,""),$B$5+SUM(OFFSET($F$7,0,0,ROUNDUP(ROWS($I$7:I68)/2,0)*$C$11)))))),"")</f>
        <v/>
      </c>
      <c r="I68" s="484"/>
      <c r="J68" s="492" t="str">
        <f>IF(F130="","",F129+F130)</f>
        <v/>
      </c>
      <c r="K68" s="484"/>
      <c r="L68" s="493" t="str">
        <f t="shared" si="0"/>
        <v/>
      </c>
      <c r="M68" s="484"/>
      <c r="N68" s="479"/>
      <c r="O68" s="484">
        <f>N69/2</f>
        <v>0</v>
      </c>
      <c r="P68" s="487">
        <f>O99</f>
        <v>0</v>
      </c>
      <c r="Q68" s="484"/>
      <c r="R68" s="492" t="str">
        <f>IF(P68=0,"",ROUNDUP(P68,2))</f>
        <v/>
      </c>
      <c r="S68" s="484"/>
      <c r="T68" s="493" t="str">
        <f t="shared" si="1"/>
        <v/>
      </c>
      <c r="U68" s="479"/>
      <c r="X68" s="6"/>
      <c r="Y68" s="6"/>
      <c r="Z68" s="6"/>
      <c r="AA68" s="6"/>
      <c r="AB68" s="6"/>
      <c r="AC68" s="6"/>
      <c r="AD68" s="6"/>
      <c r="AE68" s="6"/>
    </row>
    <row r="69" spans="2:31" x14ac:dyDescent="0.3">
      <c r="B69" s="479"/>
      <c r="C69" s="479"/>
      <c r="D69" s="479"/>
      <c r="E69" s="479"/>
      <c r="F69" s="491"/>
      <c r="G69" s="482" t="str">
        <f t="shared" ca="1" si="2"/>
        <v/>
      </c>
      <c r="H69" s="483" t="str">
        <f ca="1">IFERROR(IF(OR($C$11="",$C$11=0),"",IF(OR($D$11=0,$D$11=""),IF(NOT(ISNUMBER(INDEX($F$7:$F$1000,ROWS($I$7:I69)*$C$11))),"",$B$5+SUM(OFFSET($F$7,0,0,ROWS($I$7:I69)*$C$11))),IF(NOT(ISNUMBER(INDEX($F$7:$F$1000,ROUNDUP(ROWS($I$7:I69)/2,0)*$C$11))),"",IF(MOD(ROWS($I$7:I69),2)=1,IF(ISNUMBER($B$5),$B$5+SUM(OFFSET($F$7,0,0,ROUNDUP(ROWS($I$7:I69)/2,0)*$C$11))-SUM(OFFSET($F$7,(ROUNDUP(ROWS($I$7:I69)/2,0)*$C$11)-$C$11,0,$C$11))+$D$11,""),$B$5+SUM(OFFSET($F$7,0,0,ROUNDUP(ROWS($I$7:I69)/2,0)*$C$11)))))),"")</f>
        <v/>
      </c>
      <c r="I69" s="484"/>
      <c r="J69" s="492" t="str">
        <f>IF(F132="","",F131+F132)</f>
        <v/>
      </c>
      <c r="K69" s="484"/>
      <c r="L69" s="493" t="str">
        <f t="shared" si="0"/>
        <v/>
      </c>
      <c r="M69" s="484"/>
      <c r="N69" s="484">
        <f>F67+F68+F69</f>
        <v>0</v>
      </c>
      <c r="O69" s="484">
        <f>N69/2</f>
        <v>0</v>
      </c>
      <c r="P69" s="487">
        <f>O101</f>
        <v>0</v>
      </c>
      <c r="Q69" s="484"/>
      <c r="R69" s="494" t="str">
        <f>IF(P69=0,"",ROUNDDOWN(P69,2))</f>
        <v/>
      </c>
      <c r="S69" s="484"/>
      <c r="T69" s="495" t="str">
        <f t="shared" si="1"/>
        <v/>
      </c>
      <c r="U69" s="479"/>
      <c r="X69" s="6"/>
      <c r="Y69" s="6"/>
      <c r="Z69" s="6"/>
      <c r="AA69" s="6"/>
      <c r="AB69" s="6"/>
      <c r="AC69" s="6"/>
      <c r="AD69" s="6"/>
      <c r="AE69" s="6"/>
    </row>
    <row r="70" spans="2:31" x14ac:dyDescent="0.3">
      <c r="B70" s="479"/>
      <c r="C70" s="479"/>
      <c r="D70" s="479"/>
      <c r="E70" s="479"/>
      <c r="F70" s="491"/>
      <c r="G70" s="482" t="str">
        <f t="shared" ca="1" si="2"/>
        <v/>
      </c>
      <c r="H70" s="483" t="str">
        <f ca="1">IFERROR(IF(OR($C$11="",$C$11=0),"",IF(OR($D$11=0,$D$11=""),IF(NOT(ISNUMBER(INDEX($F$7:$F$1000,ROWS($I$7:I70)*$C$11))),"",$B$5+SUM(OFFSET($F$7,0,0,ROWS($I$7:I70)*$C$11))),IF(NOT(ISNUMBER(INDEX($F$7:$F$1000,ROUNDUP(ROWS($I$7:I70)/2,0)*$C$11))),"",IF(MOD(ROWS($I$7:I70),2)=1,IF(ISNUMBER($B$5),$B$5+SUM(OFFSET($F$7,0,0,ROUNDUP(ROWS($I$7:I70)/2,0)*$C$11))-SUM(OFFSET($F$7,(ROUNDUP(ROWS($I$7:I70)/2,0)*$C$11)-$C$11,0,$C$11))+$D$11,""),$B$5+SUM(OFFSET($F$7,0,0,ROUNDUP(ROWS($I$7:I70)/2,0)*$C$11)))))),"")</f>
        <v/>
      </c>
      <c r="I70" s="484"/>
      <c r="J70" s="492" t="str">
        <f>IF(F134="","",F133+F134)</f>
        <v/>
      </c>
      <c r="K70" s="484"/>
      <c r="L70" s="493" t="str">
        <f t="shared" si="0"/>
        <v/>
      </c>
      <c r="M70" s="484"/>
      <c r="N70" s="479"/>
      <c r="O70" s="484"/>
      <c r="P70" s="487">
        <f>O102</f>
        <v>0</v>
      </c>
      <c r="Q70" s="484"/>
      <c r="R70" s="492" t="str">
        <f>IF(P70=0,"",ROUNDUP(P70,2))</f>
        <v/>
      </c>
      <c r="S70" s="484"/>
      <c r="T70" s="493" t="str">
        <f t="shared" si="1"/>
        <v/>
      </c>
      <c r="U70" s="479"/>
      <c r="X70" s="6"/>
      <c r="Y70" s="6"/>
      <c r="Z70" s="6"/>
      <c r="AA70" s="6"/>
      <c r="AB70" s="6"/>
      <c r="AC70" s="6"/>
      <c r="AD70" s="6"/>
      <c r="AE70" s="6"/>
    </row>
    <row r="71" spans="2:31" x14ac:dyDescent="0.3">
      <c r="B71" s="479"/>
      <c r="C71" s="479"/>
      <c r="D71" s="479"/>
      <c r="E71" s="479"/>
      <c r="F71" s="491"/>
      <c r="G71" s="482" t="str">
        <f t="shared" ca="1" si="2"/>
        <v/>
      </c>
      <c r="H71" s="483" t="str">
        <f ca="1">IFERROR(IF(OR($C$11="",$C$11=0),"",IF(OR($D$11=0,$D$11=""),IF(NOT(ISNUMBER(INDEX($F$7:$F$1000,ROWS($I$7:I71)*$C$11))),"",$B$5+SUM(OFFSET($F$7,0,0,ROWS($I$7:I71)*$C$11))),IF(NOT(ISNUMBER(INDEX($F$7:$F$1000,ROUNDUP(ROWS($I$7:I71)/2,0)*$C$11))),"",IF(MOD(ROWS($I$7:I71),2)=1,IF(ISNUMBER($B$5),$B$5+SUM(OFFSET($F$7,0,0,ROUNDUP(ROWS($I$7:I71)/2,0)*$C$11))-SUM(OFFSET($F$7,(ROUNDUP(ROWS($I$7:I71)/2,0)*$C$11)-$C$11,0,$C$11))+$D$11,""),$B$5+SUM(OFFSET($F$7,0,0,ROUNDUP(ROWS($I$7:I71)/2,0)*$C$11)))))),"")</f>
        <v/>
      </c>
      <c r="I71" s="484"/>
      <c r="J71" s="492" t="str">
        <f>IF(F136="","",F135+F136)</f>
        <v/>
      </c>
      <c r="K71" s="484"/>
      <c r="L71" s="493" t="str">
        <f t="shared" si="0"/>
        <v/>
      </c>
      <c r="M71" s="484"/>
      <c r="N71" s="479"/>
      <c r="O71" s="484">
        <f>N72/2</f>
        <v>0</v>
      </c>
      <c r="P71" s="487">
        <f>O104</f>
        <v>0</v>
      </c>
      <c r="Q71" s="484"/>
      <c r="R71" s="494" t="str">
        <f>IF(P71=0,"",ROUNDDOWN(P71,2))</f>
        <v/>
      </c>
      <c r="S71" s="484"/>
      <c r="T71" s="495" t="str">
        <f t="shared" si="1"/>
        <v/>
      </c>
      <c r="U71" s="479"/>
      <c r="X71" s="6"/>
      <c r="Y71" s="6"/>
      <c r="Z71" s="6"/>
      <c r="AA71" s="6"/>
      <c r="AB71" s="6"/>
      <c r="AC71" s="6"/>
      <c r="AD71" s="6"/>
      <c r="AE71" s="6"/>
    </row>
    <row r="72" spans="2:31" x14ac:dyDescent="0.3">
      <c r="B72" s="479"/>
      <c r="C72" s="479"/>
      <c r="D72" s="479"/>
      <c r="E72" s="479"/>
      <c r="F72" s="491"/>
      <c r="G72" s="482" t="str">
        <f t="shared" ca="1" si="2"/>
        <v/>
      </c>
      <c r="H72" s="483" t="str">
        <f ca="1">IFERROR(IF(OR($C$11="",$C$11=0),"",IF(OR($D$11=0,$D$11=""),IF(NOT(ISNUMBER(INDEX($F$7:$F$1000,ROWS($I$7:I72)*$C$11))),"",$B$5+SUM(OFFSET($F$7,0,0,ROWS($I$7:I72)*$C$11))),IF(NOT(ISNUMBER(INDEX($F$7:$F$1000,ROUNDUP(ROWS($I$7:I72)/2,0)*$C$11))),"",IF(MOD(ROWS($I$7:I72),2)=1,IF(ISNUMBER($B$5),$B$5+SUM(OFFSET($F$7,0,0,ROUNDUP(ROWS($I$7:I72)/2,0)*$C$11))-SUM(OFFSET($F$7,(ROUNDUP(ROWS($I$7:I72)/2,0)*$C$11)-$C$11,0,$C$11))+$D$11,""),$B$5+SUM(OFFSET($F$7,0,0,ROUNDUP(ROWS($I$7:I72)/2,0)*$C$11)))))),"")</f>
        <v/>
      </c>
      <c r="I72" s="484"/>
      <c r="J72" s="492" t="str">
        <f>IF(F138="","",F137+F138)</f>
        <v/>
      </c>
      <c r="K72" s="484"/>
      <c r="L72" s="493" t="str">
        <f t="shared" si="0"/>
        <v/>
      </c>
      <c r="M72" s="484"/>
      <c r="N72" s="484">
        <f>F70+F71+F72</f>
        <v>0</v>
      </c>
      <c r="O72" s="484">
        <f>N72/2</f>
        <v>0</v>
      </c>
      <c r="P72" s="487">
        <f>O105</f>
        <v>0</v>
      </c>
      <c r="Q72" s="484"/>
      <c r="R72" s="492" t="str">
        <f>IF(P72=0,"",ROUNDUP(P72,2))</f>
        <v/>
      </c>
      <c r="S72" s="484"/>
      <c r="T72" s="493" t="str">
        <f t="shared" si="1"/>
        <v/>
      </c>
      <c r="U72" s="479"/>
      <c r="X72" s="6"/>
      <c r="Y72" s="6"/>
      <c r="Z72" s="6"/>
      <c r="AA72" s="6"/>
      <c r="AB72" s="6"/>
      <c r="AC72" s="6"/>
      <c r="AD72" s="6"/>
      <c r="AE72" s="6"/>
    </row>
    <row r="73" spans="2:31" x14ac:dyDescent="0.3">
      <c r="B73" s="479"/>
      <c r="C73" s="479"/>
      <c r="D73" s="479"/>
      <c r="E73" s="479"/>
      <c r="F73" s="491"/>
      <c r="G73" s="482" t="str">
        <f t="shared" ca="1" si="2"/>
        <v/>
      </c>
      <c r="H73" s="483" t="str">
        <f ca="1">IFERROR(IF(OR($C$11="",$C$11=0),"",IF(OR($D$11=0,$D$11=""),IF(NOT(ISNUMBER(INDEX($F$7:$F$1000,ROWS($I$7:I73)*$C$11))),"",$B$5+SUM(OFFSET($F$7,0,0,ROWS($I$7:I73)*$C$11))),IF(NOT(ISNUMBER(INDEX($F$7:$F$1000,ROUNDUP(ROWS($I$7:I73)/2,0)*$C$11))),"",IF(MOD(ROWS($I$7:I73),2)=1,IF(ISNUMBER($B$5),$B$5+SUM(OFFSET($F$7,0,0,ROUNDUP(ROWS($I$7:I73)/2,0)*$C$11))-SUM(OFFSET($F$7,(ROUNDUP(ROWS($I$7:I73)/2,0)*$C$11)-$C$11,0,$C$11))+$D$11,""),$B$5+SUM(OFFSET($F$7,0,0,ROUNDUP(ROWS($I$7:I73)/2,0)*$C$11)))))),"")</f>
        <v/>
      </c>
      <c r="I73" s="484"/>
      <c r="J73" s="492" t="str">
        <f>IF(F140="","",F139+F140)</f>
        <v/>
      </c>
      <c r="K73" s="484"/>
      <c r="L73" s="493" t="str">
        <f t="shared" ref="L73:L136" si="3">IF(J73="","",J73+L72)</f>
        <v/>
      </c>
      <c r="M73" s="484"/>
      <c r="N73" s="479"/>
      <c r="O73" s="484"/>
      <c r="P73" s="487">
        <f>O107</f>
        <v>0</v>
      </c>
      <c r="Q73" s="484"/>
      <c r="R73" s="494" t="str">
        <f>IF(P73=0,"",ROUNDDOWN(P73,2))</f>
        <v/>
      </c>
      <c r="S73" s="484"/>
      <c r="T73" s="495" t="str">
        <f t="shared" si="1"/>
        <v/>
      </c>
      <c r="U73" s="479"/>
      <c r="X73" s="6"/>
      <c r="Y73" s="6"/>
      <c r="Z73" s="6"/>
      <c r="AA73" s="6"/>
      <c r="AB73" s="6"/>
      <c r="AC73" s="6"/>
      <c r="AD73" s="6"/>
      <c r="AE73" s="6"/>
    </row>
    <row r="74" spans="2:31" x14ac:dyDescent="0.3">
      <c r="B74" s="479"/>
      <c r="C74" s="479"/>
      <c r="D74" s="479"/>
      <c r="E74" s="479"/>
      <c r="F74" s="491"/>
      <c r="G74" s="482" t="str">
        <f t="shared" ca="1" si="2"/>
        <v/>
      </c>
      <c r="H74" s="483" t="str">
        <f ca="1">IFERROR(IF(OR($C$11="",$C$11=0),"",IF(OR($D$11=0,$D$11=""),IF(NOT(ISNUMBER(INDEX($F$7:$F$1000,ROWS($I$7:I74)*$C$11))),"",$B$5+SUM(OFFSET($F$7,0,0,ROWS($I$7:I74)*$C$11))),IF(NOT(ISNUMBER(INDEX($F$7:$F$1000,ROUNDUP(ROWS($I$7:I74)/2,0)*$C$11))),"",IF(MOD(ROWS($I$7:I74),2)=1,IF(ISNUMBER($B$5),$B$5+SUM(OFFSET($F$7,0,0,ROUNDUP(ROWS($I$7:I74)/2,0)*$C$11))-SUM(OFFSET($F$7,(ROUNDUP(ROWS($I$7:I74)/2,0)*$C$11)-$C$11,0,$C$11))+$D$11,""),$B$5+SUM(OFFSET($F$7,0,0,ROUNDUP(ROWS($I$7:I74)/2,0)*$C$11)))))),"")</f>
        <v/>
      </c>
      <c r="I74" s="484"/>
      <c r="J74" s="492" t="str">
        <f>IF(F142="","",F141+F142)</f>
        <v/>
      </c>
      <c r="K74" s="484"/>
      <c r="L74" s="493" t="str">
        <f t="shared" si="3"/>
        <v/>
      </c>
      <c r="M74" s="484"/>
      <c r="N74" s="479"/>
      <c r="O74" s="484">
        <f>N75/2</f>
        <v>0</v>
      </c>
      <c r="P74" s="487">
        <f>O108</f>
        <v>0</v>
      </c>
      <c r="Q74" s="484"/>
      <c r="R74" s="492" t="str">
        <f>IF(P74=0,"",ROUNDUP(P74,2))</f>
        <v/>
      </c>
      <c r="S74" s="484"/>
      <c r="T74" s="493" t="str">
        <f t="shared" si="1"/>
        <v/>
      </c>
      <c r="U74" s="479"/>
      <c r="X74" s="6"/>
      <c r="Y74" s="6"/>
      <c r="Z74" s="6"/>
      <c r="AA74" s="6"/>
      <c r="AB74" s="6"/>
      <c r="AC74" s="6"/>
      <c r="AD74" s="6"/>
      <c r="AE74" s="6"/>
    </row>
    <row r="75" spans="2:31" x14ac:dyDescent="0.3">
      <c r="B75" s="479"/>
      <c r="C75" s="479"/>
      <c r="D75" s="479"/>
      <c r="E75" s="479"/>
      <c r="F75" s="491"/>
      <c r="G75" s="482" t="str">
        <f t="shared" ca="1" si="2"/>
        <v/>
      </c>
      <c r="H75" s="483" t="str">
        <f ca="1">IFERROR(IF(OR($C$11="",$C$11=0),"",IF(OR($D$11=0,$D$11=""),IF(NOT(ISNUMBER(INDEX($F$7:$F$1000,ROWS($I$7:I75)*$C$11))),"",$B$5+SUM(OFFSET($F$7,0,0,ROWS($I$7:I75)*$C$11))),IF(NOT(ISNUMBER(INDEX($F$7:$F$1000,ROUNDUP(ROWS($I$7:I75)/2,0)*$C$11))),"",IF(MOD(ROWS($I$7:I75),2)=1,IF(ISNUMBER($B$5),$B$5+SUM(OFFSET($F$7,0,0,ROUNDUP(ROWS($I$7:I75)/2,0)*$C$11))-SUM(OFFSET($F$7,(ROUNDUP(ROWS($I$7:I75)/2,0)*$C$11)-$C$11,0,$C$11))+$D$11,""),$B$5+SUM(OFFSET($F$7,0,0,ROUNDUP(ROWS($I$7:I75)/2,0)*$C$11)))))),"")</f>
        <v/>
      </c>
      <c r="I75" s="484"/>
      <c r="J75" s="492" t="str">
        <f>IF(F144="","",F143+F144)</f>
        <v/>
      </c>
      <c r="K75" s="484"/>
      <c r="L75" s="493" t="str">
        <f t="shared" si="3"/>
        <v/>
      </c>
      <c r="M75" s="484"/>
      <c r="N75" s="484">
        <f>F73+F74+F75</f>
        <v>0</v>
      </c>
      <c r="O75" s="484">
        <f>N75/2</f>
        <v>0</v>
      </c>
      <c r="P75" s="487">
        <f>O110</f>
        <v>0</v>
      </c>
      <c r="Q75" s="484"/>
      <c r="R75" s="494" t="str">
        <f>IF(P75=0,"",ROUNDDOWN(P75,2))</f>
        <v/>
      </c>
      <c r="S75" s="484"/>
      <c r="T75" s="495" t="str">
        <f t="shared" ref="T75:T138" si="4">IF(R75="","",T74+R75)</f>
        <v/>
      </c>
      <c r="U75" s="479"/>
      <c r="X75" s="6"/>
      <c r="Y75" s="6"/>
      <c r="Z75" s="6"/>
      <c r="AA75" s="6"/>
      <c r="AB75" s="6"/>
      <c r="AC75" s="6"/>
      <c r="AD75" s="6"/>
      <c r="AE75" s="6"/>
    </row>
    <row r="76" spans="2:31" x14ac:dyDescent="0.3">
      <c r="B76" s="479"/>
      <c r="C76" s="479"/>
      <c r="D76" s="479"/>
      <c r="E76" s="479"/>
      <c r="F76" s="491"/>
      <c r="G76" s="482" t="str">
        <f t="shared" ca="1" si="2"/>
        <v/>
      </c>
      <c r="H76" s="483" t="str">
        <f ca="1">IFERROR(IF(OR($C$11="",$C$11=0),"",IF(OR($D$11=0,$D$11=""),IF(NOT(ISNUMBER(INDEX($F$7:$F$1000,ROWS($I$7:I76)*$C$11))),"",$B$5+SUM(OFFSET($F$7,0,0,ROWS($I$7:I76)*$C$11))),IF(NOT(ISNUMBER(INDEX($F$7:$F$1000,ROUNDUP(ROWS($I$7:I76)/2,0)*$C$11))),"",IF(MOD(ROWS($I$7:I76),2)=1,IF(ISNUMBER($B$5),$B$5+SUM(OFFSET($F$7,0,0,ROUNDUP(ROWS($I$7:I76)/2,0)*$C$11))-SUM(OFFSET($F$7,(ROUNDUP(ROWS($I$7:I76)/2,0)*$C$11)-$C$11,0,$C$11))+$D$11,""),$B$5+SUM(OFFSET($F$7,0,0,ROUNDUP(ROWS($I$7:I76)/2,0)*$C$11)))))),"")</f>
        <v/>
      </c>
      <c r="I76" s="484"/>
      <c r="J76" s="492" t="str">
        <f>IF(F146="","",F145+F146)</f>
        <v/>
      </c>
      <c r="K76" s="484"/>
      <c r="L76" s="493" t="str">
        <f t="shared" si="3"/>
        <v/>
      </c>
      <c r="M76" s="484"/>
      <c r="N76" s="479"/>
      <c r="O76" s="484"/>
      <c r="P76" s="487">
        <f>O111</f>
        <v>0</v>
      </c>
      <c r="Q76" s="484"/>
      <c r="R76" s="492" t="str">
        <f>IF(P76=0,"",ROUNDUP(P76,2))</f>
        <v/>
      </c>
      <c r="S76" s="484"/>
      <c r="T76" s="493" t="str">
        <f t="shared" si="4"/>
        <v/>
      </c>
      <c r="U76" s="479"/>
      <c r="X76" s="6"/>
      <c r="Y76" s="6"/>
      <c r="Z76" s="6"/>
      <c r="AA76" s="6"/>
      <c r="AB76" s="6"/>
      <c r="AC76" s="6"/>
      <c r="AD76" s="6"/>
      <c r="AE76" s="6"/>
    </row>
    <row r="77" spans="2:31" x14ac:dyDescent="0.3">
      <c r="B77" s="479"/>
      <c r="C77" s="479"/>
      <c r="D77" s="479"/>
      <c r="E77" s="479"/>
      <c r="F77" s="491"/>
      <c r="G77" s="482" t="str">
        <f t="shared" ca="1" si="2"/>
        <v/>
      </c>
      <c r="H77" s="483" t="str">
        <f ca="1">IFERROR(IF(OR($C$11="",$C$11=0),"",IF(OR($D$11=0,$D$11=""),IF(NOT(ISNUMBER(INDEX($F$7:$F$1000,ROWS($I$7:I77)*$C$11))),"",$B$5+SUM(OFFSET($F$7,0,0,ROWS($I$7:I77)*$C$11))),IF(NOT(ISNUMBER(INDEX($F$7:$F$1000,ROUNDUP(ROWS($I$7:I77)/2,0)*$C$11))),"",IF(MOD(ROWS($I$7:I77),2)=1,IF(ISNUMBER($B$5),$B$5+SUM(OFFSET($F$7,0,0,ROUNDUP(ROWS($I$7:I77)/2,0)*$C$11))-SUM(OFFSET($F$7,(ROUNDUP(ROWS($I$7:I77)/2,0)*$C$11)-$C$11,0,$C$11))+$D$11,""),$B$5+SUM(OFFSET($F$7,0,0,ROUNDUP(ROWS($I$7:I77)/2,0)*$C$11)))))),"")</f>
        <v/>
      </c>
      <c r="I77" s="484"/>
      <c r="J77" s="492" t="str">
        <f>IF(F148="","",F147+F148)</f>
        <v/>
      </c>
      <c r="K77" s="484"/>
      <c r="L77" s="493" t="str">
        <f t="shared" si="3"/>
        <v/>
      </c>
      <c r="M77" s="484"/>
      <c r="N77" s="479"/>
      <c r="O77" s="484">
        <f>N78/2</f>
        <v>0</v>
      </c>
      <c r="P77" s="487">
        <f>O113</f>
        <v>0</v>
      </c>
      <c r="Q77" s="484"/>
      <c r="R77" s="494" t="str">
        <f>IF(P77=0,"",ROUNDDOWN(P77,2))</f>
        <v/>
      </c>
      <c r="S77" s="484"/>
      <c r="T77" s="495" t="str">
        <f t="shared" si="4"/>
        <v/>
      </c>
      <c r="U77" s="479"/>
      <c r="X77" s="6"/>
      <c r="Y77" s="6"/>
      <c r="Z77" s="6"/>
      <c r="AA77" s="6"/>
      <c r="AB77" s="6"/>
      <c r="AC77" s="6"/>
      <c r="AD77" s="6"/>
      <c r="AE77" s="6"/>
    </row>
    <row r="78" spans="2:31" x14ac:dyDescent="0.3">
      <c r="B78" s="479"/>
      <c r="C78" s="479"/>
      <c r="D78" s="479"/>
      <c r="E78" s="479"/>
      <c r="F78" s="491"/>
      <c r="G78" s="482" t="str">
        <f t="shared" ca="1" si="2"/>
        <v/>
      </c>
      <c r="H78" s="483" t="str">
        <f ca="1">IFERROR(IF(OR($C$11="",$C$11=0),"",IF(OR($D$11=0,$D$11=""),IF(NOT(ISNUMBER(INDEX($F$7:$F$1000,ROWS($I$7:I78)*$C$11))),"",$B$5+SUM(OFFSET($F$7,0,0,ROWS($I$7:I78)*$C$11))),IF(NOT(ISNUMBER(INDEX($F$7:$F$1000,ROUNDUP(ROWS($I$7:I78)/2,0)*$C$11))),"",IF(MOD(ROWS($I$7:I78),2)=1,IF(ISNUMBER($B$5),$B$5+SUM(OFFSET($F$7,0,0,ROUNDUP(ROWS($I$7:I78)/2,0)*$C$11))-SUM(OFFSET($F$7,(ROUNDUP(ROWS($I$7:I78)/2,0)*$C$11)-$C$11,0,$C$11))+$D$11,""),$B$5+SUM(OFFSET($F$7,0,0,ROUNDUP(ROWS($I$7:I78)/2,0)*$C$11)))))),"")</f>
        <v/>
      </c>
      <c r="I78" s="484"/>
      <c r="J78" s="492" t="str">
        <f>IF(F150="","",F149+F150)</f>
        <v/>
      </c>
      <c r="K78" s="484"/>
      <c r="L78" s="493" t="str">
        <f t="shared" si="3"/>
        <v/>
      </c>
      <c r="M78" s="484"/>
      <c r="N78" s="484">
        <f>F76+F77+F78</f>
        <v>0</v>
      </c>
      <c r="O78" s="484">
        <f>N78/2</f>
        <v>0</v>
      </c>
      <c r="P78" s="487">
        <f>O114</f>
        <v>0</v>
      </c>
      <c r="Q78" s="484"/>
      <c r="R78" s="492" t="str">
        <f>IF(P78=0,"",ROUNDUP(P78,2))</f>
        <v/>
      </c>
      <c r="S78" s="484"/>
      <c r="T78" s="493" t="str">
        <f t="shared" si="4"/>
        <v/>
      </c>
      <c r="U78" s="479"/>
      <c r="X78" s="6"/>
      <c r="Y78" s="6"/>
      <c r="Z78" s="6"/>
      <c r="AA78" s="6"/>
      <c r="AB78" s="6"/>
      <c r="AC78" s="6"/>
      <c r="AD78" s="6"/>
      <c r="AE78" s="6"/>
    </row>
    <row r="79" spans="2:31" x14ac:dyDescent="0.3">
      <c r="B79" s="479"/>
      <c r="C79" s="479"/>
      <c r="D79" s="479"/>
      <c r="E79" s="479"/>
      <c r="F79" s="491"/>
      <c r="G79" s="482" t="str">
        <f t="shared" ca="1" si="2"/>
        <v/>
      </c>
      <c r="H79" s="483" t="str">
        <f ca="1">IFERROR(IF(OR($C$11="",$C$11=0),"",IF(OR($D$11=0,$D$11=""),IF(NOT(ISNUMBER(INDEX($F$7:$F$1000,ROWS($I$7:I79)*$C$11))),"",$B$5+SUM(OFFSET($F$7,0,0,ROWS($I$7:I79)*$C$11))),IF(NOT(ISNUMBER(INDEX($F$7:$F$1000,ROUNDUP(ROWS($I$7:I79)/2,0)*$C$11))),"",IF(MOD(ROWS($I$7:I79),2)=1,IF(ISNUMBER($B$5),$B$5+SUM(OFFSET($F$7,0,0,ROUNDUP(ROWS($I$7:I79)/2,0)*$C$11))-SUM(OFFSET($F$7,(ROUNDUP(ROWS($I$7:I79)/2,0)*$C$11)-$C$11,0,$C$11))+$D$11,""),$B$5+SUM(OFFSET($F$7,0,0,ROUNDUP(ROWS($I$7:I79)/2,0)*$C$11)))))),"")</f>
        <v/>
      </c>
      <c r="I79" s="484"/>
      <c r="J79" s="492" t="str">
        <f>IF(F152="","",F151+F152)</f>
        <v/>
      </c>
      <c r="K79" s="484"/>
      <c r="L79" s="493" t="str">
        <f t="shared" si="3"/>
        <v/>
      </c>
      <c r="M79" s="484"/>
      <c r="N79" s="479"/>
      <c r="O79" s="484"/>
      <c r="P79" s="487">
        <f>O116</f>
        <v>0</v>
      </c>
      <c r="Q79" s="484"/>
      <c r="R79" s="494" t="str">
        <f>IF(P79=0,"",ROUNDDOWN(P79,2))</f>
        <v/>
      </c>
      <c r="S79" s="484"/>
      <c r="T79" s="495" t="str">
        <f t="shared" si="4"/>
        <v/>
      </c>
      <c r="U79" s="479"/>
      <c r="X79" s="6"/>
      <c r="Y79" s="6"/>
      <c r="Z79" s="6"/>
      <c r="AA79" s="6"/>
      <c r="AB79" s="6"/>
      <c r="AC79" s="6"/>
      <c r="AD79" s="6"/>
      <c r="AE79" s="6"/>
    </row>
    <row r="80" spans="2:31" x14ac:dyDescent="0.3">
      <c r="B80" s="479"/>
      <c r="C80" s="479"/>
      <c r="D80" s="479"/>
      <c r="E80" s="479"/>
      <c r="F80" s="491"/>
      <c r="G80" s="482" t="str">
        <f t="shared" ca="1" si="2"/>
        <v/>
      </c>
      <c r="H80" s="483" t="str">
        <f ca="1">IFERROR(IF(OR($C$11="",$C$11=0),"",IF(OR($D$11=0,$D$11=""),IF(NOT(ISNUMBER(INDEX($F$7:$F$1000,ROWS($I$7:I80)*$C$11))),"",$B$5+SUM(OFFSET($F$7,0,0,ROWS($I$7:I80)*$C$11))),IF(NOT(ISNUMBER(INDEX($F$7:$F$1000,ROUNDUP(ROWS($I$7:I80)/2,0)*$C$11))),"",IF(MOD(ROWS($I$7:I80),2)=1,IF(ISNUMBER($B$5),$B$5+SUM(OFFSET($F$7,0,0,ROUNDUP(ROWS($I$7:I80)/2,0)*$C$11))-SUM(OFFSET($F$7,(ROUNDUP(ROWS($I$7:I80)/2,0)*$C$11)-$C$11,0,$C$11))+$D$11,""),$B$5+SUM(OFFSET($F$7,0,0,ROUNDUP(ROWS($I$7:I80)/2,0)*$C$11)))))),"")</f>
        <v/>
      </c>
      <c r="I80" s="484"/>
      <c r="J80" s="492" t="str">
        <f>IF(F154="","",F153+F154)</f>
        <v/>
      </c>
      <c r="K80" s="484"/>
      <c r="L80" s="493" t="str">
        <f t="shared" si="3"/>
        <v/>
      </c>
      <c r="M80" s="484"/>
      <c r="N80" s="479"/>
      <c r="O80" s="484">
        <f>N81/2</f>
        <v>0</v>
      </c>
      <c r="P80" s="487">
        <f>O117</f>
        <v>0</v>
      </c>
      <c r="Q80" s="484"/>
      <c r="R80" s="492" t="str">
        <f>IF(P80=0,"",ROUNDUP(P80,2))</f>
        <v/>
      </c>
      <c r="S80" s="484"/>
      <c r="T80" s="493" t="str">
        <f t="shared" si="4"/>
        <v/>
      </c>
      <c r="U80" s="479"/>
      <c r="X80" s="6"/>
      <c r="Y80" s="6"/>
      <c r="Z80" s="6"/>
      <c r="AA80" s="6"/>
      <c r="AB80" s="6"/>
      <c r="AC80" s="6"/>
      <c r="AD80" s="6"/>
      <c r="AE80" s="6"/>
    </row>
    <row r="81" spans="2:31" x14ac:dyDescent="0.3">
      <c r="B81" s="479"/>
      <c r="C81" s="479"/>
      <c r="D81" s="479"/>
      <c r="E81" s="479"/>
      <c r="F81" s="491"/>
      <c r="G81" s="482" t="str">
        <f t="shared" ca="1" si="2"/>
        <v/>
      </c>
      <c r="H81" s="483" t="str">
        <f ca="1">IFERROR(IF(OR($C$11="",$C$11=0),"",IF(OR($D$11=0,$D$11=""),IF(NOT(ISNUMBER(INDEX($F$7:$F$1000,ROWS($I$7:I81)*$C$11))),"",$B$5+SUM(OFFSET($F$7,0,0,ROWS($I$7:I81)*$C$11))),IF(NOT(ISNUMBER(INDEX($F$7:$F$1000,ROUNDUP(ROWS($I$7:I81)/2,0)*$C$11))),"",IF(MOD(ROWS($I$7:I81),2)=1,IF(ISNUMBER($B$5),$B$5+SUM(OFFSET($F$7,0,0,ROUNDUP(ROWS($I$7:I81)/2,0)*$C$11))-SUM(OFFSET($F$7,(ROUNDUP(ROWS($I$7:I81)/2,0)*$C$11)-$C$11,0,$C$11))+$D$11,""),$B$5+SUM(OFFSET($F$7,0,0,ROUNDUP(ROWS($I$7:I81)/2,0)*$C$11)))))),"")</f>
        <v/>
      </c>
      <c r="I81" s="484"/>
      <c r="J81" s="492" t="str">
        <f>IF(F156="","",F155+F156)</f>
        <v/>
      </c>
      <c r="K81" s="484"/>
      <c r="L81" s="493" t="str">
        <f t="shared" si="3"/>
        <v/>
      </c>
      <c r="M81" s="484"/>
      <c r="N81" s="484">
        <f>F79+F80+F81</f>
        <v>0</v>
      </c>
      <c r="O81" s="484">
        <f>N81/2</f>
        <v>0</v>
      </c>
      <c r="P81" s="487">
        <f>O119</f>
        <v>0</v>
      </c>
      <c r="Q81" s="484"/>
      <c r="R81" s="494" t="str">
        <f>IF(P81=0,"",ROUNDDOWN(P81,2))</f>
        <v/>
      </c>
      <c r="S81" s="484"/>
      <c r="T81" s="495" t="str">
        <f t="shared" si="4"/>
        <v/>
      </c>
      <c r="U81" s="479"/>
      <c r="X81" s="6"/>
      <c r="Y81" s="6"/>
      <c r="Z81" s="6"/>
      <c r="AA81" s="6"/>
      <c r="AB81" s="6"/>
      <c r="AC81" s="6"/>
      <c r="AD81" s="6"/>
      <c r="AE81" s="6"/>
    </row>
    <row r="82" spans="2:31" x14ac:dyDescent="0.3">
      <c r="B82" s="479"/>
      <c r="C82" s="479"/>
      <c r="D82" s="479"/>
      <c r="E82" s="479"/>
      <c r="F82" s="491"/>
      <c r="G82" s="482" t="str">
        <f t="shared" ca="1" si="2"/>
        <v/>
      </c>
      <c r="H82" s="483" t="str">
        <f ca="1">IFERROR(IF(OR($C$11="",$C$11=0),"",IF(OR($D$11=0,$D$11=""),IF(NOT(ISNUMBER(INDEX($F$7:$F$1000,ROWS($I$7:I82)*$C$11))),"",$B$5+SUM(OFFSET($F$7,0,0,ROWS($I$7:I82)*$C$11))),IF(NOT(ISNUMBER(INDEX($F$7:$F$1000,ROUNDUP(ROWS($I$7:I82)/2,0)*$C$11))),"",IF(MOD(ROWS($I$7:I82),2)=1,IF(ISNUMBER($B$5),$B$5+SUM(OFFSET($F$7,0,0,ROUNDUP(ROWS($I$7:I82)/2,0)*$C$11))-SUM(OFFSET($F$7,(ROUNDUP(ROWS($I$7:I82)/2,0)*$C$11)-$C$11,0,$C$11))+$D$11,""),$B$5+SUM(OFFSET($F$7,0,0,ROUNDUP(ROWS($I$7:I82)/2,0)*$C$11)))))),"")</f>
        <v/>
      </c>
      <c r="I82" s="484"/>
      <c r="J82" s="492" t="str">
        <f>IF(F158="","",F157+F158)</f>
        <v/>
      </c>
      <c r="K82" s="484"/>
      <c r="L82" s="493" t="str">
        <f t="shared" si="3"/>
        <v/>
      </c>
      <c r="M82" s="484"/>
      <c r="N82" s="479"/>
      <c r="O82" s="484"/>
      <c r="P82" s="487">
        <f>O120</f>
        <v>0</v>
      </c>
      <c r="Q82" s="484"/>
      <c r="R82" s="492" t="str">
        <f>IF(P82=0,"",ROUNDUP(P82,2))</f>
        <v/>
      </c>
      <c r="S82" s="484"/>
      <c r="T82" s="493" t="str">
        <f t="shared" si="4"/>
        <v/>
      </c>
      <c r="U82" s="479"/>
      <c r="X82" s="6"/>
      <c r="Y82" s="6"/>
      <c r="Z82" s="6"/>
      <c r="AA82" s="6"/>
      <c r="AB82" s="6"/>
      <c r="AC82" s="6"/>
      <c r="AD82" s="6"/>
      <c r="AE82" s="6"/>
    </row>
    <row r="83" spans="2:31" x14ac:dyDescent="0.3">
      <c r="B83" s="479"/>
      <c r="C83" s="479"/>
      <c r="D83" s="479"/>
      <c r="E83" s="479"/>
      <c r="F83" s="491"/>
      <c r="G83" s="482" t="str">
        <f t="shared" ca="1" si="2"/>
        <v/>
      </c>
      <c r="H83" s="483" t="str">
        <f ca="1">IFERROR(IF(OR($C$11="",$C$11=0),"",IF(OR($D$11=0,$D$11=""),IF(NOT(ISNUMBER(INDEX($F$7:$F$1000,ROWS($I$7:I83)*$C$11))),"",$B$5+SUM(OFFSET($F$7,0,0,ROWS($I$7:I83)*$C$11))),IF(NOT(ISNUMBER(INDEX($F$7:$F$1000,ROUNDUP(ROWS($I$7:I83)/2,0)*$C$11))),"",IF(MOD(ROWS($I$7:I83),2)=1,IF(ISNUMBER($B$5),$B$5+SUM(OFFSET($F$7,0,0,ROUNDUP(ROWS($I$7:I83)/2,0)*$C$11))-SUM(OFFSET($F$7,(ROUNDUP(ROWS($I$7:I83)/2,0)*$C$11)-$C$11,0,$C$11))+$D$11,""),$B$5+SUM(OFFSET($F$7,0,0,ROUNDUP(ROWS($I$7:I83)/2,0)*$C$11)))))),"")</f>
        <v/>
      </c>
      <c r="I83" s="484"/>
      <c r="J83" s="492" t="str">
        <f>IF(F160="","",F159+F160)</f>
        <v/>
      </c>
      <c r="K83" s="484"/>
      <c r="L83" s="493" t="str">
        <f t="shared" si="3"/>
        <v/>
      </c>
      <c r="M83" s="484"/>
      <c r="N83" s="479"/>
      <c r="O83" s="484">
        <f>N84/2</f>
        <v>0</v>
      </c>
      <c r="P83" s="487">
        <f>O122</f>
        <v>0</v>
      </c>
      <c r="Q83" s="484"/>
      <c r="R83" s="494" t="str">
        <f>IF(P83=0,"",ROUNDDOWN(P83,2))</f>
        <v/>
      </c>
      <c r="S83" s="484"/>
      <c r="T83" s="495" t="str">
        <f t="shared" si="4"/>
        <v/>
      </c>
      <c r="U83" s="479"/>
      <c r="X83" s="6"/>
      <c r="Y83" s="6"/>
      <c r="Z83" s="6"/>
      <c r="AA83" s="6"/>
      <c r="AB83" s="6"/>
      <c r="AC83" s="6"/>
      <c r="AD83" s="6"/>
      <c r="AE83" s="6"/>
    </row>
    <row r="84" spans="2:31" x14ac:dyDescent="0.3">
      <c r="B84" s="479"/>
      <c r="C84" s="479"/>
      <c r="D84" s="479"/>
      <c r="E84" s="479"/>
      <c r="F84" s="491"/>
      <c r="G84" s="482" t="str">
        <f t="shared" ca="1" si="2"/>
        <v/>
      </c>
      <c r="H84" s="483" t="str">
        <f ca="1">IFERROR(IF(OR($C$11="",$C$11=0),"",IF(OR($D$11=0,$D$11=""),IF(NOT(ISNUMBER(INDEX($F$7:$F$1000,ROWS($I$7:I84)*$C$11))),"",$B$5+SUM(OFFSET($F$7,0,0,ROWS($I$7:I84)*$C$11))),IF(NOT(ISNUMBER(INDEX($F$7:$F$1000,ROUNDUP(ROWS($I$7:I84)/2,0)*$C$11))),"",IF(MOD(ROWS($I$7:I84),2)=1,IF(ISNUMBER($B$5),$B$5+SUM(OFFSET($F$7,0,0,ROUNDUP(ROWS($I$7:I84)/2,0)*$C$11))-SUM(OFFSET($F$7,(ROUNDUP(ROWS($I$7:I84)/2,0)*$C$11)-$C$11,0,$C$11))+$D$11,""),$B$5+SUM(OFFSET($F$7,0,0,ROUNDUP(ROWS($I$7:I84)/2,0)*$C$11)))))),"")</f>
        <v/>
      </c>
      <c r="I84" s="484"/>
      <c r="J84" s="492" t="str">
        <f>IF(F162="","",F161+F162)</f>
        <v/>
      </c>
      <c r="K84" s="484"/>
      <c r="L84" s="493" t="str">
        <f t="shared" si="3"/>
        <v/>
      </c>
      <c r="M84" s="484"/>
      <c r="N84" s="484">
        <f>F82+F83+F84</f>
        <v>0</v>
      </c>
      <c r="O84" s="484">
        <f>N84/2</f>
        <v>0</v>
      </c>
      <c r="P84" s="487">
        <f>O123</f>
        <v>0</v>
      </c>
      <c r="Q84" s="484"/>
      <c r="R84" s="492" t="str">
        <f>IF(P84=0,"",ROUNDUP(P84,2))</f>
        <v/>
      </c>
      <c r="S84" s="484"/>
      <c r="T84" s="493" t="str">
        <f t="shared" si="4"/>
        <v/>
      </c>
      <c r="U84" s="479"/>
      <c r="X84" s="6"/>
      <c r="Y84" s="6"/>
      <c r="Z84" s="6"/>
      <c r="AA84" s="6"/>
      <c r="AB84" s="6"/>
      <c r="AC84" s="6"/>
      <c r="AD84" s="6"/>
      <c r="AE84" s="6"/>
    </row>
    <row r="85" spans="2:31" x14ac:dyDescent="0.3">
      <c r="B85" s="479"/>
      <c r="C85" s="479"/>
      <c r="D85" s="479"/>
      <c r="E85" s="479"/>
      <c r="F85" s="491"/>
      <c r="G85" s="482" t="str">
        <f t="shared" ca="1" si="2"/>
        <v/>
      </c>
      <c r="H85" s="483" t="str">
        <f ca="1">IFERROR(IF(OR($C$11="",$C$11=0),"",IF(OR($D$11=0,$D$11=""),IF(NOT(ISNUMBER(INDEX($F$7:$F$1000,ROWS($I$7:I85)*$C$11))),"",$B$5+SUM(OFFSET($F$7,0,0,ROWS($I$7:I85)*$C$11))),IF(NOT(ISNUMBER(INDEX($F$7:$F$1000,ROUNDUP(ROWS($I$7:I85)/2,0)*$C$11))),"",IF(MOD(ROWS($I$7:I85),2)=1,IF(ISNUMBER($B$5),$B$5+SUM(OFFSET($F$7,0,0,ROUNDUP(ROWS($I$7:I85)/2,0)*$C$11))-SUM(OFFSET($F$7,(ROUNDUP(ROWS($I$7:I85)/2,0)*$C$11)-$C$11,0,$C$11))+$D$11,""),$B$5+SUM(OFFSET($F$7,0,0,ROUNDUP(ROWS($I$7:I85)/2,0)*$C$11)))))),"")</f>
        <v/>
      </c>
      <c r="I85" s="484"/>
      <c r="J85" s="492" t="str">
        <f>IF(F164="","",F163+F164)</f>
        <v/>
      </c>
      <c r="K85" s="484"/>
      <c r="L85" s="493" t="str">
        <f t="shared" si="3"/>
        <v/>
      </c>
      <c r="M85" s="484"/>
      <c r="N85" s="479"/>
      <c r="O85" s="484"/>
      <c r="P85" s="487">
        <f>O125</f>
        <v>0</v>
      </c>
      <c r="Q85" s="484"/>
      <c r="R85" s="494" t="str">
        <f>IF(P85=0,"",ROUNDDOWN(P85,2))</f>
        <v/>
      </c>
      <c r="S85" s="484"/>
      <c r="T85" s="495" t="str">
        <f t="shared" si="4"/>
        <v/>
      </c>
      <c r="U85" s="479"/>
      <c r="X85" s="6"/>
      <c r="Y85" s="6"/>
      <c r="Z85" s="6"/>
      <c r="AA85" s="6"/>
      <c r="AB85" s="6"/>
      <c r="AC85" s="6"/>
      <c r="AD85" s="6"/>
      <c r="AE85" s="6"/>
    </row>
    <row r="86" spans="2:31" x14ac:dyDescent="0.3">
      <c r="B86" s="479"/>
      <c r="C86" s="479"/>
      <c r="D86" s="479"/>
      <c r="E86" s="479"/>
      <c r="F86" s="491"/>
      <c r="G86" s="482" t="str">
        <f t="shared" ca="1" si="2"/>
        <v/>
      </c>
      <c r="H86" s="483" t="str">
        <f ca="1">IFERROR(IF(OR($C$11="",$C$11=0),"",IF(OR($D$11=0,$D$11=""),IF(NOT(ISNUMBER(INDEX($F$7:$F$1000,ROWS($I$7:I86)*$C$11))),"",$B$5+SUM(OFFSET($F$7,0,0,ROWS($I$7:I86)*$C$11))),IF(NOT(ISNUMBER(INDEX($F$7:$F$1000,ROUNDUP(ROWS($I$7:I86)/2,0)*$C$11))),"",IF(MOD(ROWS($I$7:I86),2)=1,IF(ISNUMBER($B$5),$B$5+SUM(OFFSET($F$7,0,0,ROUNDUP(ROWS($I$7:I86)/2,0)*$C$11))-SUM(OFFSET($F$7,(ROUNDUP(ROWS($I$7:I86)/2,0)*$C$11)-$C$11,0,$C$11))+$D$11,""),$B$5+SUM(OFFSET($F$7,0,0,ROUNDUP(ROWS($I$7:I86)/2,0)*$C$11)))))),"")</f>
        <v/>
      </c>
      <c r="I86" s="484"/>
      <c r="J86" s="492" t="str">
        <f>IF(F166="","",F165+F166)</f>
        <v/>
      </c>
      <c r="K86" s="484"/>
      <c r="L86" s="493" t="str">
        <f t="shared" si="3"/>
        <v/>
      </c>
      <c r="M86" s="484"/>
      <c r="N86" s="479"/>
      <c r="O86" s="484">
        <f>N87/2</f>
        <v>0</v>
      </c>
      <c r="P86" s="487">
        <f>O126</f>
        <v>0</v>
      </c>
      <c r="Q86" s="484"/>
      <c r="R86" s="492" t="str">
        <f>IF(P86=0,"",ROUNDUP(P86,2))</f>
        <v/>
      </c>
      <c r="S86" s="484"/>
      <c r="T86" s="493" t="str">
        <f t="shared" si="4"/>
        <v/>
      </c>
      <c r="U86" s="479"/>
      <c r="X86" s="6"/>
      <c r="Y86" s="6"/>
      <c r="Z86" s="6"/>
      <c r="AA86" s="6"/>
      <c r="AB86" s="6"/>
      <c r="AC86" s="6"/>
      <c r="AD86" s="6"/>
      <c r="AE86" s="6"/>
    </row>
    <row r="87" spans="2:31" x14ac:dyDescent="0.3">
      <c r="B87" s="479"/>
      <c r="C87" s="479"/>
      <c r="D87" s="479"/>
      <c r="E87" s="479"/>
      <c r="F87" s="491"/>
      <c r="G87" s="482" t="str">
        <f t="shared" ca="1" si="2"/>
        <v/>
      </c>
      <c r="H87" s="483" t="str">
        <f ca="1">IFERROR(IF(OR($C$11="",$C$11=0),"",IF(OR($D$11=0,$D$11=""),IF(NOT(ISNUMBER(INDEX($F$7:$F$1000,ROWS($I$7:I87)*$C$11))),"",$B$5+SUM(OFFSET($F$7,0,0,ROWS($I$7:I87)*$C$11))),IF(NOT(ISNUMBER(INDEX($F$7:$F$1000,ROUNDUP(ROWS($I$7:I87)/2,0)*$C$11))),"",IF(MOD(ROWS($I$7:I87),2)=1,IF(ISNUMBER($B$5),$B$5+SUM(OFFSET($F$7,0,0,ROUNDUP(ROWS($I$7:I87)/2,0)*$C$11))-SUM(OFFSET($F$7,(ROUNDUP(ROWS($I$7:I87)/2,0)*$C$11)-$C$11,0,$C$11))+$D$11,""),$B$5+SUM(OFFSET($F$7,0,0,ROUNDUP(ROWS($I$7:I87)/2,0)*$C$11)))))),"")</f>
        <v/>
      </c>
      <c r="I87" s="484"/>
      <c r="J87" s="492" t="str">
        <f>IF(F168="","",F167+F168)</f>
        <v/>
      </c>
      <c r="K87" s="484"/>
      <c r="L87" s="493" t="str">
        <f t="shared" si="3"/>
        <v/>
      </c>
      <c r="M87" s="484"/>
      <c r="N87" s="484">
        <f>F85+F86+F87</f>
        <v>0</v>
      </c>
      <c r="O87" s="484">
        <f>N87/2</f>
        <v>0</v>
      </c>
      <c r="P87" s="487">
        <f>O128</f>
        <v>0</v>
      </c>
      <c r="Q87" s="484"/>
      <c r="R87" s="494" t="str">
        <f>IF(P87=0,"",ROUNDDOWN(P87,2))</f>
        <v/>
      </c>
      <c r="S87" s="484"/>
      <c r="T87" s="495" t="str">
        <f t="shared" si="4"/>
        <v/>
      </c>
      <c r="U87" s="479"/>
      <c r="X87" s="6"/>
      <c r="Y87" s="6"/>
      <c r="Z87" s="6"/>
      <c r="AA87" s="6"/>
      <c r="AB87" s="6"/>
      <c r="AC87" s="6"/>
      <c r="AD87" s="6"/>
      <c r="AE87" s="6"/>
    </row>
    <row r="88" spans="2:31" x14ac:dyDescent="0.3">
      <c r="B88" s="479"/>
      <c r="C88" s="479"/>
      <c r="D88" s="479"/>
      <c r="E88" s="479"/>
      <c r="F88" s="491"/>
      <c r="G88" s="482" t="str">
        <f t="shared" ca="1" si="2"/>
        <v/>
      </c>
      <c r="H88" s="483" t="str">
        <f ca="1">IFERROR(IF(OR($C$11="",$C$11=0),"",IF(OR($D$11=0,$D$11=""),IF(NOT(ISNUMBER(INDEX($F$7:$F$1000,ROWS($I$7:I88)*$C$11))),"",$B$5+SUM(OFFSET($F$7,0,0,ROWS($I$7:I88)*$C$11))),IF(NOT(ISNUMBER(INDEX($F$7:$F$1000,ROUNDUP(ROWS($I$7:I88)/2,0)*$C$11))),"",IF(MOD(ROWS($I$7:I88),2)=1,IF(ISNUMBER($B$5),$B$5+SUM(OFFSET($F$7,0,0,ROUNDUP(ROWS($I$7:I88)/2,0)*$C$11))-SUM(OFFSET($F$7,(ROUNDUP(ROWS($I$7:I88)/2,0)*$C$11)-$C$11,0,$C$11))+$D$11,""),$B$5+SUM(OFFSET($F$7,0,0,ROUNDUP(ROWS($I$7:I88)/2,0)*$C$11)))))),"")</f>
        <v/>
      </c>
      <c r="I88" s="484"/>
      <c r="J88" s="492" t="str">
        <f>IF(F170="","",F169+F170)</f>
        <v/>
      </c>
      <c r="K88" s="484"/>
      <c r="L88" s="493" t="str">
        <f t="shared" si="3"/>
        <v/>
      </c>
      <c r="M88" s="484"/>
      <c r="N88" s="479"/>
      <c r="O88" s="484"/>
      <c r="P88" s="487">
        <f>O129</f>
        <v>0</v>
      </c>
      <c r="Q88" s="484"/>
      <c r="R88" s="492" t="str">
        <f>IF(P88=0,"",ROUNDUP(P88,2))</f>
        <v/>
      </c>
      <c r="S88" s="484"/>
      <c r="T88" s="493" t="str">
        <f t="shared" si="4"/>
        <v/>
      </c>
      <c r="U88" s="479"/>
      <c r="X88" s="6"/>
      <c r="Y88" s="6"/>
      <c r="Z88" s="6"/>
      <c r="AA88" s="6"/>
      <c r="AB88" s="6"/>
      <c r="AC88" s="6"/>
      <c r="AD88" s="6"/>
      <c r="AE88" s="6"/>
    </row>
    <row r="89" spans="2:31" x14ac:dyDescent="0.3">
      <c r="B89" s="479"/>
      <c r="C89" s="479"/>
      <c r="D89" s="479"/>
      <c r="E89" s="479"/>
      <c r="F89" s="491"/>
      <c r="G89" s="482" t="str">
        <f t="shared" ca="1" si="2"/>
        <v/>
      </c>
      <c r="H89" s="483" t="str">
        <f ca="1">IFERROR(IF(OR($C$11="",$C$11=0),"",IF(OR($D$11=0,$D$11=""),IF(NOT(ISNUMBER(INDEX($F$7:$F$1000,ROWS($I$7:I89)*$C$11))),"",$B$5+SUM(OFFSET($F$7,0,0,ROWS($I$7:I89)*$C$11))),IF(NOT(ISNUMBER(INDEX($F$7:$F$1000,ROUNDUP(ROWS($I$7:I89)/2,0)*$C$11))),"",IF(MOD(ROWS($I$7:I89),2)=1,IF(ISNUMBER($B$5),$B$5+SUM(OFFSET($F$7,0,0,ROUNDUP(ROWS($I$7:I89)/2,0)*$C$11))-SUM(OFFSET($F$7,(ROUNDUP(ROWS($I$7:I89)/2,0)*$C$11)-$C$11,0,$C$11))+$D$11,""),$B$5+SUM(OFFSET($F$7,0,0,ROUNDUP(ROWS($I$7:I89)/2,0)*$C$11)))))),"")</f>
        <v/>
      </c>
      <c r="I89" s="484"/>
      <c r="J89" s="492" t="str">
        <f>IF(F172="","",F171+F172)</f>
        <v/>
      </c>
      <c r="K89" s="484"/>
      <c r="L89" s="493" t="str">
        <f t="shared" si="3"/>
        <v/>
      </c>
      <c r="M89" s="484"/>
      <c r="N89" s="479"/>
      <c r="O89" s="484">
        <f>N90/2</f>
        <v>0</v>
      </c>
      <c r="P89" s="487">
        <f>O131</f>
        <v>0</v>
      </c>
      <c r="Q89" s="484"/>
      <c r="R89" s="494" t="str">
        <f>IF(P89=0,"",ROUNDDOWN(P89,2))</f>
        <v/>
      </c>
      <c r="S89" s="484"/>
      <c r="T89" s="495" t="str">
        <f t="shared" si="4"/>
        <v/>
      </c>
      <c r="U89" s="479"/>
      <c r="X89" s="6"/>
      <c r="Y89" s="6"/>
      <c r="Z89" s="6"/>
      <c r="AA89" s="6"/>
      <c r="AB89" s="6"/>
      <c r="AC89" s="6"/>
      <c r="AD89" s="6"/>
      <c r="AE89" s="6"/>
    </row>
    <row r="90" spans="2:31" x14ac:dyDescent="0.3">
      <c r="B90" s="479"/>
      <c r="C90" s="479"/>
      <c r="D90" s="479"/>
      <c r="E90" s="479"/>
      <c r="F90" s="491"/>
      <c r="G90" s="482" t="str">
        <f t="shared" ca="1" si="2"/>
        <v/>
      </c>
      <c r="H90" s="483" t="str">
        <f ca="1">IFERROR(IF(OR($C$11="",$C$11=0),"",IF(OR($D$11=0,$D$11=""),IF(NOT(ISNUMBER(INDEX($F$7:$F$1000,ROWS($I$7:I90)*$C$11))),"",$B$5+SUM(OFFSET($F$7,0,0,ROWS($I$7:I90)*$C$11))),IF(NOT(ISNUMBER(INDEX($F$7:$F$1000,ROUNDUP(ROWS($I$7:I90)/2,0)*$C$11))),"",IF(MOD(ROWS($I$7:I90),2)=1,IF(ISNUMBER($B$5),$B$5+SUM(OFFSET($F$7,0,0,ROUNDUP(ROWS($I$7:I90)/2,0)*$C$11))-SUM(OFFSET($F$7,(ROUNDUP(ROWS($I$7:I90)/2,0)*$C$11)-$C$11,0,$C$11))+$D$11,""),$B$5+SUM(OFFSET($F$7,0,0,ROUNDUP(ROWS($I$7:I90)/2,0)*$C$11)))))),"")</f>
        <v/>
      </c>
      <c r="I90" s="484"/>
      <c r="J90" s="492" t="str">
        <f>IF(F174="","",F173+F174)</f>
        <v/>
      </c>
      <c r="K90" s="484"/>
      <c r="L90" s="493" t="str">
        <f t="shared" si="3"/>
        <v/>
      </c>
      <c r="M90" s="484"/>
      <c r="N90" s="484">
        <f>F88+F89+F90</f>
        <v>0</v>
      </c>
      <c r="O90" s="484">
        <f>N90/2</f>
        <v>0</v>
      </c>
      <c r="P90" s="487">
        <f>O132</f>
        <v>0</v>
      </c>
      <c r="Q90" s="484"/>
      <c r="R90" s="492" t="str">
        <f>IF(P90=0,"",ROUNDUP(P90,2))</f>
        <v/>
      </c>
      <c r="S90" s="484"/>
      <c r="T90" s="493" t="str">
        <f t="shared" si="4"/>
        <v/>
      </c>
      <c r="U90" s="479"/>
      <c r="X90" s="6"/>
      <c r="Y90" s="6"/>
      <c r="Z90" s="6"/>
      <c r="AA90" s="6"/>
      <c r="AB90" s="6"/>
      <c r="AC90" s="6"/>
      <c r="AD90" s="6"/>
      <c r="AE90" s="6"/>
    </row>
    <row r="91" spans="2:31" x14ac:dyDescent="0.3">
      <c r="B91" s="479"/>
      <c r="C91" s="479"/>
      <c r="D91" s="479"/>
      <c r="E91" s="479"/>
      <c r="F91" s="491"/>
      <c r="G91" s="482" t="str">
        <f t="shared" ca="1" si="2"/>
        <v/>
      </c>
      <c r="H91" s="483" t="str">
        <f ca="1">IFERROR(IF(OR($C$11="",$C$11=0),"",IF(OR($D$11=0,$D$11=""),IF(NOT(ISNUMBER(INDEX($F$7:$F$1000,ROWS($I$7:I91)*$C$11))),"",$B$5+SUM(OFFSET($F$7,0,0,ROWS($I$7:I91)*$C$11))),IF(NOT(ISNUMBER(INDEX($F$7:$F$1000,ROUNDUP(ROWS($I$7:I91)/2,0)*$C$11))),"",IF(MOD(ROWS($I$7:I91),2)=1,IF(ISNUMBER($B$5),$B$5+SUM(OFFSET($F$7,0,0,ROUNDUP(ROWS($I$7:I91)/2,0)*$C$11))-SUM(OFFSET($F$7,(ROUNDUP(ROWS($I$7:I91)/2,0)*$C$11)-$C$11,0,$C$11))+$D$11,""),$B$5+SUM(OFFSET($F$7,0,0,ROUNDUP(ROWS($I$7:I91)/2,0)*$C$11)))))),"")</f>
        <v/>
      </c>
      <c r="I91" s="484"/>
      <c r="J91" s="492" t="str">
        <f>IF(F176="","",F175+F176)</f>
        <v/>
      </c>
      <c r="K91" s="484"/>
      <c r="L91" s="493" t="str">
        <f t="shared" si="3"/>
        <v/>
      </c>
      <c r="M91" s="484"/>
      <c r="N91" s="479"/>
      <c r="O91" s="484"/>
      <c r="P91" s="487">
        <f>O134</f>
        <v>0</v>
      </c>
      <c r="Q91" s="484"/>
      <c r="R91" s="494" t="str">
        <f>IF(P91=0,"",ROUNDDOWN(P91,2))</f>
        <v/>
      </c>
      <c r="S91" s="484"/>
      <c r="T91" s="495" t="str">
        <f t="shared" si="4"/>
        <v/>
      </c>
      <c r="U91" s="479"/>
      <c r="X91" s="6"/>
      <c r="Y91" s="6"/>
      <c r="Z91" s="6"/>
      <c r="AA91" s="6"/>
      <c r="AB91" s="6"/>
      <c r="AC91" s="6"/>
      <c r="AD91" s="6"/>
      <c r="AE91" s="6"/>
    </row>
    <row r="92" spans="2:31" x14ac:dyDescent="0.3">
      <c r="B92" s="479"/>
      <c r="C92" s="479"/>
      <c r="D92" s="479"/>
      <c r="E92" s="479"/>
      <c r="F92" s="491"/>
      <c r="G92" s="482" t="str">
        <f t="shared" ca="1" si="2"/>
        <v/>
      </c>
      <c r="H92" s="483" t="str">
        <f ca="1">IFERROR(IF(OR($C$11="",$C$11=0),"",IF(OR($D$11=0,$D$11=""),IF(NOT(ISNUMBER(INDEX($F$7:$F$1000,ROWS($I$7:I92)*$C$11))),"",$B$5+SUM(OFFSET($F$7,0,0,ROWS($I$7:I92)*$C$11))),IF(NOT(ISNUMBER(INDEX($F$7:$F$1000,ROUNDUP(ROWS($I$7:I92)/2,0)*$C$11))),"",IF(MOD(ROWS($I$7:I92),2)=1,IF(ISNUMBER($B$5),$B$5+SUM(OFFSET($F$7,0,0,ROUNDUP(ROWS($I$7:I92)/2,0)*$C$11))-SUM(OFFSET($F$7,(ROUNDUP(ROWS($I$7:I92)/2,0)*$C$11)-$C$11,0,$C$11))+$D$11,""),$B$5+SUM(OFFSET($F$7,0,0,ROUNDUP(ROWS($I$7:I92)/2,0)*$C$11)))))),"")</f>
        <v/>
      </c>
      <c r="I92" s="484"/>
      <c r="J92" s="492" t="str">
        <f>IF(F178="","",F177+F178)</f>
        <v/>
      </c>
      <c r="K92" s="484"/>
      <c r="L92" s="493" t="str">
        <f t="shared" si="3"/>
        <v/>
      </c>
      <c r="M92" s="484"/>
      <c r="N92" s="479"/>
      <c r="O92" s="484">
        <f>N93/2</f>
        <v>0</v>
      </c>
      <c r="P92" s="487">
        <f>O135</f>
        <v>0</v>
      </c>
      <c r="Q92" s="484"/>
      <c r="R92" s="492" t="str">
        <f>IF(P92=0,"",ROUNDUP(P92,2))</f>
        <v/>
      </c>
      <c r="S92" s="484"/>
      <c r="T92" s="493" t="str">
        <f t="shared" si="4"/>
        <v/>
      </c>
      <c r="U92" s="479"/>
      <c r="X92" s="6"/>
      <c r="Y92" s="6"/>
      <c r="Z92" s="6"/>
      <c r="AA92" s="6"/>
      <c r="AB92" s="6"/>
      <c r="AC92" s="6"/>
      <c r="AD92" s="6"/>
      <c r="AE92" s="6"/>
    </row>
    <row r="93" spans="2:31" x14ac:dyDescent="0.3">
      <c r="B93" s="479"/>
      <c r="C93" s="479"/>
      <c r="D93" s="479"/>
      <c r="E93" s="479"/>
      <c r="F93" s="491"/>
      <c r="G93" s="482" t="str">
        <f t="shared" ca="1" si="2"/>
        <v/>
      </c>
      <c r="H93" s="483" t="str">
        <f ca="1">IFERROR(IF(OR($C$11="",$C$11=0),"",IF(OR($D$11=0,$D$11=""),IF(NOT(ISNUMBER(INDEX($F$7:$F$1000,ROWS($I$7:I93)*$C$11))),"",$B$5+SUM(OFFSET($F$7,0,0,ROWS($I$7:I93)*$C$11))),IF(NOT(ISNUMBER(INDEX($F$7:$F$1000,ROUNDUP(ROWS($I$7:I93)/2,0)*$C$11))),"",IF(MOD(ROWS($I$7:I93),2)=1,IF(ISNUMBER($B$5),$B$5+SUM(OFFSET($F$7,0,0,ROUNDUP(ROWS($I$7:I93)/2,0)*$C$11))-SUM(OFFSET($F$7,(ROUNDUP(ROWS($I$7:I93)/2,0)*$C$11)-$C$11,0,$C$11))+$D$11,""),$B$5+SUM(OFFSET($F$7,0,0,ROUNDUP(ROWS($I$7:I93)/2,0)*$C$11)))))),"")</f>
        <v/>
      </c>
      <c r="I93" s="484"/>
      <c r="J93" s="492" t="str">
        <f>IF(F180="","",F179+F180)</f>
        <v/>
      </c>
      <c r="K93" s="484"/>
      <c r="L93" s="493" t="str">
        <f t="shared" si="3"/>
        <v/>
      </c>
      <c r="M93" s="484"/>
      <c r="N93" s="484">
        <f>F91+F92+F93</f>
        <v>0</v>
      </c>
      <c r="O93" s="484">
        <f>N93/2</f>
        <v>0</v>
      </c>
      <c r="P93" s="487">
        <f>O137</f>
        <v>0</v>
      </c>
      <c r="Q93" s="484"/>
      <c r="R93" s="494" t="str">
        <f>IF(P93=0,"",ROUNDDOWN(P93,2))</f>
        <v/>
      </c>
      <c r="S93" s="484"/>
      <c r="T93" s="495" t="str">
        <f t="shared" si="4"/>
        <v/>
      </c>
      <c r="U93" s="479"/>
      <c r="X93" s="6"/>
      <c r="Y93" s="6"/>
      <c r="Z93" s="6"/>
      <c r="AA93" s="6"/>
      <c r="AB93" s="6"/>
      <c r="AC93" s="6"/>
      <c r="AD93" s="6"/>
      <c r="AE93" s="6"/>
    </row>
    <row r="94" spans="2:31" x14ac:dyDescent="0.3">
      <c r="B94" s="479"/>
      <c r="C94" s="479"/>
      <c r="D94" s="479"/>
      <c r="E94" s="479"/>
      <c r="F94" s="491"/>
      <c r="G94" s="482" t="str">
        <f t="shared" ca="1" si="2"/>
        <v/>
      </c>
      <c r="H94" s="483" t="str">
        <f ca="1">IFERROR(IF(OR($C$11="",$C$11=0),"",IF(OR($D$11=0,$D$11=""),IF(NOT(ISNUMBER(INDEX($F$7:$F$1000,ROWS($I$7:I94)*$C$11))),"",$B$5+SUM(OFFSET($F$7,0,0,ROWS($I$7:I94)*$C$11))),IF(NOT(ISNUMBER(INDEX($F$7:$F$1000,ROUNDUP(ROWS($I$7:I94)/2,0)*$C$11))),"",IF(MOD(ROWS($I$7:I94),2)=1,IF(ISNUMBER($B$5),$B$5+SUM(OFFSET($F$7,0,0,ROUNDUP(ROWS($I$7:I94)/2,0)*$C$11))-SUM(OFFSET($F$7,(ROUNDUP(ROWS($I$7:I94)/2,0)*$C$11)-$C$11,0,$C$11))+$D$11,""),$B$5+SUM(OFFSET($F$7,0,0,ROUNDUP(ROWS($I$7:I94)/2,0)*$C$11)))))),"")</f>
        <v/>
      </c>
      <c r="I94" s="484"/>
      <c r="J94" s="492" t="str">
        <f>IF(F182="","",F181+F182)</f>
        <v/>
      </c>
      <c r="K94" s="484"/>
      <c r="L94" s="493" t="str">
        <f t="shared" si="3"/>
        <v/>
      </c>
      <c r="M94" s="484"/>
      <c r="N94" s="479"/>
      <c r="O94" s="484"/>
      <c r="P94" s="487">
        <f>O138</f>
        <v>0</v>
      </c>
      <c r="Q94" s="484"/>
      <c r="R94" s="492" t="str">
        <f>IF(P94=0,"",ROUNDUP(P94,2))</f>
        <v/>
      </c>
      <c r="S94" s="484"/>
      <c r="T94" s="493" t="str">
        <f t="shared" si="4"/>
        <v/>
      </c>
      <c r="U94" s="479"/>
      <c r="X94" s="6"/>
      <c r="Y94" s="6"/>
      <c r="Z94" s="6"/>
      <c r="AA94" s="6"/>
      <c r="AB94" s="6"/>
      <c r="AC94" s="6"/>
      <c r="AD94" s="6"/>
      <c r="AE94" s="6"/>
    </row>
    <row r="95" spans="2:31" x14ac:dyDescent="0.3">
      <c r="B95" s="479"/>
      <c r="C95" s="479"/>
      <c r="D95" s="479"/>
      <c r="E95" s="479"/>
      <c r="F95" s="491"/>
      <c r="G95" s="482" t="str">
        <f t="shared" ca="1" si="2"/>
        <v/>
      </c>
      <c r="H95" s="483" t="str">
        <f ca="1">IFERROR(IF(OR($C$11="",$C$11=0),"",IF(OR($D$11=0,$D$11=""),IF(NOT(ISNUMBER(INDEX($F$7:$F$1000,ROWS($I$7:I95)*$C$11))),"",$B$5+SUM(OFFSET($F$7,0,0,ROWS($I$7:I95)*$C$11))),IF(NOT(ISNUMBER(INDEX($F$7:$F$1000,ROUNDUP(ROWS($I$7:I95)/2,0)*$C$11))),"",IF(MOD(ROWS($I$7:I95),2)=1,IF(ISNUMBER($B$5),$B$5+SUM(OFFSET($F$7,0,0,ROUNDUP(ROWS($I$7:I95)/2,0)*$C$11))-SUM(OFFSET($F$7,(ROUNDUP(ROWS($I$7:I95)/2,0)*$C$11)-$C$11,0,$C$11))+$D$11,""),$B$5+SUM(OFFSET($F$7,0,0,ROUNDUP(ROWS($I$7:I95)/2,0)*$C$11)))))),"")</f>
        <v/>
      </c>
      <c r="I95" s="484"/>
      <c r="J95" s="492" t="str">
        <f>IF(F184="","",F183+F184)</f>
        <v/>
      </c>
      <c r="K95" s="484"/>
      <c r="L95" s="493" t="str">
        <f t="shared" si="3"/>
        <v/>
      </c>
      <c r="M95" s="484"/>
      <c r="N95" s="479"/>
      <c r="O95" s="484">
        <f>N96/2</f>
        <v>0</v>
      </c>
      <c r="P95" s="487">
        <f>O140</f>
        <v>0</v>
      </c>
      <c r="Q95" s="484"/>
      <c r="R95" s="494" t="str">
        <f>IF(P95=0,"",ROUNDDOWN(P95,2))</f>
        <v/>
      </c>
      <c r="S95" s="484"/>
      <c r="T95" s="495" t="str">
        <f t="shared" si="4"/>
        <v/>
      </c>
      <c r="U95" s="479"/>
      <c r="X95" s="6"/>
      <c r="Y95" s="6"/>
      <c r="Z95" s="6"/>
      <c r="AA95" s="6"/>
      <c r="AB95" s="6"/>
      <c r="AC95" s="6"/>
      <c r="AD95" s="6"/>
      <c r="AE95" s="6"/>
    </row>
    <row r="96" spans="2:31" x14ac:dyDescent="0.3">
      <c r="B96" s="479"/>
      <c r="C96" s="479"/>
      <c r="D96" s="479"/>
      <c r="E96" s="479"/>
      <c r="F96" s="491"/>
      <c r="G96" s="482" t="str">
        <f t="shared" ca="1" si="2"/>
        <v/>
      </c>
      <c r="H96" s="483" t="str">
        <f ca="1">IFERROR(IF(OR($C$11="",$C$11=0),"",IF(OR($D$11=0,$D$11=""),IF(NOT(ISNUMBER(INDEX($F$7:$F$1000,ROWS($I$7:I96)*$C$11))),"",$B$5+SUM(OFFSET($F$7,0,0,ROWS($I$7:I96)*$C$11))),IF(NOT(ISNUMBER(INDEX($F$7:$F$1000,ROUNDUP(ROWS($I$7:I96)/2,0)*$C$11))),"",IF(MOD(ROWS($I$7:I96),2)=1,IF(ISNUMBER($B$5),$B$5+SUM(OFFSET($F$7,0,0,ROUNDUP(ROWS($I$7:I96)/2,0)*$C$11))-SUM(OFFSET($F$7,(ROUNDUP(ROWS($I$7:I96)/2,0)*$C$11)-$C$11,0,$C$11))+$D$11,""),$B$5+SUM(OFFSET($F$7,0,0,ROUNDUP(ROWS($I$7:I96)/2,0)*$C$11)))))),"")</f>
        <v/>
      </c>
      <c r="I96" s="484"/>
      <c r="J96" s="492" t="str">
        <f>IF(F186="","",F185+F186)</f>
        <v/>
      </c>
      <c r="K96" s="484"/>
      <c r="L96" s="493" t="str">
        <f t="shared" si="3"/>
        <v/>
      </c>
      <c r="M96" s="484"/>
      <c r="N96" s="484">
        <f>F94+F95+F96</f>
        <v>0</v>
      </c>
      <c r="O96" s="484">
        <f>N96/2</f>
        <v>0</v>
      </c>
      <c r="P96" s="487">
        <f>O141</f>
        <v>0</v>
      </c>
      <c r="Q96" s="484"/>
      <c r="R96" s="492" t="str">
        <f>IF(P96=0,"",ROUNDUP(P96,2))</f>
        <v/>
      </c>
      <c r="S96" s="484"/>
      <c r="T96" s="493" t="str">
        <f t="shared" si="4"/>
        <v/>
      </c>
      <c r="U96" s="479"/>
      <c r="X96" s="6"/>
      <c r="Y96" s="6"/>
      <c r="Z96" s="6"/>
      <c r="AA96" s="6"/>
      <c r="AB96" s="6"/>
      <c r="AC96" s="6"/>
      <c r="AD96" s="6"/>
      <c r="AE96" s="6"/>
    </row>
    <row r="97" spans="2:31" x14ac:dyDescent="0.3">
      <c r="B97" s="479"/>
      <c r="C97" s="479"/>
      <c r="D97" s="479"/>
      <c r="E97" s="479"/>
      <c r="F97" s="491"/>
      <c r="G97" s="482" t="str">
        <f t="shared" ca="1" si="2"/>
        <v/>
      </c>
      <c r="H97" s="483" t="str">
        <f ca="1">IFERROR(IF(OR($C$11="",$C$11=0),"",IF(OR($D$11=0,$D$11=""),IF(NOT(ISNUMBER(INDEX($F$7:$F$1000,ROWS($I$7:I97)*$C$11))),"",$B$5+SUM(OFFSET($F$7,0,0,ROWS($I$7:I97)*$C$11))),IF(NOT(ISNUMBER(INDEX($F$7:$F$1000,ROUNDUP(ROWS($I$7:I97)/2,0)*$C$11))),"",IF(MOD(ROWS($I$7:I97),2)=1,IF(ISNUMBER($B$5),$B$5+SUM(OFFSET($F$7,0,0,ROUNDUP(ROWS($I$7:I97)/2,0)*$C$11))-SUM(OFFSET($F$7,(ROUNDUP(ROWS($I$7:I97)/2,0)*$C$11)-$C$11,0,$C$11))+$D$11,""),$B$5+SUM(OFFSET($F$7,0,0,ROUNDUP(ROWS($I$7:I97)/2,0)*$C$11)))))),"")</f>
        <v/>
      </c>
      <c r="I97" s="484"/>
      <c r="J97" s="492" t="str">
        <f>IF(F188="","",F187+F188)</f>
        <v/>
      </c>
      <c r="K97" s="484"/>
      <c r="L97" s="493" t="str">
        <f t="shared" si="3"/>
        <v/>
      </c>
      <c r="M97" s="484"/>
      <c r="N97" s="479"/>
      <c r="O97" s="484"/>
      <c r="P97" s="487">
        <f>O143</f>
        <v>0</v>
      </c>
      <c r="Q97" s="484"/>
      <c r="R97" s="494" t="str">
        <f>IF(P97=0,"",ROUNDDOWN(P97,2))</f>
        <v/>
      </c>
      <c r="S97" s="484"/>
      <c r="T97" s="495" t="str">
        <f t="shared" si="4"/>
        <v/>
      </c>
      <c r="U97" s="479"/>
      <c r="X97" s="6"/>
      <c r="Y97" s="6"/>
      <c r="Z97" s="6"/>
      <c r="AA97" s="6"/>
      <c r="AB97" s="6"/>
      <c r="AC97" s="6"/>
      <c r="AD97" s="6"/>
      <c r="AE97" s="6"/>
    </row>
    <row r="98" spans="2:31" x14ac:dyDescent="0.3">
      <c r="B98" s="479"/>
      <c r="C98" s="479"/>
      <c r="D98" s="479"/>
      <c r="E98" s="479"/>
      <c r="F98" s="491"/>
      <c r="G98" s="482" t="str">
        <f t="shared" ref="G98:G161" ca="1" si="5">IF(OR(H98="", H98=H97), "", H98-H97)</f>
        <v/>
      </c>
      <c r="H98" s="483" t="str">
        <f ca="1">IFERROR(IF(OR($C$11="",$C$11=0),"",IF(OR($D$11=0,$D$11=""),IF(NOT(ISNUMBER(INDEX($F$7:$F$1000,ROWS($I$7:I98)*$C$11))),"",$B$5+SUM(OFFSET($F$7,0,0,ROWS($I$7:I98)*$C$11))),IF(NOT(ISNUMBER(INDEX($F$7:$F$1000,ROUNDUP(ROWS($I$7:I98)/2,0)*$C$11))),"",IF(MOD(ROWS($I$7:I98),2)=1,IF(ISNUMBER($B$5),$B$5+SUM(OFFSET($F$7,0,0,ROUNDUP(ROWS($I$7:I98)/2,0)*$C$11))-SUM(OFFSET($F$7,(ROUNDUP(ROWS($I$7:I98)/2,0)*$C$11)-$C$11,0,$C$11))+$D$11,""),$B$5+SUM(OFFSET($F$7,0,0,ROUNDUP(ROWS($I$7:I98)/2,0)*$C$11)))))),"")</f>
        <v/>
      </c>
      <c r="I98" s="484"/>
      <c r="J98" s="492" t="str">
        <f>IF(F190="","",F189+F190)</f>
        <v/>
      </c>
      <c r="K98" s="484"/>
      <c r="L98" s="493" t="str">
        <f t="shared" si="3"/>
        <v/>
      </c>
      <c r="M98" s="484"/>
      <c r="N98" s="479"/>
      <c r="O98" s="484">
        <f>N99/2</f>
        <v>0</v>
      </c>
      <c r="P98" s="487">
        <f>O144</f>
        <v>0</v>
      </c>
      <c r="Q98" s="484"/>
      <c r="R98" s="492" t="str">
        <f>IF(P98=0,"",ROUNDUP(P98,2))</f>
        <v/>
      </c>
      <c r="S98" s="484"/>
      <c r="T98" s="493" t="str">
        <f t="shared" si="4"/>
        <v/>
      </c>
      <c r="U98" s="479"/>
      <c r="X98" s="6"/>
      <c r="Y98" s="6"/>
      <c r="Z98" s="6"/>
      <c r="AA98" s="6"/>
      <c r="AB98" s="6"/>
      <c r="AC98" s="6"/>
      <c r="AD98" s="6"/>
      <c r="AE98" s="6"/>
    </row>
    <row r="99" spans="2:31" x14ac:dyDescent="0.3">
      <c r="B99" s="479"/>
      <c r="C99" s="479"/>
      <c r="D99" s="479"/>
      <c r="E99" s="479"/>
      <c r="F99" s="491"/>
      <c r="G99" s="482" t="str">
        <f t="shared" ca="1" si="5"/>
        <v/>
      </c>
      <c r="H99" s="483" t="str">
        <f ca="1">IFERROR(IF(OR($C$11="",$C$11=0),"",IF(OR($D$11=0,$D$11=""),IF(NOT(ISNUMBER(INDEX($F$7:$F$1000,ROWS($I$7:I99)*$C$11))),"",$B$5+SUM(OFFSET($F$7,0,0,ROWS($I$7:I99)*$C$11))),IF(NOT(ISNUMBER(INDEX($F$7:$F$1000,ROUNDUP(ROWS($I$7:I99)/2,0)*$C$11))),"",IF(MOD(ROWS($I$7:I99),2)=1,IF(ISNUMBER($B$5),$B$5+SUM(OFFSET($F$7,0,0,ROUNDUP(ROWS($I$7:I99)/2,0)*$C$11))-SUM(OFFSET($F$7,(ROUNDUP(ROWS($I$7:I99)/2,0)*$C$11)-$C$11,0,$C$11))+$D$11,""),$B$5+SUM(OFFSET($F$7,0,0,ROUNDUP(ROWS($I$7:I99)/2,0)*$C$11)))))),"")</f>
        <v/>
      </c>
      <c r="I99" s="484"/>
      <c r="J99" s="492" t="str">
        <f>IF(F192="","",F191+F192)</f>
        <v/>
      </c>
      <c r="K99" s="484"/>
      <c r="L99" s="493" t="str">
        <f t="shared" si="3"/>
        <v/>
      </c>
      <c r="M99" s="484"/>
      <c r="N99" s="484">
        <f>F97+F98+F99</f>
        <v>0</v>
      </c>
      <c r="O99" s="484">
        <f>N99/2</f>
        <v>0</v>
      </c>
      <c r="P99" s="487">
        <f>O146</f>
        <v>0</v>
      </c>
      <c r="Q99" s="484"/>
      <c r="R99" s="494" t="str">
        <f>IF(P99=0,"",ROUNDDOWN(P99,2))</f>
        <v/>
      </c>
      <c r="S99" s="484"/>
      <c r="T99" s="495" t="str">
        <f t="shared" si="4"/>
        <v/>
      </c>
      <c r="U99" s="479"/>
      <c r="X99" s="6"/>
      <c r="Y99" s="6"/>
      <c r="Z99" s="6"/>
      <c r="AA99" s="6"/>
      <c r="AB99" s="6"/>
      <c r="AC99" s="6"/>
      <c r="AD99" s="6"/>
      <c r="AE99" s="6"/>
    </row>
    <row r="100" spans="2:31" x14ac:dyDescent="0.3">
      <c r="B100" s="479"/>
      <c r="C100" s="479"/>
      <c r="D100" s="479"/>
      <c r="E100" s="479"/>
      <c r="F100" s="491"/>
      <c r="G100" s="482" t="str">
        <f t="shared" ca="1" si="5"/>
        <v/>
      </c>
      <c r="H100" s="483" t="str">
        <f ca="1">IFERROR(IF(OR($C$11="",$C$11=0),"",IF(OR($D$11=0,$D$11=""),IF(NOT(ISNUMBER(INDEX($F$7:$F$1000,ROWS($I$7:I100)*$C$11))),"",$B$5+SUM(OFFSET($F$7,0,0,ROWS($I$7:I100)*$C$11))),IF(NOT(ISNUMBER(INDEX($F$7:$F$1000,ROUNDUP(ROWS($I$7:I100)/2,0)*$C$11))),"",IF(MOD(ROWS($I$7:I100),2)=1,IF(ISNUMBER($B$5),$B$5+SUM(OFFSET($F$7,0,0,ROUNDUP(ROWS($I$7:I100)/2,0)*$C$11))-SUM(OFFSET($F$7,(ROUNDUP(ROWS($I$7:I100)/2,0)*$C$11)-$C$11,0,$C$11))+$D$11,""),$B$5+SUM(OFFSET($F$7,0,0,ROUNDUP(ROWS($I$7:I100)/2,0)*$C$11)))))),"")</f>
        <v/>
      </c>
      <c r="I100" s="484"/>
      <c r="J100" s="492" t="str">
        <f>IF(F194="","",F193+F194)</f>
        <v/>
      </c>
      <c r="K100" s="484"/>
      <c r="L100" s="493" t="str">
        <f t="shared" si="3"/>
        <v/>
      </c>
      <c r="M100" s="484"/>
      <c r="N100" s="479"/>
      <c r="O100" s="484"/>
      <c r="P100" s="487">
        <f>O147</f>
        <v>0</v>
      </c>
      <c r="Q100" s="484"/>
      <c r="R100" s="492" t="str">
        <f>IF(P100=0,"",ROUNDUP(P100,2))</f>
        <v/>
      </c>
      <c r="S100" s="484"/>
      <c r="T100" s="493" t="str">
        <f t="shared" si="4"/>
        <v/>
      </c>
      <c r="U100" s="479"/>
      <c r="X100" s="6"/>
      <c r="Y100" s="6"/>
      <c r="Z100" s="6"/>
      <c r="AA100" s="6"/>
      <c r="AB100" s="6"/>
      <c r="AC100" s="6"/>
      <c r="AD100" s="6"/>
      <c r="AE100" s="6"/>
    </row>
    <row r="101" spans="2:31" x14ac:dyDescent="0.3">
      <c r="B101" s="479"/>
      <c r="C101" s="479"/>
      <c r="D101" s="479"/>
      <c r="E101" s="479"/>
      <c r="F101" s="491"/>
      <c r="G101" s="482" t="str">
        <f t="shared" ca="1" si="5"/>
        <v/>
      </c>
      <c r="H101" s="483" t="str">
        <f ca="1">IFERROR(IF(OR($C$11="",$C$11=0),"",IF(OR($D$11=0,$D$11=""),IF(NOT(ISNUMBER(INDEX($F$7:$F$1000,ROWS($I$7:I101)*$C$11))),"",$B$5+SUM(OFFSET($F$7,0,0,ROWS($I$7:I101)*$C$11))),IF(NOT(ISNUMBER(INDEX($F$7:$F$1000,ROUNDUP(ROWS($I$7:I101)/2,0)*$C$11))),"",IF(MOD(ROWS($I$7:I101),2)=1,IF(ISNUMBER($B$5),$B$5+SUM(OFFSET($F$7,0,0,ROUNDUP(ROWS($I$7:I101)/2,0)*$C$11))-SUM(OFFSET($F$7,(ROUNDUP(ROWS($I$7:I101)/2,0)*$C$11)-$C$11,0,$C$11))+$D$11,""),$B$5+SUM(OFFSET($F$7,0,0,ROUNDUP(ROWS($I$7:I101)/2,0)*$C$11)))))),"")</f>
        <v/>
      </c>
      <c r="I101" s="484"/>
      <c r="J101" s="492" t="str">
        <f>IF(F196="","",F195+F196)</f>
        <v/>
      </c>
      <c r="K101" s="484"/>
      <c r="L101" s="493" t="str">
        <f t="shared" si="3"/>
        <v/>
      </c>
      <c r="M101" s="484"/>
      <c r="N101" s="479"/>
      <c r="O101" s="484">
        <f>N102/2</f>
        <v>0</v>
      </c>
      <c r="P101" s="487">
        <f>O149</f>
        <v>0</v>
      </c>
      <c r="Q101" s="484"/>
      <c r="R101" s="494" t="str">
        <f>IF(P101=0,"",ROUNDDOWN(P101,2))</f>
        <v/>
      </c>
      <c r="S101" s="484"/>
      <c r="T101" s="495" t="str">
        <f t="shared" si="4"/>
        <v/>
      </c>
      <c r="U101" s="479"/>
      <c r="X101" s="6"/>
      <c r="Y101" s="6"/>
      <c r="Z101" s="6"/>
      <c r="AA101" s="6"/>
      <c r="AB101" s="6"/>
      <c r="AC101" s="6"/>
      <c r="AD101" s="6"/>
      <c r="AE101" s="6"/>
    </row>
    <row r="102" spans="2:31" x14ac:dyDescent="0.3">
      <c r="B102" s="479"/>
      <c r="C102" s="479"/>
      <c r="D102" s="479"/>
      <c r="E102" s="479"/>
      <c r="F102" s="491"/>
      <c r="G102" s="482" t="str">
        <f t="shared" ca="1" si="5"/>
        <v/>
      </c>
      <c r="H102" s="483" t="str">
        <f ca="1">IFERROR(IF(OR($C$11="",$C$11=0),"",IF(OR($D$11=0,$D$11=""),IF(NOT(ISNUMBER(INDEX($F$7:$F$1000,ROWS($I$7:I102)*$C$11))),"",$B$5+SUM(OFFSET($F$7,0,0,ROWS($I$7:I102)*$C$11))),IF(NOT(ISNUMBER(INDEX($F$7:$F$1000,ROUNDUP(ROWS($I$7:I102)/2,0)*$C$11))),"",IF(MOD(ROWS($I$7:I102),2)=1,IF(ISNUMBER($B$5),$B$5+SUM(OFFSET($F$7,0,0,ROUNDUP(ROWS($I$7:I102)/2,0)*$C$11))-SUM(OFFSET($F$7,(ROUNDUP(ROWS($I$7:I102)/2,0)*$C$11)-$C$11,0,$C$11))+$D$11,""),$B$5+SUM(OFFSET($F$7,0,0,ROUNDUP(ROWS($I$7:I102)/2,0)*$C$11)))))),"")</f>
        <v/>
      </c>
      <c r="I102" s="484"/>
      <c r="J102" s="492" t="str">
        <f>IF(F198="","",F197+F198)</f>
        <v/>
      </c>
      <c r="K102" s="484"/>
      <c r="L102" s="493" t="str">
        <f t="shared" si="3"/>
        <v/>
      </c>
      <c r="M102" s="484"/>
      <c r="N102" s="484">
        <f>F100+F101+F102</f>
        <v>0</v>
      </c>
      <c r="O102" s="484">
        <f>N102/2</f>
        <v>0</v>
      </c>
      <c r="P102" s="487">
        <f>O150</f>
        <v>0</v>
      </c>
      <c r="Q102" s="484"/>
      <c r="R102" s="492" t="str">
        <f>IF(P102=0,"",ROUNDUP(P102,2))</f>
        <v/>
      </c>
      <c r="S102" s="484"/>
      <c r="T102" s="493" t="str">
        <f t="shared" si="4"/>
        <v/>
      </c>
      <c r="U102" s="479"/>
      <c r="X102" s="6"/>
      <c r="Y102" s="6"/>
      <c r="Z102" s="6"/>
      <c r="AA102" s="6"/>
      <c r="AB102" s="6"/>
      <c r="AC102" s="6"/>
      <c r="AD102" s="6"/>
      <c r="AE102" s="6"/>
    </row>
    <row r="103" spans="2:31" x14ac:dyDescent="0.3">
      <c r="B103" s="479"/>
      <c r="C103" s="479"/>
      <c r="D103" s="479"/>
      <c r="E103" s="479"/>
      <c r="F103" s="491"/>
      <c r="G103" s="482" t="str">
        <f t="shared" ca="1" si="5"/>
        <v/>
      </c>
      <c r="H103" s="483" t="str">
        <f ca="1">IFERROR(IF(OR($C$11="",$C$11=0),"",IF(OR($D$11=0,$D$11=""),IF(NOT(ISNUMBER(INDEX($F$7:$F$1000,ROWS($I$7:I103)*$C$11))),"",$B$5+SUM(OFFSET($F$7,0,0,ROWS($I$7:I103)*$C$11))),IF(NOT(ISNUMBER(INDEX($F$7:$F$1000,ROUNDUP(ROWS($I$7:I103)/2,0)*$C$11))),"",IF(MOD(ROWS($I$7:I103),2)=1,IF(ISNUMBER($B$5),$B$5+SUM(OFFSET($F$7,0,0,ROUNDUP(ROWS($I$7:I103)/2,0)*$C$11))-SUM(OFFSET($F$7,(ROUNDUP(ROWS($I$7:I103)/2,0)*$C$11)-$C$11,0,$C$11))+$D$11,""),$B$5+SUM(OFFSET($F$7,0,0,ROUNDUP(ROWS($I$7:I103)/2,0)*$C$11)))))),"")</f>
        <v/>
      </c>
      <c r="I103" s="484"/>
      <c r="J103" s="492" t="str">
        <f>IF(F200="","",F199+F200)</f>
        <v/>
      </c>
      <c r="K103" s="484"/>
      <c r="L103" s="493" t="str">
        <f t="shared" si="3"/>
        <v/>
      </c>
      <c r="M103" s="484"/>
      <c r="N103" s="479"/>
      <c r="O103" s="484"/>
      <c r="P103" s="487">
        <f>O152</f>
        <v>0</v>
      </c>
      <c r="Q103" s="484"/>
      <c r="R103" s="494" t="str">
        <f>IF(P103=0,"",ROUNDDOWN(P103,2))</f>
        <v/>
      </c>
      <c r="S103" s="484"/>
      <c r="T103" s="495" t="str">
        <f t="shared" si="4"/>
        <v/>
      </c>
      <c r="U103" s="479"/>
      <c r="X103" s="6"/>
      <c r="Y103" s="6"/>
      <c r="Z103" s="6"/>
      <c r="AA103" s="6"/>
      <c r="AB103" s="6"/>
      <c r="AC103" s="6"/>
      <c r="AD103" s="6"/>
      <c r="AE103" s="6"/>
    </row>
    <row r="104" spans="2:31" x14ac:dyDescent="0.3">
      <c r="B104" s="479"/>
      <c r="C104" s="479"/>
      <c r="D104" s="479"/>
      <c r="E104" s="479"/>
      <c r="F104" s="491"/>
      <c r="G104" s="482" t="str">
        <f t="shared" ca="1" si="5"/>
        <v/>
      </c>
      <c r="H104" s="483" t="str">
        <f ca="1">IFERROR(IF(OR($C$11="",$C$11=0),"",IF(OR($D$11=0,$D$11=""),IF(NOT(ISNUMBER(INDEX($F$7:$F$1000,ROWS($I$7:I104)*$C$11))),"",$B$5+SUM(OFFSET($F$7,0,0,ROWS($I$7:I104)*$C$11))),IF(NOT(ISNUMBER(INDEX($F$7:$F$1000,ROUNDUP(ROWS($I$7:I104)/2,0)*$C$11))),"",IF(MOD(ROWS($I$7:I104),2)=1,IF(ISNUMBER($B$5),$B$5+SUM(OFFSET($F$7,0,0,ROUNDUP(ROWS($I$7:I104)/2,0)*$C$11))-SUM(OFFSET($F$7,(ROUNDUP(ROWS($I$7:I104)/2,0)*$C$11)-$C$11,0,$C$11))+$D$11,""),$B$5+SUM(OFFSET($F$7,0,0,ROUNDUP(ROWS($I$7:I104)/2,0)*$C$11)))))),"")</f>
        <v/>
      </c>
      <c r="I104" s="484"/>
      <c r="J104" s="492" t="str">
        <f>IF(F202="","",F201+F202)</f>
        <v/>
      </c>
      <c r="K104" s="484"/>
      <c r="L104" s="493" t="str">
        <f t="shared" si="3"/>
        <v/>
      </c>
      <c r="M104" s="484"/>
      <c r="N104" s="479"/>
      <c r="O104" s="484">
        <f>N105/2</f>
        <v>0</v>
      </c>
      <c r="P104" s="487">
        <f>O153</f>
        <v>0</v>
      </c>
      <c r="Q104" s="484"/>
      <c r="R104" s="492" t="str">
        <f>IF(P104=0,"",ROUNDUP(P104,2))</f>
        <v/>
      </c>
      <c r="S104" s="484"/>
      <c r="T104" s="493" t="str">
        <f t="shared" si="4"/>
        <v/>
      </c>
      <c r="U104" s="479"/>
      <c r="X104" s="6"/>
      <c r="Y104" s="6"/>
      <c r="Z104" s="6"/>
      <c r="AA104" s="6"/>
      <c r="AB104" s="6"/>
      <c r="AC104" s="6"/>
      <c r="AD104" s="6"/>
      <c r="AE104" s="6"/>
    </row>
    <row r="105" spans="2:31" x14ac:dyDescent="0.3">
      <c r="B105" s="479"/>
      <c r="C105" s="479"/>
      <c r="D105" s="479"/>
      <c r="E105" s="479"/>
      <c r="F105" s="491"/>
      <c r="G105" s="482" t="str">
        <f t="shared" ca="1" si="5"/>
        <v/>
      </c>
      <c r="H105" s="483" t="str">
        <f ca="1">IFERROR(IF(OR($C$11="",$C$11=0),"",IF(OR($D$11=0,$D$11=""),IF(NOT(ISNUMBER(INDEX($F$7:$F$1000,ROWS($I$7:I105)*$C$11))),"",$B$5+SUM(OFFSET($F$7,0,0,ROWS($I$7:I105)*$C$11))),IF(NOT(ISNUMBER(INDEX($F$7:$F$1000,ROUNDUP(ROWS($I$7:I105)/2,0)*$C$11))),"",IF(MOD(ROWS($I$7:I105),2)=1,IF(ISNUMBER($B$5),$B$5+SUM(OFFSET($F$7,0,0,ROUNDUP(ROWS($I$7:I105)/2,0)*$C$11))-SUM(OFFSET($F$7,(ROUNDUP(ROWS($I$7:I105)/2,0)*$C$11)-$C$11,0,$C$11))+$D$11,""),$B$5+SUM(OFFSET($F$7,0,0,ROUNDUP(ROWS($I$7:I105)/2,0)*$C$11)))))),"")</f>
        <v/>
      </c>
      <c r="I105" s="484"/>
      <c r="J105" s="492" t="str">
        <f>IF(F204="","",F203+F204)</f>
        <v/>
      </c>
      <c r="K105" s="484"/>
      <c r="L105" s="493" t="str">
        <f t="shared" si="3"/>
        <v/>
      </c>
      <c r="M105" s="484"/>
      <c r="N105" s="484">
        <f>F103+F104+F105</f>
        <v>0</v>
      </c>
      <c r="O105" s="484">
        <f>N105/2</f>
        <v>0</v>
      </c>
      <c r="P105" s="487">
        <f>O155</f>
        <v>0</v>
      </c>
      <c r="Q105" s="484"/>
      <c r="R105" s="494" t="str">
        <f>IF(P105=0,"",ROUNDDOWN(P105,2))</f>
        <v/>
      </c>
      <c r="S105" s="484"/>
      <c r="T105" s="495" t="str">
        <f t="shared" si="4"/>
        <v/>
      </c>
      <c r="U105" s="479"/>
      <c r="X105" s="6"/>
      <c r="Y105" s="6"/>
      <c r="Z105" s="6"/>
      <c r="AA105" s="6"/>
      <c r="AB105" s="6"/>
      <c r="AC105" s="6"/>
      <c r="AD105" s="6"/>
      <c r="AE105" s="6"/>
    </row>
    <row r="106" spans="2:31" x14ac:dyDescent="0.3">
      <c r="B106" s="479"/>
      <c r="C106" s="479"/>
      <c r="D106" s="479"/>
      <c r="E106" s="479"/>
      <c r="F106" s="491"/>
      <c r="G106" s="482" t="str">
        <f t="shared" ca="1" si="5"/>
        <v/>
      </c>
      <c r="H106" s="483" t="str">
        <f ca="1">IFERROR(IF(OR($C$11="",$C$11=0),"",IF(OR($D$11=0,$D$11=""),IF(NOT(ISNUMBER(INDEX($F$7:$F$1000,ROWS($I$7:I106)*$C$11))),"",$B$5+SUM(OFFSET($F$7,0,0,ROWS($I$7:I106)*$C$11))),IF(NOT(ISNUMBER(INDEX($F$7:$F$1000,ROUNDUP(ROWS($I$7:I106)/2,0)*$C$11))),"",IF(MOD(ROWS($I$7:I106),2)=1,IF(ISNUMBER($B$5),$B$5+SUM(OFFSET($F$7,0,0,ROUNDUP(ROWS($I$7:I106)/2,0)*$C$11))-SUM(OFFSET($F$7,(ROUNDUP(ROWS($I$7:I106)/2,0)*$C$11)-$C$11,0,$C$11))+$D$11,""),$B$5+SUM(OFFSET($F$7,0,0,ROUNDUP(ROWS($I$7:I106)/2,0)*$C$11)))))),"")</f>
        <v/>
      </c>
      <c r="I106" s="484"/>
      <c r="J106" s="492" t="str">
        <f>IF(F206="","",F205+F206)</f>
        <v/>
      </c>
      <c r="K106" s="484"/>
      <c r="L106" s="493" t="str">
        <f t="shared" si="3"/>
        <v/>
      </c>
      <c r="M106" s="484"/>
      <c r="N106" s="479"/>
      <c r="O106" s="484"/>
      <c r="P106" s="487">
        <f>O156</f>
        <v>0</v>
      </c>
      <c r="Q106" s="484"/>
      <c r="R106" s="492" t="str">
        <f>IF(P106=0,"",ROUNDUP(P106,2))</f>
        <v/>
      </c>
      <c r="S106" s="484"/>
      <c r="T106" s="493" t="str">
        <f t="shared" si="4"/>
        <v/>
      </c>
      <c r="U106" s="479"/>
      <c r="X106" s="6"/>
      <c r="Y106" s="6"/>
      <c r="Z106" s="6"/>
      <c r="AA106" s="6"/>
      <c r="AB106" s="6"/>
      <c r="AC106" s="6"/>
      <c r="AD106" s="6"/>
      <c r="AE106" s="6"/>
    </row>
    <row r="107" spans="2:31" x14ac:dyDescent="0.3">
      <c r="B107" s="479"/>
      <c r="C107" s="479"/>
      <c r="D107" s="479"/>
      <c r="E107" s="479"/>
      <c r="F107" s="491"/>
      <c r="G107" s="482" t="str">
        <f t="shared" ca="1" si="5"/>
        <v/>
      </c>
      <c r="H107" s="483" t="str">
        <f ca="1">IFERROR(IF(OR($C$11="",$C$11=0),"",IF(OR($D$11=0,$D$11=""),IF(NOT(ISNUMBER(INDEX($F$7:$F$1000,ROWS($I$7:I107)*$C$11))),"",$B$5+SUM(OFFSET($F$7,0,0,ROWS($I$7:I107)*$C$11))),IF(NOT(ISNUMBER(INDEX($F$7:$F$1000,ROUNDUP(ROWS($I$7:I107)/2,0)*$C$11))),"",IF(MOD(ROWS($I$7:I107),2)=1,IF(ISNUMBER($B$5),$B$5+SUM(OFFSET($F$7,0,0,ROUNDUP(ROWS($I$7:I107)/2,0)*$C$11))-SUM(OFFSET($F$7,(ROUNDUP(ROWS($I$7:I107)/2,0)*$C$11)-$C$11,0,$C$11))+$D$11,""),$B$5+SUM(OFFSET($F$7,0,0,ROUNDUP(ROWS($I$7:I107)/2,0)*$C$11)))))),"")</f>
        <v/>
      </c>
      <c r="I107" s="484"/>
      <c r="J107" s="492" t="str">
        <f>IF(F208="","",F207+F208)</f>
        <v/>
      </c>
      <c r="K107" s="484"/>
      <c r="L107" s="493" t="str">
        <f t="shared" si="3"/>
        <v/>
      </c>
      <c r="M107" s="484"/>
      <c r="N107" s="479"/>
      <c r="O107" s="484">
        <f>N108/2</f>
        <v>0</v>
      </c>
      <c r="P107" s="487">
        <f>O158</f>
        <v>0</v>
      </c>
      <c r="Q107" s="484"/>
      <c r="R107" s="494" t="str">
        <f>IF(P107=0,"",ROUNDDOWN(P107,2))</f>
        <v/>
      </c>
      <c r="S107" s="484"/>
      <c r="T107" s="495" t="str">
        <f t="shared" si="4"/>
        <v/>
      </c>
      <c r="U107" s="479"/>
      <c r="X107" s="6"/>
      <c r="Y107" s="6"/>
      <c r="Z107" s="6"/>
      <c r="AA107" s="6"/>
      <c r="AB107" s="6"/>
      <c r="AC107" s="6"/>
      <c r="AD107" s="6"/>
      <c r="AE107" s="6"/>
    </row>
    <row r="108" spans="2:31" x14ac:dyDescent="0.3">
      <c r="B108" s="479"/>
      <c r="C108" s="479"/>
      <c r="D108" s="479"/>
      <c r="E108" s="479"/>
      <c r="F108" s="491"/>
      <c r="G108" s="482" t="str">
        <f t="shared" ca="1" si="5"/>
        <v/>
      </c>
      <c r="H108" s="483" t="str">
        <f ca="1">IFERROR(IF(OR($C$11="",$C$11=0),"",IF(OR($D$11=0,$D$11=""),IF(NOT(ISNUMBER(INDEX($F$7:$F$1000,ROWS($I$7:I108)*$C$11))),"",$B$5+SUM(OFFSET($F$7,0,0,ROWS($I$7:I108)*$C$11))),IF(NOT(ISNUMBER(INDEX($F$7:$F$1000,ROUNDUP(ROWS($I$7:I108)/2,0)*$C$11))),"",IF(MOD(ROWS($I$7:I108),2)=1,IF(ISNUMBER($B$5),$B$5+SUM(OFFSET($F$7,0,0,ROUNDUP(ROWS($I$7:I108)/2,0)*$C$11))-SUM(OFFSET($F$7,(ROUNDUP(ROWS($I$7:I108)/2,0)*$C$11)-$C$11,0,$C$11))+$D$11,""),$B$5+SUM(OFFSET($F$7,0,0,ROUNDUP(ROWS($I$7:I108)/2,0)*$C$11)))))),"")</f>
        <v/>
      </c>
      <c r="I108" s="484"/>
      <c r="J108" s="492" t="str">
        <f>IF(F210="","",F209+F210)</f>
        <v/>
      </c>
      <c r="K108" s="484"/>
      <c r="L108" s="493" t="str">
        <f t="shared" si="3"/>
        <v/>
      </c>
      <c r="M108" s="484"/>
      <c r="N108" s="484">
        <f>F106+F107+F108</f>
        <v>0</v>
      </c>
      <c r="O108" s="484">
        <f>N108/2</f>
        <v>0</v>
      </c>
      <c r="P108" s="487">
        <f>O159</f>
        <v>0</v>
      </c>
      <c r="Q108" s="484"/>
      <c r="R108" s="492" t="str">
        <f>IF(P108=0,"",ROUNDUP(P108,2))</f>
        <v/>
      </c>
      <c r="S108" s="484"/>
      <c r="T108" s="493" t="str">
        <f t="shared" si="4"/>
        <v/>
      </c>
      <c r="U108" s="479"/>
      <c r="X108" s="6"/>
      <c r="Y108" s="6"/>
      <c r="Z108" s="6"/>
      <c r="AA108" s="6"/>
      <c r="AB108" s="6"/>
      <c r="AC108" s="6"/>
      <c r="AD108" s="6"/>
      <c r="AE108" s="6"/>
    </row>
    <row r="109" spans="2:31" x14ac:dyDescent="0.3">
      <c r="B109" s="479"/>
      <c r="C109" s="479"/>
      <c r="D109" s="479"/>
      <c r="E109" s="479"/>
      <c r="F109" s="491"/>
      <c r="G109" s="482" t="str">
        <f t="shared" ca="1" si="5"/>
        <v/>
      </c>
      <c r="H109" s="483" t="str">
        <f ca="1">IFERROR(IF(OR($C$11="",$C$11=0),"",IF(OR($D$11=0,$D$11=""),IF(NOT(ISNUMBER(INDEX($F$7:$F$1000,ROWS($I$7:I109)*$C$11))),"",$B$5+SUM(OFFSET($F$7,0,0,ROWS($I$7:I109)*$C$11))),IF(NOT(ISNUMBER(INDEX($F$7:$F$1000,ROUNDUP(ROWS($I$7:I109)/2,0)*$C$11))),"",IF(MOD(ROWS($I$7:I109),2)=1,IF(ISNUMBER($B$5),$B$5+SUM(OFFSET($F$7,0,0,ROUNDUP(ROWS($I$7:I109)/2,0)*$C$11))-SUM(OFFSET($F$7,(ROUNDUP(ROWS($I$7:I109)/2,0)*$C$11)-$C$11,0,$C$11))+$D$11,""),$B$5+SUM(OFFSET($F$7,0,0,ROUNDUP(ROWS($I$7:I109)/2,0)*$C$11)))))),"")</f>
        <v/>
      </c>
      <c r="I109" s="484"/>
      <c r="J109" s="492" t="str">
        <f>IF(F212="","",F211+F212)</f>
        <v/>
      </c>
      <c r="K109" s="484"/>
      <c r="L109" s="493" t="str">
        <f t="shared" si="3"/>
        <v/>
      </c>
      <c r="M109" s="484"/>
      <c r="N109" s="479"/>
      <c r="O109" s="484"/>
      <c r="P109" s="487">
        <f>O161</f>
        <v>0</v>
      </c>
      <c r="Q109" s="484"/>
      <c r="R109" s="494" t="str">
        <f>IF(P109=0,"",ROUNDDOWN(P109,2))</f>
        <v/>
      </c>
      <c r="S109" s="484"/>
      <c r="T109" s="495" t="str">
        <f t="shared" si="4"/>
        <v/>
      </c>
      <c r="U109" s="479"/>
      <c r="X109" s="6"/>
      <c r="Y109" s="6"/>
      <c r="Z109" s="6"/>
      <c r="AA109" s="6"/>
      <c r="AB109" s="6"/>
      <c r="AC109" s="6"/>
      <c r="AD109" s="6"/>
      <c r="AE109" s="6"/>
    </row>
    <row r="110" spans="2:31" x14ac:dyDescent="0.3">
      <c r="B110" s="479"/>
      <c r="C110" s="479"/>
      <c r="D110" s="479"/>
      <c r="E110" s="479"/>
      <c r="F110" s="491"/>
      <c r="G110" s="482" t="str">
        <f t="shared" ca="1" si="5"/>
        <v/>
      </c>
      <c r="H110" s="483" t="str">
        <f ca="1">IFERROR(IF(OR($C$11="",$C$11=0),"",IF(OR($D$11=0,$D$11=""),IF(NOT(ISNUMBER(INDEX($F$7:$F$1000,ROWS($I$7:I110)*$C$11))),"",$B$5+SUM(OFFSET($F$7,0,0,ROWS($I$7:I110)*$C$11))),IF(NOT(ISNUMBER(INDEX($F$7:$F$1000,ROUNDUP(ROWS($I$7:I110)/2,0)*$C$11))),"",IF(MOD(ROWS($I$7:I110),2)=1,IF(ISNUMBER($B$5),$B$5+SUM(OFFSET($F$7,0,0,ROUNDUP(ROWS($I$7:I110)/2,0)*$C$11))-SUM(OFFSET($F$7,(ROUNDUP(ROWS($I$7:I110)/2,0)*$C$11)-$C$11,0,$C$11))+$D$11,""),$B$5+SUM(OFFSET($F$7,0,0,ROUNDUP(ROWS($I$7:I110)/2,0)*$C$11)))))),"")</f>
        <v/>
      </c>
      <c r="I110" s="484"/>
      <c r="J110" s="492" t="str">
        <f>IF(F214="","",F213+F214)</f>
        <v/>
      </c>
      <c r="K110" s="484"/>
      <c r="L110" s="493" t="str">
        <f t="shared" si="3"/>
        <v/>
      </c>
      <c r="M110" s="484"/>
      <c r="N110" s="479"/>
      <c r="O110" s="484">
        <f>N111/2</f>
        <v>0</v>
      </c>
      <c r="P110" s="487">
        <f>O162</f>
        <v>0</v>
      </c>
      <c r="Q110" s="484"/>
      <c r="R110" s="492" t="str">
        <f>IF(P110=0,"",ROUNDUP(P110,2))</f>
        <v/>
      </c>
      <c r="S110" s="484"/>
      <c r="T110" s="493" t="str">
        <f t="shared" si="4"/>
        <v/>
      </c>
      <c r="U110" s="479"/>
      <c r="X110" s="6"/>
      <c r="Y110" s="6"/>
      <c r="Z110" s="6"/>
      <c r="AA110" s="6"/>
      <c r="AB110" s="6"/>
      <c r="AC110" s="6"/>
      <c r="AD110" s="6"/>
      <c r="AE110" s="6"/>
    </row>
    <row r="111" spans="2:31" x14ac:dyDescent="0.3">
      <c r="B111" s="479"/>
      <c r="C111" s="479"/>
      <c r="D111" s="479"/>
      <c r="E111" s="479"/>
      <c r="F111" s="491"/>
      <c r="G111" s="482" t="str">
        <f t="shared" ca="1" si="5"/>
        <v/>
      </c>
      <c r="H111" s="483" t="str">
        <f ca="1">IFERROR(IF(OR($C$11="",$C$11=0),"",IF(OR($D$11=0,$D$11=""),IF(NOT(ISNUMBER(INDEX($F$7:$F$1000,ROWS($I$7:I111)*$C$11))),"",$B$5+SUM(OFFSET($F$7,0,0,ROWS($I$7:I111)*$C$11))),IF(NOT(ISNUMBER(INDEX($F$7:$F$1000,ROUNDUP(ROWS($I$7:I111)/2,0)*$C$11))),"",IF(MOD(ROWS($I$7:I111),2)=1,IF(ISNUMBER($B$5),$B$5+SUM(OFFSET($F$7,0,0,ROUNDUP(ROWS($I$7:I111)/2,0)*$C$11))-SUM(OFFSET($F$7,(ROUNDUP(ROWS($I$7:I111)/2,0)*$C$11)-$C$11,0,$C$11))+$D$11,""),$B$5+SUM(OFFSET($F$7,0,0,ROUNDUP(ROWS($I$7:I111)/2,0)*$C$11)))))),"")</f>
        <v/>
      </c>
      <c r="I111" s="484"/>
      <c r="J111" s="492" t="str">
        <f>IF(F216="","",F215+F216)</f>
        <v/>
      </c>
      <c r="K111" s="484"/>
      <c r="L111" s="493" t="str">
        <f t="shared" si="3"/>
        <v/>
      </c>
      <c r="M111" s="484"/>
      <c r="N111" s="484">
        <f>F109+F110+F111</f>
        <v>0</v>
      </c>
      <c r="O111" s="484">
        <f>N111/2</f>
        <v>0</v>
      </c>
      <c r="P111" s="487">
        <f>O164</f>
        <v>0</v>
      </c>
      <c r="Q111" s="484"/>
      <c r="R111" s="494" t="str">
        <f>IF(P111=0,"",ROUNDDOWN(P111,2))</f>
        <v/>
      </c>
      <c r="S111" s="484"/>
      <c r="T111" s="495" t="str">
        <f t="shared" si="4"/>
        <v/>
      </c>
      <c r="U111" s="479"/>
      <c r="X111" s="6"/>
      <c r="Y111" s="6"/>
      <c r="Z111" s="6"/>
      <c r="AA111" s="6"/>
      <c r="AB111" s="6"/>
      <c r="AC111" s="6"/>
      <c r="AD111" s="6"/>
      <c r="AE111" s="6"/>
    </row>
    <row r="112" spans="2:31" x14ac:dyDescent="0.3">
      <c r="B112" s="479"/>
      <c r="C112" s="479"/>
      <c r="D112" s="479"/>
      <c r="E112" s="479"/>
      <c r="F112" s="491"/>
      <c r="G112" s="482" t="str">
        <f t="shared" ca="1" si="5"/>
        <v/>
      </c>
      <c r="H112" s="483" t="str">
        <f ca="1">IFERROR(IF(OR($C$11="",$C$11=0),"",IF(OR($D$11=0,$D$11=""),IF(NOT(ISNUMBER(INDEX($F$7:$F$1000,ROWS($I$7:I112)*$C$11))),"",$B$5+SUM(OFFSET($F$7,0,0,ROWS($I$7:I112)*$C$11))),IF(NOT(ISNUMBER(INDEX($F$7:$F$1000,ROUNDUP(ROWS($I$7:I112)/2,0)*$C$11))),"",IF(MOD(ROWS($I$7:I112),2)=1,IF(ISNUMBER($B$5),$B$5+SUM(OFFSET($F$7,0,0,ROUNDUP(ROWS($I$7:I112)/2,0)*$C$11))-SUM(OFFSET($F$7,(ROUNDUP(ROWS($I$7:I112)/2,0)*$C$11)-$C$11,0,$C$11))+$D$11,""),$B$5+SUM(OFFSET($F$7,0,0,ROUNDUP(ROWS($I$7:I112)/2,0)*$C$11)))))),"")</f>
        <v/>
      </c>
      <c r="I112" s="484"/>
      <c r="J112" s="492" t="str">
        <f>IF(F218="","",F217+F218)</f>
        <v/>
      </c>
      <c r="K112" s="484"/>
      <c r="L112" s="493" t="str">
        <f t="shared" si="3"/>
        <v/>
      </c>
      <c r="M112" s="484"/>
      <c r="N112" s="479"/>
      <c r="O112" s="484"/>
      <c r="P112" s="487">
        <f>O165</f>
        <v>0</v>
      </c>
      <c r="Q112" s="484"/>
      <c r="R112" s="492" t="str">
        <f>IF(P112=0,"",ROUNDUP(P112,2))</f>
        <v/>
      </c>
      <c r="S112" s="484"/>
      <c r="T112" s="493" t="str">
        <f t="shared" si="4"/>
        <v/>
      </c>
      <c r="U112" s="479"/>
      <c r="X112" s="6"/>
      <c r="Y112" s="6"/>
      <c r="Z112" s="6"/>
      <c r="AA112" s="6"/>
      <c r="AB112" s="6"/>
      <c r="AC112" s="6"/>
      <c r="AD112" s="6"/>
      <c r="AE112" s="6"/>
    </row>
    <row r="113" spans="2:31" x14ac:dyDescent="0.3">
      <c r="B113" s="479"/>
      <c r="C113" s="479"/>
      <c r="D113" s="479"/>
      <c r="E113" s="479"/>
      <c r="F113" s="491"/>
      <c r="G113" s="482" t="str">
        <f t="shared" ca="1" si="5"/>
        <v/>
      </c>
      <c r="H113" s="483" t="str">
        <f ca="1">IFERROR(IF(OR($C$11="",$C$11=0),"",IF(OR($D$11=0,$D$11=""),IF(NOT(ISNUMBER(INDEX($F$7:$F$1000,ROWS($I$7:I113)*$C$11))),"",$B$5+SUM(OFFSET($F$7,0,0,ROWS($I$7:I113)*$C$11))),IF(NOT(ISNUMBER(INDEX($F$7:$F$1000,ROUNDUP(ROWS($I$7:I113)/2,0)*$C$11))),"",IF(MOD(ROWS($I$7:I113),2)=1,IF(ISNUMBER($B$5),$B$5+SUM(OFFSET($F$7,0,0,ROUNDUP(ROWS($I$7:I113)/2,0)*$C$11))-SUM(OFFSET($F$7,(ROUNDUP(ROWS($I$7:I113)/2,0)*$C$11)-$C$11,0,$C$11))+$D$11,""),$B$5+SUM(OFFSET($F$7,0,0,ROUNDUP(ROWS($I$7:I113)/2,0)*$C$11)))))),"")</f>
        <v/>
      </c>
      <c r="I113" s="484"/>
      <c r="J113" s="492" t="str">
        <f>IF(F220="","",F219+F220)</f>
        <v/>
      </c>
      <c r="K113" s="484"/>
      <c r="L113" s="493" t="str">
        <f t="shared" si="3"/>
        <v/>
      </c>
      <c r="M113" s="484"/>
      <c r="N113" s="479"/>
      <c r="O113" s="484">
        <f>N114/2</f>
        <v>0</v>
      </c>
      <c r="P113" s="487">
        <f>O167</f>
        <v>0</v>
      </c>
      <c r="Q113" s="484"/>
      <c r="R113" s="494" t="str">
        <f>IF(P113=0,"",ROUNDDOWN(P113,2))</f>
        <v/>
      </c>
      <c r="S113" s="484"/>
      <c r="T113" s="495" t="str">
        <f t="shared" si="4"/>
        <v/>
      </c>
      <c r="U113" s="479"/>
      <c r="X113" s="6"/>
      <c r="Y113" s="6"/>
      <c r="Z113" s="6"/>
      <c r="AA113" s="6"/>
      <c r="AB113" s="6"/>
      <c r="AC113" s="6"/>
      <c r="AD113" s="6"/>
      <c r="AE113" s="6"/>
    </row>
    <row r="114" spans="2:31" x14ac:dyDescent="0.3">
      <c r="B114" s="479"/>
      <c r="C114" s="479"/>
      <c r="D114" s="479"/>
      <c r="E114" s="479"/>
      <c r="F114" s="491"/>
      <c r="G114" s="482" t="str">
        <f t="shared" ca="1" si="5"/>
        <v/>
      </c>
      <c r="H114" s="483" t="str">
        <f ca="1">IFERROR(IF(OR($C$11="",$C$11=0),"",IF(OR($D$11=0,$D$11=""),IF(NOT(ISNUMBER(INDEX($F$7:$F$1000,ROWS($I$7:I114)*$C$11))),"",$B$5+SUM(OFFSET($F$7,0,0,ROWS($I$7:I114)*$C$11))),IF(NOT(ISNUMBER(INDEX($F$7:$F$1000,ROUNDUP(ROWS($I$7:I114)/2,0)*$C$11))),"",IF(MOD(ROWS($I$7:I114),2)=1,IF(ISNUMBER($B$5),$B$5+SUM(OFFSET($F$7,0,0,ROUNDUP(ROWS($I$7:I114)/2,0)*$C$11))-SUM(OFFSET($F$7,(ROUNDUP(ROWS($I$7:I114)/2,0)*$C$11)-$C$11,0,$C$11))+$D$11,""),$B$5+SUM(OFFSET($F$7,0,0,ROUNDUP(ROWS($I$7:I114)/2,0)*$C$11)))))),"")</f>
        <v/>
      </c>
      <c r="I114" s="484"/>
      <c r="J114" s="492" t="str">
        <f>IF(F222="","",F221+F222)</f>
        <v/>
      </c>
      <c r="K114" s="484"/>
      <c r="L114" s="493" t="str">
        <f t="shared" si="3"/>
        <v/>
      </c>
      <c r="M114" s="484"/>
      <c r="N114" s="484">
        <f>F112+F113+F114</f>
        <v>0</v>
      </c>
      <c r="O114" s="484">
        <f>N114/2</f>
        <v>0</v>
      </c>
      <c r="P114" s="487">
        <f>O168</f>
        <v>0</v>
      </c>
      <c r="Q114" s="484"/>
      <c r="R114" s="492" t="str">
        <f>IF(P114=0,"",ROUNDUP(P114,2))</f>
        <v/>
      </c>
      <c r="S114" s="484"/>
      <c r="T114" s="493" t="str">
        <f t="shared" si="4"/>
        <v/>
      </c>
      <c r="U114" s="479"/>
      <c r="X114" s="6"/>
      <c r="Y114" s="6"/>
      <c r="Z114" s="6"/>
      <c r="AA114" s="6"/>
      <c r="AB114" s="6"/>
      <c r="AC114" s="6"/>
      <c r="AD114" s="6"/>
      <c r="AE114" s="6"/>
    </row>
    <row r="115" spans="2:31" x14ac:dyDescent="0.3">
      <c r="B115" s="479"/>
      <c r="C115" s="479"/>
      <c r="D115" s="479"/>
      <c r="E115" s="479"/>
      <c r="F115" s="491"/>
      <c r="G115" s="482" t="str">
        <f t="shared" ca="1" si="5"/>
        <v/>
      </c>
      <c r="H115" s="483" t="str">
        <f ca="1">IFERROR(IF(OR($C$11="",$C$11=0),"",IF(OR($D$11=0,$D$11=""),IF(NOT(ISNUMBER(INDEX($F$7:$F$1000,ROWS($I$7:I115)*$C$11))),"",$B$5+SUM(OFFSET($F$7,0,0,ROWS($I$7:I115)*$C$11))),IF(NOT(ISNUMBER(INDEX($F$7:$F$1000,ROUNDUP(ROWS($I$7:I115)/2,0)*$C$11))),"",IF(MOD(ROWS($I$7:I115),2)=1,IF(ISNUMBER($B$5),$B$5+SUM(OFFSET($F$7,0,0,ROUNDUP(ROWS($I$7:I115)/2,0)*$C$11))-SUM(OFFSET($F$7,(ROUNDUP(ROWS($I$7:I115)/2,0)*$C$11)-$C$11,0,$C$11))+$D$11,""),$B$5+SUM(OFFSET($F$7,0,0,ROUNDUP(ROWS($I$7:I115)/2,0)*$C$11)))))),"")</f>
        <v/>
      </c>
      <c r="I115" s="484"/>
      <c r="J115" s="492" t="str">
        <f>IF(F224="","",F223+F224)</f>
        <v/>
      </c>
      <c r="K115" s="484"/>
      <c r="L115" s="493" t="str">
        <f t="shared" si="3"/>
        <v/>
      </c>
      <c r="M115" s="484"/>
      <c r="N115" s="479"/>
      <c r="O115" s="484"/>
      <c r="P115" s="487">
        <f>O170</f>
        <v>0</v>
      </c>
      <c r="Q115" s="484"/>
      <c r="R115" s="494" t="str">
        <f>IF(P115=0,"",ROUNDDOWN(P115,2))</f>
        <v/>
      </c>
      <c r="S115" s="484"/>
      <c r="T115" s="495" t="str">
        <f t="shared" si="4"/>
        <v/>
      </c>
      <c r="U115" s="479"/>
      <c r="X115" s="6"/>
      <c r="Y115" s="6"/>
      <c r="Z115" s="6"/>
      <c r="AA115" s="6"/>
      <c r="AB115" s="6"/>
      <c r="AC115" s="6"/>
      <c r="AD115" s="6"/>
      <c r="AE115" s="6"/>
    </row>
    <row r="116" spans="2:31" x14ac:dyDescent="0.3">
      <c r="B116" s="479"/>
      <c r="C116" s="479"/>
      <c r="D116" s="479"/>
      <c r="E116" s="479"/>
      <c r="F116" s="491"/>
      <c r="G116" s="482" t="str">
        <f t="shared" ca="1" si="5"/>
        <v/>
      </c>
      <c r="H116" s="483" t="str">
        <f ca="1">IFERROR(IF(OR($C$11="",$C$11=0),"",IF(OR($D$11=0,$D$11=""),IF(NOT(ISNUMBER(INDEX($F$7:$F$1000,ROWS($I$7:I116)*$C$11))),"",$B$5+SUM(OFFSET($F$7,0,0,ROWS($I$7:I116)*$C$11))),IF(NOT(ISNUMBER(INDEX($F$7:$F$1000,ROUNDUP(ROWS($I$7:I116)/2,0)*$C$11))),"",IF(MOD(ROWS($I$7:I116),2)=1,IF(ISNUMBER($B$5),$B$5+SUM(OFFSET($F$7,0,0,ROUNDUP(ROWS($I$7:I116)/2,0)*$C$11))-SUM(OFFSET($F$7,(ROUNDUP(ROWS($I$7:I116)/2,0)*$C$11)-$C$11,0,$C$11))+$D$11,""),$B$5+SUM(OFFSET($F$7,0,0,ROUNDUP(ROWS($I$7:I116)/2,0)*$C$11)))))),"")</f>
        <v/>
      </c>
      <c r="I116" s="484"/>
      <c r="J116" s="492" t="str">
        <f>IF(F226="","",F225+F226)</f>
        <v/>
      </c>
      <c r="K116" s="484"/>
      <c r="L116" s="493" t="str">
        <f t="shared" si="3"/>
        <v/>
      </c>
      <c r="M116" s="484"/>
      <c r="N116" s="479"/>
      <c r="O116" s="484">
        <f>N117/2</f>
        <v>0</v>
      </c>
      <c r="P116" s="487">
        <f>O171</f>
        <v>0</v>
      </c>
      <c r="Q116" s="484"/>
      <c r="R116" s="492" t="str">
        <f>IF(P116=0,"",ROUNDUP(P116,2))</f>
        <v/>
      </c>
      <c r="S116" s="484"/>
      <c r="T116" s="493" t="str">
        <f t="shared" si="4"/>
        <v/>
      </c>
      <c r="U116" s="479"/>
      <c r="X116" s="6"/>
      <c r="Y116" s="6"/>
      <c r="Z116" s="6"/>
      <c r="AA116" s="6"/>
      <c r="AB116" s="6"/>
      <c r="AC116" s="6"/>
      <c r="AD116" s="6"/>
      <c r="AE116" s="6"/>
    </row>
    <row r="117" spans="2:31" x14ac:dyDescent="0.3">
      <c r="B117" s="479"/>
      <c r="C117" s="479"/>
      <c r="D117" s="479"/>
      <c r="E117" s="479"/>
      <c r="F117" s="491"/>
      <c r="G117" s="482" t="str">
        <f t="shared" ca="1" si="5"/>
        <v/>
      </c>
      <c r="H117" s="483" t="str">
        <f ca="1">IFERROR(IF(OR($C$11="",$C$11=0),"",IF(OR($D$11=0,$D$11=""),IF(NOT(ISNUMBER(INDEX($F$7:$F$1000,ROWS($I$7:I117)*$C$11))),"",$B$5+SUM(OFFSET($F$7,0,0,ROWS($I$7:I117)*$C$11))),IF(NOT(ISNUMBER(INDEX($F$7:$F$1000,ROUNDUP(ROWS($I$7:I117)/2,0)*$C$11))),"",IF(MOD(ROWS($I$7:I117),2)=1,IF(ISNUMBER($B$5),$B$5+SUM(OFFSET($F$7,0,0,ROUNDUP(ROWS($I$7:I117)/2,0)*$C$11))-SUM(OFFSET($F$7,(ROUNDUP(ROWS($I$7:I117)/2,0)*$C$11)-$C$11,0,$C$11))+$D$11,""),$B$5+SUM(OFFSET($F$7,0,0,ROUNDUP(ROWS($I$7:I117)/2,0)*$C$11)))))),"")</f>
        <v/>
      </c>
      <c r="I117" s="484"/>
      <c r="J117" s="492" t="str">
        <f>IF(F228="","",F227+F228)</f>
        <v/>
      </c>
      <c r="K117" s="484"/>
      <c r="L117" s="493" t="str">
        <f t="shared" si="3"/>
        <v/>
      </c>
      <c r="M117" s="484"/>
      <c r="N117" s="484">
        <f>F115+F116+F117</f>
        <v>0</v>
      </c>
      <c r="O117" s="484">
        <f>N117/2</f>
        <v>0</v>
      </c>
      <c r="P117" s="487">
        <f>O173</f>
        <v>0</v>
      </c>
      <c r="Q117" s="484"/>
      <c r="R117" s="494" t="str">
        <f>IF(P117=0,"",ROUNDDOWN(P117,2))</f>
        <v/>
      </c>
      <c r="S117" s="484"/>
      <c r="T117" s="495" t="str">
        <f t="shared" si="4"/>
        <v/>
      </c>
      <c r="U117" s="479"/>
      <c r="X117" s="6"/>
      <c r="Y117" s="6"/>
      <c r="Z117" s="6"/>
      <c r="AA117" s="6"/>
      <c r="AB117" s="6"/>
      <c r="AC117" s="6"/>
      <c r="AD117" s="6"/>
      <c r="AE117" s="6"/>
    </row>
    <row r="118" spans="2:31" x14ac:dyDescent="0.3">
      <c r="B118" s="479"/>
      <c r="C118" s="479"/>
      <c r="D118" s="479"/>
      <c r="E118" s="479"/>
      <c r="F118" s="491"/>
      <c r="G118" s="482" t="str">
        <f t="shared" ca="1" si="5"/>
        <v/>
      </c>
      <c r="H118" s="483" t="str">
        <f ca="1">IFERROR(IF(OR($C$11="",$C$11=0),"",IF(OR($D$11=0,$D$11=""),IF(NOT(ISNUMBER(INDEX($F$7:$F$1000,ROWS($I$7:I118)*$C$11))),"",$B$5+SUM(OFFSET($F$7,0,0,ROWS($I$7:I118)*$C$11))),IF(NOT(ISNUMBER(INDEX($F$7:$F$1000,ROUNDUP(ROWS($I$7:I118)/2,0)*$C$11))),"",IF(MOD(ROWS($I$7:I118),2)=1,IF(ISNUMBER($B$5),$B$5+SUM(OFFSET($F$7,0,0,ROUNDUP(ROWS($I$7:I118)/2,0)*$C$11))-SUM(OFFSET($F$7,(ROUNDUP(ROWS($I$7:I118)/2,0)*$C$11)-$C$11,0,$C$11))+$D$11,""),$B$5+SUM(OFFSET($F$7,0,0,ROUNDUP(ROWS($I$7:I118)/2,0)*$C$11)))))),"")</f>
        <v/>
      </c>
      <c r="I118" s="484"/>
      <c r="J118" s="492" t="str">
        <f>IF(F230="","",F229+F230)</f>
        <v/>
      </c>
      <c r="K118" s="484"/>
      <c r="L118" s="493" t="str">
        <f t="shared" si="3"/>
        <v/>
      </c>
      <c r="M118" s="484"/>
      <c r="N118" s="479"/>
      <c r="O118" s="484"/>
      <c r="P118" s="487">
        <f>O174</f>
        <v>0</v>
      </c>
      <c r="Q118" s="484"/>
      <c r="R118" s="492" t="str">
        <f>IF(P118=0,"",ROUNDUP(P118,2))</f>
        <v/>
      </c>
      <c r="S118" s="484"/>
      <c r="T118" s="493" t="str">
        <f t="shared" si="4"/>
        <v/>
      </c>
      <c r="U118" s="479"/>
      <c r="X118" s="6"/>
      <c r="Y118" s="6"/>
      <c r="Z118" s="6"/>
      <c r="AA118" s="6"/>
      <c r="AB118" s="6"/>
      <c r="AC118" s="6"/>
      <c r="AD118" s="6"/>
      <c r="AE118" s="6"/>
    </row>
    <row r="119" spans="2:31" x14ac:dyDescent="0.3">
      <c r="B119" s="479"/>
      <c r="C119" s="479"/>
      <c r="D119" s="479"/>
      <c r="E119" s="479"/>
      <c r="F119" s="491"/>
      <c r="G119" s="482" t="str">
        <f t="shared" ca="1" si="5"/>
        <v/>
      </c>
      <c r="H119" s="483" t="str">
        <f ca="1">IFERROR(IF(OR($C$11="",$C$11=0),"",IF(OR($D$11=0,$D$11=""),IF(NOT(ISNUMBER(INDEX($F$7:$F$1000,ROWS($I$7:I119)*$C$11))),"",$B$5+SUM(OFFSET($F$7,0,0,ROWS($I$7:I119)*$C$11))),IF(NOT(ISNUMBER(INDEX($F$7:$F$1000,ROUNDUP(ROWS($I$7:I119)/2,0)*$C$11))),"",IF(MOD(ROWS($I$7:I119),2)=1,IF(ISNUMBER($B$5),$B$5+SUM(OFFSET($F$7,0,0,ROUNDUP(ROWS($I$7:I119)/2,0)*$C$11))-SUM(OFFSET($F$7,(ROUNDUP(ROWS($I$7:I119)/2,0)*$C$11)-$C$11,0,$C$11))+$D$11,""),$B$5+SUM(OFFSET($F$7,0,0,ROUNDUP(ROWS($I$7:I119)/2,0)*$C$11)))))),"")</f>
        <v/>
      </c>
      <c r="I119" s="484"/>
      <c r="J119" s="492" t="str">
        <f>IF(F232="","",F231+F232)</f>
        <v/>
      </c>
      <c r="K119" s="484"/>
      <c r="L119" s="493" t="str">
        <f t="shared" si="3"/>
        <v/>
      </c>
      <c r="M119" s="484"/>
      <c r="N119" s="479"/>
      <c r="O119" s="484">
        <f>N120/2</f>
        <v>0</v>
      </c>
      <c r="P119" s="487">
        <f>O176</f>
        <v>0</v>
      </c>
      <c r="Q119" s="484"/>
      <c r="R119" s="494" t="str">
        <f>IF(P119=0,"",ROUNDDOWN(P119,2))</f>
        <v/>
      </c>
      <c r="S119" s="484"/>
      <c r="T119" s="495" t="str">
        <f t="shared" si="4"/>
        <v/>
      </c>
      <c r="U119" s="479"/>
      <c r="X119" s="6"/>
      <c r="Y119" s="6"/>
      <c r="Z119" s="6"/>
      <c r="AA119" s="6"/>
      <c r="AB119" s="6"/>
      <c r="AC119" s="6"/>
      <c r="AD119" s="6"/>
      <c r="AE119" s="6"/>
    </row>
    <row r="120" spans="2:31" x14ac:dyDescent="0.3">
      <c r="B120" s="479"/>
      <c r="C120" s="479"/>
      <c r="D120" s="479"/>
      <c r="E120" s="479"/>
      <c r="F120" s="491"/>
      <c r="G120" s="482" t="str">
        <f t="shared" ca="1" si="5"/>
        <v/>
      </c>
      <c r="H120" s="483" t="str">
        <f ca="1">IFERROR(IF(OR($C$11="",$C$11=0),"",IF(OR($D$11=0,$D$11=""),IF(NOT(ISNUMBER(INDEX($F$7:$F$1000,ROWS($I$7:I120)*$C$11))),"",$B$5+SUM(OFFSET($F$7,0,0,ROWS($I$7:I120)*$C$11))),IF(NOT(ISNUMBER(INDEX($F$7:$F$1000,ROUNDUP(ROWS($I$7:I120)/2,0)*$C$11))),"",IF(MOD(ROWS($I$7:I120),2)=1,IF(ISNUMBER($B$5),$B$5+SUM(OFFSET($F$7,0,0,ROUNDUP(ROWS($I$7:I120)/2,0)*$C$11))-SUM(OFFSET($F$7,(ROUNDUP(ROWS($I$7:I120)/2,0)*$C$11)-$C$11,0,$C$11))+$D$11,""),$B$5+SUM(OFFSET($F$7,0,0,ROUNDUP(ROWS($I$7:I120)/2,0)*$C$11)))))),"")</f>
        <v/>
      </c>
      <c r="I120" s="484"/>
      <c r="J120" s="492" t="str">
        <f>IF(F234="","",F233+F234)</f>
        <v/>
      </c>
      <c r="K120" s="484"/>
      <c r="L120" s="493" t="str">
        <f t="shared" si="3"/>
        <v/>
      </c>
      <c r="M120" s="484"/>
      <c r="N120" s="484">
        <f>F118+F119+F120</f>
        <v>0</v>
      </c>
      <c r="O120" s="484">
        <f>N120/2</f>
        <v>0</v>
      </c>
      <c r="P120" s="487">
        <f>O177</f>
        <v>0</v>
      </c>
      <c r="Q120" s="484"/>
      <c r="R120" s="492" t="str">
        <f>IF(P120=0,"",ROUNDUP(P120,2))</f>
        <v/>
      </c>
      <c r="S120" s="484"/>
      <c r="T120" s="493" t="str">
        <f t="shared" si="4"/>
        <v/>
      </c>
      <c r="U120" s="479"/>
      <c r="X120" s="6"/>
      <c r="Y120" s="6"/>
      <c r="Z120" s="6"/>
      <c r="AA120" s="6"/>
      <c r="AB120" s="6"/>
      <c r="AC120" s="6"/>
      <c r="AD120" s="6"/>
      <c r="AE120" s="6"/>
    </row>
    <row r="121" spans="2:31" x14ac:dyDescent="0.3">
      <c r="B121" s="479"/>
      <c r="C121" s="479"/>
      <c r="D121" s="479"/>
      <c r="E121" s="479"/>
      <c r="F121" s="491"/>
      <c r="G121" s="482" t="str">
        <f t="shared" ca="1" si="5"/>
        <v/>
      </c>
      <c r="H121" s="483" t="str">
        <f ca="1">IFERROR(IF(OR($C$11="",$C$11=0),"",IF(OR($D$11=0,$D$11=""),IF(NOT(ISNUMBER(INDEX($F$7:$F$1000,ROWS($I$7:I121)*$C$11))),"",$B$5+SUM(OFFSET($F$7,0,0,ROWS($I$7:I121)*$C$11))),IF(NOT(ISNUMBER(INDEX($F$7:$F$1000,ROUNDUP(ROWS($I$7:I121)/2,0)*$C$11))),"",IF(MOD(ROWS($I$7:I121),2)=1,IF(ISNUMBER($B$5),$B$5+SUM(OFFSET($F$7,0,0,ROUNDUP(ROWS($I$7:I121)/2,0)*$C$11))-SUM(OFFSET($F$7,(ROUNDUP(ROWS($I$7:I121)/2,0)*$C$11)-$C$11,0,$C$11))+$D$11,""),$B$5+SUM(OFFSET($F$7,0,0,ROUNDUP(ROWS($I$7:I121)/2,0)*$C$11)))))),"")</f>
        <v/>
      </c>
      <c r="I121" s="484"/>
      <c r="J121" s="492" t="str">
        <f>IF(F236="","",F235+F236)</f>
        <v/>
      </c>
      <c r="K121" s="484"/>
      <c r="L121" s="493" t="str">
        <f t="shared" si="3"/>
        <v/>
      </c>
      <c r="M121" s="484"/>
      <c r="N121" s="479"/>
      <c r="O121" s="484"/>
      <c r="P121" s="487">
        <f>O179</f>
        <v>0</v>
      </c>
      <c r="Q121" s="484"/>
      <c r="R121" s="494" t="str">
        <f>IF(P121=0,"",ROUNDDOWN(P121,2))</f>
        <v/>
      </c>
      <c r="S121" s="484"/>
      <c r="T121" s="495" t="str">
        <f t="shared" si="4"/>
        <v/>
      </c>
      <c r="U121" s="479"/>
      <c r="X121" s="6"/>
      <c r="Y121" s="6"/>
      <c r="Z121" s="6"/>
      <c r="AA121" s="6"/>
      <c r="AB121" s="6"/>
      <c r="AC121" s="6"/>
      <c r="AD121" s="6"/>
      <c r="AE121" s="6"/>
    </row>
    <row r="122" spans="2:31" x14ac:dyDescent="0.3">
      <c r="B122" s="479"/>
      <c r="C122" s="479"/>
      <c r="D122" s="479"/>
      <c r="E122" s="479"/>
      <c r="F122" s="491"/>
      <c r="G122" s="482" t="str">
        <f t="shared" ca="1" si="5"/>
        <v/>
      </c>
      <c r="H122" s="483" t="str">
        <f ca="1">IFERROR(IF(OR($C$11="",$C$11=0),"",IF(OR($D$11=0,$D$11=""),IF(NOT(ISNUMBER(INDEX($F$7:$F$1000,ROWS($I$7:I122)*$C$11))),"",$B$5+SUM(OFFSET($F$7,0,0,ROWS($I$7:I122)*$C$11))),IF(NOT(ISNUMBER(INDEX($F$7:$F$1000,ROUNDUP(ROWS($I$7:I122)/2,0)*$C$11))),"",IF(MOD(ROWS($I$7:I122),2)=1,IF(ISNUMBER($B$5),$B$5+SUM(OFFSET($F$7,0,0,ROUNDUP(ROWS($I$7:I122)/2,0)*$C$11))-SUM(OFFSET($F$7,(ROUNDUP(ROWS($I$7:I122)/2,0)*$C$11)-$C$11,0,$C$11))+$D$11,""),$B$5+SUM(OFFSET($F$7,0,0,ROUNDUP(ROWS($I$7:I122)/2,0)*$C$11)))))),"")</f>
        <v/>
      </c>
      <c r="I122" s="484"/>
      <c r="J122" s="492" t="str">
        <f>IF(F238="","",F237+F238)</f>
        <v/>
      </c>
      <c r="K122" s="484"/>
      <c r="L122" s="493" t="str">
        <f t="shared" si="3"/>
        <v/>
      </c>
      <c r="M122" s="484"/>
      <c r="N122" s="479"/>
      <c r="O122" s="484">
        <f>N123/2</f>
        <v>0</v>
      </c>
      <c r="P122" s="487">
        <f>O180</f>
        <v>0</v>
      </c>
      <c r="Q122" s="484"/>
      <c r="R122" s="492" t="str">
        <f>IF(P122=0,"",ROUNDUP(P122,2))</f>
        <v/>
      </c>
      <c r="S122" s="484"/>
      <c r="T122" s="493" t="str">
        <f t="shared" si="4"/>
        <v/>
      </c>
      <c r="U122" s="479"/>
      <c r="X122" s="6"/>
      <c r="Y122" s="6"/>
      <c r="Z122" s="6"/>
      <c r="AA122" s="6"/>
      <c r="AB122" s="6"/>
      <c r="AC122" s="6"/>
      <c r="AD122" s="6"/>
      <c r="AE122" s="6"/>
    </row>
    <row r="123" spans="2:31" x14ac:dyDescent="0.3">
      <c r="B123" s="479"/>
      <c r="C123" s="479"/>
      <c r="D123" s="479"/>
      <c r="E123" s="479"/>
      <c r="F123" s="491"/>
      <c r="G123" s="482" t="str">
        <f t="shared" ca="1" si="5"/>
        <v/>
      </c>
      <c r="H123" s="483" t="str">
        <f ca="1">IFERROR(IF(OR($C$11="",$C$11=0),"",IF(OR($D$11=0,$D$11=""),IF(NOT(ISNUMBER(INDEX($F$7:$F$1000,ROWS($I$7:I123)*$C$11))),"",$B$5+SUM(OFFSET($F$7,0,0,ROWS($I$7:I123)*$C$11))),IF(NOT(ISNUMBER(INDEX($F$7:$F$1000,ROUNDUP(ROWS($I$7:I123)/2,0)*$C$11))),"",IF(MOD(ROWS($I$7:I123),2)=1,IF(ISNUMBER($B$5),$B$5+SUM(OFFSET($F$7,0,0,ROUNDUP(ROWS($I$7:I123)/2,0)*$C$11))-SUM(OFFSET($F$7,(ROUNDUP(ROWS($I$7:I123)/2,0)*$C$11)-$C$11,0,$C$11))+$D$11,""),$B$5+SUM(OFFSET($F$7,0,0,ROUNDUP(ROWS($I$7:I123)/2,0)*$C$11)))))),"")</f>
        <v/>
      </c>
      <c r="I123" s="484"/>
      <c r="J123" s="492" t="str">
        <f>IF(F240="","",F239+F240)</f>
        <v/>
      </c>
      <c r="K123" s="484"/>
      <c r="L123" s="493" t="str">
        <f t="shared" si="3"/>
        <v/>
      </c>
      <c r="M123" s="484"/>
      <c r="N123" s="484">
        <f>F121+F122+F123</f>
        <v>0</v>
      </c>
      <c r="O123" s="484">
        <f>N123/2</f>
        <v>0</v>
      </c>
      <c r="P123" s="487">
        <f>O182</f>
        <v>0</v>
      </c>
      <c r="Q123" s="484"/>
      <c r="R123" s="494" t="str">
        <f>IF(P123=0,"",ROUNDDOWN(P123,2))</f>
        <v/>
      </c>
      <c r="S123" s="484"/>
      <c r="T123" s="495" t="str">
        <f t="shared" si="4"/>
        <v/>
      </c>
      <c r="U123" s="479"/>
      <c r="X123" s="6"/>
      <c r="Y123" s="6"/>
      <c r="Z123" s="6"/>
      <c r="AA123" s="6"/>
      <c r="AB123" s="6"/>
      <c r="AC123" s="6"/>
      <c r="AD123" s="6"/>
      <c r="AE123" s="6"/>
    </row>
    <row r="124" spans="2:31" x14ac:dyDescent="0.3">
      <c r="B124" s="479"/>
      <c r="C124" s="479"/>
      <c r="D124" s="479"/>
      <c r="E124" s="479"/>
      <c r="F124" s="491"/>
      <c r="G124" s="482" t="str">
        <f t="shared" ca="1" si="5"/>
        <v/>
      </c>
      <c r="H124" s="483" t="str">
        <f ca="1">IFERROR(IF(OR($C$11="",$C$11=0),"",IF(OR($D$11=0,$D$11=""),IF(NOT(ISNUMBER(INDEX($F$7:$F$1000,ROWS($I$7:I124)*$C$11))),"",$B$5+SUM(OFFSET($F$7,0,0,ROWS($I$7:I124)*$C$11))),IF(NOT(ISNUMBER(INDEX($F$7:$F$1000,ROUNDUP(ROWS($I$7:I124)/2,0)*$C$11))),"",IF(MOD(ROWS($I$7:I124),2)=1,IF(ISNUMBER($B$5),$B$5+SUM(OFFSET($F$7,0,0,ROUNDUP(ROWS($I$7:I124)/2,0)*$C$11))-SUM(OFFSET($F$7,(ROUNDUP(ROWS($I$7:I124)/2,0)*$C$11)-$C$11,0,$C$11))+$D$11,""),$B$5+SUM(OFFSET($F$7,0,0,ROUNDUP(ROWS($I$7:I124)/2,0)*$C$11)))))),"")</f>
        <v/>
      </c>
      <c r="I124" s="484"/>
      <c r="J124" s="492" t="str">
        <f>IF(F242="","",F241+F242)</f>
        <v/>
      </c>
      <c r="K124" s="484"/>
      <c r="L124" s="493" t="str">
        <f t="shared" si="3"/>
        <v/>
      </c>
      <c r="M124" s="484"/>
      <c r="N124" s="479"/>
      <c r="O124" s="484"/>
      <c r="P124" s="487">
        <f>O183</f>
        <v>0</v>
      </c>
      <c r="Q124" s="484"/>
      <c r="R124" s="492" t="str">
        <f>IF(P124=0,"",ROUNDUP(P124,2))</f>
        <v/>
      </c>
      <c r="S124" s="484"/>
      <c r="T124" s="493" t="str">
        <f t="shared" si="4"/>
        <v/>
      </c>
      <c r="U124" s="479"/>
      <c r="X124" s="6"/>
      <c r="Y124" s="6"/>
      <c r="Z124" s="6"/>
      <c r="AA124" s="6"/>
      <c r="AB124" s="6"/>
      <c r="AC124" s="6"/>
      <c r="AD124" s="6"/>
      <c r="AE124" s="6"/>
    </row>
    <row r="125" spans="2:31" x14ac:dyDescent="0.3">
      <c r="B125" s="479"/>
      <c r="C125" s="479"/>
      <c r="D125" s="479"/>
      <c r="E125" s="479"/>
      <c r="F125" s="491"/>
      <c r="G125" s="482" t="str">
        <f t="shared" ca="1" si="5"/>
        <v/>
      </c>
      <c r="H125" s="483" t="str">
        <f ca="1">IFERROR(IF(OR($C$11="",$C$11=0),"",IF(OR($D$11=0,$D$11=""),IF(NOT(ISNUMBER(INDEX($F$7:$F$1000,ROWS($I$7:I125)*$C$11))),"",$B$5+SUM(OFFSET($F$7,0,0,ROWS($I$7:I125)*$C$11))),IF(NOT(ISNUMBER(INDEX($F$7:$F$1000,ROUNDUP(ROWS($I$7:I125)/2,0)*$C$11))),"",IF(MOD(ROWS($I$7:I125),2)=1,IF(ISNUMBER($B$5),$B$5+SUM(OFFSET($F$7,0,0,ROUNDUP(ROWS($I$7:I125)/2,0)*$C$11))-SUM(OFFSET($F$7,(ROUNDUP(ROWS($I$7:I125)/2,0)*$C$11)-$C$11,0,$C$11))+$D$11,""),$B$5+SUM(OFFSET($F$7,0,0,ROUNDUP(ROWS($I$7:I125)/2,0)*$C$11)))))),"")</f>
        <v/>
      </c>
      <c r="I125" s="484"/>
      <c r="J125" s="492" t="str">
        <f>IF(F244="","",F243+F244)</f>
        <v/>
      </c>
      <c r="K125" s="484"/>
      <c r="L125" s="493" t="str">
        <f t="shared" si="3"/>
        <v/>
      </c>
      <c r="M125" s="484"/>
      <c r="N125" s="479"/>
      <c r="O125" s="484">
        <f>N126/2</f>
        <v>0</v>
      </c>
      <c r="P125" s="487">
        <f>O185</f>
        <v>0</v>
      </c>
      <c r="Q125" s="484"/>
      <c r="R125" s="494" t="str">
        <f>IF(P125=0,"",ROUNDDOWN(P125,2))</f>
        <v/>
      </c>
      <c r="S125" s="484"/>
      <c r="T125" s="495" t="str">
        <f t="shared" si="4"/>
        <v/>
      </c>
      <c r="U125" s="479"/>
      <c r="X125" s="6"/>
      <c r="Y125" s="6"/>
      <c r="Z125" s="6"/>
      <c r="AA125" s="6"/>
      <c r="AB125" s="6"/>
      <c r="AC125" s="6"/>
      <c r="AD125" s="6"/>
      <c r="AE125" s="6"/>
    </row>
    <row r="126" spans="2:31" x14ac:dyDescent="0.3">
      <c r="B126" s="479"/>
      <c r="C126" s="479"/>
      <c r="D126" s="479"/>
      <c r="E126" s="479"/>
      <c r="F126" s="491"/>
      <c r="G126" s="482" t="str">
        <f t="shared" ca="1" si="5"/>
        <v/>
      </c>
      <c r="H126" s="483" t="str">
        <f ca="1">IFERROR(IF(OR($C$11="",$C$11=0),"",IF(OR($D$11=0,$D$11=""),IF(NOT(ISNUMBER(INDEX($F$7:$F$1000,ROWS($I$7:I126)*$C$11))),"",$B$5+SUM(OFFSET($F$7,0,0,ROWS($I$7:I126)*$C$11))),IF(NOT(ISNUMBER(INDEX($F$7:$F$1000,ROUNDUP(ROWS($I$7:I126)/2,0)*$C$11))),"",IF(MOD(ROWS($I$7:I126),2)=1,IF(ISNUMBER($B$5),$B$5+SUM(OFFSET($F$7,0,0,ROUNDUP(ROWS($I$7:I126)/2,0)*$C$11))-SUM(OFFSET($F$7,(ROUNDUP(ROWS($I$7:I126)/2,0)*$C$11)-$C$11,0,$C$11))+$D$11,""),$B$5+SUM(OFFSET($F$7,0,0,ROUNDUP(ROWS($I$7:I126)/2,0)*$C$11)))))),"")</f>
        <v/>
      </c>
      <c r="I126" s="484"/>
      <c r="J126" s="492" t="str">
        <f>IF(F246="","",F245+F246)</f>
        <v/>
      </c>
      <c r="K126" s="484"/>
      <c r="L126" s="493" t="str">
        <f t="shared" si="3"/>
        <v/>
      </c>
      <c r="M126" s="484"/>
      <c r="N126" s="484">
        <f>F124+F125+F126</f>
        <v>0</v>
      </c>
      <c r="O126" s="484">
        <f>N126/2</f>
        <v>0</v>
      </c>
      <c r="P126" s="487">
        <f>O186</f>
        <v>0</v>
      </c>
      <c r="Q126" s="484"/>
      <c r="R126" s="492" t="str">
        <f>IF(P126=0,"",ROUNDUP(P126,2))</f>
        <v/>
      </c>
      <c r="S126" s="484"/>
      <c r="T126" s="493" t="str">
        <f t="shared" si="4"/>
        <v/>
      </c>
      <c r="U126" s="479"/>
      <c r="X126" s="6"/>
      <c r="Y126" s="6"/>
      <c r="Z126" s="6"/>
      <c r="AA126" s="6"/>
      <c r="AB126" s="6"/>
      <c r="AC126" s="6"/>
      <c r="AD126" s="6"/>
      <c r="AE126" s="6"/>
    </row>
    <row r="127" spans="2:31" x14ac:dyDescent="0.3">
      <c r="B127" s="479"/>
      <c r="C127" s="479"/>
      <c r="D127" s="479"/>
      <c r="E127" s="479"/>
      <c r="F127" s="491"/>
      <c r="G127" s="482" t="str">
        <f t="shared" ca="1" si="5"/>
        <v/>
      </c>
      <c r="H127" s="483" t="str">
        <f ca="1">IFERROR(IF(OR($C$11="",$C$11=0),"",IF(OR($D$11=0,$D$11=""),IF(NOT(ISNUMBER(INDEX($F$7:$F$1000,ROWS($I$7:I127)*$C$11))),"",$B$5+SUM(OFFSET($F$7,0,0,ROWS($I$7:I127)*$C$11))),IF(NOT(ISNUMBER(INDEX($F$7:$F$1000,ROUNDUP(ROWS($I$7:I127)/2,0)*$C$11))),"",IF(MOD(ROWS($I$7:I127),2)=1,IF(ISNUMBER($B$5),$B$5+SUM(OFFSET($F$7,0,0,ROUNDUP(ROWS($I$7:I127)/2,0)*$C$11))-SUM(OFFSET($F$7,(ROUNDUP(ROWS($I$7:I127)/2,0)*$C$11)-$C$11,0,$C$11))+$D$11,""),$B$5+SUM(OFFSET($F$7,0,0,ROUNDUP(ROWS($I$7:I127)/2,0)*$C$11)))))),"")</f>
        <v/>
      </c>
      <c r="I127" s="484"/>
      <c r="J127" s="492" t="str">
        <f>IF(F248="","",F247+F248)</f>
        <v/>
      </c>
      <c r="K127" s="484"/>
      <c r="L127" s="493" t="str">
        <f t="shared" si="3"/>
        <v/>
      </c>
      <c r="M127" s="484"/>
      <c r="N127" s="479"/>
      <c r="O127" s="484"/>
      <c r="P127" s="487">
        <f>O188</f>
        <v>0</v>
      </c>
      <c r="Q127" s="484"/>
      <c r="R127" s="494" t="str">
        <f>IF(P127=0,"",ROUNDDOWN(P127,2))</f>
        <v/>
      </c>
      <c r="S127" s="484"/>
      <c r="T127" s="495" t="str">
        <f t="shared" si="4"/>
        <v/>
      </c>
      <c r="U127" s="479"/>
      <c r="X127" s="6"/>
      <c r="Y127" s="6"/>
      <c r="Z127" s="6"/>
      <c r="AA127" s="6"/>
      <c r="AB127" s="6"/>
      <c r="AC127" s="6"/>
      <c r="AD127" s="6"/>
      <c r="AE127" s="6"/>
    </row>
    <row r="128" spans="2:31" x14ac:dyDescent="0.3">
      <c r="B128" s="479"/>
      <c r="C128" s="479"/>
      <c r="D128" s="479"/>
      <c r="E128" s="479"/>
      <c r="F128" s="491"/>
      <c r="G128" s="482" t="str">
        <f t="shared" ca="1" si="5"/>
        <v/>
      </c>
      <c r="H128" s="483" t="str">
        <f ca="1">IFERROR(IF(OR($C$11="",$C$11=0),"",IF(OR($D$11=0,$D$11=""),IF(NOT(ISNUMBER(INDEX($F$7:$F$1000,ROWS($I$7:I128)*$C$11))),"",$B$5+SUM(OFFSET($F$7,0,0,ROWS($I$7:I128)*$C$11))),IF(NOT(ISNUMBER(INDEX($F$7:$F$1000,ROUNDUP(ROWS($I$7:I128)/2,0)*$C$11))),"",IF(MOD(ROWS($I$7:I128),2)=1,IF(ISNUMBER($B$5),$B$5+SUM(OFFSET($F$7,0,0,ROUNDUP(ROWS($I$7:I128)/2,0)*$C$11))-SUM(OFFSET($F$7,(ROUNDUP(ROWS($I$7:I128)/2,0)*$C$11)-$C$11,0,$C$11))+$D$11,""),$B$5+SUM(OFFSET($F$7,0,0,ROUNDUP(ROWS($I$7:I128)/2,0)*$C$11)))))),"")</f>
        <v/>
      </c>
      <c r="I128" s="484"/>
      <c r="J128" s="492" t="str">
        <f>IF(F250="","",F249+F250)</f>
        <v/>
      </c>
      <c r="K128" s="484"/>
      <c r="L128" s="493" t="str">
        <f t="shared" si="3"/>
        <v/>
      </c>
      <c r="M128" s="484"/>
      <c r="N128" s="479"/>
      <c r="O128" s="484">
        <f>N129/2</f>
        <v>0</v>
      </c>
      <c r="P128" s="487">
        <f>O189</f>
        <v>0</v>
      </c>
      <c r="Q128" s="484"/>
      <c r="R128" s="492" t="str">
        <f>IF(P128=0,"",ROUNDUP(P128,2))</f>
        <v/>
      </c>
      <c r="S128" s="484"/>
      <c r="T128" s="493" t="str">
        <f t="shared" si="4"/>
        <v/>
      </c>
      <c r="U128" s="479"/>
      <c r="X128" s="6"/>
      <c r="Y128" s="6"/>
      <c r="Z128" s="6"/>
      <c r="AA128" s="6"/>
      <c r="AB128" s="6"/>
      <c r="AC128" s="6"/>
      <c r="AD128" s="6"/>
      <c r="AE128" s="6"/>
    </row>
    <row r="129" spans="2:31" x14ac:dyDescent="0.3">
      <c r="B129" s="479"/>
      <c r="C129" s="479"/>
      <c r="D129" s="479"/>
      <c r="E129" s="479"/>
      <c r="F129" s="491"/>
      <c r="G129" s="482" t="str">
        <f t="shared" ca="1" si="5"/>
        <v/>
      </c>
      <c r="H129" s="483" t="str">
        <f ca="1">IFERROR(IF(OR($C$11="",$C$11=0),"",IF(OR($D$11=0,$D$11=""),IF(NOT(ISNUMBER(INDEX($F$7:$F$1000,ROWS($I$7:I129)*$C$11))),"",$B$5+SUM(OFFSET($F$7,0,0,ROWS($I$7:I129)*$C$11))),IF(NOT(ISNUMBER(INDEX($F$7:$F$1000,ROUNDUP(ROWS($I$7:I129)/2,0)*$C$11))),"",IF(MOD(ROWS($I$7:I129),2)=1,IF(ISNUMBER($B$5),$B$5+SUM(OFFSET($F$7,0,0,ROUNDUP(ROWS($I$7:I129)/2,0)*$C$11))-SUM(OFFSET($F$7,(ROUNDUP(ROWS($I$7:I129)/2,0)*$C$11)-$C$11,0,$C$11))+$D$11,""),$B$5+SUM(OFFSET($F$7,0,0,ROUNDUP(ROWS($I$7:I129)/2,0)*$C$11)))))),"")</f>
        <v/>
      </c>
      <c r="I129" s="484"/>
      <c r="J129" s="492" t="str">
        <f>IF(F252="","",F251+F252)</f>
        <v/>
      </c>
      <c r="K129" s="484"/>
      <c r="L129" s="493" t="str">
        <f t="shared" si="3"/>
        <v/>
      </c>
      <c r="M129" s="484"/>
      <c r="N129" s="484">
        <f>F127+F128+F129</f>
        <v>0</v>
      </c>
      <c r="O129" s="484">
        <f>N129/2</f>
        <v>0</v>
      </c>
      <c r="P129" s="487">
        <f>O191</f>
        <v>0</v>
      </c>
      <c r="Q129" s="484"/>
      <c r="R129" s="494" t="str">
        <f>IF(P129=0,"",ROUNDDOWN(P129,2))</f>
        <v/>
      </c>
      <c r="S129" s="484"/>
      <c r="T129" s="495" t="str">
        <f t="shared" si="4"/>
        <v/>
      </c>
      <c r="U129" s="479"/>
      <c r="X129" s="6"/>
      <c r="Y129" s="6"/>
      <c r="Z129" s="6"/>
      <c r="AA129" s="6"/>
      <c r="AB129" s="6"/>
      <c r="AC129" s="6"/>
      <c r="AD129" s="6"/>
      <c r="AE129" s="6"/>
    </row>
    <row r="130" spans="2:31" x14ac:dyDescent="0.3">
      <c r="B130" s="479"/>
      <c r="C130" s="479"/>
      <c r="D130" s="479"/>
      <c r="E130" s="479"/>
      <c r="F130" s="491"/>
      <c r="G130" s="482" t="str">
        <f t="shared" ca="1" si="5"/>
        <v/>
      </c>
      <c r="H130" s="483" t="str">
        <f ca="1">IFERROR(IF(OR($C$11="",$C$11=0),"",IF(OR($D$11=0,$D$11=""),IF(NOT(ISNUMBER(INDEX($F$7:$F$1000,ROWS($I$7:I130)*$C$11))),"",$B$5+SUM(OFFSET($F$7,0,0,ROWS($I$7:I130)*$C$11))),IF(NOT(ISNUMBER(INDEX($F$7:$F$1000,ROUNDUP(ROWS($I$7:I130)/2,0)*$C$11))),"",IF(MOD(ROWS($I$7:I130),2)=1,IF(ISNUMBER($B$5),$B$5+SUM(OFFSET($F$7,0,0,ROUNDUP(ROWS($I$7:I130)/2,0)*$C$11))-SUM(OFFSET($F$7,(ROUNDUP(ROWS($I$7:I130)/2,0)*$C$11)-$C$11,0,$C$11))+$D$11,""),$B$5+SUM(OFFSET($F$7,0,0,ROUNDUP(ROWS($I$7:I130)/2,0)*$C$11)))))),"")</f>
        <v/>
      </c>
      <c r="I130" s="484"/>
      <c r="J130" s="492" t="str">
        <f>IF(F254="","",F253+F254)</f>
        <v/>
      </c>
      <c r="K130" s="484"/>
      <c r="L130" s="493" t="str">
        <f t="shared" si="3"/>
        <v/>
      </c>
      <c r="M130" s="484"/>
      <c r="N130" s="479"/>
      <c r="O130" s="484"/>
      <c r="P130" s="487">
        <f>O192</f>
        <v>0</v>
      </c>
      <c r="Q130" s="484"/>
      <c r="R130" s="492" t="str">
        <f>IF(P130=0,"",ROUNDUP(P130,2))</f>
        <v/>
      </c>
      <c r="S130" s="484"/>
      <c r="T130" s="493" t="str">
        <f t="shared" si="4"/>
        <v/>
      </c>
      <c r="U130" s="479"/>
      <c r="X130" s="6"/>
      <c r="Y130" s="6"/>
      <c r="Z130" s="6"/>
      <c r="AA130" s="6"/>
      <c r="AB130" s="6"/>
      <c r="AC130" s="6"/>
      <c r="AD130" s="6"/>
      <c r="AE130" s="6"/>
    </row>
    <row r="131" spans="2:31" x14ac:dyDescent="0.3">
      <c r="B131" s="479"/>
      <c r="C131" s="479"/>
      <c r="D131" s="479"/>
      <c r="E131" s="479"/>
      <c r="F131" s="491"/>
      <c r="G131" s="482" t="str">
        <f t="shared" ca="1" si="5"/>
        <v/>
      </c>
      <c r="H131" s="483" t="str">
        <f ca="1">IFERROR(IF(OR($C$11="",$C$11=0),"",IF(OR($D$11=0,$D$11=""),IF(NOT(ISNUMBER(INDEX($F$7:$F$1000,ROWS($I$7:I131)*$C$11))),"",$B$5+SUM(OFFSET($F$7,0,0,ROWS($I$7:I131)*$C$11))),IF(NOT(ISNUMBER(INDEX($F$7:$F$1000,ROUNDUP(ROWS($I$7:I131)/2,0)*$C$11))),"",IF(MOD(ROWS($I$7:I131),2)=1,IF(ISNUMBER($B$5),$B$5+SUM(OFFSET($F$7,0,0,ROUNDUP(ROWS($I$7:I131)/2,0)*$C$11))-SUM(OFFSET($F$7,(ROUNDUP(ROWS($I$7:I131)/2,0)*$C$11)-$C$11,0,$C$11))+$D$11,""),$B$5+SUM(OFFSET($F$7,0,0,ROUNDUP(ROWS($I$7:I131)/2,0)*$C$11)))))),"")</f>
        <v/>
      </c>
      <c r="I131" s="484"/>
      <c r="J131" s="492" t="str">
        <f>IF(F256="","",F255+F256)</f>
        <v/>
      </c>
      <c r="K131" s="484"/>
      <c r="L131" s="493" t="str">
        <f t="shared" si="3"/>
        <v/>
      </c>
      <c r="M131" s="484"/>
      <c r="N131" s="479"/>
      <c r="O131" s="484">
        <f>N132/2</f>
        <v>0</v>
      </c>
      <c r="P131" s="487">
        <f>O194</f>
        <v>0</v>
      </c>
      <c r="Q131" s="484"/>
      <c r="R131" s="494" t="str">
        <f>IF(P131=0,"",ROUNDDOWN(P131,2))</f>
        <v/>
      </c>
      <c r="S131" s="484"/>
      <c r="T131" s="495" t="str">
        <f t="shared" si="4"/>
        <v/>
      </c>
      <c r="U131" s="479"/>
      <c r="X131" s="6"/>
      <c r="Y131" s="6"/>
      <c r="Z131" s="6"/>
      <c r="AA131" s="6"/>
      <c r="AB131" s="6"/>
      <c r="AC131" s="6"/>
      <c r="AD131" s="6"/>
      <c r="AE131" s="6"/>
    </row>
    <row r="132" spans="2:31" x14ac:dyDescent="0.3">
      <c r="B132" s="479"/>
      <c r="C132" s="479"/>
      <c r="D132" s="479"/>
      <c r="E132" s="479"/>
      <c r="F132" s="491"/>
      <c r="G132" s="482" t="str">
        <f t="shared" ca="1" si="5"/>
        <v/>
      </c>
      <c r="H132" s="483" t="str">
        <f ca="1">IFERROR(IF(OR($C$11="",$C$11=0),"",IF(OR($D$11=0,$D$11=""),IF(NOT(ISNUMBER(INDEX($F$7:$F$1000,ROWS($I$7:I132)*$C$11))),"",$B$5+SUM(OFFSET($F$7,0,0,ROWS($I$7:I132)*$C$11))),IF(NOT(ISNUMBER(INDEX($F$7:$F$1000,ROUNDUP(ROWS($I$7:I132)/2,0)*$C$11))),"",IF(MOD(ROWS($I$7:I132),2)=1,IF(ISNUMBER($B$5),$B$5+SUM(OFFSET($F$7,0,0,ROUNDUP(ROWS($I$7:I132)/2,0)*$C$11))-SUM(OFFSET($F$7,(ROUNDUP(ROWS($I$7:I132)/2,0)*$C$11)-$C$11,0,$C$11))+$D$11,""),$B$5+SUM(OFFSET($F$7,0,0,ROUNDUP(ROWS($I$7:I132)/2,0)*$C$11)))))),"")</f>
        <v/>
      </c>
      <c r="I132" s="484"/>
      <c r="J132" s="492" t="str">
        <f>IF(F258="","",F257+F258)</f>
        <v/>
      </c>
      <c r="K132" s="484"/>
      <c r="L132" s="493" t="str">
        <f t="shared" si="3"/>
        <v/>
      </c>
      <c r="M132" s="484"/>
      <c r="N132" s="484">
        <f>F130+F131+F132</f>
        <v>0</v>
      </c>
      <c r="O132" s="484">
        <f>N132/2</f>
        <v>0</v>
      </c>
      <c r="P132" s="487">
        <f>O195</f>
        <v>0</v>
      </c>
      <c r="Q132" s="484"/>
      <c r="R132" s="492" t="str">
        <f>IF(P132=0,"",ROUNDUP(P132,2))</f>
        <v/>
      </c>
      <c r="S132" s="484"/>
      <c r="T132" s="493" t="str">
        <f t="shared" si="4"/>
        <v/>
      </c>
      <c r="U132" s="479"/>
      <c r="X132" s="6"/>
      <c r="Y132" s="6"/>
      <c r="Z132" s="6"/>
      <c r="AA132" s="6"/>
      <c r="AB132" s="6"/>
      <c r="AC132" s="6"/>
      <c r="AD132" s="6"/>
      <c r="AE132" s="6"/>
    </row>
    <row r="133" spans="2:31" x14ac:dyDescent="0.3">
      <c r="B133" s="479"/>
      <c r="C133" s="479"/>
      <c r="D133" s="479"/>
      <c r="E133" s="479"/>
      <c r="F133" s="491"/>
      <c r="G133" s="482" t="str">
        <f t="shared" ca="1" si="5"/>
        <v/>
      </c>
      <c r="H133" s="483" t="str">
        <f ca="1">IFERROR(IF(OR($C$11="",$C$11=0),"",IF(OR($D$11=0,$D$11=""),IF(NOT(ISNUMBER(INDEX($F$7:$F$1000,ROWS($I$7:I133)*$C$11))),"",$B$5+SUM(OFFSET($F$7,0,0,ROWS($I$7:I133)*$C$11))),IF(NOT(ISNUMBER(INDEX($F$7:$F$1000,ROUNDUP(ROWS($I$7:I133)/2,0)*$C$11))),"",IF(MOD(ROWS($I$7:I133),2)=1,IF(ISNUMBER($B$5),$B$5+SUM(OFFSET($F$7,0,0,ROUNDUP(ROWS($I$7:I133)/2,0)*$C$11))-SUM(OFFSET($F$7,(ROUNDUP(ROWS($I$7:I133)/2,0)*$C$11)-$C$11,0,$C$11))+$D$11,""),$B$5+SUM(OFFSET($F$7,0,0,ROUNDUP(ROWS($I$7:I133)/2,0)*$C$11)))))),"")</f>
        <v/>
      </c>
      <c r="I133" s="484"/>
      <c r="J133" s="492" t="str">
        <f>IF(F260="","",F259+F260)</f>
        <v/>
      </c>
      <c r="K133" s="484"/>
      <c r="L133" s="493" t="str">
        <f t="shared" si="3"/>
        <v/>
      </c>
      <c r="M133" s="484"/>
      <c r="N133" s="479"/>
      <c r="O133" s="484"/>
      <c r="P133" s="487">
        <f>O197</f>
        <v>0</v>
      </c>
      <c r="Q133" s="484"/>
      <c r="R133" s="494" t="str">
        <f>IF(P133=0,"",ROUNDDOWN(P133,2))</f>
        <v/>
      </c>
      <c r="S133" s="484"/>
      <c r="T133" s="495" t="str">
        <f t="shared" si="4"/>
        <v/>
      </c>
      <c r="U133" s="479"/>
      <c r="X133" s="6"/>
      <c r="Y133" s="6"/>
      <c r="Z133" s="6"/>
      <c r="AA133" s="6"/>
      <c r="AB133" s="6"/>
      <c r="AC133" s="6"/>
      <c r="AD133" s="6"/>
      <c r="AE133" s="6"/>
    </row>
    <row r="134" spans="2:31" x14ac:dyDescent="0.3">
      <c r="B134" s="479"/>
      <c r="C134" s="479"/>
      <c r="D134" s="479"/>
      <c r="E134" s="479"/>
      <c r="F134" s="491"/>
      <c r="G134" s="482" t="str">
        <f t="shared" ca="1" si="5"/>
        <v/>
      </c>
      <c r="H134" s="483" t="str">
        <f ca="1">IFERROR(IF(OR($C$11="",$C$11=0),"",IF(OR($D$11=0,$D$11=""),IF(NOT(ISNUMBER(INDEX($F$7:$F$1000,ROWS($I$7:I134)*$C$11))),"",$B$5+SUM(OFFSET($F$7,0,0,ROWS($I$7:I134)*$C$11))),IF(NOT(ISNUMBER(INDEX($F$7:$F$1000,ROUNDUP(ROWS($I$7:I134)/2,0)*$C$11))),"",IF(MOD(ROWS($I$7:I134),2)=1,IF(ISNUMBER($B$5),$B$5+SUM(OFFSET($F$7,0,0,ROUNDUP(ROWS($I$7:I134)/2,0)*$C$11))-SUM(OFFSET($F$7,(ROUNDUP(ROWS($I$7:I134)/2,0)*$C$11)-$C$11,0,$C$11))+$D$11,""),$B$5+SUM(OFFSET($F$7,0,0,ROUNDUP(ROWS($I$7:I134)/2,0)*$C$11)))))),"")</f>
        <v/>
      </c>
      <c r="I134" s="484"/>
      <c r="J134" s="492" t="str">
        <f>IF(F262="","",F261+F262)</f>
        <v/>
      </c>
      <c r="K134" s="484"/>
      <c r="L134" s="493" t="str">
        <f t="shared" si="3"/>
        <v/>
      </c>
      <c r="M134" s="484"/>
      <c r="N134" s="479"/>
      <c r="O134" s="484">
        <f>N135/2</f>
        <v>0</v>
      </c>
      <c r="P134" s="487">
        <f>O198</f>
        <v>0</v>
      </c>
      <c r="Q134" s="484"/>
      <c r="R134" s="492" t="str">
        <f>IF(P134=0,"",ROUNDUP(P134,2))</f>
        <v/>
      </c>
      <c r="S134" s="484"/>
      <c r="T134" s="493" t="str">
        <f t="shared" si="4"/>
        <v/>
      </c>
      <c r="U134" s="479"/>
      <c r="X134" s="6"/>
      <c r="Y134" s="6"/>
      <c r="Z134" s="6"/>
      <c r="AA134" s="6"/>
      <c r="AB134" s="6"/>
      <c r="AC134" s="6"/>
      <c r="AD134" s="6"/>
      <c r="AE134" s="6"/>
    </row>
    <row r="135" spans="2:31" x14ac:dyDescent="0.3">
      <c r="B135" s="479"/>
      <c r="C135" s="479"/>
      <c r="D135" s="479"/>
      <c r="E135" s="479"/>
      <c r="F135" s="491"/>
      <c r="G135" s="482" t="str">
        <f t="shared" ca="1" si="5"/>
        <v/>
      </c>
      <c r="H135" s="483" t="str">
        <f ca="1">IFERROR(IF(OR($C$11="",$C$11=0),"",IF(OR($D$11=0,$D$11=""),IF(NOT(ISNUMBER(INDEX($F$7:$F$1000,ROWS($I$7:I135)*$C$11))),"",$B$5+SUM(OFFSET($F$7,0,0,ROWS($I$7:I135)*$C$11))),IF(NOT(ISNUMBER(INDEX($F$7:$F$1000,ROUNDUP(ROWS($I$7:I135)/2,0)*$C$11))),"",IF(MOD(ROWS($I$7:I135),2)=1,IF(ISNUMBER($B$5),$B$5+SUM(OFFSET($F$7,0,0,ROUNDUP(ROWS($I$7:I135)/2,0)*$C$11))-SUM(OFFSET($F$7,(ROUNDUP(ROWS($I$7:I135)/2,0)*$C$11)-$C$11,0,$C$11))+$D$11,""),$B$5+SUM(OFFSET($F$7,0,0,ROUNDUP(ROWS($I$7:I135)/2,0)*$C$11)))))),"")</f>
        <v/>
      </c>
      <c r="I135" s="484"/>
      <c r="J135" s="492" t="str">
        <f>IF(F264="","",F263+F264)</f>
        <v/>
      </c>
      <c r="K135" s="484"/>
      <c r="L135" s="493" t="str">
        <f t="shared" si="3"/>
        <v/>
      </c>
      <c r="M135" s="484"/>
      <c r="N135" s="484">
        <f>F133+F134+F135</f>
        <v>0</v>
      </c>
      <c r="O135" s="484">
        <f>N135/2</f>
        <v>0</v>
      </c>
      <c r="P135" s="487">
        <f>O200</f>
        <v>0</v>
      </c>
      <c r="Q135" s="484"/>
      <c r="R135" s="494" t="str">
        <f>IF(P135=0,"",ROUNDDOWN(P135,2))</f>
        <v/>
      </c>
      <c r="S135" s="484"/>
      <c r="T135" s="495" t="str">
        <f t="shared" si="4"/>
        <v/>
      </c>
      <c r="U135" s="479"/>
      <c r="X135" s="6"/>
      <c r="Y135" s="6"/>
      <c r="Z135" s="6"/>
      <c r="AA135" s="6"/>
      <c r="AB135" s="6"/>
      <c r="AC135" s="6"/>
      <c r="AD135" s="6"/>
      <c r="AE135" s="6"/>
    </row>
    <row r="136" spans="2:31" x14ac:dyDescent="0.3">
      <c r="B136" s="479"/>
      <c r="C136" s="479"/>
      <c r="D136" s="479"/>
      <c r="E136" s="479"/>
      <c r="F136" s="491"/>
      <c r="G136" s="482" t="str">
        <f t="shared" ca="1" si="5"/>
        <v/>
      </c>
      <c r="H136" s="483" t="str">
        <f ca="1">IFERROR(IF(OR($C$11="",$C$11=0),"",IF(OR($D$11=0,$D$11=""),IF(NOT(ISNUMBER(INDEX($F$7:$F$1000,ROWS($I$7:I136)*$C$11))),"",$B$5+SUM(OFFSET($F$7,0,0,ROWS($I$7:I136)*$C$11))),IF(NOT(ISNUMBER(INDEX($F$7:$F$1000,ROUNDUP(ROWS($I$7:I136)/2,0)*$C$11))),"",IF(MOD(ROWS($I$7:I136),2)=1,IF(ISNUMBER($B$5),$B$5+SUM(OFFSET($F$7,0,0,ROUNDUP(ROWS($I$7:I136)/2,0)*$C$11))-SUM(OFFSET($F$7,(ROUNDUP(ROWS($I$7:I136)/2,0)*$C$11)-$C$11,0,$C$11))+$D$11,""),$B$5+SUM(OFFSET($F$7,0,0,ROUNDUP(ROWS($I$7:I136)/2,0)*$C$11)))))),"")</f>
        <v/>
      </c>
      <c r="I136" s="484"/>
      <c r="J136" s="492" t="str">
        <f>IF(F266="","",F265+F266)</f>
        <v/>
      </c>
      <c r="K136" s="484"/>
      <c r="L136" s="493" t="str">
        <f t="shared" si="3"/>
        <v/>
      </c>
      <c r="M136" s="484"/>
      <c r="N136" s="479"/>
      <c r="O136" s="484"/>
      <c r="P136" s="487">
        <f>O201</f>
        <v>0</v>
      </c>
      <c r="Q136" s="484"/>
      <c r="R136" s="492" t="str">
        <f>IF(P136=0,"",ROUNDUP(P136,2))</f>
        <v/>
      </c>
      <c r="S136" s="484"/>
      <c r="T136" s="493" t="str">
        <f t="shared" si="4"/>
        <v/>
      </c>
      <c r="U136" s="479"/>
      <c r="X136" s="6"/>
      <c r="Y136" s="6"/>
      <c r="Z136" s="6"/>
      <c r="AA136" s="6"/>
      <c r="AB136" s="6"/>
      <c r="AC136" s="6"/>
      <c r="AD136" s="6"/>
      <c r="AE136" s="6"/>
    </row>
    <row r="137" spans="2:31" x14ac:dyDescent="0.3">
      <c r="B137" s="479"/>
      <c r="C137" s="479"/>
      <c r="D137" s="479"/>
      <c r="E137" s="479"/>
      <c r="F137" s="491"/>
      <c r="G137" s="482" t="str">
        <f t="shared" ca="1" si="5"/>
        <v/>
      </c>
      <c r="H137" s="483" t="str">
        <f ca="1">IFERROR(IF(OR($C$11="",$C$11=0),"",IF(OR($D$11=0,$D$11=""),IF(NOT(ISNUMBER(INDEX($F$7:$F$1000,ROWS($I$7:I137)*$C$11))),"",$B$5+SUM(OFFSET($F$7,0,0,ROWS($I$7:I137)*$C$11))),IF(NOT(ISNUMBER(INDEX($F$7:$F$1000,ROUNDUP(ROWS($I$7:I137)/2,0)*$C$11))),"",IF(MOD(ROWS($I$7:I137),2)=1,IF(ISNUMBER($B$5),$B$5+SUM(OFFSET($F$7,0,0,ROUNDUP(ROWS($I$7:I137)/2,0)*$C$11))-SUM(OFFSET($F$7,(ROUNDUP(ROWS($I$7:I137)/2,0)*$C$11)-$C$11,0,$C$11))+$D$11,""),$B$5+SUM(OFFSET($F$7,0,0,ROUNDUP(ROWS($I$7:I137)/2,0)*$C$11)))))),"")</f>
        <v/>
      </c>
      <c r="I137" s="484"/>
      <c r="J137" s="492" t="str">
        <f>IF(F268="","",F267+F268)</f>
        <v/>
      </c>
      <c r="K137" s="484"/>
      <c r="L137" s="493" t="str">
        <f t="shared" ref="L137:L160" si="6">IF(J137="","",J137+L136)</f>
        <v/>
      </c>
      <c r="M137" s="484"/>
      <c r="N137" s="479"/>
      <c r="O137" s="484">
        <f>N138/2</f>
        <v>0</v>
      </c>
      <c r="P137" s="487">
        <f>O203</f>
        <v>0</v>
      </c>
      <c r="Q137" s="484"/>
      <c r="R137" s="494" t="str">
        <f>IF(P137=0,"",ROUNDDOWN(P137,2))</f>
        <v/>
      </c>
      <c r="S137" s="484"/>
      <c r="T137" s="495" t="str">
        <f t="shared" si="4"/>
        <v/>
      </c>
      <c r="U137" s="479"/>
      <c r="X137" s="6"/>
      <c r="Y137" s="6"/>
      <c r="Z137" s="6"/>
      <c r="AA137" s="6"/>
      <c r="AB137" s="6"/>
      <c r="AC137" s="6"/>
      <c r="AD137" s="6"/>
      <c r="AE137" s="6"/>
    </row>
    <row r="138" spans="2:31" x14ac:dyDescent="0.3">
      <c r="B138" s="479"/>
      <c r="C138" s="479"/>
      <c r="D138" s="479"/>
      <c r="E138" s="479"/>
      <c r="F138" s="491"/>
      <c r="G138" s="482" t="str">
        <f t="shared" ca="1" si="5"/>
        <v/>
      </c>
      <c r="H138" s="483" t="str">
        <f ca="1">IFERROR(IF(OR($C$11="",$C$11=0),"",IF(OR($D$11=0,$D$11=""),IF(NOT(ISNUMBER(INDEX($F$7:$F$1000,ROWS($I$7:I138)*$C$11))),"",$B$5+SUM(OFFSET($F$7,0,0,ROWS($I$7:I138)*$C$11))),IF(NOT(ISNUMBER(INDEX($F$7:$F$1000,ROUNDUP(ROWS($I$7:I138)/2,0)*$C$11))),"",IF(MOD(ROWS($I$7:I138),2)=1,IF(ISNUMBER($B$5),$B$5+SUM(OFFSET($F$7,0,0,ROUNDUP(ROWS($I$7:I138)/2,0)*$C$11))-SUM(OFFSET($F$7,(ROUNDUP(ROWS($I$7:I138)/2,0)*$C$11)-$C$11,0,$C$11))+$D$11,""),$B$5+SUM(OFFSET($F$7,0,0,ROUNDUP(ROWS($I$7:I138)/2,0)*$C$11)))))),"")</f>
        <v/>
      </c>
      <c r="I138" s="484"/>
      <c r="J138" s="492" t="str">
        <f>IF(F270="","",F269+F270)</f>
        <v/>
      </c>
      <c r="K138" s="484"/>
      <c r="L138" s="493" t="str">
        <f t="shared" si="6"/>
        <v/>
      </c>
      <c r="M138" s="484"/>
      <c r="N138" s="484">
        <f>F136+F137+F138</f>
        <v>0</v>
      </c>
      <c r="O138" s="484">
        <f>N138/2</f>
        <v>0</v>
      </c>
      <c r="P138" s="487">
        <f>O204</f>
        <v>0</v>
      </c>
      <c r="Q138" s="484"/>
      <c r="R138" s="492" t="str">
        <f>IF(P138=0,"",ROUNDUP(P138,2))</f>
        <v/>
      </c>
      <c r="S138" s="484"/>
      <c r="T138" s="493" t="str">
        <f t="shared" si="4"/>
        <v/>
      </c>
      <c r="U138" s="479"/>
      <c r="X138" s="6"/>
      <c r="Y138" s="6"/>
      <c r="Z138" s="6"/>
      <c r="AA138" s="6"/>
      <c r="AB138" s="6"/>
      <c r="AC138" s="6"/>
      <c r="AD138" s="6"/>
      <c r="AE138" s="6"/>
    </row>
    <row r="139" spans="2:31" x14ac:dyDescent="0.3">
      <c r="B139" s="479"/>
      <c r="C139" s="479"/>
      <c r="D139" s="479"/>
      <c r="E139" s="479"/>
      <c r="F139" s="491"/>
      <c r="G139" s="482" t="str">
        <f t="shared" ca="1" si="5"/>
        <v/>
      </c>
      <c r="H139" s="483" t="str">
        <f ca="1">IFERROR(IF(OR($C$11="",$C$11=0),"",IF(OR($D$11=0,$D$11=""),IF(NOT(ISNUMBER(INDEX($F$7:$F$1000,ROWS($I$7:I139)*$C$11))),"",$B$5+SUM(OFFSET($F$7,0,0,ROWS($I$7:I139)*$C$11))),IF(NOT(ISNUMBER(INDEX($F$7:$F$1000,ROUNDUP(ROWS($I$7:I139)/2,0)*$C$11))),"",IF(MOD(ROWS($I$7:I139),2)=1,IF(ISNUMBER($B$5),$B$5+SUM(OFFSET($F$7,0,0,ROUNDUP(ROWS($I$7:I139)/2,0)*$C$11))-SUM(OFFSET($F$7,(ROUNDUP(ROWS($I$7:I139)/2,0)*$C$11)-$C$11,0,$C$11))+$D$11,""),$B$5+SUM(OFFSET($F$7,0,0,ROUNDUP(ROWS($I$7:I139)/2,0)*$C$11)))))),"")</f>
        <v/>
      </c>
      <c r="I139" s="484"/>
      <c r="J139" s="492" t="str">
        <f>IF(F272="","",F271+F272)</f>
        <v/>
      </c>
      <c r="K139" s="484"/>
      <c r="L139" s="493" t="str">
        <f t="shared" si="6"/>
        <v/>
      </c>
      <c r="M139" s="484"/>
      <c r="N139" s="479"/>
      <c r="O139" s="484"/>
      <c r="P139" s="487">
        <f>O206</f>
        <v>0</v>
      </c>
      <c r="Q139" s="484"/>
      <c r="R139" s="494" t="str">
        <f>IF(P139=0,"",ROUNDDOWN(P139,2))</f>
        <v/>
      </c>
      <c r="S139" s="484"/>
      <c r="T139" s="495" t="str">
        <f t="shared" ref="T139:T202" si="7">IF(R139="","",T138+R139)</f>
        <v/>
      </c>
      <c r="U139" s="479"/>
      <c r="X139" s="6"/>
      <c r="Y139" s="6"/>
      <c r="Z139" s="6"/>
      <c r="AA139" s="6"/>
      <c r="AB139" s="6"/>
      <c r="AC139" s="6"/>
      <c r="AD139" s="6"/>
      <c r="AE139" s="6"/>
    </row>
    <row r="140" spans="2:31" x14ac:dyDescent="0.3">
      <c r="B140" s="479"/>
      <c r="C140" s="479"/>
      <c r="D140" s="479"/>
      <c r="E140" s="479"/>
      <c r="F140" s="491"/>
      <c r="G140" s="482" t="str">
        <f t="shared" ca="1" si="5"/>
        <v/>
      </c>
      <c r="H140" s="483" t="str">
        <f ca="1">IFERROR(IF(OR($C$11="",$C$11=0),"",IF(OR($D$11=0,$D$11=""),IF(NOT(ISNUMBER(INDEX($F$7:$F$1000,ROWS($I$7:I140)*$C$11))),"",$B$5+SUM(OFFSET($F$7,0,0,ROWS($I$7:I140)*$C$11))),IF(NOT(ISNUMBER(INDEX($F$7:$F$1000,ROUNDUP(ROWS($I$7:I140)/2,0)*$C$11))),"",IF(MOD(ROWS($I$7:I140),2)=1,IF(ISNUMBER($B$5),$B$5+SUM(OFFSET($F$7,0,0,ROUNDUP(ROWS($I$7:I140)/2,0)*$C$11))-SUM(OFFSET($F$7,(ROUNDUP(ROWS($I$7:I140)/2,0)*$C$11)-$C$11,0,$C$11))+$D$11,""),$B$5+SUM(OFFSET($F$7,0,0,ROUNDUP(ROWS($I$7:I140)/2,0)*$C$11)))))),"")</f>
        <v/>
      </c>
      <c r="I140" s="484"/>
      <c r="J140" s="492" t="str">
        <f>IF(F274="","",F273+F274)</f>
        <v/>
      </c>
      <c r="K140" s="484"/>
      <c r="L140" s="493" t="str">
        <f t="shared" si="6"/>
        <v/>
      </c>
      <c r="M140" s="484"/>
      <c r="N140" s="479"/>
      <c r="O140" s="484">
        <f>N141/2</f>
        <v>0</v>
      </c>
      <c r="P140" s="487">
        <f>O207</f>
        <v>0</v>
      </c>
      <c r="Q140" s="484"/>
      <c r="R140" s="492" t="str">
        <f>IF(P140=0,"",ROUNDUP(P140,2))</f>
        <v/>
      </c>
      <c r="S140" s="484"/>
      <c r="T140" s="493" t="str">
        <f t="shared" si="7"/>
        <v/>
      </c>
      <c r="U140" s="479"/>
      <c r="X140" s="6"/>
      <c r="Y140" s="6"/>
      <c r="Z140" s="6"/>
      <c r="AA140" s="6"/>
      <c r="AB140" s="6"/>
      <c r="AC140" s="6"/>
      <c r="AD140" s="6"/>
      <c r="AE140" s="6"/>
    </row>
    <row r="141" spans="2:31" x14ac:dyDescent="0.3">
      <c r="B141" s="479"/>
      <c r="C141" s="479"/>
      <c r="D141" s="479"/>
      <c r="E141" s="479"/>
      <c r="F141" s="491"/>
      <c r="G141" s="482" t="str">
        <f t="shared" ca="1" si="5"/>
        <v/>
      </c>
      <c r="H141" s="483" t="str">
        <f ca="1">IFERROR(IF(OR($C$11="",$C$11=0),"",IF(OR($D$11=0,$D$11=""),IF(NOT(ISNUMBER(INDEX($F$7:$F$1000,ROWS($I$7:I141)*$C$11))),"",$B$5+SUM(OFFSET($F$7,0,0,ROWS($I$7:I141)*$C$11))),IF(NOT(ISNUMBER(INDEX($F$7:$F$1000,ROUNDUP(ROWS($I$7:I141)/2,0)*$C$11))),"",IF(MOD(ROWS($I$7:I141),2)=1,IF(ISNUMBER($B$5),$B$5+SUM(OFFSET($F$7,0,0,ROUNDUP(ROWS($I$7:I141)/2,0)*$C$11))-SUM(OFFSET($F$7,(ROUNDUP(ROWS($I$7:I141)/2,0)*$C$11)-$C$11,0,$C$11))+$D$11,""),$B$5+SUM(OFFSET($F$7,0,0,ROUNDUP(ROWS($I$7:I141)/2,0)*$C$11)))))),"")</f>
        <v/>
      </c>
      <c r="I141" s="484"/>
      <c r="J141" s="492" t="str">
        <f>IF(F276="","",F275+F276)</f>
        <v/>
      </c>
      <c r="K141" s="484"/>
      <c r="L141" s="493" t="str">
        <f t="shared" si="6"/>
        <v/>
      </c>
      <c r="M141" s="484"/>
      <c r="N141" s="484">
        <f>F139+F140+F141</f>
        <v>0</v>
      </c>
      <c r="O141" s="484">
        <f>N141/2</f>
        <v>0</v>
      </c>
      <c r="P141" s="487">
        <f>O209</f>
        <v>0</v>
      </c>
      <c r="Q141" s="484"/>
      <c r="R141" s="494" t="str">
        <f>IF(P141=0,"",ROUNDDOWN(P141,2))</f>
        <v/>
      </c>
      <c r="S141" s="484"/>
      <c r="T141" s="495" t="str">
        <f t="shared" si="7"/>
        <v/>
      </c>
      <c r="U141" s="479"/>
      <c r="X141" s="6"/>
      <c r="Y141" s="6"/>
      <c r="Z141" s="6"/>
      <c r="AA141" s="6"/>
      <c r="AB141" s="6"/>
      <c r="AC141" s="6"/>
      <c r="AD141" s="6"/>
      <c r="AE141" s="6"/>
    </row>
    <row r="142" spans="2:31" x14ac:dyDescent="0.3">
      <c r="B142" s="479"/>
      <c r="C142" s="479"/>
      <c r="D142" s="479"/>
      <c r="E142" s="479"/>
      <c r="F142" s="491"/>
      <c r="G142" s="482" t="str">
        <f t="shared" ca="1" si="5"/>
        <v/>
      </c>
      <c r="H142" s="483" t="str">
        <f ca="1">IFERROR(IF(OR($C$11="",$C$11=0),"",IF(OR($D$11=0,$D$11=""),IF(NOT(ISNUMBER(INDEX($F$7:$F$1000,ROWS($I$7:I142)*$C$11))),"",$B$5+SUM(OFFSET($F$7,0,0,ROWS($I$7:I142)*$C$11))),IF(NOT(ISNUMBER(INDEX($F$7:$F$1000,ROUNDUP(ROWS($I$7:I142)/2,0)*$C$11))),"",IF(MOD(ROWS($I$7:I142),2)=1,IF(ISNUMBER($B$5),$B$5+SUM(OFFSET($F$7,0,0,ROUNDUP(ROWS($I$7:I142)/2,0)*$C$11))-SUM(OFFSET($F$7,(ROUNDUP(ROWS($I$7:I142)/2,0)*$C$11)-$C$11,0,$C$11))+$D$11,""),$B$5+SUM(OFFSET($F$7,0,0,ROUNDUP(ROWS($I$7:I142)/2,0)*$C$11)))))),"")</f>
        <v/>
      </c>
      <c r="I142" s="484"/>
      <c r="J142" s="492" t="str">
        <f>IF(F278="","",F277+F278)</f>
        <v/>
      </c>
      <c r="K142" s="484"/>
      <c r="L142" s="493" t="str">
        <f t="shared" si="6"/>
        <v/>
      </c>
      <c r="M142" s="484"/>
      <c r="N142" s="479"/>
      <c r="O142" s="484"/>
      <c r="P142" s="487">
        <f>O210</f>
        <v>0</v>
      </c>
      <c r="Q142" s="484"/>
      <c r="R142" s="492" t="str">
        <f>IF(P142=0,"",ROUNDUP(P142,2))</f>
        <v/>
      </c>
      <c r="S142" s="484"/>
      <c r="T142" s="493" t="str">
        <f t="shared" si="7"/>
        <v/>
      </c>
      <c r="U142" s="479"/>
      <c r="X142" s="6"/>
      <c r="Y142" s="6"/>
      <c r="Z142" s="6"/>
      <c r="AA142" s="6"/>
      <c r="AB142" s="6"/>
      <c r="AC142" s="6"/>
      <c r="AD142" s="6"/>
      <c r="AE142" s="6"/>
    </row>
    <row r="143" spans="2:31" x14ac:dyDescent="0.3">
      <c r="B143" s="479"/>
      <c r="C143" s="479"/>
      <c r="D143" s="479"/>
      <c r="E143" s="479"/>
      <c r="F143" s="491"/>
      <c r="G143" s="482" t="str">
        <f t="shared" ca="1" si="5"/>
        <v/>
      </c>
      <c r="H143" s="483" t="str">
        <f ca="1">IFERROR(IF(OR($C$11="",$C$11=0),"",IF(OR($D$11=0,$D$11=""),IF(NOT(ISNUMBER(INDEX($F$7:$F$1000,ROWS($I$7:I143)*$C$11))),"",$B$5+SUM(OFFSET($F$7,0,0,ROWS($I$7:I143)*$C$11))),IF(NOT(ISNUMBER(INDEX($F$7:$F$1000,ROUNDUP(ROWS($I$7:I143)/2,0)*$C$11))),"",IF(MOD(ROWS($I$7:I143),2)=1,IF(ISNUMBER($B$5),$B$5+SUM(OFFSET($F$7,0,0,ROUNDUP(ROWS($I$7:I143)/2,0)*$C$11))-SUM(OFFSET($F$7,(ROUNDUP(ROWS($I$7:I143)/2,0)*$C$11)-$C$11,0,$C$11))+$D$11,""),$B$5+SUM(OFFSET($F$7,0,0,ROUNDUP(ROWS($I$7:I143)/2,0)*$C$11)))))),"")</f>
        <v/>
      </c>
      <c r="I143" s="484"/>
      <c r="J143" s="492" t="str">
        <f>IF(F280="","",F279+F280)</f>
        <v/>
      </c>
      <c r="K143" s="484"/>
      <c r="L143" s="493" t="str">
        <f t="shared" si="6"/>
        <v/>
      </c>
      <c r="M143" s="484"/>
      <c r="N143" s="479"/>
      <c r="O143" s="484">
        <f>N144/2</f>
        <v>0</v>
      </c>
      <c r="P143" s="487">
        <f>O212</f>
        <v>0</v>
      </c>
      <c r="Q143" s="484"/>
      <c r="R143" s="494" t="str">
        <f>IF(P143=0,"",ROUNDDOWN(P143,2))</f>
        <v/>
      </c>
      <c r="S143" s="484"/>
      <c r="T143" s="495" t="str">
        <f t="shared" si="7"/>
        <v/>
      </c>
      <c r="U143" s="479"/>
      <c r="X143" s="6"/>
      <c r="Y143" s="6"/>
      <c r="Z143" s="6"/>
      <c r="AA143" s="6"/>
      <c r="AB143" s="6"/>
      <c r="AC143" s="6"/>
      <c r="AD143" s="6"/>
      <c r="AE143" s="6"/>
    </row>
    <row r="144" spans="2:31" x14ac:dyDescent="0.3">
      <c r="B144" s="479"/>
      <c r="C144" s="479"/>
      <c r="D144" s="479"/>
      <c r="E144" s="479"/>
      <c r="F144" s="491"/>
      <c r="G144" s="482" t="str">
        <f t="shared" ca="1" si="5"/>
        <v/>
      </c>
      <c r="H144" s="483" t="str">
        <f ca="1">IFERROR(IF(OR($C$11="",$C$11=0),"",IF(OR($D$11=0,$D$11=""),IF(NOT(ISNUMBER(INDEX($F$7:$F$1000,ROWS($I$7:I144)*$C$11))),"",$B$5+SUM(OFFSET($F$7,0,0,ROWS($I$7:I144)*$C$11))),IF(NOT(ISNUMBER(INDEX($F$7:$F$1000,ROUNDUP(ROWS($I$7:I144)/2,0)*$C$11))),"",IF(MOD(ROWS($I$7:I144),2)=1,IF(ISNUMBER($B$5),$B$5+SUM(OFFSET($F$7,0,0,ROUNDUP(ROWS($I$7:I144)/2,0)*$C$11))-SUM(OFFSET($F$7,(ROUNDUP(ROWS($I$7:I144)/2,0)*$C$11)-$C$11,0,$C$11))+$D$11,""),$B$5+SUM(OFFSET($F$7,0,0,ROUNDUP(ROWS($I$7:I144)/2,0)*$C$11)))))),"")</f>
        <v/>
      </c>
      <c r="I144" s="484"/>
      <c r="J144" s="492" t="str">
        <f>IF(F282="","",F281+F282)</f>
        <v/>
      </c>
      <c r="K144" s="484"/>
      <c r="L144" s="493" t="str">
        <f t="shared" si="6"/>
        <v/>
      </c>
      <c r="M144" s="484"/>
      <c r="N144" s="484">
        <f>F142+F143+F144</f>
        <v>0</v>
      </c>
      <c r="O144" s="484">
        <f>N144/2</f>
        <v>0</v>
      </c>
      <c r="P144" s="487">
        <f>O213</f>
        <v>0</v>
      </c>
      <c r="Q144" s="484"/>
      <c r="R144" s="492" t="str">
        <f>IF(P144=0,"",ROUNDUP(P144,2))</f>
        <v/>
      </c>
      <c r="S144" s="484"/>
      <c r="T144" s="493" t="str">
        <f t="shared" si="7"/>
        <v/>
      </c>
      <c r="U144" s="479"/>
      <c r="X144" s="6"/>
      <c r="Y144" s="6"/>
      <c r="Z144" s="6"/>
      <c r="AA144" s="6"/>
      <c r="AB144" s="6"/>
      <c r="AC144" s="6"/>
      <c r="AD144" s="6"/>
      <c r="AE144" s="6"/>
    </row>
    <row r="145" spans="2:31" x14ac:dyDescent="0.3">
      <c r="B145" s="479"/>
      <c r="C145" s="479"/>
      <c r="D145" s="479"/>
      <c r="E145" s="479"/>
      <c r="F145" s="491"/>
      <c r="G145" s="482" t="str">
        <f t="shared" ca="1" si="5"/>
        <v/>
      </c>
      <c r="H145" s="483" t="str">
        <f ca="1">IFERROR(IF(OR($C$11="",$C$11=0),"",IF(OR($D$11=0,$D$11=""),IF(NOT(ISNUMBER(INDEX($F$7:$F$1000,ROWS($I$7:I145)*$C$11))),"",$B$5+SUM(OFFSET($F$7,0,0,ROWS($I$7:I145)*$C$11))),IF(NOT(ISNUMBER(INDEX($F$7:$F$1000,ROUNDUP(ROWS($I$7:I145)/2,0)*$C$11))),"",IF(MOD(ROWS($I$7:I145),2)=1,IF(ISNUMBER($B$5),$B$5+SUM(OFFSET($F$7,0,0,ROUNDUP(ROWS($I$7:I145)/2,0)*$C$11))-SUM(OFFSET($F$7,(ROUNDUP(ROWS($I$7:I145)/2,0)*$C$11)-$C$11,0,$C$11))+$D$11,""),$B$5+SUM(OFFSET($F$7,0,0,ROUNDUP(ROWS($I$7:I145)/2,0)*$C$11)))))),"")</f>
        <v/>
      </c>
      <c r="I145" s="484"/>
      <c r="J145" s="492" t="str">
        <f>IF(F284="","",F283+F284)</f>
        <v/>
      </c>
      <c r="K145" s="484"/>
      <c r="L145" s="493" t="str">
        <f t="shared" si="6"/>
        <v/>
      </c>
      <c r="M145" s="484"/>
      <c r="N145" s="479"/>
      <c r="O145" s="484"/>
      <c r="P145" s="487">
        <f>O215</f>
        <v>0</v>
      </c>
      <c r="Q145" s="484"/>
      <c r="R145" s="494" t="str">
        <f>IF(P145=0,"",ROUNDDOWN(P145,2))</f>
        <v/>
      </c>
      <c r="S145" s="484"/>
      <c r="T145" s="495" t="str">
        <f t="shared" si="7"/>
        <v/>
      </c>
      <c r="U145" s="479"/>
      <c r="X145" s="6"/>
      <c r="Y145" s="6"/>
      <c r="Z145" s="6"/>
      <c r="AA145" s="6"/>
      <c r="AB145" s="6"/>
      <c r="AC145" s="6"/>
      <c r="AD145" s="6"/>
      <c r="AE145" s="6"/>
    </row>
    <row r="146" spans="2:31" x14ac:dyDescent="0.3">
      <c r="B146" s="479"/>
      <c r="C146" s="479"/>
      <c r="D146" s="479"/>
      <c r="E146" s="479"/>
      <c r="F146" s="491"/>
      <c r="G146" s="482" t="str">
        <f t="shared" ca="1" si="5"/>
        <v/>
      </c>
      <c r="H146" s="483" t="str">
        <f ca="1">IFERROR(IF(OR($C$11="",$C$11=0),"",IF(OR($D$11=0,$D$11=""),IF(NOT(ISNUMBER(INDEX($F$7:$F$1000,ROWS($I$7:I146)*$C$11))),"",$B$5+SUM(OFFSET($F$7,0,0,ROWS($I$7:I146)*$C$11))),IF(NOT(ISNUMBER(INDEX($F$7:$F$1000,ROUNDUP(ROWS($I$7:I146)/2,0)*$C$11))),"",IF(MOD(ROWS($I$7:I146),2)=1,IF(ISNUMBER($B$5),$B$5+SUM(OFFSET($F$7,0,0,ROUNDUP(ROWS($I$7:I146)/2,0)*$C$11))-SUM(OFFSET($F$7,(ROUNDUP(ROWS($I$7:I146)/2,0)*$C$11)-$C$11,0,$C$11))+$D$11,""),$B$5+SUM(OFFSET($F$7,0,0,ROUNDUP(ROWS($I$7:I146)/2,0)*$C$11)))))),"")</f>
        <v/>
      </c>
      <c r="I146" s="484"/>
      <c r="J146" s="492" t="str">
        <f>IF(F286="","",F285+F286)</f>
        <v/>
      </c>
      <c r="K146" s="484"/>
      <c r="L146" s="493" t="str">
        <f t="shared" si="6"/>
        <v/>
      </c>
      <c r="M146" s="484"/>
      <c r="N146" s="479"/>
      <c r="O146" s="484">
        <f>N147/2</f>
        <v>0</v>
      </c>
      <c r="P146" s="487">
        <f>O216</f>
        <v>0</v>
      </c>
      <c r="Q146" s="484"/>
      <c r="R146" s="492" t="str">
        <f>IF(P146=0,"",ROUNDUP(P146,2))</f>
        <v/>
      </c>
      <c r="S146" s="484"/>
      <c r="T146" s="493" t="str">
        <f t="shared" si="7"/>
        <v/>
      </c>
      <c r="U146" s="479"/>
      <c r="X146" s="6"/>
      <c r="Y146" s="6"/>
      <c r="Z146" s="6"/>
      <c r="AA146" s="6"/>
      <c r="AB146" s="6"/>
      <c r="AC146" s="6"/>
      <c r="AD146" s="6"/>
      <c r="AE146" s="6"/>
    </row>
    <row r="147" spans="2:31" x14ac:dyDescent="0.3">
      <c r="B147" s="479"/>
      <c r="C147" s="479"/>
      <c r="D147" s="479"/>
      <c r="E147" s="479"/>
      <c r="F147" s="491"/>
      <c r="G147" s="482" t="str">
        <f t="shared" ca="1" si="5"/>
        <v/>
      </c>
      <c r="H147" s="483" t="str">
        <f ca="1">IFERROR(IF(OR($C$11="",$C$11=0),"",IF(OR($D$11=0,$D$11=""),IF(NOT(ISNUMBER(INDEX($F$7:$F$1000,ROWS($I$7:I147)*$C$11))),"",$B$5+SUM(OFFSET($F$7,0,0,ROWS($I$7:I147)*$C$11))),IF(NOT(ISNUMBER(INDEX($F$7:$F$1000,ROUNDUP(ROWS($I$7:I147)/2,0)*$C$11))),"",IF(MOD(ROWS($I$7:I147),2)=1,IF(ISNUMBER($B$5),$B$5+SUM(OFFSET($F$7,0,0,ROUNDUP(ROWS($I$7:I147)/2,0)*$C$11))-SUM(OFFSET($F$7,(ROUNDUP(ROWS($I$7:I147)/2,0)*$C$11)-$C$11,0,$C$11))+$D$11,""),$B$5+SUM(OFFSET($F$7,0,0,ROUNDUP(ROWS($I$7:I147)/2,0)*$C$11)))))),"")</f>
        <v/>
      </c>
      <c r="I147" s="484"/>
      <c r="J147" s="492" t="str">
        <f>IF(F288="","",F287+F288)</f>
        <v/>
      </c>
      <c r="K147" s="484"/>
      <c r="L147" s="493" t="str">
        <f t="shared" si="6"/>
        <v/>
      </c>
      <c r="M147" s="484"/>
      <c r="N147" s="484">
        <f>F145+F146+F147</f>
        <v>0</v>
      </c>
      <c r="O147" s="484">
        <f>N147/2</f>
        <v>0</v>
      </c>
      <c r="P147" s="487">
        <f>O218</f>
        <v>0</v>
      </c>
      <c r="Q147" s="484"/>
      <c r="R147" s="494" t="str">
        <f>IF(P147=0,"",ROUNDDOWN(P147,2))</f>
        <v/>
      </c>
      <c r="S147" s="484"/>
      <c r="T147" s="495" t="str">
        <f t="shared" si="7"/>
        <v/>
      </c>
      <c r="U147" s="479"/>
      <c r="X147" s="6"/>
      <c r="Y147" s="6"/>
      <c r="Z147" s="6"/>
      <c r="AA147" s="6"/>
      <c r="AB147" s="6"/>
      <c r="AC147" s="6"/>
      <c r="AD147" s="6"/>
      <c r="AE147" s="6"/>
    </row>
    <row r="148" spans="2:31" x14ac:dyDescent="0.3">
      <c r="B148" s="479"/>
      <c r="C148" s="479"/>
      <c r="D148" s="479"/>
      <c r="E148" s="479"/>
      <c r="F148" s="491"/>
      <c r="G148" s="482" t="str">
        <f t="shared" ca="1" si="5"/>
        <v/>
      </c>
      <c r="H148" s="483" t="str">
        <f ca="1">IFERROR(IF(OR($C$11="",$C$11=0),"",IF(OR($D$11=0,$D$11=""),IF(NOT(ISNUMBER(INDEX($F$7:$F$1000,ROWS($I$7:I148)*$C$11))),"",$B$5+SUM(OFFSET($F$7,0,0,ROWS($I$7:I148)*$C$11))),IF(NOT(ISNUMBER(INDEX($F$7:$F$1000,ROUNDUP(ROWS($I$7:I148)/2,0)*$C$11))),"",IF(MOD(ROWS($I$7:I148),2)=1,IF(ISNUMBER($B$5),$B$5+SUM(OFFSET($F$7,0,0,ROUNDUP(ROWS($I$7:I148)/2,0)*$C$11))-SUM(OFFSET($F$7,(ROUNDUP(ROWS($I$7:I148)/2,0)*$C$11)-$C$11,0,$C$11))+$D$11,""),$B$5+SUM(OFFSET($F$7,0,0,ROUNDUP(ROWS($I$7:I148)/2,0)*$C$11)))))),"")</f>
        <v/>
      </c>
      <c r="I148" s="484"/>
      <c r="J148" s="492" t="str">
        <f>IF(F290="","",F289+F290)</f>
        <v/>
      </c>
      <c r="K148" s="484"/>
      <c r="L148" s="493" t="str">
        <f t="shared" si="6"/>
        <v/>
      </c>
      <c r="M148" s="484"/>
      <c r="N148" s="479"/>
      <c r="O148" s="484"/>
      <c r="P148" s="487">
        <f>O219</f>
        <v>0</v>
      </c>
      <c r="Q148" s="484"/>
      <c r="R148" s="492" t="str">
        <f>IF(P148=0,"",ROUNDUP(P148,2))</f>
        <v/>
      </c>
      <c r="S148" s="484"/>
      <c r="T148" s="493" t="str">
        <f t="shared" si="7"/>
        <v/>
      </c>
      <c r="U148" s="479"/>
      <c r="X148" s="6"/>
      <c r="Y148" s="6"/>
      <c r="Z148" s="6"/>
      <c r="AA148" s="6"/>
      <c r="AB148" s="6"/>
      <c r="AC148" s="6"/>
      <c r="AD148" s="6"/>
      <c r="AE148" s="6"/>
    </row>
    <row r="149" spans="2:31" x14ac:dyDescent="0.3">
      <c r="B149" s="479"/>
      <c r="C149" s="479"/>
      <c r="D149" s="479"/>
      <c r="E149" s="479"/>
      <c r="F149" s="491"/>
      <c r="G149" s="482" t="str">
        <f t="shared" ca="1" si="5"/>
        <v/>
      </c>
      <c r="H149" s="483" t="str">
        <f ca="1">IFERROR(IF(OR($C$11="",$C$11=0),"",IF(OR($D$11=0,$D$11=""),IF(NOT(ISNUMBER(INDEX($F$7:$F$1000,ROWS($I$7:I149)*$C$11))),"",$B$5+SUM(OFFSET($F$7,0,0,ROWS($I$7:I149)*$C$11))),IF(NOT(ISNUMBER(INDEX($F$7:$F$1000,ROUNDUP(ROWS($I$7:I149)/2,0)*$C$11))),"",IF(MOD(ROWS($I$7:I149),2)=1,IF(ISNUMBER($B$5),$B$5+SUM(OFFSET($F$7,0,0,ROUNDUP(ROWS($I$7:I149)/2,0)*$C$11))-SUM(OFFSET($F$7,(ROUNDUP(ROWS($I$7:I149)/2,0)*$C$11)-$C$11,0,$C$11))+$D$11,""),$B$5+SUM(OFFSET($F$7,0,0,ROUNDUP(ROWS($I$7:I149)/2,0)*$C$11)))))),"")</f>
        <v/>
      </c>
      <c r="I149" s="484"/>
      <c r="J149" s="492" t="str">
        <f>IF(F292="","",F291+F292)</f>
        <v/>
      </c>
      <c r="K149" s="484"/>
      <c r="L149" s="493" t="str">
        <f t="shared" si="6"/>
        <v/>
      </c>
      <c r="M149" s="484"/>
      <c r="N149" s="479"/>
      <c r="O149" s="484">
        <f>N150/2</f>
        <v>0</v>
      </c>
      <c r="P149" s="487">
        <f>O221</f>
        <v>0</v>
      </c>
      <c r="Q149" s="484"/>
      <c r="R149" s="494" t="str">
        <f>IF(P149=0,"",ROUNDDOWN(P149,2))</f>
        <v/>
      </c>
      <c r="S149" s="484"/>
      <c r="T149" s="495" t="str">
        <f t="shared" si="7"/>
        <v/>
      </c>
      <c r="U149" s="479"/>
      <c r="X149" s="6"/>
      <c r="Y149" s="6"/>
      <c r="Z149" s="6"/>
      <c r="AA149" s="6"/>
      <c r="AB149" s="6"/>
      <c r="AC149" s="6"/>
      <c r="AD149" s="6"/>
      <c r="AE149" s="6"/>
    </row>
    <row r="150" spans="2:31" x14ac:dyDescent="0.3">
      <c r="B150" s="479"/>
      <c r="C150" s="479"/>
      <c r="D150" s="479"/>
      <c r="E150" s="479"/>
      <c r="F150" s="491"/>
      <c r="G150" s="482" t="str">
        <f t="shared" ca="1" si="5"/>
        <v/>
      </c>
      <c r="H150" s="483" t="str">
        <f ca="1">IFERROR(IF(OR($C$11="",$C$11=0),"",IF(OR($D$11=0,$D$11=""),IF(NOT(ISNUMBER(INDEX($F$7:$F$1000,ROWS($I$7:I150)*$C$11))),"",$B$5+SUM(OFFSET($F$7,0,0,ROWS($I$7:I150)*$C$11))),IF(NOT(ISNUMBER(INDEX($F$7:$F$1000,ROUNDUP(ROWS($I$7:I150)/2,0)*$C$11))),"",IF(MOD(ROWS($I$7:I150),2)=1,IF(ISNUMBER($B$5),$B$5+SUM(OFFSET($F$7,0,0,ROUNDUP(ROWS($I$7:I150)/2,0)*$C$11))-SUM(OFFSET($F$7,(ROUNDUP(ROWS($I$7:I150)/2,0)*$C$11)-$C$11,0,$C$11))+$D$11,""),$B$5+SUM(OFFSET($F$7,0,0,ROUNDUP(ROWS($I$7:I150)/2,0)*$C$11)))))),"")</f>
        <v/>
      </c>
      <c r="I150" s="484"/>
      <c r="J150" s="492" t="str">
        <f>IF(F294="","",F293+F294)</f>
        <v/>
      </c>
      <c r="K150" s="484"/>
      <c r="L150" s="493" t="str">
        <f t="shared" si="6"/>
        <v/>
      </c>
      <c r="M150" s="484"/>
      <c r="N150" s="484">
        <f>F148+F149+F150</f>
        <v>0</v>
      </c>
      <c r="O150" s="484">
        <f>N150/2</f>
        <v>0</v>
      </c>
      <c r="P150" s="487">
        <f>O222</f>
        <v>0</v>
      </c>
      <c r="Q150" s="484"/>
      <c r="R150" s="492" t="str">
        <f>IF(P150=0,"",ROUNDUP(P150,2))</f>
        <v/>
      </c>
      <c r="S150" s="484"/>
      <c r="T150" s="493" t="str">
        <f t="shared" si="7"/>
        <v/>
      </c>
      <c r="U150" s="479"/>
      <c r="X150" s="6"/>
      <c r="Y150" s="6"/>
      <c r="Z150" s="6"/>
      <c r="AA150" s="6"/>
      <c r="AB150" s="6"/>
      <c r="AC150" s="6"/>
      <c r="AD150" s="6"/>
      <c r="AE150" s="6"/>
    </row>
    <row r="151" spans="2:31" x14ac:dyDescent="0.3">
      <c r="B151" s="479"/>
      <c r="C151" s="479"/>
      <c r="D151" s="479"/>
      <c r="E151" s="479"/>
      <c r="F151" s="491"/>
      <c r="G151" s="482" t="str">
        <f t="shared" ca="1" si="5"/>
        <v/>
      </c>
      <c r="H151" s="483" t="str">
        <f ca="1">IFERROR(IF(OR($C$11="",$C$11=0),"",IF(OR($D$11=0,$D$11=""),IF(NOT(ISNUMBER(INDEX($F$7:$F$1000,ROWS($I$7:I151)*$C$11))),"",$B$5+SUM(OFFSET($F$7,0,0,ROWS($I$7:I151)*$C$11))),IF(NOT(ISNUMBER(INDEX($F$7:$F$1000,ROUNDUP(ROWS($I$7:I151)/2,0)*$C$11))),"",IF(MOD(ROWS($I$7:I151),2)=1,IF(ISNUMBER($B$5),$B$5+SUM(OFFSET($F$7,0,0,ROUNDUP(ROWS($I$7:I151)/2,0)*$C$11))-SUM(OFFSET($F$7,(ROUNDUP(ROWS($I$7:I151)/2,0)*$C$11)-$C$11,0,$C$11))+$D$11,""),$B$5+SUM(OFFSET($F$7,0,0,ROUNDUP(ROWS($I$7:I151)/2,0)*$C$11)))))),"")</f>
        <v/>
      </c>
      <c r="I151" s="484"/>
      <c r="J151" s="492" t="str">
        <f>IF(F296="","",F295+F296)</f>
        <v/>
      </c>
      <c r="K151" s="484"/>
      <c r="L151" s="493" t="str">
        <f t="shared" si="6"/>
        <v/>
      </c>
      <c r="M151" s="484"/>
      <c r="N151" s="479"/>
      <c r="O151" s="484"/>
      <c r="P151" s="487">
        <f>O224</f>
        <v>0</v>
      </c>
      <c r="Q151" s="484"/>
      <c r="R151" s="494" t="str">
        <f>IF(P151=0,"",ROUNDDOWN(P151,2))</f>
        <v/>
      </c>
      <c r="S151" s="484"/>
      <c r="T151" s="495" t="str">
        <f t="shared" si="7"/>
        <v/>
      </c>
      <c r="U151" s="479"/>
      <c r="X151" s="6"/>
      <c r="Y151" s="6"/>
      <c r="Z151" s="6"/>
      <c r="AA151" s="6"/>
      <c r="AB151" s="6"/>
      <c r="AC151" s="6"/>
      <c r="AD151" s="6"/>
      <c r="AE151" s="6"/>
    </row>
    <row r="152" spans="2:31" x14ac:dyDescent="0.3">
      <c r="B152" s="479"/>
      <c r="C152" s="479"/>
      <c r="D152" s="479"/>
      <c r="E152" s="479"/>
      <c r="F152" s="491"/>
      <c r="G152" s="482" t="str">
        <f t="shared" ca="1" si="5"/>
        <v/>
      </c>
      <c r="H152" s="483" t="str">
        <f ca="1">IFERROR(IF(OR($C$11="",$C$11=0),"",IF(OR($D$11=0,$D$11=""),IF(NOT(ISNUMBER(INDEX($F$7:$F$1000,ROWS($I$7:I152)*$C$11))),"",$B$5+SUM(OFFSET($F$7,0,0,ROWS($I$7:I152)*$C$11))),IF(NOT(ISNUMBER(INDEX($F$7:$F$1000,ROUNDUP(ROWS($I$7:I152)/2,0)*$C$11))),"",IF(MOD(ROWS($I$7:I152),2)=1,IF(ISNUMBER($B$5),$B$5+SUM(OFFSET($F$7,0,0,ROUNDUP(ROWS($I$7:I152)/2,0)*$C$11))-SUM(OFFSET($F$7,(ROUNDUP(ROWS($I$7:I152)/2,0)*$C$11)-$C$11,0,$C$11))+$D$11,""),$B$5+SUM(OFFSET($F$7,0,0,ROUNDUP(ROWS($I$7:I152)/2,0)*$C$11)))))),"")</f>
        <v/>
      </c>
      <c r="I152" s="484"/>
      <c r="J152" s="492" t="str">
        <f>IF(F298="","",F297+F298)</f>
        <v/>
      </c>
      <c r="K152" s="484"/>
      <c r="L152" s="493" t="str">
        <f t="shared" si="6"/>
        <v/>
      </c>
      <c r="M152" s="484"/>
      <c r="N152" s="479"/>
      <c r="O152" s="484">
        <f>N153/2</f>
        <v>0</v>
      </c>
      <c r="P152" s="487">
        <f>O225</f>
        <v>0</v>
      </c>
      <c r="Q152" s="484"/>
      <c r="R152" s="492" t="str">
        <f>IF(P152=0,"",ROUNDUP(P152,2))</f>
        <v/>
      </c>
      <c r="S152" s="484"/>
      <c r="T152" s="493" t="str">
        <f t="shared" si="7"/>
        <v/>
      </c>
      <c r="U152" s="479"/>
      <c r="X152" s="6"/>
      <c r="Y152" s="6"/>
      <c r="Z152" s="6"/>
      <c r="AA152" s="6"/>
      <c r="AB152" s="6"/>
      <c r="AC152" s="6"/>
      <c r="AD152" s="6"/>
      <c r="AE152" s="6"/>
    </row>
    <row r="153" spans="2:31" x14ac:dyDescent="0.3">
      <c r="B153" s="479"/>
      <c r="C153" s="479"/>
      <c r="D153" s="479"/>
      <c r="E153" s="479"/>
      <c r="F153" s="491"/>
      <c r="G153" s="482" t="str">
        <f t="shared" ca="1" si="5"/>
        <v/>
      </c>
      <c r="H153" s="483" t="str">
        <f ca="1">IFERROR(IF(OR($C$11="",$C$11=0),"",IF(OR($D$11=0,$D$11=""),IF(NOT(ISNUMBER(INDEX($F$7:$F$1000,ROWS($I$7:I153)*$C$11))),"",$B$5+SUM(OFFSET($F$7,0,0,ROWS($I$7:I153)*$C$11))),IF(NOT(ISNUMBER(INDEX($F$7:$F$1000,ROUNDUP(ROWS($I$7:I153)/2,0)*$C$11))),"",IF(MOD(ROWS($I$7:I153),2)=1,IF(ISNUMBER($B$5),$B$5+SUM(OFFSET($F$7,0,0,ROUNDUP(ROWS($I$7:I153)/2,0)*$C$11))-SUM(OFFSET($F$7,(ROUNDUP(ROWS($I$7:I153)/2,0)*$C$11)-$C$11,0,$C$11))+$D$11,""),$B$5+SUM(OFFSET($F$7,0,0,ROUNDUP(ROWS($I$7:I153)/2,0)*$C$11)))))),"")</f>
        <v/>
      </c>
      <c r="I153" s="484"/>
      <c r="J153" s="492" t="str">
        <f>IF(F300="","",F299+F300)</f>
        <v/>
      </c>
      <c r="K153" s="484"/>
      <c r="L153" s="493" t="str">
        <f t="shared" si="6"/>
        <v/>
      </c>
      <c r="M153" s="487"/>
      <c r="N153" s="484">
        <f>F151+F152+F153</f>
        <v>0</v>
      </c>
      <c r="O153" s="484">
        <f>N153/2</f>
        <v>0</v>
      </c>
      <c r="P153" s="487">
        <f>O227</f>
        <v>0</v>
      </c>
      <c r="Q153" s="487"/>
      <c r="R153" s="494" t="str">
        <f>IF(P153=0,"",ROUNDDOWN(P153,2))</f>
        <v/>
      </c>
      <c r="S153" s="484"/>
      <c r="T153" s="495" t="str">
        <f t="shared" si="7"/>
        <v/>
      </c>
      <c r="U153" s="479"/>
      <c r="X153" s="6"/>
      <c r="Y153" s="6"/>
      <c r="Z153" s="6"/>
      <c r="AA153" s="6"/>
      <c r="AB153" s="6"/>
      <c r="AC153" s="6"/>
      <c r="AD153" s="6"/>
      <c r="AE153" s="6"/>
    </row>
    <row r="154" spans="2:31" x14ac:dyDescent="0.3">
      <c r="B154" s="479"/>
      <c r="C154" s="479"/>
      <c r="D154" s="479"/>
      <c r="E154" s="479"/>
      <c r="F154" s="491"/>
      <c r="G154" s="482" t="str">
        <f t="shared" ca="1" si="5"/>
        <v/>
      </c>
      <c r="H154" s="483" t="str">
        <f ca="1">IFERROR(IF(OR($C$11="",$C$11=0),"",IF(OR($D$11=0,$D$11=""),IF(NOT(ISNUMBER(INDEX($F$7:$F$1000,ROWS($I$7:I154)*$C$11))),"",$B$5+SUM(OFFSET($F$7,0,0,ROWS($I$7:I154)*$C$11))),IF(NOT(ISNUMBER(INDEX($F$7:$F$1000,ROUNDUP(ROWS($I$7:I154)/2,0)*$C$11))),"",IF(MOD(ROWS($I$7:I154),2)=1,IF(ISNUMBER($B$5),$B$5+SUM(OFFSET($F$7,0,0,ROUNDUP(ROWS($I$7:I154)/2,0)*$C$11))-SUM(OFFSET($F$7,(ROUNDUP(ROWS($I$7:I154)/2,0)*$C$11)-$C$11,0,$C$11))+$D$11,""),$B$5+SUM(OFFSET($F$7,0,0,ROUNDUP(ROWS($I$7:I154)/2,0)*$C$11)))))),"")</f>
        <v/>
      </c>
      <c r="I154" s="484"/>
      <c r="J154" s="492" t="str">
        <f>IF(F302="","",F301+F302)</f>
        <v/>
      </c>
      <c r="K154" s="484"/>
      <c r="L154" s="493" t="str">
        <f t="shared" si="6"/>
        <v/>
      </c>
      <c r="M154" s="487"/>
      <c r="N154" s="479"/>
      <c r="O154" s="484"/>
      <c r="P154" s="487">
        <f>O228</f>
        <v>0</v>
      </c>
      <c r="Q154" s="487"/>
      <c r="R154" s="492" t="str">
        <f>IF(P154=0,"",ROUNDUP(P154,2))</f>
        <v/>
      </c>
      <c r="S154" s="484"/>
      <c r="T154" s="493" t="str">
        <f t="shared" si="7"/>
        <v/>
      </c>
      <c r="U154" s="479"/>
      <c r="X154" s="6"/>
      <c r="Y154" s="6"/>
      <c r="Z154" s="6"/>
      <c r="AA154" s="6"/>
      <c r="AB154" s="6"/>
      <c r="AC154" s="6"/>
      <c r="AD154" s="6"/>
      <c r="AE154" s="6"/>
    </row>
    <row r="155" spans="2:31" x14ac:dyDescent="0.3">
      <c r="B155" s="479"/>
      <c r="C155" s="479"/>
      <c r="D155" s="479"/>
      <c r="E155" s="479"/>
      <c r="F155" s="491"/>
      <c r="G155" s="482" t="str">
        <f t="shared" ca="1" si="5"/>
        <v/>
      </c>
      <c r="H155" s="483" t="str">
        <f ca="1">IFERROR(IF(OR($C$11="",$C$11=0),"",IF(OR($D$11=0,$D$11=""),IF(NOT(ISNUMBER(INDEX($F$7:$F$1000,ROWS($I$7:I155)*$C$11))),"",$B$5+SUM(OFFSET($F$7,0,0,ROWS($I$7:I155)*$C$11))),IF(NOT(ISNUMBER(INDEX($F$7:$F$1000,ROUNDUP(ROWS($I$7:I155)/2,0)*$C$11))),"",IF(MOD(ROWS($I$7:I155),2)=1,IF(ISNUMBER($B$5),$B$5+SUM(OFFSET($F$7,0,0,ROUNDUP(ROWS($I$7:I155)/2,0)*$C$11))-SUM(OFFSET($F$7,(ROUNDUP(ROWS($I$7:I155)/2,0)*$C$11)-$C$11,0,$C$11))+$D$11,""),$B$5+SUM(OFFSET($F$7,0,0,ROUNDUP(ROWS($I$7:I155)/2,0)*$C$11)))))),"")</f>
        <v/>
      </c>
      <c r="I155" s="484"/>
      <c r="J155" s="492" t="str">
        <f>IF(F304="","",F303+F304)</f>
        <v/>
      </c>
      <c r="K155" s="484"/>
      <c r="L155" s="493" t="str">
        <f t="shared" si="6"/>
        <v/>
      </c>
      <c r="M155" s="487"/>
      <c r="N155" s="479"/>
      <c r="O155" s="484">
        <f>N156/2</f>
        <v>0</v>
      </c>
      <c r="P155" s="487">
        <f>O230</f>
        <v>0</v>
      </c>
      <c r="Q155" s="487"/>
      <c r="R155" s="494" t="str">
        <f>IF(P155=0,"",ROUNDDOWN(P155,2))</f>
        <v/>
      </c>
      <c r="S155" s="484"/>
      <c r="T155" s="495" t="str">
        <f t="shared" si="7"/>
        <v/>
      </c>
      <c r="U155" s="479"/>
      <c r="X155" s="6"/>
      <c r="Y155" s="6"/>
      <c r="Z155" s="6"/>
      <c r="AA155" s="6"/>
      <c r="AB155" s="6"/>
      <c r="AC155" s="6"/>
      <c r="AD155" s="6"/>
      <c r="AE155" s="6"/>
    </row>
    <row r="156" spans="2:31" x14ac:dyDescent="0.3">
      <c r="B156" s="479"/>
      <c r="C156" s="479"/>
      <c r="D156" s="479"/>
      <c r="E156" s="479"/>
      <c r="F156" s="491"/>
      <c r="G156" s="482" t="str">
        <f t="shared" ca="1" si="5"/>
        <v/>
      </c>
      <c r="H156" s="483" t="str">
        <f ca="1">IFERROR(IF(OR($C$11="",$C$11=0),"",IF(OR($D$11=0,$D$11=""),IF(NOT(ISNUMBER(INDEX($F$7:$F$1000,ROWS($I$7:I156)*$C$11))),"",$B$5+SUM(OFFSET($F$7,0,0,ROWS($I$7:I156)*$C$11))),IF(NOT(ISNUMBER(INDEX($F$7:$F$1000,ROUNDUP(ROWS($I$7:I156)/2,0)*$C$11))),"",IF(MOD(ROWS($I$7:I156),2)=1,IF(ISNUMBER($B$5),$B$5+SUM(OFFSET($F$7,0,0,ROUNDUP(ROWS($I$7:I156)/2,0)*$C$11))-SUM(OFFSET($F$7,(ROUNDUP(ROWS($I$7:I156)/2,0)*$C$11)-$C$11,0,$C$11))+$D$11,""),$B$5+SUM(OFFSET($F$7,0,0,ROUNDUP(ROWS($I$7:I156)/2,0)*$C$11)))))),"")</f>
        <v/>
      </c>
      <c r="I156" s="484"/>
      <c r="J156" s="492" t="str">
        <f>IF(F306="","",F305+F306)</f>
        <v/>
      </c>
      <c r="K156" s="484"/>
      <c r="L156" s="493" t="str">
        <f t="shared" si="6"/>
        <v/>
      </c>
      <c r="M156" s="487"/>
      <c r="N156" s="484">
        <f>F154+F155+F156</f>
        <v>0</v>
      </c>
      <c r="O156" s="484">
        <f>N156/2</f>
        <v>0</v>
      </c>
      <c r="P156" s="487">
        <f>O231</f>
        <v>0</v>
      </c>
      <c r="Q156" s="487"/>
      <c r="R156" s="492" t="str">
        <f>IF(P156=0,"",ROUNDUP(P156,2))</f>
        <v/>
      </c>
      <c r="S156" s="484"/>
      <c r="T156" s="493" t="str">
        <f t="shared" si="7"/>
        <v/>
      </c>
      <c r="U156" s="479"/>
      <c r="X156" s="6"/>
      <c r="Y156" s="6"/>
      <c r="Z156" s="6"/>
      <c r="AA156" s="6"/>
      <c r="AB156" s="6"/>
      <c r="AC156" s="6"/>
      <c r="AD156" s="6"/>
      <c r="AE156" s="6"/>
    </row>
    <row r="157" spans="2:31" x14ac:dyDescent="0.3">
      <c r="B157" s="479"/>
      <c r="C157" s="479"/>
      <c r="D157" s="479"/>
      <c r="E157" s="479"/>
      <c r="F157" s="491"/>
      <c r="G157" s="482" t="str">
        <f t="shared" ca="1" si="5"/>
        <v/>
      </c>
      <c r="H157" s="483" t="str">
        <f ca="1">IFERROR(IF(OR($C$11="",$C$11=0),"",IF(OR($D$11=0,$D$11=""),IF(NOT(ISNUMBER(INDEX($F$7:$F$1000,ROWS($I$7:I157)*$C$11))),"",$B$5+SUM(OFFSET($F$7,0,0,ROWS($I$7:I157)*$C$11))),IF(NOT(ISNUMBER(INDEX($F$7:$F$1000,ROUNDUP(ROWS($I$7:I157)/2,0)*$C$11))),"",IF(MOD(ROWS($I$7:I157),2)=1,IF(ISNUMBER($B$5),$B$5+SUM(OFFSET($F$7,0,0,ROUNDUP(ROWS($I$7:I157)/2,0)*$C$11))-SUM(OFFSET($F$7,(ROUNDUP(ROWS($I$7:I157)/2,0)*$C$11)-$C$11,0,$C$11))+$D$11,""),$B$5+SUM(OFFSET($F$7,0,0,ROUNDUP(ROWS($I$7:I157)/2,0)*$C$11)))))),"")</f>
        <v/>
      </c>
      <c r="I157" s="484"/>
      <c r="J157" s="492" t="str">
        <f>IF(F308="","",F307+F308)</f>
        <v/>
      </c>
      <c r="K157" s="484"/>
      <c r="L157" s="493" t="str">
        <f t="shared" si="6"/>
        <v/>
      </c>
      <c r="M157" s="484"/>
      <c r="N157" s="479"/>
      <c r="O157" s="484"/>
      <c r="P157" s="487">
        <f>O233</f>
        <v>0</v>
      </c>
      <c r="Q157" s="484"/>
      <c r="R157" s="494" t="str">
        <f>IF(P157=0,"",ROUNDDOWN(P157,2))</f>
        <v/>
      </c>
      <c r="S157" s="484"/>
      <c r="T157" s="495" t="str">
        <f t="shared" si="7"/>
        <v/>
      </c>
      <c r="U157" s="479"/>
      <c r="X157" s="6"/>
      <c r="Y157" s="6"/>
      <c r="Z157" s="6"/>
      <c r="AA157" s="6"/>
      <c r="AB157" s="6"/>
      <c r="AC157" s="6"/>
      <c r="AD157" s="6"/>
      <c r="AE157" s="6"/>
    </row>
    <row r="158" spans="2:31" x14ac:dyDescent="0.3">
      <c r="B158" s="479"/>
      <c r="C158" s="479"/>
      <c r="D158" s="479"/>
      <c r="E158" s="479"/>
      <c r="F158" s="491"/>
      <c r="G158" s="482" t="str">
        <f t="shared" ca="1" si="5"/>
        <v/>
      </c>
      <c r="H158" s="483" t="str">
        <f ca="1">IFERROR(IF(OR($C$11="",$C$11=0),"",IF(OR($D$11=0,$D$11=""),IF(NOT(ISNUMBER(INDEX($F$7:$F$1000,ROWS($I$7:I158)*$C$11))),"",$B$5+SUM(OFFSET($F$7,0,0,ROWS($I$7:I158)*$C$11))),IF(NOT(ISNUMBER(INDEX($F$7:$F$1000,ROUNDUP(ROWS($I$7:I158)/2,0)*$C$11))),"",IF(MOD(ROWS($I$7:I158),2)=1,IF(ISNUMBER($B$5),$B$5+SUM(OFFSET($F$7,0,0,ROUNDUP(ROWS($I$7:I158)/2,0)*$C$11))-SUM(OFFSET($F$7,(ROUNDUP(ROWS($I$7:I158)/2,0)*$C$11)-$C$11,0,$C$11))+$D$11,""),$B$5+SUM(OFFSET($F$7,0,0,ROUNDUP(ROWS($I$7:I158)/2,0)*$C$11)))))),"")</f>
        <v/>
      </c>
      <c r="I158" s="484"/>
      <c r="J158" s="492" t="str">
        <f>IF(F310="","",F309+F310)</f>
        <v/>
      </c>
      <c r="K158" s="484"/>
      <c r="L158" s="493" t="str">
        <f t="shared" si="6"/>
        <v/>
      </c>
      <c r="M158" s="484"/>
      <c r="N158" s="479"/>
      <c r="O158" s="484">
        <f>N159/2</f>
        <v>0</v>
      </c>
      <c r="P158" s="487">
        <f>O234</f>
        <v>0</v>
      </c>
      <c r="Q158" s="484"/>
      <c r="R158" s="492" t="str">
        <f>IF(P158=0,"",ROUNDUP(P158,2))</f>
        <v/>
      </c>
      <c r="S158" s="484"/>
      <c r="T158" s="493" t="str">
        <f t="shared" si="7"/>
        <v/>
      </c>
      <c r="U158" s="479"/>
      <c r="X158" s="6"/>
      <c r="Y158" s="6"/>
      <c r="Z158" s="6"/>
      <c r="AA158" s="6"/>
      <c r="AB158" s="6"/>
      <c r="AC158" s="6"/>
      <c r="AD158" s="6"/>
      <c r="AE158" s="6"/>
    </row>
    <row r="159" spans="2:31" x14ac:dyDescent="0.3">
      <c r="B159" s="479"/>
      <c r="C159" s="479"/>
      <c r="D159" s="479"/>
      <c r="E159" s="479"/>
      <c r="F159" s="491"/>
      <c r="G159" s="482" t="str">
        <f t="shared" ca="1" si="5"/>
        <v/>
      </c>
      <c r="H159" s="483" t="str">
        <f ca="1">IFERROR(IF(OR($C$11="",$C$11=0),"",IF(OR($D$11=0,$D$11=""),IF(NOT(ISNUMBER(INDEX($F$7:$F$1000,ROWS($I$7:I159)*$C$11))),"",$B$5+SUM(OFFSET($F$7,0,0,ROWS($I$7:I159)*$C$11))),IF(NOT(ISNUMBER(INDEX($F$7:$F$1000,ROUNDUP(ROWS($I$7:I159)/2,0)*$C$11))),"",IF(MOD(ROWS($I$7:I159),2)=1,IF(ISNUMBER($B$5),$B$5+SUM(OFFSET($F$7,0,0,ROUNDUP(ROWS($I$7:I159)/2,0)*$C$11))-SUM(OFFSET($F$7,(ROUNDUP(ROWS($I$7:I159)/2,0)*$C$11)-$C$11,0,$C$11))+$D$11,""),$B$5+SUM(OFFSET($F$7,0,0,ROUNDUP(ROWS($I$7:I159)/2,0)*$C$11)))))),"")</f>
        <v/>
      </c>
      <c r="I159" s="484"/>
      <c r="J159" s="492" t="str">
        <f>IF(F312="","",F311+F312)</f>
        <v/>
      </c>
      <c r="K159" s="484"/>
      <c r="L159" s="493" t="str">
        <f t="shared" si="6"/>
        <v/>
      </c>
      <c r="M159" s="484"/>
      <c r="N159" s="484">
        <f>F157+F158+F159</f>
        <v>0</v>
      </c>
      <c r="O159" s="484">
        <f>N159/2</f>
        <v>0</v>
      </c>
      <c r="P159" s="487">
        <f>O236</f>
        <v>0</v>
      </c>
      <c r="Q159" s="484"/>
      <c r="R159" s="494" t="str">
        <f>IF(P159=0,"",ROUNDDOWN(P159,2))</f>
        <v/>
      </c>
      <c r="S159" s="484"/>
      <c r="T159" s="495" t="str">
        <f t="shared" si="7"/>
        <v/>
      </c>
      <c r="U159" s="479"/>
      <c r="X159" s="6"/>
      <c r="Y159" s="6"/>
      <c r="Z159" s="6"/>
      <c r="AA159" s="6"/>
      <c r="AB159" s="6"/>
      <c r="AC159" s="6"/>
      <c r="AD159" s="6"/>
      <c r="AE159" s="6"/>
    </row>
    <row r="160" spans="2:31" ht="15" thickBot="1" x14ac:dyDescent="0.35">
      <c r="B160" s="479"/>
      <c r="C160" s="479"/>
      <c r="D160" s="479"/>
      <c r="E160" s="479"/>
      <c r="F160" s="491"/>
      <c r="G160" s="482" t="str">
        <f t="shared" ca="1" si="5"/>
        <v/>
      </c>
      <c r="H160" s="483" t="str">
        <f ca="1">IFERROR(IF(OR($C$11="",$C$11=0),"",IF(OR($D$11=0,$D$11=""),IF(NOT(ISNUMBER(INDEX($F$7:$F$1000,ROWS($I$7:I160)*$C$11))),"",$B$5+SUM(OFFSET($F$7,0,0,ROWS($I$7:I160)*$C$11))),IF(NOT(ISNUMBER(INDEX($F$7:$F$1000,ROUNDUP(ROWS($I$7:I160)/2,0)*$C$11))),"",IF(MOD(ROWS($I$7:I160),2)=1,IF(ISNUMBER($B$5),$B$5+SUM(OFFSET($F$7,0,0,ROUNDUP(ROWS($I$7:I160)/2,0)*$C$11))-SUM(OFFSET($F$7,(ROUNDUP(ROWS($I$7:I160)/2,0)*$C$11)-$C$11,0,$C$11))+$D$11,""),$B$5+SUM(OFFSET($F$7,0,0,ROUNDUP(ROWS($I$7:I160)/2,0)*$C$11)))))),"")</f>
        <v/>
      </c>
      <c r="I160" s="484"/>
      <c r="J160" s="498" t="str">
        <f>IF(F314="","",F313+F314)</f>
        <v/>
      </c>
      <c r="K160" s="484"/>
      <c r="L160" s="499" t="str">
        <f t="shared" si="6"/>
        <v/>
      </c>
      <c r="M160" s="484"/>
      <c r="N160" s="479"/>
      <c r="O160" s="484"/>
      <c r="P160" s="487">
        <f>O237</f>
        <v>0</v>
      </c>
      <c r="Q160" s="484"/>
      <c r="R160" s="492" t="str">
        <f>IF(P160=0,"",ROUNDUP(P160,2))</f>
        <v/>
      </c>
      <c r="S160" s="484"/>
      <c r="T160" s="493" t="str">
        <f t="shared" si="7"/>
        <v/>
      </c>
      <c r="U160" s="479"/>
      <c r="X160" s="6"/>
      <c r="Y160" s="6"/>
      <c r="Z160" s="6"/>
      <c r="AA160" s="6"/>
      <c r="AB160" s="6"/>
      <c r="AC160" s="6"/>
      <c r="AD160" s="6"/>
      <c r="AE160" s="6"/>
    </row>
    <row r="161" spans="2:31" x14ac:dyDescent="0.3">
      <c r="B161" s="479"/>
      <c r="C161" s="479"/>
      <c r="D161" s="479"/>
      <c r="E161" s="479"/>
      <c r="F161" s="491"/>
      <c r="G161" s="482" t="str">
        <f t="shared" ca="1" si="5"/>
        <v/>
      </c>
      <c r="H161" s="483" t="str">
        <f ca="1">IFERROR(IF(OR($C$11="",$C$11=0),"",IF(OR($D$11=0,$D$11=""),IF(NOT(ISNUMBER(INDEX($F$7:$F$1000,ROWS($I$7:I161)*$C$11))),"",$B$5+SUM(OFFSET($F$7,0,0,ROWS($I$7:I161)*$C$11))),IF(NOT(ISNUMBER(INDEX($F$7:$F$1000,ROUNDUP(ROWS($I$7:I161)/2,0)*$C$11))),"",IF(MOD(ROWS($I$7:I161),2)=1,IF(ISNUMBER($B$5),$B$5+SUM(OFFSET($F$7,0,0,ROUNDUP(ROWS($I$7:I161)/2,0)*$C$11))-SUM(OFFSET($F$7,(ROUNDUP(ROWS($I$7:I161)/2,0)*$C$11)-$C$11,0,$C$11))+$D$11,""),$B$5+SUM(OFFSET($F$7,0,0,ROUNDUP(ROWS($I$7:I161)/2,0)*$C$11)))))),"")</f>
        <v/>
      </c>
      <c r="I161" s="484"/>
      <c r="J161" s="484"/>
      <c r="K161" s="484"/>
      <c r="L161" s="484"/>
      <c r="M161" s="484"/>
      <c r="N161" s="479"/>
      <c r="O161" s="484">
        <f>N162/2</f>
        <v>0</v>
      </c>
      <c r="P161" s="487">
        <f>O239</f>
        <v>0</v>
      </c>
      <c r="Q161" s="484"/>
      <c r="R161" s="494" t="str">
        <f>IF(P161=0,"",ROUNDDOWN(P161,2))</f>
        <v/>
      </c>
      <c r="S161" s="484"/>
      <c r="T161" s="495" t="str">
        <f t="shared" si="7"/>
        <v/>
      </c>
      <c r="U161" s="479"/>
      <c r="X161" s="6"/>
      <c r="Y161" s="6"/>
      <c r="Z161" s="6"/>
      <c r="AA161" s="6"/>
      <c r="AB161" s="6"/>
      <c r="AC161" s="6"/>
      <c r="AD161" s="6"/>
      <c r="AE161" s="6"/>
    </row>
    <row r="162" spans="2:31" x14ac:dyDescent="0.3">
      <c r="B162" s="479"/>
      <c r="C162" s="479"/>
      <c r="D162" s="479"/>
      <c r="E162" s="479"/>
      <c r="F162" s="491"/>
      <c r="G162" s="482" t="str">
        <f t="shared" ref="G162:G225" ca="1" si="8">IF(OR(H162="", H162=H161), "", H162-H161)</f>
        <v/>
      </c>
      <c r="H162" s="483" t="str">
        <f ca="1">IFERROR(IF(OR($C$11="",$C$11=0),"",IF(OR($D$11=0,$D$11=""),IF(NOT(ISNUMBER(INDEX($F$7:$F$1000,ROWS($I$7:I162)*$C$11))),"",$B$5+SUM(OFFSET($F$7,0,0,ROWS($I$7:I162)*$C$11))),IF(NOT(ISNUMBER(INDEX($F$7:$F$1000,ROUNDUP(ROWS($I$7:I162)/2,0)*$C$11))),"",IF(MOD(ROWS($I$7:I162),2)=1,IF(ISNUMBER($B$5),$B$5+SUM(OFFSET($F$7,0,0,ROUNDUP(ROWS($I$7:I162)/2,0)*$C$11))-SUM(OFFSET($F$7,(ROUNDUP(ROWS($I$7:I162)/2,0)*$C$11)-$C$11,0,$C$11))+$D$11,""),$B$5+SUM(OFFSET($F$7,0,0,ROUNDUP(ROWS($I$7:I162)/2,0)*$C$11)))))),"")</f>
        <v/>
      </c>
      <c r="I162" s="484"/>
      <c r="J162" s="484"/>
      <c r="K162" s="484"/>
      <c r="L162" s="484"/>
      <c r="M162" s="484"/>
      <c r="N162" s="484">
        <f>F160+F161+F162</f>
        <v>0</v>
      </c>
      <c r="O162" s="484">
        <f>N162/2</f>
        <v>0</v>
      </c>
      <c r="P162" s="487">
        <f>O240</f>
        <v>0</v>
      </c>
      <c r="Q162" s="484"/>
      <c r="R162" s="492" t="str">
        <f>IF(P162=0,"",ROUNDUP(P162,2))</f>
        <v/>
      </c>
      <c r="S162" s="484"/>
      <c r="T162" s="493" t="str">
        <f t="shared" si="7"/>
        <v/>
      </c>
      <c r="U162" s="479"/>
      <c r="X162" s="6"/>
      <c r="Y162" s="6"/>
      <c r="Z162" s="6"/>
      <c r="AA162" s="6"/>
      <c r="AB162" s="6"/>
      <c r="AC162" s="6"/>
      <c r="AD162" s="6"/>
      <c r="AE162" s="6"/>
    </row>
    <row r="163" spans="2:31" x14ac:dyDescent="0.3">
      <c r="B163" s="479"/>
      <c r="C163" s="479"/>
      <c r="D163" s="479"/>
      <c r="E163" s="479"/>
      <c r="F163" s="491"/>
      <c r="G163" s="482" t="str">
        <f t="shared" ca="1" si="8"/>
        <v/>
      </c>
      <c r="H163" s="483" t="str">
        <f ca="1">IFERROR(IF(OR($C$11="",$C$11=0),"",IF(OR($D$11=0,$D$11=""),IF(NOT(ISNUMBER(INDEX($F$7:$F$1000,ROWS($I$7:I163)*$C$11))),"",$B$5+SUM(OFFSET($F$7,0,0,ROWS($I$7:I163)*$C$11))),IF(NOT(ISNUMBER(INDEX($F$7:$F$1000,ROUNDUP(ROWS($I$7:I163)/2,0)*$C$11))),"",IF(MOD(ROWS($I$7:I163),2)=1,IF(ISNUMBER($B$5),$B$5+SUM(OFFSET($F$7,0,0,ROUNDUP(ROWS($I$7:I163)/2,0)*$C$11))-SUM(OFFSET($F$7,(ROUNDUP(ROWS($I$7:I163)/2,0)*$C$11)-$C$11,0,$C$11))+$D$11,""),$B$5+SUM(OFFSET($F$7,0,0,ROUNDUP(ROWS($I$7:I163)/2,0)*$C$11)))))),"")</f>
        <v/>
      </c>
      <c r="I163" s="484"/>
      <c r="J163" s="484"/>
      <c r="K163" s="484"/>
      <c r="L163" s="484"/>
      <c r="M163" s="484"/>
      <c r="N163" s="479"/>
      <c r="O163" s="484"/>
      <c r="P163" s="487">
        <f>O242</f>
        <v>0</v>
      </c>
      <c r="Q163" s="484"/>
      <c r="R163" s="494" t="str">
        <f>IF(P163=0,"",ROUNDDOWN(P163,2))</f>
        <v/>
      </c>
      <c r="S163" s="484"/>
      <c r="T163" s="495" t="str">
        <f t="shared" si="7"/>
        <v/>
      </c>
      <c r="U163" s="479"/>
      <c r="X163" s="6"/>
      <c r="Y163" s="6"/>
      <c r="Z163" s="6"/>
      <c r="AA163" s="6"/>
      <c r="AB163" s="6"/>
      <c r="AC163" s="6"/>
      <c r="AD163" s="6"/>
      <c r="AE163" s="6"/>
    </row>
    <row r="164" spans="2:31" x14ac:dyDescent="0.3">
      <c r="B164" s="479"/>
      <c r="C164" s="479"/>
      <c r="D164" s="479"/>
      <c r="E164" s="479"/>
      <c r="F164" s="491"/>
      <c r="G164" s="482" t="str">
        <f t="shared" ca="1" si="8"/>
        <v/>
      </c>
      <c r="H164" s="483" t="str">
        <f ca="1">IFERROR(IF(OR($C$11="",$C$11=0),"",IF(OR($D$11=0,$D$11=""),IF(NOT(ISNUMBER(INDEX($F$7:$F$1000,ROWS($I$7:I164)*$C$11))),"",$B$5+SUM(OFFSET($F$7,0,0,ROWS($I$7:I164)*$C$11))),IF(NOT(ISNUMBER(INDEX($F$7:$F$1000,ROUNDUP(ROWS($I$7:I164)/2,0)*$C$11))),"",IF(MOD(ROWS($I$7:I164),2)=1,IF(ISNUMBER($B$5),$B$5+SUM(OFFSET($F$7,0,0,ROUNDUP(ROWS($I$7:I164)/2,0)*$C$11))-SUM(OFFSET($F$7,(ROUNDUP(ROWS($I$7:I164)/2,0)*$C$11)-$C$11,0,$C$11))+$D$11,""),$B$5+SUM(OFFSET($F$7,0,0,ROUNDUP(ROWS($I$7:I164)/2,0)*$C$11)))))),"")</f>
        <v/>
      </c>
      <c r="I164" s="484"/>
      <c r="J164" s="484"/>
      <c r="K164" s="484"/>
      <c r="L164" s="484"/>
      <c r="M164" s="484"/>
      <c r="N164" s="479"/>
      <c r="O164" s="484">
        <f>N165/2</f>
        <v>0</v>
      </c>
      <c r="P164" s="487">
        <f>O243</f>
        <v>0</v>
      </c>
      <c r="Q164" s="484"/>
      <c r="R164" s="492" t="str">
        <f>IF(P164=0,"",ROUNDUP(P164,2))</f>
        <v/>
      </c>
      <c r="S164" s="484"/>
      <c r="T164" s="493" t="str">
        <f t="shared" si="7"/>
        <v/>
      </c>
      <c r="U164" s="479"/>
      <c r="X164" s="6"/>
      <c r="Y164" s="6"/>
      <c r="Z164" s="6"/>
      <c r="AA164" s="6"/>
      <c r="AB164" s="6"/>
      <c r="AC164" s="6"/>
      <c r="AD164" s="6"/>
      <c r="AE164" s="6"/>
    </row>
    <row r="165" spans="2:31" x14ac:dyDescent="0.3">
      <c r="B165" s="479"/>
      <c r="C165" s="479"/>
      <c r="D165" s="479"/>
      <c r="E165" s="479"/>
      <c r="F165" s="491"/>
      <c r="G165" s="482" t="str">
        <f t="shared" ca="1" si="8"/>
        <v/>
      </c>
      <c r="H165" s="483" t="str">
        <f ca="1">IFERROR(IF(OR($C$11="",$C$11=0),"",IF(OR($D$11=0,$D$11=""),IF(NOT(ISNUMBER(INDEX($F$7:$F$1000,ROWS($I$7:I165)*$C$11))),"",$B$5+SUM(OFFSET($F$7,0,0,ROWS($I$7:I165)*$C$11))),IF(NOT(ISNUMBER(INDEX($F$7:$F$1000,ROUNDUP(ROWS($I$7:I165)/2,0)*$C$11))),"",IF(MOD(ROWS($I$7:I165),2)=1,IF(ISNUMBER($B$5),$B$5+SUM(OFFSET($F$7,0,0,ROUNDUP(ROWS($I$7:I165)/2,0)*$C$11))-SUM(OFFSET($F$7,(ROUNDUP(ROWS($I$7:I165)/2,0)*$C$11)-$C$11,0,$C$11))+$D$11,""),$B$5+SUM(OFFSET($F$7,0,0,ROUNDUP(ROWS($I$7:I165)/2,0)*$C$11)))))),"")</f>
        <v/>
      </c>
      <c r="I165" s="484"/>
      <c r="J165" s="484"/>
      <c r="K165" s="484"/>
      <c r="L165" s="484"/>
      <c r="M165" s="484"/>
      <c r="N165" s="484">
        <f>F163+F164+F165</f>
        <v>0</v>
      </c>
      <c r="O165" s="484">
        <f>N165/2</f>
        <v>0</v>
      </c>
      <c r="P165" s="487">
        <f>O245</f>
        <v>0</v>
      </c>
      <c r="Q165" s="484"/>
      <c r="R165" s="494" t="str">
        <f>IF(P165=0,"",ROUNDDOWN(P165,2))</f>
        <v/>
      </c>
      <c r="S165" s="484"/>
      <c r="T165" s="495" t="str">
        <f t="shared" si="7"/>
        <v/>
      </c>
      <c r="U165" s="479"/>
      <c r="X165" s="6"/>
      <c r="Y165" s="6"/>
      <c r="Z165" s="6"/>
      <c r="AA165" s="6"/>
      <c r="AB165" s="6"/>
      <c r="AC165" s="6"/>
      <c r="AD165" s="6"/>
      <c r="AE165" s="6"/>
    </row>
    <row r="166" spans="2:31" x14ac:dyDescent="0.3">
      <c r="B166" s="479"/>
      <c r="C166" s="479"/>
      <c r="D166" s="479"/>
      <c r="E166" s="479"/>
      <c r="F166" s="491"/>
      <c r="G166" s="482" t="str">
        <f t="shared" ca="1" si="8"/>
        <v/>
      </c>
      <c r="H166" s="483" t="str">
        <f ca="1">IFERROR(IF(OR($C$11="",$C$11=0),"",IF(OR($D$11=0,$D$11=""),IF(NOT(ISNUMBER(INDEX($F$7:$F$1000,ROWS($I$7:I166)*$C$11))),"",$B$5+SUM(OFFSET($F$7,0,0,ROWS($I$7:I166)*$C$11))),IF(NOT(ISNUMBER(INDEX($F$7:$F$1000,ROUNDUP(ROWS($I$7:I166)/2,0)*$C$11))),"",IF(MOD(ROWS($I$7:I166),2)=1,IF(ISNUMBER($B$5),$B$5+SUM(OFFSET($F$7,0,0,ROUNDUP(ROWS($I$7:I166)/2,0)*$C$11))-SUM(OFFSET($F$7,(ROUNDUP(ROWS($I$7:I166)/2,0)*$C$11)-$C$11,0,$C$11))+$D$11,""),$B$5+SUM(OFFSET($F$7,0,0,ROUNDUP(ROWS($I$7:I166)/2,0)*$C$11)))))),"")</f>
        <v/>
      </c>
      <c r="I166" s="484"/>
      <c r="J166" s="484"/>
      <c r="K166" s="484"/>
      <c r="L166" s="484"/>
      <c r="M166" s="484"/>
      <c r="N166" s="479"/>
      <c r="O166" s="484"/>
      <c r="P166" s="487">
        <f>O246</f>
        <v>0</v>
      </c>
      <c r="Q166" s="484"/>
      <c r="R166" s="492" t="str">
        <f>IF(P166=0,"",ROUNDUP(P166,2))</f>
        <v/>
      </c>
      <c r="S166" s="484"/>
      <c r="T166" s="493" t="str">
        <f t="shared" si="7"/>
        <v/>
      </c>
      <c r="U166" s="479"/>
      <c r="X166" s="6"/>
      <c r="Y166" s="6"/>
      <c r="Z166" s="6"/>
      <c r="AA166" s="6"/>
      <c r="AB166" s="6"/>
      <c r="AC166" s="6"/>
      <c r="AD166" s="6"/>
      <c r="AE166" s="6"/>
    </row>
    <row r="167" spans="2:31" x14ac:dyDescent="0.3">
      <c r="B167" s="479"/>
      <c r="C167" s="479"/>
      <c r="D167" s="479"/>
      <c r="E167" s="479"/>
      <c r="F167" s="491"/>
      <c r="G167" s="482" t="str">
        <f t="shared" ca="1" si="8"/>
        <v/>
      </c>
      <c r="H167" s="483" t="str">
        <f ca="1">IFERROR(IF(OR($C$11="",$C$11=0),"",IF(OR($D$11=0,$D$11=""),IF(NOT(ISNUMBER(INDEX($F$7:$F$1000,ROWS($I$7:I167)*$C$11))),"",$B$5+SUM(OFFSET($F$7,0,0,ROWS($I$7:I167)*$C$11))),IF(NOT(ISNUMBER(INDEX($F$7:$F$1000,ROUNDUP(ROWS($I$7:I167)/2,0)*$C$11))),"",IF(MOD(ROWS($I$7:I167),2)=1,IF(ISNUMBER($B$5),$B$5+SUM(OFFSET($F$7,0,0,ROUNDUP(ROWS($I$7:I167)/2,0)*$C$11))-SUM(OFFSET($F$7,(ROUNDUP(ROWS($I$7:I167)/2,0)*$C$11)-$C$11,0,$C$11))+$D$11,""),$B$5+SUM(OFFSET($F$7,0,0,ROUNDUP(ROWS($I$7:I167)/2,0)*$C$11)))))),"")</f>
        <v/>
      </c>
      <c r="I167" s="484"/>
      <c r="J167" s="484"/>
      <c r="K167" s="484"/>
      <c r="L167" s="484"/>
      <c r="M167" s="484"/>
      <c r="N167" s="479"/>
      <c r="O167" s="484">
        <f>N168/2</f>
        <v>0</v>
      </c>
      <c r="P167" s="487">
        <f>O248</f>
        <v>0</v>
      </c>
      <c r="Q167" s="484"/>
      <c r="R167" s="494" t="str">
        <f>IF(P167=0,"",ROUNDDOWN(P167,2))</f>
        <v/>
      </c>
      <c r="S167" s="484"/>
      <c r="T167" s="495" t="str">
        <f t="shared" si="7"/>
        <v/>
      </c>
      <c r="U167" s="479"/>
      <c r="X167" s="6"/>
      <c r="Y167" s="6"/>
      <c r="Z167" s="6"/>
      <c r="AA167" s="6"/>
      <c r="AB167" s="6"/>
      <c r="AC167" s="6"/>
      <c r="AD167" s="6"/>
      <c r="AE167" s="6"/>
    </row>
    <row r="168" spans="2:31" x14ac:dyDescent="0.3">
      <c r="B168" s="479"/>
      <c r="C168" s="479"/>
      <c r="D168" s="479"/>
      <c r="E168" s="479"/>
      <c r="F168" s="491"/>
      <c r="G168" s="482" t="str">
        <f t="shared" ca="1" si="8"/>
        <v/>
      </c>
      <c r="H168" s="483" t="str">
        <f ca="1">IFERROR(IF(OR($C$11="",$C$11=0),"",IF(OR($D$11=0,$D$11=""),IF(NOT(ISNUMBER(INDEX($F$7:$F$1000,ROWS($I$7:I168)*$C$11))),"",$B$5+SUM(OFFSET($F$7,0,0,ROWS($I$7:I168)*$C$11))),IF(NOT(ISNUMBER(INDEX($F$7:$F$1000,ROUNDUP(ROWS($I$7:I168)/2,0)*$C$11))),"",IF(MOD(ROWS($I$7:I168),2)=1,IF(ISNUMBER($B$5),$B$5+SUM(OFFSET($F$7,0,0,ROUNDUP(ROWS($I$7:I168)/2,0)*$C$11))-SUM(OFFSET($F$7,(ROUNDUP(ROWS($I$7:I168)/2,0)*$C$11)-$C$11,0,$C$11))+$D$11,""),$B$5+SUM(OFFSET($F$7,0,0,ROUNDUP(ROWS($I$7:I168)/2,0)*$C$11)))))),"")</f>
        <v/>
      </c>
      <c r="I168" s="484"/>
      <c r="J168" s="484"/>
      <c r="K168" s="484"/>
      <c r="L168" s="484"/>
      <c r="M168" s="484"/>
      <c r="N168" s="484">
        <f>F166+F167+F168</f>
        <v>0</v>
      </c>
      <c r="O168" s="484">
        <f>N168/2</f>
        <v>0</v>
      </c>
      <c r="P168" s="487">
        <f>O249</f>
        <v>0</v>
      </c>
      <c r="Q168" s="484"/>
      <c r="R168" s="492" t="str">
        <f>IF(P168=0,"",ROUNDUP(P168,2))</f>
        <v/>
      </c>
      <c r="S168" s="484"/>
      <c r="T168" s="493" t="str">
        <f t="shared" si="7"/>
        <v/>
      </c>
      <c r="U168" s="479"/>
      <c r="X168" s="6"/>
      <c r="Y168" s="6"/>
      <c r="Z168" s="6"/>
      <c r="AA168" s="6"/>
      <c r="AB168" s="6"/>
      <c r="AC168" s="6"/>
      <c r="AD168" s="6"/>
      <c r="AE168" s="6"/>
    </row>
    <row r="169" spans="2:31" x14ac:dyDescent="0.3">
      <c r="B169" s="479"/>
      <c r="C169" s="479"/>
      <c r="D169" s="479"/>
      <c r="E169" s="479"/>
      <c r="F169" s="491"/>
      <c r="G169" s="482" t="str">
        <f t="shared" ca="1" si="8"/>
        <v/>
      </c>
      <c r="H169" s="483" t="str">
        <f ca="1">IFERROR(IF(OR($C$11="",$C$11=0),"",IF(OR($D$11=0,$D$11=""),IF(NOT(ISNUMBER(INDEX($F$7:$F$1000,ROWS($I$7:I169)*$C$11))),"",$B$5+SUM(OFFSET($F$7,0,0,ROWS($I$7:I169)*$C$11))),IF(NOT(ISNUMBER(INDEX($F$7:$F$1000,ROUNDUP(ROWS($I$7:I169)/2,0)*$C$11))),"",IF(MOD(ROWS($I$7:I169),2)=1,IF(ISNUMBER($B$5),$B$5+SUM(OFFSET($F$7,0,0,ROUNDUP(ROWS($I$7:I169)/2,0)*$C$11))-SUM(OFFSET($F$7,(ROUNDUP(ROWS($I$7:I169)/2,0)*$C$11)-$C$11,0,$C$11))+$D$11,""),$B$5+SUM(OFFSET($F$7,0,0,ROUNDUP(ROWS($I$7:I169)/2,0)*$C$11)))))),"")</f>
        <v/>
      </c>
      <c r="I169" s="484"/>
      <c r="J169" s="484"/>
      <c r="K169" s="484"/>
      <c r="L169" s="484"/>
      <c r="M169" s="484"/>
      <c r="N169" s="479"/>
      <c r="O169" s="484"/>
      <c r="P169" s="487">
        <f>O251</f>
        <v>0</v>
      </c>
      <c r="Q169" s="484"/>
      <c r="R169" s="494" t="str">
        <f>IF(P169=0,"",ROUNDDOWN(P169,2))</f>
        <v/>
      </c>
      <c r="S169" s="484"/>
      <c r="T169" s="495" t="str">
        <f t="shared" si="7"/>
        <v/>
      </c>
      <c r="U169" s="479"/>
    </row>
    <row r="170" spans="2:31" x14ac:dyDescent="0.3">
      <c r="B170" s="479"/>
      <c r="C170" s="479"/>
      <c r="D170" s="479"/>
      <c r="E170" s="479"/>
      <c r="F170" s="491"/>
      <c r="G170" s="482" t="str">
        <f t="shared" ca="1" si="8"/>
        <v/>
      </c>
      <c r="H170" s="483" t="str">
        <f ca="1">IFERROR(IF(OR($C$11="",$C$11=0),"",IF(OR($D$11=0,$D$11=""),IF(NOT(ISNUMBER(INDEX($F$7:$F$1000,ROWS($I$7:I170)*$C$11))),"",$B$5+SUM(OFFSET($F$7,0,0,ROWS($I$7:I170)*$C$11))),IF(NOT(ISNUMBER(INDEX($F$7:$F$1000,ROUNDUP(ROWS($I$7:I170)/2,0)*$C$11))),"",IF(MOD(ROWS($I$7:I170),2)=1,IF(ISNUMBER($B$5),$B$5+SUM(OFFSET($F$7,0,0,ROUNDUP(ROWS($I$7:I170)/2,0)*$C$11))-SUM(OFFSET($F$7,(ROUNDUP(ROWS($I$7:I170)/2,0)*$C$11)-$C$11,0,$C$11))+$D$11,""),$B$5+SUM(OFFSET($F$7,0,0,ROUNDUP(ROWS($I$7:I170)/2,0)*$C$11)))))),"")</f>
        <v/>
      </c>
      <c r="I170" s="484"/>
      <c r="J170" s="484"/>
      <c r="K170" s="484"/>
      <c r="L170" s="484"/>
      <c r="M170" s="484"/>
      <c r="N170" s="479"/>
      <c r="O170" s="484">
        <f>N171/2</f>
        <v>0</v>
      </c>
      <c r="P170" s="487">
        <f>O252</f>
        <v>0</v>
      </c>
      <c r="Q170" s="484"/>
      <c r="R170" s="492" t="str">
        <f>IF(P170=0,"",ROUNDUP(P170,2))</f>
        <v/>
      </c>
      <c r="S170" s="484"/>
      <c r="T170" s="493" t="str">
        <f t="shared" si="7"/>
        <v/>
      </c>
      <c r="U170" s="479"/>
    </row>
    <row r="171" spans="2:31" x14ac:dyDescent="0.3">
      <c r="B171" s="479"/>
      <c r="C171" s="479"/>
      <c r="D171" s="479"/>
      <c r="E171" s="479"/>
      <c r="F171" s="491"/>
      <c r="G171" s="482" t="str">
        <f t="shared" ca="1" si="8"/>
        <v/>
      </c>
      <c r="H171" s="483" t="str">
        <f ca="1">IFERROR(IF(OR($C$11="",$C$11=0),"",IF(OR($D$11=0,$D$11=""),IF(NOT(ISNUMBER(INDEX($F$7:$F$1000,ROWS($I$7:I171)*$C$11))),"",$B$5+SUM(OFFSET($F$7,0,0,ROWS($I$7:I171)*$C$11))),IF(NOT(ISNUMBER(INDEX($F$7:$F$1000,ROUNDUP(ROWS($I$7:I171)/2,0)*$C$11))),"",IF(MOD(ROWS($I$7:I171),2)=1,IF(ISNUMBER($B$5),$B$5+SUM(OFFSET($F$7,0,0,ROUNDUP(ROWS($I$7:I171)/2,0)*$C$11))-SUM(OFFSET($F$7,(ROUNDUP(ROWS($I$7:I171)/2,0)*$C$11)-$C$11,0,$C$11))+$D$11,""),$B$5+SUM(OFFSET($F$7,0,0,ROUNDUP(ROWS($I$7:I171)/2,0)*$C$11)))))),"")</f>
        <v/>
      </c>
      <c r="I171" s="484"/>
      <c r="J171" s="484"/>
      <c r="K171" s="484"/>
      <c r="L171" s="484"/>
      <c r="M171" s="484"/>
      <c r="N171" s="484">
        <f>F169+F170+F171</f>
        <v>0</v>
      </c>
      <c r="O171" s="484">
        <f>N171/2</f>
        <v>0</v>
      </c>
      <c r="P171" s="487">
        <f>O254</f>
        <v>0</v>
      </c>
      <c r="Q171" s="484"/>
      <c r="R171" s="494" t="str">
        <f>IF(P171=0,"",ROUNDDOWN(P171,2))</f>
        <v/>
      </c>
      <c r="S171" s="484"/>
      <c r="T171" s="495" t="str">
        <f t="shared" si="7"/>
        <v/>
      </c>
      <c r="U171" s="479"/>
    </row>
    <row r="172" spans="2:31" x14ac:dyDescent="0.3">
      <c r="B172" s="479"/>
      <c r="C172" s="479"/>
      <c r="D172" s="479"/>
      <c r="E172" s="479"/>
      <c r="F172" s="491"/>
      <c r="G172" s="482" t="str">
        <f t="shared" ca="1" si="8"/>
        <v/>
      </c>
      <c r="H172" s="483" t="str">
        <f ca="1">IFERROR(IF(OR($C$11="",$C$11=0),"",IF(OR($D$11=0,$D$11=""),IF(NOT(ISNUMBER(INDEX($F$7:$F$1000,ROWS($I$7:I172)*$C$11))),"",$B$5+SUM(OFFSET($F$7,0,0,ROWS($I$7:I172)*$C$11))),IF(NOT(ISNUMBER(INDEX($F$7:$F$1000,ROUNDUP(ROWS($I$7:I172)/2,0)*$C$11))),"",IF(MOD(ROWS($I$7:I172),2)=1,IF(ISNUMBER($B$5),$B$5+SUM(OFFSET($F$7,0,0,ROUNDUP(ROWS($I$7:I172)/2,0)*$C$11))-SUM(OFFSET($F$7,(ROUNDUP(ROWS($I$7:I172)/2,0)*$C$11)-$C$11,0,$C$11))+$D$11,""),$B$5+SUM(OFFSET($F$7,0,0,ROUNDUP(ROWS($I$7:I172)/2,0)*$C$11)))))),"")</f>
        <v/>
      </c>
      <c r="I172" s="484"/>
      <c r="J172" s="484"/>
      <c r="K172" s="484"/>
      <c r="L172" s="484"/>
      <c r="M172" s="484"/>
      <c r="N172" s="479"/>
      <c r="O172" s="484"/>
      <c r="P172" s="487">
        <f>O255</f>
        <v>0</v>
      </c>
      <c r="Q172" s="484"/>
      <c r="R172" s="492" t="str">
        <f>IF(P172=0,"",ROUNDUP(P172,2))</f>
        <v/>
      </c>
      <c r="S172" s="484"/>
      <c r="T172" s="493" t="str">
        <f t="shared" si="7"/>
        <v/>
      </c>
      <c r="U172" s="479"/>
    </row>
    <row r="173" spans="2:31" x14ac:dyDescent="0.3">
      <c r="B173" s="479"/>
      <c r="C173" s="479"/>
      <c r="D173" s="479"/>
      <c r="E173" s="479"/>
      <c r="F173" s="491"/>
      <c r="G173" s="482" t="str">
        <f t="shared" ca="1" si="8"/>
        <v/>
      </c>
      <c r="H173" s="483" t="str">
        <f ca="1">IFERROR(IF(OR($C$11="",$C$11=0),"",IF(OR($D$11=0,$D$11=""),IF(NOT(ISNUMBER(INDEX($F$7:$F$1000,ROWS($I$7:I173)*$C$11))),"",$B$5+SUM(OFFSET($F$7,0,0,ROWS($I$7:I173)*$C$11))),IF(NOT(ISNUMBER(INDEX($F$7:$F$1000,ROUNDUP(ROWS($I$7:I173)/2,0)*$C$11))),"",IF(MOD(ROWS($I$7:I173),2)=1,IF(ISNUMBER($B$5),$B$5+SUM(OFFSET($F$7,0,0,ROUNDUP(ROWS($I$7:I173)/2,0)*$C$11))-SUM(OFFSET($F$7,(ROUNDUP(ROWS($I$7:I173)/2,0)*$C$11)-$C$11,0,$C$11))+$D$11,""),$B$5+SUM(OFFSET($F$7,0,0,ROUNDUP(ROWS($I$7:I173)/2,0)*$C$11)))))),"")</f>
        <v/>
      </c>
      <c r="I173" s="484"/>
      <c r="J173" s="484"/>
      <c r="K173" s="484"/>
      <c r="L173" s="484"/>
      <c r="M173" s="484"/>
      <c r="N173" s="479"/>
      <c r="O173" s="484">
        <f>N174/2</f>
        <v>0</v>
      </c>
      <c r="P173" s="487">
        <f>O257</f>
        <v>0</v>
      </c>
      <c r="Q173" s="484"/>
      <c r="R173" s="494" t="str">
        <f>IF(P173=0,"",ROUNDDOWN(P173,2))</f>
        <v/>
      </c>
      <c r="S173" s="484"/>
      <c r="T173" s="495" t="str">
        <f t="shared" si="7"/>
        <v/>
      </c>
      <c r="U173" s="479"/>
    </row>
    <row r="174" spans="2:31" x14ac:dyDescent="0.3">
      <c r="B174" s="479"/>
      <c r="C174" s="479"/>
      <c r="D174" s="479"/>
      <c r="E174" s="479"/>
      <c r="F174" s="491"/>
      <c r="G174" s="482" t="str">
        <f t="shared" ca="1" si="8"/>
        <v/>
      </c>
      <c r="H174" s="483" t="str">
        <f ca="1">IFERROR(IF(OR($C$11="",$C$11=0),"",IF(OR($D$11=0,$D$11=""),IF(NOT(ISNUMBER(INDEX($F$7:$F$1000,ROWS($I$7:I174)*$C$11))),"",$B$5+SUM(OFFSET($F$7,0,0,ROWS($I$7:I174)*$C$11))),IF(NOT(ISNUMBER(INDEX($F$7:$F$1000,ROUNDUP(ROWS($I$7:I174)/2,0)*$C$11))),"",IF(MOD(ROWS($I$7:I174),2)=1,IF(ISNUMBER($B$5),$B$5+SUM(OFFSET($F$7,0,0,ROUNDUP(ROWS($I$7:I174)/2,0)*$C$11))-SUM(OFFSET($F$7,(ROUNDUP(ROWS($I$7:I174)/2,0)*$C$11)-$C$11,0,$C$11))+$D$11,""),$B$5+SUM(OFFSET($F$7,0,0,ROUNDUP(ROWS($I$7:I174)/2,0)*$C$11)))))),"")</f>
        <v/>
      </c>
      <c r="I174" s="484"/>
      <c r="J174" s="484"/>
      <c r="K174" s="484"/>
      <c r="L174" s="484"/>
      <c r="M174" s="484"/>
      <c r="N174" s="484">
        <f>F172+F173+F174</f>
        <v>0</v>
      </c>
      <c r="O174" s="484">
        <f>N174/2</f>
        <v>0</v>
      </c>
      <c r="P174" s="487">
        <f>O258</f>
        <v>0</v>
      </c>
      <c r="Q174" s="484"/>
      <c r="R174" s="492" t="str">
        <f>IF(P174=0,"",ROUNDUP(P174,2))</f>
        <v/>
      </c>
      <c r="S174" s="484"/>
      <c r="T174" s="493" t="str">
        <f t="shared" si="7"/>
        <v/>
      </c>
      <c r="U174" s="479"/>
    </row>
    <row r="175" spans="2:31" x14ac:dyDescent="0.3">
      <c r="B175" s="479"/>
      <c r="C175" s="479"/>
      <c r="D175" s="479"/>
      <c r="E175" s="479"/>
      <c r="F175" s="491"/>
      <c r="G175" s="482" t="str">
        <f t="shared" ca="1" si="8"/>
        <v/>
      </c>
      <c r="H175" s="483" t="str">
        <f ca="1">IFERROR(IF(OR($C$11="",$C$11=0),"",IF(OR($D$11=0,$D$11=""),IF(NOT(ISNUMBER(INDEX($F$7:$F$1000,ROWS($I$7:I175)*$C$11))),"",$B$5+SUM(OFFSET($F$7,0,0,ROWS($I$7:I175)*$C$11))),IF(NOT(ISNUMBER(INDEX($F$7:$F$1000,ROUNDUP(ROWS($I$7:I175)/2,0)*$C$11))),"",IF(MOD(ROWS($I$7:I175),2)=1,IF(ISNUMBER($B$5),$B$5+SUM(OFFSET($F$7,0,0,ROUNDUP(ROWS($I$7:I175)/2,0)*$C$11))-SUM(OFFSET($F$7,(ROUNDUP(ROWS($I$7:I175)/2,0)*$C$11)-$C$11,0,$C$11))+$D$11,""),$B$5+SUM(OFFSET($F$7,0,0,ROUNDUP(ROWS($I$7:I175)/2,0)*$C$11)))))),"")</f>
        <v/>
      </c>
      <c r="I175" s="484"/>
      <c r="J175" s="484"/>
      <c r="K175" s="484"/>
      <c r="L175" s="484"/>
      <c r="M175" s="484"/>
      <c r="N175" s="479"/>
      <c r="O175" s="484"/>
      <c r="P175" s="487">
        <f>O260</f>
        <v>0</v>
      </c>
      <c r="Q175" s="484"/>
      <c r="R175" s="494" t="str">
        <f>IF(P175=0,"",ROUNDDOWN(P175,2))</f>
        <v/>
      </c>
      <c r="S175" s="484"/>
      <c r="T175" s="495" t="str">
        <f t="shared" si="7"/>
        <v/>
      </c>
      <c r="U175" s="479"/>
    </row>
    <row r="176" spans="2:31" x14ac:dyDescent="0.3">
      <c r="B176" s="479"/>
      <c r="C176" s="479"/>
      <c r="D176" s="479"/>
      <c r="E176" s="479"/>
      <c r="F176" s="491"/>
      <c r="G176" s="482" t="str">
        <f t="shared" ca="1" si="8"/>
        <v/>
      </c>
      <c r="H176" s="483" t="str">
        <f ca="1">IFERROR(IF(OR($C$11="",$C$11=0),"",IF(OR($D$11=0,$D$11=""),IF(NOT(ISNUMBER(INDEX($F$7:$F$1000,ROWS($I$7:I176)*$C$11))),"",$B$5+SUM(OFFSET($F$7,0,0,ROWS($I$7:I176)*$C$11))),IF(NOT(ISNUMBER(INDEX($F$7:$F$1000,ROUNDUP(ROWS($I$7:I176)/2,0)*$C$11))),"",IF(MOD(ROWS($I$7:I176),2)=1,IF(ISNUMBER($B$5),$B$5+SUM(OFFSET($F$7,0,0,ROUNDUP(ROWS($I$7:I176)/2,0)*$C$11))-SUM(OFFSET($F$7,(ROUNDUP(ROWS($I$7:I176)/2,0)*$C$11)-$C$11,0,$C$11))+$D$11,""),$B$5+SUM(OFFSET($F$7,0,0,ROUNDUP(ROWS($I$7:I176)/2,0)*$C$11)))))),"")</f>
        <v/>
      </c>
      <c r="I176" s="484"/>
      <c r="J176" s="484"/>
      <c r="K176" s="484"/>
      <c r="L176" s="484"/>
      <c r="M176" s="484"/>
      <c r="N176" s="479"/>
      <c r="O176" s="484">
        <f>N177/2</f>
        <v>0</v>
      </c>
      <c r="P176" s="487">
        <f>O261</f>
        <v>0</v>
      </c>
      <c r="Q176" s="484"/>
      <c r="R176" s="492" t="str">
        <f>IF(P176=0,"",ROUNDUP(P176,2))</f>
        <v/>
      </c>
      <c r="S176" s="484"/>
      <c r="T176" s="493" t="str">
        <f t="shared" si="7"/>
        <v/>
      </c>
      <c r="U176" s="479"/>
    </row>
    <row r="177" spans="2:21" x14ac:dyDescent="0.3">
      <c r="B177" s="479"/>
      <c r="C177" s="479"/>
      <c r="D177" s="479"/>
      <c r="E177" s="479"/>
      <c r="F177" s="491"/>
      <c r="G177" s="482" t="str">
        <f t="shared" ca="1" si="8"/>
        <v/>
      </c>
      <c r="H177" s="483" t="str">
        <f ca="1">IFERROR(IF(OR($C$11="",$C$11=0),"",IF(OR($D$11=0,$D$11=""),IF(NOT(ISNUMBER(INDEX($F$7:$F$1000,ROWS($I$7:I177)*$C$11))),"",$B$5+SUM(OFFSET($F$7,0,0,ROWS($I$7:I177)*$C$11))),IF(NOT(ISNUMBER(INDEX($F$7:$F$1000,ROUNDUP(ROWS($I$7:I177)/2,0)*$C$11))),"",IF(MOD(ROWS($I$7:I177),2)=1,IF(ISNUMBER($B$5),$B$5+SUM(OFFSET($F$7,0,0,ROUNDUP(ROWS($I$7:I177)/2,0)*$C$11))-SUM(OFFSET($F$7,(ROUNDUP(ROWS($I$7:I177)/2,0)*$C$11)-$C$11,0,$C$11))+$D$11,""),$B$5+SUM(OFFSET($F$7,0,0,ROUNDUP(ROWS($I$7:I177)/2,0)*$C$11)))))),"")</f>
        <v/>
      </c>
      <c r="I177" s="484"/>
      <c r="J177" s="484"/>
      <c r="K177" s="484"/>
      <c r="L177" s="484"/>
      <c r="M177" s="484"/>
      <c r="N177" s="484">
        <f>F175+F176+F177</f>
        <v>0</v>
      </c>
      <c r="O177" s="484">
        <f>N177/2</f>
        <v>0</v>
      </c>
      <c r="P177" s="487">
        <f>O263</f>
        <v>0</v>
      </c>
      <c r="Q177" s="484"/>
      <c r="R177" s="494" t="str">
        <f>IF(P177=0,"",ROUNDDOWN(P177,2))</f>
        <v/>
      </c>
      <c r="S177" s="484"/>
      <c r="T177" s="495" t="str">
        <f t="shared" si="7"/>
        <v/>
      </c>
      <c r="U177" s="479"/>
    </row>
    <row r="178" spans="2:21" x14ac:dyDescent="0.3">
      <c r="B178" s="479"/>
      <c r="C178" s="479"/>
      <c r="D178" s="479"/>
      <c r="E178" s="479"/>
      <c r="F178" s="491"/>
      <c r="G178" s="482" t="str">
        <f t="shared" ca="1" si="8"/>
        <v/>
      </c>
      <c r="H178" s="483" t="str">
        <f ca="1">IFERROR(IF(OR($C$11="",$C$11=0),"",IF(OR($D$11=0,$D$11=""),IF(NOT(ISNUMBER(INDEX($F$7:$F$1000,ROWS($I$7:I178)*$C$11))),"",$B$5+SUM(OFFSET($F$7,0,0,ROWS($I$7:I178)*$C$11))),IF(NOT(ISNUMBER(INDEX($F$7:$F$1000,ROUNDUP(ROWS($I$7:I178)/2,0)*$C$11))),"",IF(MOD(ROWS($I$7:I178),2)=1,IF(ISNUMBER($B$5),$B$5+SUM(OFFSET($F$7,0,0,ROUNDUP(ROWS($I$7:I178)/2,0)*$C$11))-SUM(OFFSET($F$7,(ROUNDUP(ROWS($I$7:I178)/2,0)*$C$11)-$C$11,0,$C$11))+$D$11,""),$B$5+SUM(OFFSET($F$7,0,0,ROUNDUP(ROWS($I$7:I178)/2,0)*$C$11)))))),"")</f>
        <v/>
      </c>
      <c r="I178" s="484"/>
      <c r="J178" s="484"/>
      <c r="K178" s="484"/>
      <c r="L178" s="484"/>
      <c r="M178" s="484"/>
      <c r="N178" s="479"/>
      <c r="O178" s="484"/>
      <c r="P178" s="487">
        <f>O264</f>
        <v>0</v>
      </c>
      <c r="Q178" s="484"/>
      <c r="R178" s="492" t="str">
        <f>IF(P178=0,"",ROUNDUP(P178,2))</f>
        <v/>
      </c>
      <c r="S178" s="484"/>
      <c r="T178" s="493" t="str">
        <f t="shared" si="7"/>
        <v/>
      </c>
      <c r="U178" s="479"/>
    </row>
    <row r="179" spans="2:21" x14ac:dyDescent="0.3">
      <c r="B179" s="479"/>
      <c r="C179" s="479"/>
      <c r="D179" s="479"/>
      <c r="E179" s="479"/>
      <c r="F179" s="491"/>
      <c r="G179" s="482" t="str">
        <f t="shared" ca="1" si="8"/>
        <v/>
      </c>
      <c r="H179" s="483" t="str">
        <f ca="1">IFERROR(IF(OR($C$11="",$C$11=0),"",IF(OR($D$11=0,$D$11=""),IF(NOT(ISNUMBER(INDEX($F$7:$F$1000,ROWS($I$7:I179)*$C$11))),"",$B$5+SUM(OFFSET($F$7,0,0,ROWS($I$7:I179)*$C$11))),IF(NOT(ISNUMBER(INDEX($F$7:$F$1000,ROUNDUP(ROWS($I$7:I179)/2,0)*$C$11))),"",IF(MOD(ROWS($I$7:I179),2)=1,IF(ISNUMBER($B$5),$B$5+SUM(OFFSET($F$7,0,0,ROUNDUP(ROWS($I$7:I179)/2,0)*$C$11))-SUM(OFFSET($F$7,(ROUNDUP(ROWS($I$7:I179)/2,0)*$C$11)-$C$11,0,$C$11))+$D$11,""),$B$5+SUM(OFFSET($F$7,0,0,ROUNDUP(ROWS($I$7:I179)/2,0)*$C$11)))))),"")</f>
        <v/>
      </c>
      <c r="I179" s="484"/>
      <c r="J179" s="484"/>
      <c r="K179" s="484"/>
      <c r="L179" s="484"/>
      <c r="M179" s="484"/>
      <c r="N179" s="479"/>
      <c r="O179" s="484">
        <f>N180/2</f>
        <v>0</v>
      </c>
      <c r="P179" s="487">
        <f>O266</f>
        <v>0</v>
      </c>
      <c r="Q179" s="484"/>
      <c r="R179" s="494" t="str">
        <f>IF(P179=0,"",ROUNDDOWN(P179,2))</f>
        <v/>
      </c>
      <c r="S179" s="484"/>
      <c r="T179" s="495" t="str">
        <f t="shared" si="7"/>
        <v/>
      </c>
      <c r="U179" s="479"/>
    </row>
    <row r="180" spans="2:21" x14ac:dyDescent="0.3">
      <c r="B180" s="479"/>
      <c r="C180" s="479"/>
      <c r="D180" s="479"/>
      <c r="E180" s="479"/>
      <c r="F180" s="491"/>
      <c r="G180" s="482" t="str">
        <f t="shared" ca="1" si="8"/>
        <v/>
      </c>
      <c r="H180" s="483" t="str">
        <f ca="1">IFERROR(IF(OR($C$11="",$C$11=0),"",IF(OR($D$11=0,$D$11=""),IF(NOT(ISNUMBER(INDEX($F$7:$F$1000,ROWS($I$7:I180)*$C$11))),"",$B$5+SUM(OFFSET($F$7,0,0,ROWS($I$7:I180)*$C$11))),IF(NOT(ISNUMBER(INDEX($F$7:$F$1000,ROUNDUP(ROWS($I$7:I180)/2,0)*$C$11))),"",IF(MOD(ROWS($I$7:I180),2)=1,IF(ISNUMBER($B$5),$B$5+SUM(OFFSET($F$7,0,0,ROUNDUP(ROWS($I$7:I180)/2,0)*$C$11))-SUM(OFFSET($F$7,(ROUNDUP(ROWS($I$7:I180)/2,0)*$C$11)-$C$11,0,$C$11))+$D$11,""),$B$5+SUM(OFFSET($F$7,0,0,ROUNDUP(ROWS($I$7:I180)/2,0)*$C$11)))))),"")</f>
        <v/>
      </c>
      <c r="I180" s="484"/>
      <c r="J180" s="484"/>
      <c r="K180" s="484"/>
      <c r="L180" s="484"/>
      <c r="M180" s="484"/>
      <c r="N180" s="484">
        <f>F178+F179+F180</f>
        <v>0</v>
      </c>
      <c r="O180" s="484">
        <f>N180/2</f>
        <v>0</v>
      </c>
      <c r="P180" s="487">
        <f>O267</f>
        <v>0</v>
      </c>
      <c r="Q180" s="484"/>
      <c r="R180" s="492" t="str">
        <f>IF(P180=0,"",ROUNDUP(P180,2))</f>
        <v/>
      </c>
      <c r="S180" s="484"/>
      <c r="T180" s="493" t="str">
        <f t="shared" si="7"/>
        <v/>
      </c>
      <c r="U180" s="479"/>
    </row>
    <row r="181" spans="2:21" x14ac:dyDescent="0.3">
      <c r="B181" s="479"/>
      <c r="C181" s="479"/>
      <c r="D181" s="479"/>
      <c r="E181" s="479"/>
      <c r="F181" s="491"/>
      <c r="G181" s="482" t="str">
        <f t="shared" ca="1" si="8"/>
        <v/>
      </c>
      <c r="H181" s="483" t="str">
        <f ca="1">IFERROR(IF(OR($C$11="",$C$11=0),"",IF(OR($D$11=0,$D$11=""),IF(NOT(ISNUMBER(INDEX($F$7:$F$1000,ROWS($I$7:I181)*$C$11))),"",$B$5+SUM(OFFSET($F$7,0,0,ROWS($I$7:I181)*$C$11))),IF(NOT(ISNUMBER(INDEX($F$7:$F$1000,ROUNDUP(ROWS($I$7:I181)/2,0)*$C$11))),"",IF(MOD(ROWS($I$7:I181),2)=1,IF(ISNUMBER($B$5),$B$5+SUM(OFFSET($F$7,0,0,ROUNDUP(ROWS($I$7:I181)/2,0)*$C$11))-SUM(OFFSET($F$7,(ROUNDUP(ROWS($I$7:I181)/2,0)*$C$11)-$C$11,0,$C$11))+$D$11,""),$B$5+SUM(OFFSET($F$7,0,0,ROUNDUP(ROWS($I$7:I181)/2,0)*$C$11)))))),"")</f>
        <v/>
      </c>
      <c r="I181" s="484"/>
      <c r="J181" s="484"/>
      <c r="K181" s="484"/>
      <c r="L181" s="484"/>
      <c r="M181" s="484"/>
      <c r="N181" s="479"/>
      <c r="O181" s="484"/>
      <c r="P181" s="487">
        <f>O269</f>
        <v>0</v>
      </c>
      <c r="Q181" s="484"/>
      <c r="R181" s="494" t="str">
        <f>IF(P181=0,"",ROUNDDOWN(P181,2))</f>
        <v/>
      </c>
      <c r="S181" s="484"/>
      <c r="T181" s="495" t="str">
        <f t="shared" si="7"/>
        <v/>
      </c>
      <c r="U181" s="479"/>
    </row>
    <row r="182" spans="2:21" x14ac:dyDescent="0.3">
      <c r="B182" s="479"/>
      <c r="C182" s="479"/>
      <c r="D182" s="479"/>
      <c r="E182" s="479"/>
      <c r="F182" s="491"/>
      <c r="G182" s="482" t="str">
        <f t="shared" ca="1" si="8"/>
        <v/>
      </c>
      <c r="H182" s="483" t="str">
        <f ca="1">IFERROR(IF(OR($C$11="",$C$11=0),"",IF(OR($D$11=0,$D$11=""),IF(NOT(ISNUMBER(INDEX($F$7:$F$1000,ROWS($I$7:I182)*$C$11))),"",$B$5+SUM(OFFSET($F$7,0,0,ROWS($I$7:I182)*$C$11))),IF(NOT(ISNUMBER(INDEX($F$7:$F$1000,ROUNDUP(ROWS($I$7:I182)/2,0)*$C$11))),"",IF(MOD(ROWS($I$7:I182),2)=1,IF(ISNUMBER($B$5),$B$5+SUM(OFFSET($F$7,0,0,ROUNDUP(ROWS($I$7:I182)/2,0)*$C$11))-SUM(OFFSET($F$7,(ROUNDUP(ROWS($I$7:I182)/2,0)*$C$11)-$C$11,0,$C$11))+$D$11,""),$B$5+SUM(OFFSET($F$7,0,0,ROUNDUP(ROWS($I$7:I182)/2,0)*$C$11)))))),"")</f>
        <v/>
      </c>
      <c r="I182" s="484"/>
      <c r="J182" s="484"/>
      <c r="K182" s="484"/>
      <c r="L182" s="484"/>
      <c r="M182" s="484"/>
      <c r="N182" s="479"/>
      <c r="O182" s="484">
        <f>N183/2</f>
        <v>0</v>
      </c>
      <c r="P182" s="487">
        <f>O270</f>
        <v>0</v>
      </c>
      <c r="Q182" s="484"/>
      <c r="R182" s="492" t="str">
        <f>IF(P182=0,"",ROUNDUP(P182,2))</f>
        <v/>
      </c>
      <c r="S182" s="484"/>
      <c r="T182" s="493" t="str">
        <f t="shared" si="7"/>
        <v/>
      </c>
      <c r="U182" s="479"/>
    </row>
    <row r="183" spans="2:21" x14ac:dyDescent="0.3">
      <c r="B183" s="479"/>
      <c r="C183" s="479"/>
      <c r="D183" s="479"/>
      <c r="E183" s="479"/>
      <c r="F183" s="491"/>
      <c r="G183" s="482" t="str">
        <f t="shared" ca="1" si="8"/>
        <v/>
      </c>
      <c r="H183" s="483" t="str">
        <f ca="1">IFERROR(IF(OR($C$11="",$C$11=0),"",IF(OR($D$11=0,$D$11=""),IF(NOT(ISNUMBER(INDEX($F$7:$F$1000,ROWS($I$7:I183)*$C$11))),"",$B$5+SUM(OFFSET($F$7,0,0,ROWS($I$7:I183)*$C$11))),IF(NOT(ISNUMBER(INDEX($F$7:$F$1000,ROUNDUP(ROWS($I$7:I183)/2,0)*$C$11))),"",IF(MOD(ROWS($I$7:I183),2)=1,IF(ISNUMBER($B$5),$B$5+SUM(OFFSET($F$7,0,0,ROUNDUP(ROWS($I$7:I183)/2,0)*$C$11))-SUM(OFFSET($F$7,(ROUNDUP(ROWS($I$7:I183)/2,0)*$C$11)-$C$11,0,$C$11))+$D$11,""),$B$5+SUM(OFFSET($F$7,0,0,ROUNDUP(ROWS($I$7:I183)/2,0)*$C$11)))))),"")</f>
        <v/>
      </c>
      <c r="I183" s="484"/>
      <c r="J183" s="484"/>
      <c r="K183" s="484"/>
      <c r="L183" s="484"/>
      <c r="M183" s="484"/>
      <c r="N183" s="484">
        <f>F181+F182+F183</f>
        <v>0</v>
      </c>
      <c r="O183" s="484">
        <f>N183/2</f>
        <v>0</v>
      </c>
      <c r="P183" s="487">
        <f>O272</f>
        <v>0</v>
      </c>
      <c r="Q183" s="484"/>
      <c r="R183" s="494" t="str">
        <f>IF(P183=0,"",ROUNDDOWN(P183,2))</f>
        <v/>
      </c>
      <c r="S183" s="484"/>
      <c r="T183" s="495" t="str">
        <f t="shared" si="7"/>
        <v/>
      </c>
      <c r="U183" s="479"/>
    </row>
    <row r="184" spans="2:21" x14ac:dyDescent="0.3">
      <c r="B184" s="479"/>
      <c r="C184" s="479"/>
      <c r="D184" s="479"/>
      <c r="E184" s="479"/>
      <c r="F184" s="491"/>
      <c r="G184" s="482" t="str">
        <f t="shared" ca="1" si="8"/>
        <v/>
      </c>
      <c r="H184" s="483" t="str">
        <f ca="1">IFERROR(IF(OR($C$11="",$C$11=0),"",IF(OR($D$11=0,$D$11=""),IF(NOT(ISNUMBER(INDEX($F$7:$F$1000,ROWS($I$7:I184)*$C$11))),"",$B$5+SUM(OFFSET($F$7,0,0,ROWS($I$7:I184)*$C$11))),IF(NOT(ISNUMBER(INDEX($F$7:$F$1000,ROUNDUP(ROWS($I$7:I184)/2,0)*$C$11))),"",IF(MOD(ROWS($I$7:I184),2)=1,IF(ISNUMBER($B$5),$B$5+SUM(OFFSET($F$7,0,0,ROUNDUP(ROWS($I$7:I184)/2,0)*$C$11))-SUM(OFFSET($F$7,(ROUNDUP(ROWS($I$7:I184)/2,0)*$C$11)-$C$11,0,$C$11))+$D$11,""),$B$5+SUM(OFFSET($F$7,0,0,ROUNDUP(ROWS($I$7:I184)/2,0)*$C$11)))))),"")</f>
        <v/>
      </c>
      <c r="I184" s="484"/>
      <c r="J184" s="484"/>
      <c r="K184" s="484"/>
      <c r="L184" s="484"/>
      <c r="M184" s="484"/>
      <c r="N184" s="479"/>
      <c r="O184" s="484"/>
      <c r="P184" s="487">
        <f>O273</f>
        <v>0</v>
      </c>
      <c r="Q184" s="484"/>
      <c r="R184" s="492" t="str">
        <f>IF(P184=0,"",ROUNDUP(P184,2))</f>
        <v/>
      </c>
      <c r="S184" s="484"/>
      <c r="T184" s="493" t="str">
        <f t="shared" si="7"/>
        <v/>
      </c>
      <c r="U184" s="479"/>
    </row>
    <row r="185" spans="2:21" x14ac:dyDescent="0.3">
      <c r="B185" s="479"/>
      <c r="C185" s="479"/>
      <c r="D185" s="479"/>
      <c r="E185" s="479"/>
      <c r="F185" s="491"/>
      <c r="G185" s="482" t="str">
        <f t="shared" ca="1" si="8"/>
        <v/>
      </c>
      <c r="H185" s="483" t="str">
        <f ca="1">IFERROR(IF(OR($C$11="",$C$11=0),"",IF(OR($D$11=0,$D$11=""),IF(NOT(ISNUMBER(INDEX($F$7:$F$1000,ROWS($I$7:I185)*$C$11))),"",$B$5+SUM(OFFSET($F$7,0,0,ROWS($I$7:I185)*$C$11))),IF(NOT(ISNUMBER(INDEX($F$7:$F$1000,ROUNDUP(ROWS($I$7:I185)/2,0)*$C$11))),"",IF(MOD(ROWS($I$7:I185),2)=1,IF(ISNUMBER($B$5),$B$5+SUM(OFFSET($F$7,0,0,ROUNDUP(ROWS($I$7:I185)/2,0)*$C$11))-SUM(OFFSET($F$7,(ROUNDUP(ROWS($I$7:I185)/2,0)*$C$11)-$C$11,0,$C$11))+$D$11,""),$B$5+SUM(OFFSET($F$7,0,0,ROUNDUP(ROWS($I$7:I185)/2,0)*$C$11)))))),"")</f>
        <v/>
      </c>
      <c r="I185" s="484"/>
      <c r="J185" s="484"/>
      <c r="K185" s="484"/>
      <c r="L185" s="484"/>
      <c r="M185" s="484"/>
      <c r="N185" s="479"/>
      <c r="O185" s="484">
        <f>N186/2</f>
        <v>0</v>
      </c>
      <c r="P185" s="487">
        <f>O275</f>
        <v>0</v>
      </c>
      <c r="Q185" s="484"/>
      <c r="R185" s="494" t="str">
        <f>IF(P185=0,"",ROUNDDOWN(P185,2))</f>
        <v/>
      </c>
      <c r="S185" s="484"/>
      <c r="T185" s="495" t="str">
        <f t="shared" si="7"/>
        <v/>
      </c>
      <c r="U185" s="479"/>
    </row>
    <row r="186" spans="2:21" x14ac:dyDescent="0.3">
      <c r="B186" s="479"/>
      <c r="C186" s="479"/>
      <c r="D186" s="479"/>
      <c r="E186" s="479"/>
      <c r="F186" s="491"/>
      <c r="G186" s="482" t="str">
        <f t="shared" ca="1" si="8"/>
        <v/>
      </c>
      <c r="H186" s="483" t="str">
        <f ca="1">IFERROR(IF(OR($C$11="",$C$11=0),"",IF(OR($D$11=0,$D$11=""),IF(NOT(ISNUMBER(INDEX($F$7:$F$1000,ROWS($I$7:I186)*$C$11))),"",$B$5+SUM(OFFSET($F$7,0,0,ROWS($I$7:I186)*$C$11))),IF(NOT(ISNUMBER(INDEX($F$7:$F$1000,ROUNDUP(ROWS($I$7:I186)/2,0)*$C$11))),"",IF(MOD(ROWS($I$7:I186),2)=1,IF(ISNUMBER($B$5),$B$5+SUM(OFFSET($F$7,0,0,ROUNDUP(ROWS($I$7:I186)/2,0)*$C$11))-SUM(OFFSET($F$7,(ROUNDUP(ROWS($I$7:I186)/2,0)*$C$11)-$C$11,0,$C$11))+$D$11,""),$B$5+SUM(OFFSET($F$7,0,0,ROUNDUP(ROWS($I$7:I186)/2,0)*$C$11)))))),"")</f>
        <v/>
      </c>
      <c r="I186" s="484"/>
      <c r="J186" s="484"/>
      <c r="K186" s="484"/>
      <c r="L186" s="484"/>
      <c r="M186" s="484"/>
      <c r="N186" s="484">
        <f>F184+F185+F186</f>
        <v>0</v>
      </c>
      <c r="O186" s="484">
        <f>N186/2</f>
        <v>0</v>
      </c>
      <c r="P186" s="487">
        <f>O276</f>
        <v>0</v>
      </c>
      <c r="Q186" s="484"/>
      <c r="R186" s="492" t="str">
        <f>IF(P186=0,"",ROUNDUP(P186,2))</f>
        <v/>
      </c>
      <c r="S186" s="484"/>
      <c r="T186" s="493" t="str">
        <f t="shared" si="7"/>
        <v/>
      </c>
      <c r="U186" s="479"/>
    </row>
    <row r="187" spans="2:21" x14ac:dyDescent="0.3">
      <c r="B187" s="479"/>
      <c r="C187" s="479"/>
      <c r="D187" s="479"/>
      <c r="E187" s="479"/>
      <c r="F187" s="491"/>
      <c r="G187" s="482" t="str">
        <f t="shared" ca="1" si="8"/>
        <v/>
      </c>
      <c r="H187" s="483" t="str">
        <f ca="1">IFERROR(IF(OR($C$11="",$C$11=0),"",IF(OR($D$11=0,$D$11=""),IF(NOT(ISNUMBER(INDEX($F$7:$F$1000,ROWS($I$7:I187)*$C$11))),"",$B$5+SUM(OFFSET($F$7,0,0,ROWS($I$7:I187)*$C$11))),IF(NOT(ISNUMBER(INDEX($F$7:$F$1000,ROUNDUP(ROWS($I$7:I187)/2,0)*$C$11))),"",IF(MOD(ROWS($I$7:I187),2)=1,IF(ISNUMBER($B$5),$B$5+SUM(OFFSET($F$7,0,0,ROUNDUP(ROWS($I$7:I187)/2,0)*$C$11))-SUM(OFFSET($F$7,(ROUNDUP(ROWS($I$7:I187)/2,0)*$C$11)-$C$11,0,$C$11))+$D$11,""),$B$5+SUM(OFFSET($F$7,0,0,ROUNDUP(ROWS($I$7:I187)/2,0)*$C$11)))))),"")</f>
        <v/>
      </c>
      <c r="I187" s="484"/>
      <c r="J187" s="484"/>
      <c r="K187" s="484"/>
      <c r="L187" s="484"/>
      <c r="M187" s="484"/>
      <c r="N187" s="479"/>
      <c r="O187" s="484"/>
      <c r="P187" s="487">
        <f>O278</f>
        <v>0</v>
      </c>
      <c r="Q187" s="484"/>
      <c r="R187" s="494" t="str">
        <f>IF(P187=0,"",ROUNDDOWN(P187,2))</f>
        <v/>
      </c>
      <c r="S187" s="484"/>
      <c r="T187" s="495" t="str">
        <f t="shared" si="7"/>
        <v/>
      </c>
      <c r="U187" s="479"/>
    </row>
    <row r="188" spans="2:21" x14ac:dyDescent="0.3">
      <c r="B188" s="479"/>
      <c r="C188" s="479"/>
      <c r="D188" s="479"/>
      <c r="E188" s="479"/>
      <c r="F188" s="491"/>
      <c r="G188" s="482" t="str">
        <f t="shared" ca="1" si="8"/>
        <v/>
      </c>
      <c r="H188" s="483" t="str">
        <f ca="1">IFERROR(IF(OR($C$11="",$C$11=0),"",IF(OR($D$11=0,$D$11=""),IF(NOT(ISNUMBER(INDEX($F$7:$F$1000,ROWS($I$7:I188)*$C$11))),"",$B$5+SUM(OFFSET($F$7,0,0,ROWS($I$7:I188)*$C$11))),IF(NOT(ISNUMBER(INDEX($F$7:$F$1000,ROUNDUP(ROWS($I$7:I188)/2,0)*$C$11))),"",IF(MOD(ROWS($I$7:I188),2)=1,IF(ISNUMBER($B$5),$B$5+SUM(OFFSET($F$7,0,0,ROUNDUP(ROWS($I$7:I188)/2,0)*$C$11))-SUM(OFFSET($F$7,(ROUNDUP(ROWS($I$7:I188)/2,0)*$C$11)-$C$11,0,$C$11))+$D$11,""),$B$5+SUM(OFFSET($F$7,0,0,ROUNDUP(ROWS($I$7:I188)/2,0)*$C$11)))))),"")</f>
        <v/>
      </c>
      <c r="I188" s="484"/>
      <c r="J188" s="484"/>
      <c r="K188" s="484"/>
      <c r="L188" s="484"/>
      <c r="M188" s="484"/>
      <c r="N188" s="479"/>
      <c r="O188" s="484">
        <f>N189/2</f>
        <v>0</v>
      </c>
      <c r="P188" s="487">
        <f>O279</f>
        <v>0</v>
      </c>
      <c r="Q188" s="484"/>
      <c r="R188" s="492" t="str">
        <f>IF(P188=0,"",ROUNDUP(P188,2))</f>
        <v/>
      </c>
      <c r="S188" s="484"/>
      <c r="T188" s="493" t="str">
        <f t="shared" si="7"/>
        <v/>
      </c>
      <c r="U188" s="479"/>
    </row>
    <row r="189" spans="2:21" x14ac:dyDescent="0.3">
      <c r="B189" s="479"/>
      <c r="C189" s="479"/>
      <c r="D189" s="479"/>
      <c r="E189" s="479"/>
      <c r="F189" s="491"/>
      <c r="G189" s="482" t="str">
        <f t="shared" ca="1" si="8"/>
        <v/>
      </c>
      <c r="H189" s="483" t="str">
        <f ca="1">IFERROR(IF(OR($C$11="",$C$11=0),"",IF(OR($D$11=0,$D$11=""),IF(NOT(ISNUMBER(INDEX($F$7:$F$1000,ROWS($I$7:I189)*$C$11))),"",$B$5+SUM(OFFSET($F$7,0,0,ROWS($I$7:I189)*$C$11))),IF(NOT(ISNUMBER(INDEX($F$7:$F$1000,ROUNDUP(ROWS($I$7:I189)/2,0)*$C$11))),"",IF(MOD(ROWS($I$7:I189),2)=1,IF(ISNUMBER($B$5),$B$5+SUM(OFFSET($F$7,0,0,ROUNDUP(ROWS($I$7:I189)/2,0)*$C$11))-SUM(OFFSET($F$7,(ROUNDUP(ROWS($I$7:I189)/2,0)*$C$11)-$C$11,0,$C$11))+$D$11,""),$B$5+SUM(OFFSET($F$7,0,0,ROUNDUP(ROWS($I$7:I189)/2,0)*$C$11)))))),"")</f>
        <v/>
      </c>
      <c r="I189" s="484"/>
      <c r="J189" s="484"/>
      <c r="K189" s="484"/>
      <c r="L189" s="484"/>
      <c r="M189" s="484"/>
      <c r="N189" s="484">
        <f>F187+F188+F189</f>
        <v>0</v>
      </c>
      <c r="O189" s="484">
        <f>N189/2</f>
        <v>0</v>
      </c>
      <c r="P189" s="487">
        <f>O281</f>
        <v>0</v>
      </c>
      <c r="Q189" s="484"/>
      <c r="R189" s="494" t="str">
        <f>IF(P189=0,"",ROUNDDOWN(P189,2))</f>
        <v/>
      </c>
      <c r="S189" s="484"/>
      <c r="T189" s="495" t="str">
        <f t="shared" si="7"/>
        <v/>
      </c>
      <c r="U189" s="479"/>
    </row>
    <row r="190" spans="2:21" x14ac:dyDescent="0.3">
      <c r="B190" s="479"/>
      <c r="C190" s="479"/>
      <c r="D190" s="479"/>
      <c r="E190" s="479"/>
      <c r="F190" s="491"/>
      <c r="G190" s="482" t="str">
        <f t="shared" ca="1" si="8"/>
        <v/>
      </c>
      <c r="H190" s="483" t="str">
        <f ca="1">IFERROR(IF(OR($C$11="",$C$11=0),"",IF(OR($D$11=0,$D$11=""),IF(NOT(ISNUMBER(INDEX($F$7:$F$1000,ROWS($I$7:I190)*$C$11))),"",$B$5+SUM(OFFSET($F$7,0,0,ROWS($I$7:I190)*$C$11))),IF(NOT(ISNUMBER(INDEX($F$7:$F$1000,ROUNDUP(ROWS($I$7:I190)/2,0)*$C$11))),"",IF(MOD(ROWS($I$7:I190),2)=1,IF(ISNUMBER($B$5),$B$5+SUM(OFFSET($F$7,0,0,ROUNDUP(ROWS($I$7:I190)/2,0)*$C$11))-SUM(OFFSET($F$7,(ROUNDUP(ROWS($I$7:I190)/2,0)*$C$11)-$C$11,0,$C$11))+$D$11,""),$B$5+SUM(OFFSET($F$7,0,0,ROUNDUP(ROWS($I$7:I190)/2,0)*$C$11)))))),"")</f>
        <v/>
      </c>
      <c r="I190" s="484"/>
      <c r="J190" s="484"/>
      <c r="K190" s="484"/>
      <c r="L190" s="484"/>
      <c r="M190" s="484"/>
      <c r="N190" s="479"/>
      <c r="O190" s="484"/>
      <c r="P190" s="487">
        <f>O282</f>
        <v>0</v>
      </c>
      <c r="Q190" s="484"/>
      <c r="R190" s="492" t="str">
        <f>IF(P190=0,"",ROUNDUP(P190,2))</f>
        <v/>
      </c>
      <c r="S190" s="484"/>
      <c r="T190" s="493" t="str">
        <f t="shared" si="7"/>
        <v/>
      </c>
      <c r="U190" s="479"/>
    </row>
    <row r="191" spans="2:21" x14ac:dyDescent="0.3">
      <c r="B191" s="479"/>
      <c r="C191" s="479"/>
      <c r="D191" s="479"/>
      <c r="E191" s="479"/>
      <c r="F191" s="491"/>
      <c r="G191" s="482" t="str">
        <f t="shared" ca="1" si="8"/>
        <v/>
      </c>
      <c r="H191" s="483" t="str">
        <f ca="1">IFERROR(IF(OR($C$11="",$C$11=0),"",IF(OR($D$11=0,$D$11=""),IF(NOT(ISNUMBER(INDEX($F$7:$F$1000,ROWS($I$7:I191)*$C$11))),"",$B$5+SUM(OFFSET($F$7,0,0,ROWS($I$7:I191)*$C$11))),IF(NOT(ISNUMBER(INDEX($F$7:$F$1000,ROUNDUP(ROWS($I$7:I191)/2,0)*$C$11))),"",IF(MOD(ROWS($I$7:I191),2)=1,IF(ISNUMBER($B$5),$B$5+SUM(OFFSET($F$7,0,0,ROUNDUP(ROWS($I$7:I191)/2,0)*$C$11))-SUM(OFFSET($F$7,(ROUNDUP(ROWS($I$7:I191)/2,0)*$C$11)-$C$11,0,$C$11))+$D$11,""),$B$5+SUM(OFFSET($F$7,0,0,ROUNDUP(ROWS($I$7:I191)/2,0)*$C$11)))))),"")</f>
        <v/>
      </c>
      <c r="I191" s="484"/>
      <c r="J191" s="484"/>
      <c r="K191" s="484"/>
      <c r="L191" s="484"/>
      <c r="M191" s="484"/>
      <c r="N191" s="479"/>
      <c r="O191" s="484">
        <f>N192/2</f>
        <v>0</v>
      </c>
      <c r="P191" s="487">
        <f>O284</f>
        <v>0</v>
      </c>
      <c r="Q191" s="484"/>
      <c r="R191" s="494" t="str">
        <f>IF(P191=0,"",ROUNDDOWN(P191,2))</f>
        <v/>
      </c>
      <c r="S191" s="484"/>
      <c r="T191" s="495" t="str">
        <f t="shared" si="7"/>
        <v/>
      </c>
      <c r="U191" s="479"/>
    </row>
    <row r="192" spans="2:21" x14ac:dyDescent="0.3">
      <c r="B192" s="479"/>
      <c r="C192" s="479"/>
      <c r="D192" s="479"/>
      <c r="E192" s="479"/>
      <c r="F192" s="491"/>
      <c r="G192" s="482" t="str">
        <f t="shared" ca="1" si="8"/>
        <v/>
      </c>
      <c r="H192" s="483" t="str">
        <f ca="1">IFERROR(IF(OR($C$11="",$C$11=0),"",IF(OR($D$11=0,$D$11=""),IF(NOT(ISNUMBER(INDEX($F$7:$F$1000,ROWS($I$7:I192)*$C$11))),"",$B$5+SUM(OFFSET($F$7,0,0,ROWS($I$7:I192)*$C$11))),IF(NOT(ISNUMBER(INDEX($F$7:$F$1000,ROUNDUP(ROWS($I$7:I192)/2,0)*$C$11))),"",IF(MOD(ROWS($I$7:I192),2)=1,IF(ISNUMBER($B$5),$B$5+SUM(OFFSET($F$7,0,0,ROUNDUP(ROWS($I$7:I192)/2,0)*$C$11))-SUM(OFFSET($F$7,(ROUNDUP(ROWS($I$7:I192)/2,0)*$C$11)-$C$11,0,$C$11))+$D$11,""),$B$5+SUM(OFFSET($F$7,0,0,ROUNDUP(ROWS($I$7:I192)/2,0)*$C$11)))))),"")</f>
        <v/>
      </c>
      <c r="I192" s="484"/>
      <c r="J192" s="484"/>
      <c r="K192" s="484"/>
      <c r="L192" s="484"/>
      <c r="M192" s="484"/>
      <c r="N192" s="484">
        <f>F190+F191+F192</f>
        <v>0</v>
      </c>
      <c r="O192" s="484">
        <f>N192/2</f>
        <v>0</v>
      </c>
      <c r="P192" s="487">
        <f>O285</f>
        <v>0</v>
      </c>
      <c r="Q192" s="484"/>
      <c r="R192" s="492" t="str">
        <f>IF(P192=0,"",ROUNDUP(P192,2))</f>
        <v/>
      </c>
      <c r="S192" s="484"/>
      <c r="T192" s="493" t="str">
        <f t="shared" si="7"/>
        <v/>
      </c>
      <c r="U192" s="479"/>
    </row>
    <row r="193" spans="2:21" x14ac:dyDescent="0.3">
      <c r="B193" s="479"/>
      <c r="C193" s="479"/>
      <c r="D193" s="479"/>
      <c r="E193" s="479"/>
      <c r="F193" s="491"/>
      <c r="G193" s="482" t="str">
        <f t="shared" ca="1" si="8"/>
        <v/>
      </c>
      <c r="H193" s="483" t="str">
        <f ca="1">IFERROR(IF(OR($C$11="",$C$11=0),"",IF(OR($D$11=0,$D$11=""),IF(NOT(ISNUMBER(INDEX($F$7:$F$1000,ROWS($I$7:I193)*$C$11))),"",$B$5+SUM(OFFSET($F$7,0,0,ROWS($I$7:I193)*$C$11))),IF(NOT(ISNUMBER(INDEX($F$7:$F$1000,ROUNDUP(ROWS($I$7:I193)/2,0)*$C$11))),"",IF(MOD(ROWS($I$7:I193),2)=1,IF(ISNUMBER($B$5),$B$5+SUM(OFFSET($F$7,0,0,ROUNDUP(ROWS($I$7:I193)/2,0)*$C$11))-SUM(OFFSET($F$7,(ROUNDUP(ROWS($I$7:I193)/2,0)*$C$11)-$C$11,0,$C$11))+$D$11,""),$B$5+SUM(OFFSET($F$7,0,0,ROUNDUP(ROWS($I$7:I193)/2,0)*$C$11)))))),"")</f>
        <v/>
      </c>
      <c r="I193" s="484"/>
      <c r="J193" s="484"/>
      <c r="K193" s="484"/>
      <c r="L193" s="484"/>
      <c r="M193" s="484"/>
      <c r="N193" s="479"/>
      <c r="O193" s="484"/>
      <c r="P193" s="487">
        <f>O287</f>
        <v>0</v>
      </c>
      <c r="Q193" s="484"/>
      <c r="R193" s="494" t="str">
        <f>IF(P193=0,"",ROUNDDOWN(P193,2))</f>
        <v/>
      </c>
      <c r="S193" s="484"/>
      <c r="T193" s="495" t="str">
        <f t="shared" si="7"/>
        <v/>
      </c>
      <c r="U193" s="479"/>
    </row>
    <row r="194" spans="2:21" x14ac:dyDescent="0.3">
      <c r="B194" s="479"/>
      <c r="C194" s="479"/>
      <c r="D194" s="479"/>
      <c r="E194" s="479"/>
      <c r="F194" s="491"/>
      <c r="G194" s="482" t="str">
        <f t="shared" ca="1" si="8"/>
        <v/>
      </c>
      <c r="H194" s="483" t="str">
        <f ca="1">IFERROR(IF(OR($C$11="",$C$11=0),"",IF(OR($D$11=0,$D$11=""),IF(NOT(ISNUMBER(INDEX($F$7:$F$1000,ROWS($I$7:I194)*$C$11))),"",$B$5+SUM(OFFSET($F$7,0,0,ROWS($I$7:I194)*$C$11))),IF(NOT(ISNUMBER(INDEX($F$7:$F$1000,ROUNDUP(ROWS($I$7:I194)/2,0)*$C$11))),"",IF(MOD(ROWS($I$7:I194),2)=1,IF(ISNUMBER($B$5),$B$5+SUM(OFFSET($F$7,0,0,ROUNDUP(ROWS($I$7:I194)/2,0)*$C$11))-SUM(OFFSET($F$7,(ROUNDUP(ROWS($I$7:I194)/2,0)*$C$11)-$C$11,0,$C$11))+$D$11,""),$B$5+SUM(OFFSET($F$7,0,0,ROUNDUP(ROWS($I$7:I194)/2,0)*$C$11)))))),"")</f>
        <v/>
      </c>
      <c r="I194" s="484"/>
      <c r="J194" s="484"/>
      <c r="K194" s="484"/>
      <c r="L194" s="484"/>
      <c r="M194" s="484"/>
      <c r="N194" s="479"/>
      <c r="O194" s="484">
        <f>N195/2</f>
        <v>0</v>
      </c>
      <c r="P194" s="487">
        <f>O288</f>
        <v>0</v>
      </c>
      <c r="Q194" s="484"/>
      <c r="R194" s="492" t="str">
        <f>IF(P194=0,"",ROUNDUP(P194,2))</f>
        <v/>
      </c>
      <c r="S194" s="484"/>
      <c r="T194" s="493" t="str">
        <f t="shared" si="7"/>
        <v/>
      </c>
      <c r="U194" s="479"/>
    </row>
    <row r="195" spans="2:21" x14ac:dyDescent="0.3">
      <c r="B195" s="479"/>
      <c r="C195" s="479"/>
      <c r="D195" s="479"/>
      <c r="E195" s="479"/>
      <c r="F195" s="491"/>
      <c r="G195" s="482" t="str">
        <f t="shared" ca="1" si="8"/>
        <v/>
      </c>
      <c r="H195" s="483" t="str">
        <f ca="1">IFERROR(IF(OR($C$11="",$C$11=0),"",IF(OR($D$11=0,$D$11=""),IF(NOT(ISNUMBER(INDEX($F$7:$F$1000,ROWS($I$7:I195)*$C$11))),"",$B$5+SUM(OFFSET($F$7,0,0,ROWS($I$7:I195)*$C$11))),IF(NOT(ISNUMBER(INDEX($F$7:$F$1000,ROUNDUP(ROWS($I$7:I195)/2,0)*$C$11))),"",IF(MOD(ROWS($I$7:I195),2)=1,IF(ISNUMBER($B$5),$B$5+SUM(OFFSET($F$7,0,0,ROUNDUP(ROWS($I$7:I195)/2,0)*$C$11))-SUM(OFFSET($F$7,(ROUNDUP(ROWS($I$7:I195)/2,0)*$C$11)-$C$11,0,$C$11))+$D$11,""),$B$5+SUM(OFFSET($F$7,0,0,ROUNDUP(ROWS($I$7:I195)/2,0)*$C$11)))))),"")</f>
        <v/>
      </c>
      <c r="I195" s="484"/>
      <c r="J195" s="484"/>
      <c r="K195" s="484"/>
      <c r="L195" s="484"/>
      <c r="M195" s="484"/>
      <c r="N195" s="484">
        <f>F193+F194+F195</f>
        <v>0</v>
      </c>
      <c r="O195" s="484">
        <f>N195/2</f>
        <v>0</v>
      </c>
      <c r="P195" s="487">
        <f>O290</f>
        <v>0</v>
      </c>
      <c r="Q195" s="484"/>
      <c r="R195" s="494" t="str">
        <f>IF(P195=0,"",ROUNDDOWN(P195,2))</f>
        <v/>
      </c>
      <c r="S195" s="484"/>
      <c r="T195" s="495" t="str">
        <f t="shared" si="7"/>
        <v/>
      </c>
      <c r="U195" s="479"/>
    </row>
    <row r="196" spans="2:21" x14ac:dyDescent="0.3">
      <c r="B196" s="479"/>
      <c r="C196" s="479"/>
      <c r="D196" s="479"/>
      <c r="E196" s="479"/>
      <c r="F196" s="491"/>
      <c r="G196" s="482" t="str">
        <f t="shared" ca="1" si="8"/>
        <v/>
      </c>
      <c r="H196" s="483" t="str">
        <f ca="1">IFERROR(IF(OR($C$11="",$C$11=0),"",IF(OR($D$11=0,$D$11=""),IF(NOT(ISNUMBER(INDEX($F$7:$F$1000,ROWS($I$7:I196)*$C$11))),"",$B$5+SUM(OFFSET($F$7,0,0,ROWS($I$7:I196)*$C$11))),IF(NOT(ISNUMBER(INDEX($F$7:$F$1000,ROUNDUP(ROWS($I$7:I196)/2,0)*$C$11))),"",IF(MOD(ROWS($I$7:I196),2)=1,IF(ISNUMBER($B$5),$B$5+SUM(OFFSET($F$7,0,0,ROUNDUP(ROWS($I$7:I196)/2,0)*$C$11))-SUM(OFFSET($F$7,(ROUNDUP(ROWS($I$7:I196)/2,0)*$C$11)-$C$11,0,$C$11))+$D$11,""),$B$5+SUM(OFFSET($F$7,0,0,ROUNDUP(ROWS($I$7:I196)/2,0)*$C$11)))))),"")</f>
        <v/>
      </c>
      <c r="I196" s="484"/>
      <c r="J196" s="484"/>
      <c r="K196" s="484"/>
      <c r="L196" s="484"/>
      <c r="M196" s="484"/>
      <c r="N196" s="479"/>
      <c r="O196" s="484"/>
      <c r="P196" s="487">
        <f>O291</f>
        <v>0</v>
      </c>
      <c r="Q196" s="484"/>
      <c r="R196" s="492" t="str">
        <f>IF(P196=0,"",ROUNDUP(P196,2))</f>
        <v/>
      </c>
      <c r="S196" s="484"/>
      <c r="T196" s="493" t="str">
        <f t="shared" si="7"/>
        <v/>
      </c>
      <c r="U196" s="479"/>
    </row>
    <row r="197" spans="2:21" x14ac:dyDescent="0.3">
      <c r="B197" s="479"/>
      <c r="C197" s="479"/>
      <c r="D197" s="479"/>
      <c r="E197" s="479"/>
      <c r="F197" s="491"/>
      <c r="G197" s="482" t="str">
        <f t="shared" ca="1" si="8"/>
        <v/>
      </c>
      <c r="H197" s="483" t="str">
        <f ca="1">IFERROR(IF(OR($C$11="",$C$11=0),"",IF(OR($D$11=0,$D$11=""),IF(NOT(ISNUMBER(INDEX($F$7:$F$1000,ROWS($I$7:I197)*$C$11))),"",$B$5+SUM(OFFSET($F$7,0,0,ROWS($I$7:I197)*$C$11))),IF(NOT(ISNUMBER(INDEX($F$7:$F$1000,ROUNDUP(ROWS($I$7:I197)/2,0)*$C$11))),"",IF(MOD(ROWS($I$7:I197),2)=1,IF(ISNUMBER($B$5),$B$5+SUM(OFFSET($F$7,0,0,ROUNDUP(ROWS($I$7:I197)/2,0)*$C$11))-SUM(OFFSET($F$7,(ROUNDUP(ROWS($I$7:I197)/2,0)*$C$11)-$C$11,0,$C$11))+$D$11,""),$B$5+SUM(OFFSET($F$7,0,0,ROUNDUP(ROWS($I$7:I197)/2,0)*$C$11)))))),"")</f>
        <v/>
      </c>
      <c r="I197" s="484"/>
      <c r="J197" s="484"/>
      <c r="K197" s="484"/>
      <c r="L197" s="484"/>
      <c r="M197" s="484"/>
      <c r="N197" s="479"/>
      <c r="O197" s="484">
        <f>N198/2</f>
        <v>0</v>
      </c>
      <c r="P197" s="487">
        <f>O293</f>
        <v>0</v>
      </c>
      <c r="Q197" s="484"/>
      <c r="R197" s="494" t="str">
        <f>IF(P197=0,"",ROUNDDOWN(P197,2))</f>
        <v/>
      </c>
      <c r="S197" s="484"/>
      <c r="T197" s="495" t="str">
        <f t="shared" si="7"/>
        <v/>
      </c>
      <c r="U197" s="479"/>
    </row>
    <row r="198" spans="2:21" x14ac:dyDescent="0.3">
      <c r="B198" s="479"/>
      <c r="C198" s="479"/>
      <c r="D198" s="479"/>
      <c r="E198" s="479"/>
      <c r="F198" s="491"/>
      <c r="G198" s="482" t="str">
        <f t="shared" ca="1" si="8"/>
        <v/>
      </c>
      <c r="H198" s="483" t="str">
        <f ca="1">IFERROR(IF(OR($C$11="",$C$11=0),"",IF(OR($D$11=0,$D$11=""),IF(NOT(ISNUMBER(INDEX($F$7:$F$1000,ROWS($I$7:I198)*$C$11))),"",$B$5+SUM(OFFSET($F$7,0,0,ROWS($I$7:I198)*$C$11))),IF(NOT(ISNUMBER(INDEX($F$7:$F$1000,ROUNDUP(ROWS($I$7:I198)/2,0)*$C$11))),"",IF(MOD(ROWS($I$7:I198),2)=1,IF(ISNUMBER($B$5),$B$5+SUM(OFFSET($F$7,0,0,ROUNDUP(ROWS($I$7:I198)/2,0)*$C$11))-SUM(OFFSET($F$7,(ROUNDUP(ROWS($I$7:I198)/2,0)*$C$11)-$C$11,0,$C$11))+$D$11,""),$B$5+SUM(OFFSET($F$7,0,0,ROUNDUP(ROWS($I$7:I198)/2,0)*$C$11)))))),"")</f>
        <v/>
      </c>
      <c r="I198" s="484"/>
      <c r="J198" s="484"/>
      <c r="K198" s="484"/>
      <c r="L198" s="484"/>
      <c r="M198" s="484"/>
      <c r="N198" s="484">
        <f>F196+F197+F198</f>
        <v>0</v>
      </c>
      <c r="O198" s="484">
        <f>N198/2</f>
        <v>0</v>
      </c>
      <c r="P198" s="487">
        <f>O294</f>
        <v>0</v>
      </c>
      <c r="Q198" s="484"/>
      <c r="R198" s="492" t="str">
        <f>IF(P198=0,"",ROUNDUP(P198,2))</f>
        <v/>
      </c>
      <c r="S198" s="484"/>
      <c r="T198" s="493" t="str">
        <f t="shared" si="7"/>
        <v/>
      </c>
      <c r="U198" s="479"/>
    </row>
    <row r="199" spans="2:21" x14ac:dyDescent="0.3">
      <c r="B199" s="479"/>
      <c r="C199" s="479"/>
      <c r="D199" s="479"/>
      <c r="E199" s="479"/>
      <c r="F199" s="491"/>
      <c r="G199" s="482" t="str">
        <f t="shared" ca="1" si="8"/>
        <v/>
      </c>
      <c r="H199" s="483" t="str">
        <f ca="1">IFERROR(IF(OR($C$11="",$C$11=0),"",IF(OR($D$11=0,$D$11=""),IF(NOT(ISNUMBER(INDEX($F$7:$F$1000,ROWS($I$7:I199)*$C$11))),"",$B$5+SUM(OFFSET($F$7,0,0,ROWS($I$7:I199)*$C$11))),IF(NOT(ISNUMBER(INDEX($F$7:$F$1000,ROUNDUP(ROWS($I$7:I199)/2,0)*$C$11))),"",IF(MOD(ROWS($I$7:I199),2)=1,IF(ISNUMBER($B$5),$B$5+SUM(OFFSET($F$7,0,0,ROUNDUP(ROWS($I$7:I199)/2,0)*$C$11))-SUM(OFFSET($F$7,(ROUNDUP(ROWS($I$7:I199)/2,0)*$C$11)-$C$11,0,$C$11))+$D$11,""),$B$5+SUM(OFFSET($F$7,0,0,ROUNDUP(ROWS($I$7:I199)/2,0)*$C$11)))))),"")</f>
        <v/>
      </c>
      <c r="I199" s="484"/>
      <c r="J199" s="484"/>
      <c r="K199" s="484"/>
      <c r="L199" s="484"/>
      <c r="M199" s="484"/>
      <c r="N199" s="479"/>
      <c r="O199" s="484"/>
      <c r="P199" s="487">
        <f>O296</f>
        <v>0</v>
      </c>
      <c r="Q199" s="484"/>
      <c r="R199" s="494" t="str">
        <f>IF(P199=0,"",ROUNDDOWN(P199,2))</f>
        <v/>
      </c>
      <c r="S199" s="484"/>
      <c r="T199" s="495" t="str">
        <f t="shared" si="7"/>
        <v/>
      </c>
      <c r="U199" s="479"/>
    </row>
    <row r="200" spans="2:21" x14ac:dyDescent="0.3">
      <c r="B200" s="479"/>
      <c r="C200" s="479"/>
      <c r="D200" s="479"/>
      <c r="E200" s="479"/>
      <c r="F200" s="491"/>
      <c r="G200" s="482" t="str">
        <f t="shared" ca="1" si="8"/>
        <v/>
      </c>
      <c r="H200" s="483" t="str">
        <f ca="1">IFERROR(IF(OR($C$11="",$C$11=0),"",IF(OR($D$11=0,$D$11=""),IF(NOT(ISNUMBER(INDEX($F$7:$F$1000,ROWS($I$7:I200)*$C$11))),"",$B$5+SUM(OFFSET($F$7,0,0,ROWS($I$7:I200)*$C$11))),IF(NOT(ISNUMBER(INDEX($F$7:$F$1000,ROUNDUP(ROWS($I$7:I200)/2,0)*$C$11))),"",IF(MOD(ROWS($I$7:I200),2)=1,IF(ISNUMBER($B$5),$B$5+SUM(OFFSET($F$7,0,0,ROUNDUP(ROWS($I$7:I200)/2,0)*$C$11))-SUM(OFFSET($F$7,(ROUNDUP(ROWS($I$7:I200)/2,0)*$C$11)-$C$11,0,$C$11))+$D$11,""),$B$5+SUM(OFFSET($F$7,0,0,ROUNDUP(ROWS($I$7:I200)/2,0)*$C$11)))))),"")</f>
        <v/>
      </c>
      <c r="I200" s="484"/>
      <c r="J200" s="484"/>
      <c r="K200" s="484"/>
      <c r="L200" s="484"/>
      <c r="M200" s="484"/>
      <c r="N200" s="479"/>
      <c r="O200" s="484">
        <f>N201/2</f>
        <v>0</v>
      </c>
      <c r="P200" s="487">
        <f>O297</f>
        <v>0</v>
      </c>
      <c r="Q200" s="484"/>
      <c r="R200" s="492" t="str">
        <f>IF(P200=0,"",ROUNDUP(P200,2))</f>
        <v/>
      </c>
      <c r="S200" s="484"/>
      <c r="T200" s="493" t="str">
        <f t="shared" si="7"/>
        <v/>
      </c>
      <c r="U200" s="479"/>
    </row>
    <row r="201" spans="2:21" x14ac:dyDescent="0.3">
      <c r="B201" s="479"/>
      <c r="C201" s="479"/>
      <c r="D201" s="479"/>
      <c r="E201" s="479"/>
      <c r="F201" s="491"/>
      <c r="G201" s="482" t="str">
        <f t="shared" ca="1" si="8"/>
        <v/>
      </c>
      <c r="H201" s="483" t="str">
        <f ca="1">IFERROR(IF(OR($C$11="",$C$11=0),"",IF(OR($D$11=0,$D$11=""),IF(NOT(ISNUMBER(INDEX($F$7:$F$1000,ROWS($I$7:I201)*$C$11))),"",$B$5+SUM(OFFSET($F$7,0,0,ROWS($I$7:I201)*$C$11))),IF(NOT(ISNUMBER(INDEX($F$7:$F$1000,ROUNDUP(ROWS($I$7:I201)/2,0)*$C$11))),"",IF(MOD(ROWS($I$7:I201),2)=1,IF(ISNUMBER($B$5),$B$5+SUM(OFFSET($F$7,0,0,ROUNDUP(ROWS($I$7:I201)/2,0)*$C$11))-SUM(OFFSET($F$7,(ROUNDUP(ROWS($I$7:I201)/2,0)*$C$11)-$C$11,0,$C$11))+$D$11,""),$B$5+SUM(OFFSET($F$7,0,0,ROUNDUP(ROWS($I$7:I201)/2,0)*$C$11)))))),"")</f>
        <v/>
      </c>
      <c r="I201" s="484"/>
      <c r="J201" s="484"/>
      <c r="K201" s="484"/>
      <c r="L201" s="484"/>
      <c r="M201" s="484"/>
      <c r="N201" s="484">
        <f>F199+F200+F201</f>
        <v>0</v>
      </c>
      <c r="O201" s="484">
        <f>N201/2</f>
        <v>0</v>
      </c>
      <c r="P201" s="487">
        <f>O299</f>
        <v>0</v>
      </c>
      <c r="Q201" s="484"/>
      <c r="R201" s="494" t="str">
        <f>IF(P201=0,"",ROUNDDOWN(P201,2))</f>
        <v/>
      </c>
      <c r="S201" s="484"/>
      <c r="T201" s="495" t="str">
        <f t="shared" si="7"/>
        <v/>
      </c>
      <c r="U201" s="479"/>
    </row>
    <row r="202" spans="2:21" x14ac:dyDescent="0.3">
      <c r="B202" s="479"/>
      <c r="C202" s="479"/>
      <c r="D202" s="479"/>
      <c r="E202" s="479"/>
      <c r="F202" s="491"/>
      <c r="G202" s="482" t="str">
        <f t="shared" ca="1" si="8"/>
        <v/>
      </c>
      <c r="H202" s="483" t="str">
        <f ca="1">IFERROR(IF(OR($C$11="",$C$11=0),"",IF(OR($D$11=0,$D$11=""),IF(NOT(ISNUMBER(INDEX($F$7:$F$1000,ROWS($I$7:I202)*$C$11))),"",$B$5+SUM(OFFSET($F$7,0,0,ROWS($I$7:I202)*$C$11))),IF(NOT(ISNUMBER(INDEX($F$7:$F$1000,ROUNDUP(ROWS($I$7:I202)/2,0)*$C$11))),"",IF(MOD(ROWS($I$7:I202),2)=1,IF(ISNUMBER($B$5),$B$5+SUM(OFFSET($F$7,0,0,ROUNDUP(ROWS($I$7:I202)/2,0)*$C$11))-SUM(OFFSET($F$7,(ROUNDUP(ROWS($I$7:I202)/2,0)*$C$11)-$C$11,0,$C$11))+$D$11,""),$B$5+SUM(OFFSET($F$7,0,0,ROUNDUP(ROWS($I$7:I202)/2,0)*$C$11)))))),"")</f>
        <v/>
      </c>
      <c r="I202" s="484"/>
      <c r="J202" s="484"/>
      <c r="K202" s="484"/>
      <c r="L202" s="484"/>
      <c r="M202" s="484"/>
      <c r="N202" s="479"/>
      <c r="O202" s="484"/>
      <c r="P202" s="487">
        <f>O300</f>
        <v>0</v>
      </c>
      <c r="Q202" s="484"/>
      <c r="R202" s="492" t="str">
        <f>IF(P202=0,"",ROUNDUP(P202,2))</f>
        <v/>
      </c>
      <c r="S202" s="484"/>
      <c r="T202" s="493" t="str">
        <f t="shared" si="7"/>
        <v/>
      </c>
      <c r="U202" s="479"/>
    </row>
    <row r="203" spans="2:21" x14ac:dyDescent="0.3">
      <c r="B203" s="479"/>
      <c r="C203" s="479"/>
      <c r="D203" s="479"/>
      <c r="E203" s="479"/>
      <c r="F203" s="491"/>
      <c r="G203" s="482" t="str">
        <f t="shared" ca="1" si="8"/>
        <v/>
      </c>
      <c r="H203" s="483" t="str">
        <f ca="1">IFERROR(IF(OR($C$11="",$C$11=0),"",IF(OR($D$11=0,$D$11=""),IF(NOT(ISNUMBER(INDEX($F$7:$F$1000,ROWS($I$7:I203)*$C$11))),"",$B$5+SUM(OFFSET($F$7,0,0,ROWS($I$7:I203)*$C$11))),IF(NOT(ISNUMBER(INDEX($F$7:$F$1000,ROUNDUP(ROWS($I$7:I203)/2,0)*$C$11))),"",IF(MOD(ROWS($I$7:I203),2)=1,IF(ISNUMBER($B$5),$B$5+SUM(OFFSET($F$7,0,0,ROUNDUP(ROWS($I$7:I203)/2,0)*$C$11))-SUM(OFFSET($F$7,(ROUNDUP(ROWS($I$7:I203)/2,0)*$C$11)-$C$11,0,$C$11))+$D$11,""),$B$5+SUM(OFFSET($F$7,0,0,ROUNDUP(ROWS($I$7:I203)/2,0)*$C$11)))))),"")</f>
        <v/>
      </c>
      <c r="I203" s="484"/>
      <c r="J203" s="484"/>
      <c r="K203" s="484"/>
      <c r="L203" s="484"/>
      <c r="M203" s="484"/>
      <c r="N203" s="479"/>
      <c r="O203" s="484">
        <f>N204/2</f>
        <v>0</v>
      </c>
      <c r="P203" s="487">
        <f>O302</f>
        <v>0</v>
      </c>
      <c r="Q203" s="484"/>
      <c r="R203" s="494" t="str">
        <f>IF(P203=0,"",ROUNDDOWN(P203,2))</f>
        <v/>
      </c>
      <c r="S203" s="484"/>
      <c r="T203" s="495" t="str">
        <f t="shared" ref="T203:T212" si="9">IF(R203="","",T202+R203)</f>
        <v/>
      </c>
      <c r="U203" s="479"/>
    </row>
    <row r="204" spans="2:21" x14ac:dyDescent="0.3">
      <c r="B204" s="479"/>
      <c r="C204" s="479"/>
      <c r="D204" s="479"/>
      <c r="E204" s="479"/>
      <c r="F204" s="491"/>
      <c r="G204" s="482" t="str">
        <f t="shared" ca="1" si="8"/>
        <v/>
      </c>
      <c r="H204" s="483" t="str">
        <f ca="1">IFERROR(IF(OR($C$11="",$C$11=0),"",IF(OR($D$11=0,$D$11=""),IF(NOT(ISNUMBER(INDEX($F$7:$F$1000,ROWS($I$7:I204)*$C$11))),"",$B$5+SUM(OFFSET($F$7,0,0,ROWS($I$7:I204)*$C$11))),IF(NOT(ISNUMBER(INDEX($F$7:$F$1000,ROUNDUP(ROWS($I$7:I204)/2,0)*$C$11))),"",IF(MOD(ROWS($I$7:I204),2)=1,IF(ISNUMBER($B$5),$B$5+SUM(OFFSET($F$7,0,0,ROUNDUP(ROWS($I$7:I204)/2,0)*$C$11))-SUM(OFFSET($F$7,(ROUNDUP(ROWS($I$7:I204)/2,0)*$C$11)-$C$11,0,$C$11))+$D$11,""),$B$5+SUM(OFFSET($F$7,0,0,ROUNDUP(ROWS($I$7:I204)/2,0)*$C$11)))))),"")</f>
        <v/>
      </c>
      <c r="I204" s="484"/>
      <c r="J204" s="484"/>
      <c r="K204" s="484"/>
      <c r="L204" s="484"/>
      <c r="M204" s="484"/>
      <c r="N204" s="484">
        <f>F202+F203+F204</f>
        <v>0</v>
      </c>
      <c r="O204" s="484">
        <f>N204/2</f>
        <v>0</v>
      </c>
      <c r="P204" s="487">
        <f>O303</f>
        <v>0</v>
      </c>
      <c r="Q204" s="484"/>
      <c r="R204" s="492" t="str">
        <f>IF(P204=0,"",ROUNDUP(P204,2))</f>
        <v/>
      </c>
      <c r="S204" s="484"/>
      <c r="T204" s="493" t="str">
        <f t="shared" si="9"/>
        <v/>
      </c>
      <c r="U204" s="479"/>
    </row>
    <row r="205" spans="2:21" x14ac:dyDescent="0.3">
      <c r="B205" s="479"/>
      <c r="C205" s="479"/>
      <c r="D205" s="479"/>
      <c r="E205" s="479"/>
      <c r="F205" s="491"/>
      <c r="G205" s="482" t="str">
        <f t="shared" ca="1" si="8"/>
        <v/>
      </c>
      <c r="H205" s="483" t="str">
        <f ca="1">IFERROR(IF(OR($C$11="",$C$11=0),"",IF(OR($D$11=0,$D$11=""),IF(NOT(ISNUMBER(INDEX($F$7:$F$1000,ROWS($I$7:I205)*$C$11))),"",$B$5+SUM(OFFSET($F$7,0,0,ROWS($I$7:I205)*$C$11))),IF(NOT(ISNUMBER(INDEX($F$7:$F$1000,ROUNDUP(ROWS($I$7:I205)/2,0)*$C$11))),"",IF(MOD(ROWS($I$7:I205),2)=1,IF(ISNUMBER($B$5),$B$5+SUM(OFFSET($F$7,0,0,ROUNDUP(ROWS($I$7:I205)/2,0)*$C$11))-SUM(OFFSET($F$7,(ROUNDUP(ROWS($I$7:I205)/2,0)*$C$11)-$C$11,0,$C$11))+$D$11,""),$B$5+SUM(OFFSET($F$7,0,0,ROUNDUP(ROWS($I$7:I205)/2,0)*$C$11)))))),"")</f>
        <v/>
      </c>
      <c r="I205" s="484"/>
      <c r="J205" s="484"/>
      <c r="K205" s="484"/>
      <c r="L205" s="484"/>
      <c r="M205" s="484"/>
      <c r="N205" s="479"/>
      <c r="O205" s="484"/>
      <c r="P205" s="487">
        <f>O305</f>
        <v>0</v>
      </c>
      <c r="Q205" s="484"/>
      <c r="R205" s="494" t="str">
        <f>IF(P205=0,"",ROUNDDOWN(P205,2))</f>
        <v/>
      </c>
      <c r="S205" s="484"/>
      <c r="T205" s="495" t="str">
        <f t="shared" si="9"/>
        <v/>
      </c>
      <c r="U205" s="479"/>
    </row>
    <row r="206" spans="2:21" x14ac:dyDescent="0.3">
      <c r="B206" s="479"/>
      <c r="C206" s="479"/>
      <c r="D206" s="479"/>
      <c r="E206" s="479"/>
      <c r="F206" s="491"/>
      <c r="G206" s="482" t="str">
        <f t="shared" ca="1" si="8"/>
        <v/>
      </c>
      <c r="H206" s="483" t="str">
        <f ca="1">IFERROR(IF(OR($C$11="",$C$11=0),"",IF(OR($D$11=0,$D$11=""),IF(NOT(ISNUMBER(INDEX($F$7:$F$1000,ROWS($I$7:I206)*$C$11))),"",$B$5+SUM(OFFSET($F$7,0,0,ROWS($I$7:I206)*$C$11))),IF(NOT(ISNUMBER(INDEX($F$7:$F$1000,ROUNDUP(ROWS($I$7:I206)/2,0)*$C$11))),"",IF(MOD(ROWS($I$7:I206),2)=1,IF(ISNUMBER($B$5),$B$5+SUM(OFFSET($F$7,0,0,ROUNDUP(ROWS($I$7:I206)/2,0)*$C$11))-SUM(OFFSET($F$7,(ROUNDUP(ROWS($I$7:I206)/2,0)*$C$11)-$C$11,0,$C$11))+$D$11,""),$B$5+SUM(OFFSET($F$7,0,0,ROUNDUP(ROWS($I$7:I206)/2,0)*$C$11)))))),"")</f>
        <v/>
      </c>
      <c r="I206" s="484"/>
      <c r="J206" s="484"/>
      <c r="K206" s="484"/>
      <c r="L206" s="484"/>
      <c r="M206" s="484"/>
      <c r="N206" s="479"/>
      <c r="O206" s="484">
        <f>N207/2</f>
        <v>0</v>
      </c>
      <c r="P206" s="487">
        <f>O306</f>
        <v>0</v>
      </c>
      <c r="Q206" s="484"/>
      <c r="R206" s="492" t="str">
        <f>IF(P206=0,"",ROUNDUP(P206,2))</f>
        <v/>
      </c>
      <c r="S206" s="484"/>
      <c r="T206" s="493" t="str">
        <f t="shared" si="9"/>
        <v/>
      </c>
      <c r="U206" s="479"/>
    </row>
    <row r="207" spans="2:21" x14ac:dyDescent="0.3">
      <c r="B207" s="479"/>
      <c r="C207" s="479"/>
      <c r="D207" s="479"/>
      <c r="E207" s="479"/>
      <c r="F207" s="491"/>
      <c r="G207" s="482" t="str">
        <f t="shared" ca="1" si="8"/>
        <v/>
      </c>
      <c r="H207" s="483" t="str">
        <f ca="1">IFERROR(IF(OR($C$11="",$C$11=0),"",IF(OR($D$11=0,$D$11=""),IF(NOT(ISNUMBER(INDEX($F$7:$F$1000,ROWS($I$7:I207)*$C$11))),"",$B$5+SUM(OFFSET($F$7,0,0,ROWS($I$7:I207)*$C$11))),IF(NOT(ISNUMBER(INDEX($F$7:$F$1000,ROUNDUP(ROWS($I$7:I207)/2,0)*$C$11))),"",IF(MOD(ROWS($I$7:I207),2)=1,IF(ISNUMBER($B$5),$B$5+SUM(OFFSET($F$7,0,0,ROUNDUP(ROWS($I$7:I207)/2,0)*$C$11))-SUM(OFFSET($F$7,(ROUNDUP(ROWS($I$7:I207)/2,0)*$C$11)-$C$11,0,$C$11))+$D$11,""),$B$5+SUM(OFFSET($F$7,0,0,ROUNDUP(ROWS($I$7:I207)/2,0)*$C$11)))))),"")</f>
        <v/>
      </c>
      <c r="I207" s="484"/>
      <c r="J207" s="484"/>
      <c r="K207" s="484"/>
      <c r="L207" s="484"/>
      <c r="M207" s="484"/>
      <c r="N207" s="484">
        <f>F205+F206+F207</f>
        <v>0</v>
      </c>
      <c r="O207" s="484">
        <f>N207/2</f>
        <v>0</v>
      </c>
      <c r="P207" s="487">
        <f>O308</f>
        <v>0</v>
      </c>
      <c r="Q207" s="484"/>
      <c r="R207" s="494" t="str">
        <f>IF(P207=0,"",ROUNDDOWN(P207,2))</f>
        <v/>
      </c>
      <c r="S207" s="484"/>
      <c r="T207" s="495" t="str">
        <f t="shared" si="9"/>
        <v/>
      </c>
      <c r="U207" s="479"/>
    </row>
    <row r="208" spans="2:21" x14ac:dyDescent="0.3">
      <c r="B208" s="479"/>
      <c r="C208" s="479"/>
      <c r="D208" s="479"/>
      <c r="E208" s="479"/>
      <c r="F208" s="491"/>
      <c r="G208" s="482" t="str">
        <f t="shared" ca="1" si="8"/>
        <v/>
      </c>
      <c r="H208" s="483" t="str">
        <f ca="1">IFERROR(IF(OR($C$11="",$C$11=0),"",IF(OR($D$11=0,$D$11=""),IF(NOT(ISNUMBER(INDEX($F$7:$F$1000,ROWS($I$7:I208)*$C$11))),"",$B$5+SUM(OFFSET($F$7,0,0,ROWS($I$7:I208)*$C$11))),IF(NOT(ISNUMBER(INDEX($F$7:$F$1000,ROUNDUP(ROWS($I$7:I208)/2,0)*$C$11))),"",IF(MOD(ROWS($I$7:I208),2)=1,IF(ISNUMBER($B$5),$B$5+SUM(OFFSET($F$7,0,0,ROUNDUP(ROWS($I$7:I208)/2,0)*$C$11))-SUM(OFFSET($F$7,(ROUNDUP(ROWS($I$7:I208)/2,0)*$C$11)-$C$11,0,$C$11))+$D$11,""),$B$5+SUM(OFFSET($F$7,0,0,ROUNDUP(ROWS($I$7:I208)/2,0)*$C$11)))))),"")</f>
        <v/>
      </c>
      <c r="I208" s="484"/>
      <c r="J208" s="484"/>
      <c r="K208" s="484"/>
      <c r="L208" s="484"/>
      <c r="M208" s="484"/>
      <c r="N208" s="479"/>
      <c r="O208" s="484"/>
      <c r="P208" s="487">
        <f>O309</f>
        <v>0</v>
      </c>
      <c r="Q208" s="484"/>
      <c r="R208" s="492" t="str">
        <f>IF(P208=0,"",ROUNDUP(P208,2))</f>
        <v/>
      </c>
      <c r="S208" s="484"/>
      <c r="T208" s="493" t="str">
        <f t="shared" si="9"/>
        <v/>
      </c>
      <c r="U208" s="479"/>
    </row>
    <row r="209" spans="2:21" x14ac:dyDescent="0.3">
      <c r="B209" s="479"/>
      <c r="C209" s="479"/>
      <c r="D209" s="479"/>
      <c r="E209" s="479"/>
      <c r="F209" s="491"/>
      <c r="G209" s="482" t="str">
        <f t="shared" ca="1" si="8"/>
        <v/>
      </c>
      <c r="H209" s="483" t="str">
        <f ca="1">IFERROR(IF(OR($C$11="",$C$11=0),"",IF(OR($D$11=0,$D$11=""),IF(NOT(ISNUMBER(INDEX($F$7:$F$1000,ROWS($I$7:I209)*$C$11))),"",$B$5+SUM(OFFSET($F$7,0,0,ROWS($I$7:I209)*$C$11))),IF(NOT(ISNUMBER(INDEX($F$7:$F$1000,ROUNDUP(ROWS($I$7:I209)/2,0)*$C$11))),"",IF(MOD(ROWS($I$7:I209),2)=1,IF(ISNUMBER($B$5),$B$5+SUM(OFFSET($F$7,0,0,ROUNDUP(ROWS($I$7:I209)/2,0)*$C$11))-SUM(OFFSET($F$7,(ROUNDUP(ROWS($I$7:I209)/2,0)*$C$11)-$C$11,0,$C$11))+$D$11,""),$B$5+SUM(OFFSET($F$7,0,0,ROUNDUP(ROWS($I$7:I209)/2,0)*$C$11)))))),"")</f>
        <v/>
      </c>
      <c r="I209" s="484"/>
      <c r="J209" s="484"/>
      <c r="K209" s="484"/>
      <c r="L209" s="484"/>
      <c r="M209" s="484"/>
      <c r="N209" s="479"/>
      <c r="O209" s="484">
        <f>N210/2</f>
        <v>0</v>
      </c>
      <c r="P209" s="487">
        <f>O311</f>
        <v>0</v>
      </c>
      <c r="Q209" s="484"/>
      <c r="R209" s="494" t="str">
        <f>IF(P209=0,"",ROUNDDOWN(P209,2))</f>
        <v/>
      </c>
      <c r="S209" s="484"/>
      <c r="T209" s="495" t="str">
        <f t="shared" si="9"/>
        <v/>
      </c>
      <c r="U209" s="479"/>
    </row>
    <row r="210" spans="2:21" x14ac:dyDescent="0.3">
      <c r="B210" s="479"/>
      <c r="C210" s="479"/>
      <c r="D210" s="479"/>
      <c r="E210" s="479"/>
      <c r="F210" s="491"/>
      <c r="G210" s="482" t="str">
        <f t="shared" ca="1" si="8"/>
        <v/>
      </c>
      <c r="H210" s="483" t="str">
        <f ca="1">IFERROR(IF(OR($C$11="",$C$11=0),"",IF(OR($D$11=0,$D$11=""),IF(NOT(ISNUMBER(INDEX($F$7:$F$1000,ROWS($I$7:I210)*$C$11))),"",$B$5+SUM(OFFSET($F$7,0,0,ROWS($I$7:I210)*$C$11))),IF(NOT(ISNUMBER(INDEX($F$7:$F$1000,ROUNDUP(ROWS($I$7:I210)/2,0)*$C$11))),"",IF(MOD(ROWS($I$7:I210),2)=1,IF(ISNUMBER($B$5),$B$5+SUM(OFFSET($F$7,0,0,ROUNDUP(ROWS($I$7:I210)/2,0)*$C$11))-SUM(OFFSET($F$7,(ROUNDUP(ROWS($I$7:I210)/2,0)*$C$11)-$C$11,0,$C$11))+$D$11,""),$B$5+SUM(OFFSET($F$7,0,0,ROUNDUP(ROWS($I$7:I210)/2,0)*$C$11)))))),"")</f>
        <v/>
      </c>
      <c r="I210" s="484"/>
      <c r="J210" s="484"/>
      <c r="K210" s="484"/>
      <c r="L210" s="484"/>
      <c r="M210" s="484"/>
      <c r="N210" s="484">
        <f>F208+F209+F210</f>
        <v>0</v>
      </c>
      <c r="O210" s="484">
        <f>N210/2</f>
        <v>0</v>
      </c>
      <c r="P210" s="487">
        <f>O312</f>
        <v>0</v>
      </c>
      <c r="Q210" s="484"/>
      <c r="R210" s="492" t="str">
        <f>IF(P210=0,"",ROUNDUP(P210,2))</f>
        <v/>
      </c>
      <c r="S210" s="484"/>
      <c r="T210" s="493" t="str">
        <f t="shared" si="9"/>
        <v/>
      </c>
      <c r="U210" s="479"/>
    </row>
    <row r="211" spans="2:21" x14ac:dyDescent="0.3">
      <c r="B211" s="479"/>
      <c r="C211" s="479"/>
      <c r="D211" s="479"/>
      <c r="E211" s="479"/>
      <c r="F211" s="491"/>
      <c r="G211" s="482" t="str">
        <f t="shared" ca="1" si="8"/>
        <v/>
      </c>
      <c r="H211" s="483" t="str">
        <f ca="1">IFERROR(IF(OR($C$11="",$C$11=0),"",IF(OR($D$11=0,$D$11=""),IF(NOT(ISNUMBER(INDEX($F$7:$F$1000,ROWS($I$7:I211)*$C$11))),"",$B$5+SUM(OFFSET($F$7,0,0,ROWS($I$7:I211)*$C$11))),IF(NOT(ISNUMBER(INDEX($F$7:$F$1000,ROUNDUP(ROWS($I$7:I211)/2,0)*$C$11))),"",IF(MOD(ROWS($I$7:I211),2)=1,IF(ISNUMBER($B$5),$B$5+SUM(OFFSET($F$7,0,0,ROUNDUP(ROWS($I$7:I211)/2,0)*$C$11))-SUM(OFFSET($F$7,(ROUNDUP(ROWS($I$7:I211)/2,0)*$C$11)-$C$11,0,$C$11))+$D$11,""),$B$5+SUM(OFFSET($F$7,0,0,ROUNDUP(ROWS($I$7:I211)/2,0)*$C$11)))))),"")</f>
        <v/>
      </c>
      <c r="I211" s="484"/>
      <c r="J211" s="484"/>
      <c r="K211" s="484"/>
      <c r="L211" s="484"/>
      <c r="M211" s="484"/>
      <c r="N211" s="479"/>
      <c r="O211" s="484"/>
      <c r="P211" s="487">
        <f>O314</f>
        <v>0</v>
      </c>
      <c r="Q211" s="484"/>
      <c r="R211" s="494" t="str">
        <f>IF(P211=0,"",ROUNDDOWN(P211,2))</f>
        <v/>
      </c>
      <c r="S211" s="484"/>
      <c r="T211" s="495" t="str">
        <f t="shared" si="9"/>
        <v/>
      </c>
      <c r="U211" s="479"/>
    </row>
    <row r="212" spans="2:21" x14ac:dyDescent="0.3">
      <c r="B212" s="479"/>
      <c r="C212" s="479"/>
      <c r="D212" s="479"/>
      <c r="E212" s="479"/>
      <c r="F212" s="491"/>
      <c r="G212" s="482" t="str">
        <f t="shared" ca="1" si="8"/>
        <v/>
      </c>
      <c r="H212" s="483" t="str">
        <f ca="1">IFERROR(IF(OR($C$11="",$C$11=0),"",IF(OR($D$11=0,$D$11=""),IF(NOT(ISNUMBER(INDEX($F$7:$F$1000,ROWS($I$7:I212)*$C$11))),"",$B$5+SUM(OFFSET($F$7,0,0,ROWS($I$7:I212)*$C$11))),IF(NOT(ISNUMBER(INDEX($F$7:$F$1000,ROUNDUP(ROWS($I$7:I212)/2,0)*$C$11))),"",IF(MOD(ROWS($I$7:I212),2)=1,IF(ISNUMBER($B$5),$B$5+SUM(OFFSET($F$7,0,0,ROUNDUP(ROWS($I$7:I212)/2,0)*$C$11))-SUM(OFFSET($F$7,(ROUNDUP(ROWS($I$7:I212)/2,0)*$C$11)-$C$11,0,$C$11))+$D$11,""),$B$5+SUM(OFFSET($F$7,0,0,ROUNDUP(ROWS($I$7:I212)/2,0)*$C$11)))))),"")</f>
        <v/>
      </c>
      <c r="I212" s="484"/>
      <c r="J212" s="484"/>
      <c r="K212" s="484"/>
      <c r="L212" s="484"/>
      <c r="M212" s="484"/>
      <c r="N212" s="479"/>
      <c r="O212" s="484">
        <f>N213/2</f>
        <v>0</v>
      </c>
      <c r="P212" s="487">
        <f>O315</f>
        <v>0</v>
      </c>
      <c r="Q212" s="484"/>
      <c r="R212" s="492" t="str">
        <f>IF(P212=0,"",ROUNDUP(P212,2))</f>
        <v/>
      </c>
      <c r="S212" s="484"/>
      <c r="T212" s="493" t="str">
        <f t="shared" si="9"/>
        <v/>
      </c>
      <c r="U212" s="479"/>
    </row>
    <row r="213" spans="2:21" x14ac:dyDescent="0.3">
      <c r="B213" s="479"/>
      <c r="C213" s="479"/>
      <c r="D213" s="479"/>
      <c r="E213" s="479"/>
      <c r="F213" s="491"/>
      <c r="G213" s="482" t="str">
        <f t="shared" ca="1" si="8"/>
        <v/>
      </c>
      <c r="H213" s="483" t="str">
        <f ca="1">IFERROR(IF(OR($C$11="",$C$11=0),"",IF(OR($D$11=0,$D$11=""),IF(NOT(ISNUMBER(INDEX($F$7:$F$1000,ROWS($I$7:I213)*$C$11))),"",$B$5+SUM(OFFSET($F$7,0,0,ROWS($I$7:I213)*$C$11))),IF(NOT(ISNUMBER(INDEX($F$7:$F$1000,ROUNDUP(ROWS($I$7:I213)/2,0)*$C$11))),"",IF(MOD(ROWS($I$7:I213),2)=1,IF(ISNUMBER($B$5),$B$5+SUM(OFFSET($F$7,0,0,ROUNDUP(ROWS($I$7:I213)/2,0)*$C$11))-SUM(OFFSET($F$7,(ROUNDUP(ROWS($I$7:I213)/2,0)*$C$11)-$C$11,0,$C$11))+$D$11,""),$B$5+SUM(OFFSET($F$7,0,0,ROUNDUP(ROWS($I$7:I213)/2,0)*$C$11)))))),"")</f>
        <v/>
      </c>
      <c r="I213" s="484"/>
      <c r="J213" s="484"/>
      <c r="K213" s="484"/>
      <c r="L213" s="484"/>
      <c r="M213" s="479"/>
      <c r="N213" s="484">
        <f>F211+F212+F213</f>
        <v>0</v>
      </c>
      <c r="O213" s="484">
        <f>N213/2</f>
        <v>0</v>
      </c>
      <c r="P213" s="487"/>
      <c r="Q213" s="479"/>
      <c r="R213" s="484"/>
      <c r="S213" s="484"/>
      <c r="T213" s="479"/>
      <c r="U213" s="479"/>
    </row>
    <row r="214" spans="2:21" x14ac:dyDescent="0.3">
      <c r="B214" s="479"/>
      <c r="C214" s="479"/>
      <c r="D214" s="479"/>
      <c r="E214" s="479"/>
      <c r="F214" s="491"/>
      <c r="G214" s="482" t="str">
        <f t="shared" ca="1" si="8"/>
        <v/>
      </c>
      <c r="H214" s="483" t="str">
        <f ca="1">IFERROR(IF(OR($C$11="",$C$11=0),"",IF(OR($D$11=0,$D$11=""),IF(NOT(ISNUMBER(INDEX($F$7:$F$1000,ROWS($I$7:I214)*$C$11))),"",$B$5+SUM(OFFSET($F$7,0,0,ROWS($I$7:I214)*$C$11))),IF(NOT(ISNUMBER(INDEX($F$7:$F$1000,ROUNDUP(ROWS($I$7:I214)/2,0)*$C$11))),"",IF(MOD(ROWS($I$7:I214),2)=1,IF(ISNUMBER($B$5),$B$5+SUM(OFFSET($F$7,0,0,ROUNDUP(ROWS($I$7:I214)/2,0)*$C$11))-SUM(OFFSET($F$7,(ROUNDUP(ROWS($I$7:I214)/2,0)*$C$11)-$C$11,0,$C$11))+$D$11,""),$B$5+SUM(OFFSET($F$7,0,0,ROUNDUP(ROWS($I$7:I214)/2,0)*$C$11)))))),"")</f>
        <v/>
      </c>
      <c r="I214" s="484"/>
      <c r="J214" s="484"/>
      <c r="K214" s="484"/>
      <c r="L214" s="484"/>
      <c r="M214" s="479"/>
      <c r="N214" s="479"/>
      <c r="O214" s="484"/>
      <c r="P214" s="487"/>
      <c r="Q214" s="479"/>
      <c r="R214" s="484"/>
      <c r="S214" s="484"/>
      <c r="T214" s="479"/>
      <c r="U214" s="479"/>
    </row>
    <row r="215" spans="2:21" x14ac:dyDescent="0.3">
      <c r="B215" s="479"/>
      <c r="C215" s="479"/>
      <c r="D215" s="479"/>
      <c r="E215" s="479"/>
      <c r="F215" s="491"/>
      <c r="G215" s="482" t="str">
        <f t="shared" ca="1" si="8"/>
        <v/>
      </c>
      <c r="H215" s="483" t="str">
        <f ca="1">IFERROR(IF(OR($C$11="",$C$11=0),"",IF(OR($D$11=0,$D$11=""),IF(NOT(ISNUMBER(INDEX($F$7:$F$1000,ROWS($I$7:I215)*$C$11))),"",$B$5+SUM(OFFSET($F$7,0,0,ROWS($I$7:I215)*$C$11))),IF(NOT(ISNUMBER(INDEX($F$7:$F$1000,ROUNDUP(ROWS($I$7:I215)/2,0)*$C$11))),"",IF(MOD(ROWS($I$7:I215),2)=1,IF(ISNUMBER($B$5),$B$5+SUM(OFFSET($F$7,0,0,ROUNDUP(ROWS($I$7:I215)/2,0)*$C$11))-SUM(OFFSET($F$7,(ROUNDUP(ROWS($I$7:I215)/2,0)*$C$11)-$C$11,0,$C$11))+$D$11,""),$B$5+SUM(OFFSET($F$7,0,0,ROUNDUP(ROWS($I$7:I215)/2,0)*$C$11)))))),"")</f>
        <v/>
      </c>
      <c r="I215" s="484"/>
      <c r="J215" s="484"/>
      <c r="K215" s="484"/>
      <c r="L215" s="484"/>
      <c r="M215" s="479"/>
      <c r="N215" s="479"/>
      <c r="O215" s="484">
        <f>N216/2</f>
        <v>0</v>
      </c>
      <c r="P215" s="487"/>
      <c r="Q215" s="479"/>
      <c r="R215" s="484"/>
      <c r="S215" s="484"/>
      <c r="T215" s="479"/>
      <c r="U215" s="479"/>
    </row>
    <row r="216" spans="2:21" x14ac:dyDescent="0.3">
      <c r="B216" s="479"/>
      <c r="C216" s="479"/>
      <c r="D216" s="479"/>
      <c r="E216" s="479"/>
      <c r="F216" s="491"/>
      <c r="G216" s="482" t="str">
        <f t="shared" ca="1" si="8"/>
        <v/>
      </c>
      <c r="H216" s="483" t="str">
        <f ca="1">IFERROR(IF(OR($C$11="",$C$11=0),"",IF(OR($D$11=0,$D$11=""),IF(NOT(ISNUMBER(INDEX($F$7:$F$1000,ROWS($I$7:I216)*$C$11))),"",$B$5+SUM(OFFSET($F$7,0,0,ROWS($I$7:I216)*$C$11))),IF(NOT(ISNUMBER(INDEX($F$7:$F$1000,ROUNDUP(ROWS($I$7:I216)/2,0)*$C$11))),"",IF(MOD(ROWS($I$7:I216),2)=1,IF(ISNUMBER($B$5),$B$5+SUM(OFFSET($F$7,0,0,ROUNDUP(ROWS($I$7:I216)/2,0)*$C$11))-SUM(OFFSET($F$7,(ROUNDUP(ROWS($I$7:I216)/2,0)*$C$11)-$C$11,0,$C$11))+$D$11,""),$B$5+SUM(OFFSET($F$7,0,0,ROUNDUP(ROWS($I$7:I216)/2,0)*$C$11)))))),"")</f>
        <v/>
      </c>
      <c r="I216" s="484"/>
      <c r="J216" s="484"/>
      <c r="K216" s="484"/>
      <c r="L216" s="484"/>
      <c r="M216" s="479"/>
      <c r="N216" s="484">
        <f>F214+F215+F216</f>
        <v>0</v>
      </c>
      <c r="O216" s="484">
        <f>N216/2</f>
        <v>0</v>
      </c>
      <c r="P216" s="487"/>
      <c r="Q216" s="479"/>
      <c r="R216" s="484"/>
      <c r="S216" s="484"/>
      <c r="T216" s="479"/>
      <c r="U216" s="479"/>
    </row>
    <row r="217" spans="2:21" x14ac:dyDescent="0.3">
      <c r="B217" s="479"/>
      <c r="C217" s="479"/>
      <c r="D217" s="479"/>
      <c r="E217" s="479"/>
      <c r="F217" s="491"/>
      <c r="G217" s="482" t="str">
        <f t="shared" ca="1" si="8"/>
        <v/>
      </c>
      <c r="H217" s="483" t="str">
        <f ca="1">IFERROR(IF(OR($C$11="",$C$11=0),"",IF(OR($D$11=0,$D$11=""),IF(NOT(ISNUMBER(INDEX($F$7:$F$1000,ROWS($I$7:I217)*$C$11))),"",$B$5+SUM(OFFSET($F$7,0,0,ROWS($I$7:I217)*$C$11))),IF(NOT(ISNUMBER(INDEX($F$7:$F$1000,ROUNDUP(ROWS($I$7:I217)/2,0)*$C$11))),"",IF(MOD(ROWS($I$7:I217),2)=1,IF(ISNUMBER($B$5),$B$5+SUM(OFFSET($F$7,0,0,ROUNDUP(ROWS($I$7:I217)/2,0)*$C$11))-SUM(OFFSET($F$7,(ROUNDUP(ROWS($I$7:I217)/2,0)*$C$11)-$C$11,0,$C$11))+$D$11,""),$B$5+SUM(OFFSET($F$7,0,0,ROUNDUP(ROWS($I$7:I217)/2,0)*$C$11)))))),"")</f>
        <v/>
      </c>
      <c r="I217" s="484"/>
      <c r="J217" s="484"/>
      <c r="K217" s="484"/>
      <c r="L217" s="484"/>
      <c r="M217" s="479"/>
      <c r="N217" s="479"/>
      <c r="O217" s="484"/>
      <c r="P217" s="487"/>
      <c r="Q217" s="479"/>
      <c r="R217" s="484"/>
      <c r="S217" s="484"/>
      <c r="T217" s="479"/>
      <c r="U217" s="479"/>
    </row>
    <row r="218" spans="2:21" x14ac:dyDescent="0.3">
      <c r="B218" s="479"/>
      <c r="C218" s="479"/>
      <c r="D218" s="479"/>
      <c r="E218" s="479"/>
      <c r="F218" s="491"/>
      <c r="G218" s="482" t="str">
        <f t="shared" ca="1" si="8"/>
        <v/>
      </c>
      <c r="H218" s="483" t="str">
        <f ca="1">IFERROR(IF(OR($C$11="",$C$11=0),"",IF(OR($D$11=0,$D$11=""),IF(NOT(ISNUMBER(INDEX($F$7:$F$1000,ROWS($I$7:I218)*$C$11))),"",$B$5+SUM(OFFSET($F$7,0,0,ROWS($I$7:I218)*$C$11))),IF(NOT(ISNUMBER(INDEX($F$7:$F$1000,ROUNDUP(ROWS($I$7:I218)/2,0)*$C$11))),"",IF(MOD(ROWS($I$7:I218),2)=1,IF(ISNUMBER($B$5),$B$5+SUM(OFFSET($F$7,0,0,ROUNDUP(ROWS($I$7:I218)/2,0)*$C$11))-SUM(OFFSET($F$7,(ROUNDUP(ROWS($I$7:I218)/2,0)*$C$11)-$C$11,0,$C$11))+$D$11,""),$B$5+SUM(OFFSET($F$7,0,0,ROUNDUP(ROWS($I$7:I218)/2,0)*$C$11)))))),"")</f>
        <v/>
      </c>
      <c r="I218" s="484"/>
      <c r="J218" s="479"/>
      <c r="K218" s="484"/>
      <c r="L218" s="484"/>
      <c r="M218" s="479"/>
      <c r="N218" s="479"/>
      <c r="O218" s="484">
        <f>N219/2</f>
        <v>0</v>
      </c>
      <c r="P218" s="487"/>
      <c r="Q218" s="479"/>
      <c r="R218" s="484"/>
      <c r="S218" s="484"/>
      <c r="T218" s="479"/>
      <c r="U218" s="479"/>
    </row>
    <row r="219" spans="2:21" x14ac:dyDescent="0.3">
      <c r="B219" s="479"/>
      <c r="C219" s="479"/>
      <c r="D219" s="479"/>
      <c r="E219" s="479"/>
      <c r="F219" s="491"/>
      <c r="G219" s="482" t="str">
        <f t="shared" ca="1" si="8"/>
        <v/>
      </c>
      <c r="H219" s="483" t="str">
        <f ca="1">IFERROR(IF(OR($C$11="",$C$11=0),"",IF(OR($D$11=0,$D$11=""),IF(NOT(ISNUMBER(INDEX($F$7:$F$1000,ROWS($I$7:I219)*$C$11))),"",$B$5+SUM(OFFSET($F$7,0,0,ROWS($I$7:I219)*$C$11))),IF(NOT(ISNUMBER(INDEX($F$7:$F$1000,ROUNDUP(ROWS($I$7:I219)/2,0)*$C$11))),"",IF(MOD(ROWS($I$7:I219),2)=1,IF(ISNUMBER($B$5),$B$5+SUM(OFFSET($F$7,0,0,ROUNDUP(ROWS($I$7:I219)/2,0)*$C$11))-SUM(OFFSET($F$7,(ROUNDUP(ROWS($I$7:I219)/2,0)*$C$11)-$C$11,0,$C$11))+$D$11,""),$B$5+SUM(OFFSET($F$7,0,0,ROUNDUP(ROWS($I$7:I219)/2,0)*$C$11)))))),"")</f>
        <v/>
      </c>
      <c r="I219" s="484"/>
      <c r="J219" s="479"/>
      <c r="K219" s="484"/>
      <c r="L219" s="484"/>
      <c r="M219" s="479"/>
      <c r="N219" s="484">
        <f>F217+F218+F219</f>
        <v>0</v>
      </c>
      <c r="O219" s="484">
        <f>N219/2</f>
        <v>0</v>
      </c>
      <c r="P219" s="487"/>
      <c r="Q219" s="479"/>
      <c r="R219" s="484"/>
      <c r="S219" s="484"/>
      <c r="T219" s="479"/>
      <c r="U219" s="479"/>
    </row>
    <row r="220" spans="2:21" x14ac:dyDescent="0.3">
      <c r="B220" s="479"/>
      <c r="C220" s="479"/>
      <c r="D220" s="479"/>
      <c r="E220" s="479"/>
      <c r="F220" s="491"/>
      <c r="G220" s="482" t="str">
        <f t="shared" ca="1" si="8"/>
        <v/>
      </c>
      <c r="H220" s="483" t="str">
        <f ca="1">IFERROR(IF(OR($C$11="",$C$11=0),"",IF(OR($D$11=0,$D$11=""),IF(NOT(ISNUMBER(INDEX($F$7:$F$1000,ROWS($I$7:I220)*$C$11))),"",$B$5+SUM(OFFSET($F$7,0,0,ROWS($I$7:I220)*$C$11))),IF(NOT(ISNUMBER(INDEX($F$7:$F$1000,ROUNDUP(ROWS($I$7:I220)/2,0)*$C$11))),"",IF(MOD(ROWS($I$7:I220),2)=1,IF(ISNUMBER($B$5),$B$5+SUM(OFFSET($F$7,0,0,ROUNDUP(ROWS($I$7:I220)/2,0)*$C$11))-SUM(OFFSET($F$7,(ROUNDUP(ROWS($I$7:I220)/2,0)*$C$11)-$C$11,0,$C$11))+$D$11,""),$B$5+SUM(OFFSET($F$7,0,0,ROUNDUP(ROWS($I$7:I220)/2,0)*$C$11)))))),"")</f>
        <v/>
      </c>
      <c r="I220" s="484"/>
      <c r="J220" s="479"/>
      <c r="K220" s="484"/>
      <c r="L220" s="484"/>
      <c r="M220" s="479"/>
      <c r="N220" s="479"/>
      <c r="O220" s="484"/>
      <c r="P220" s="487"/>
      <c r="Q220" s="479"/>
      <c r="R220" s="484"/>
      <c r="S220" s="484"/>
      <c r="T220" s="479"/>
      <c r="U220" s="479"/>
    </row>
    <row r="221" spans="2:21" x14ac:dyDescent="0.3">
      <c r="B221" s="479"/>
      <c r="C221" s="479"/>
      <c r="D221" s="479"/>
      <c r="E221" s="479"/>
      <c r="F221" s="491"/>
      <c r="G221" s="482" t="str">
        <f t="shared" ca="1" si="8"/>
        <v/>
      </c>
      <c r="H221" s="483" t="str">
        <f ca="1">IFERROR(IF(OR($C$11="",$C$11=0),"",IF(OR($D$11=0,$D$11=""),IF(NOT(ISNUMBER(INDEX($F$7:$F$1000,ROWS($I$7:I221)*$C$11))),"",$B$5+SUM(OFFSET($F$7,0,0,ROWS($I$7:I221)*$C$11))),IF(NOT(ISNUMBER(INDEX($F$7:$F$1000,ROUNDUP(ROWS($I$7:I221)/2,0)*$C$11))),"",IF(MOD(ROWS($I$7:I221),2)=1,IF(ISNUMBER($B$5),$B$5+SUM(OFFSET($F$7,0,0,ROUNDUP(ROWS($I$7:I221)/2,0)*$C$11))-SUM(OFFSET($F$7,(ROUNDUP(ROWS($I$7:I221)/2,0)*$C$11)-$C$11,0,$C$11))+$D$11,""),$B$5+SUM(OFFSET($F$7,0,0,ROUNDUP(ROWS($I$7:I221)/2,0)*$C$11)))))),"")</f>
        <v/>
      </c>
      <c r="I221" s="484"/>
      <c r="J221" s="479"/>
      <c r="K221" s="484"/>
      <c r="L221" s="484"/>
      <c r="M221" s="479"/>
      <c r="N221" s="479"/>
      <c r="O221" s="484">
        <f>N222/2</f>
        <v>0</v>
      </c>
      <c r="P221" s="487"/>
      <c r="Q221" s="479"/>
      <c r="R221" s="484"/>
      <c r="S221" s="484"/>
      <c r="T221" s="479"/>
      <c r="U221" s="479"/>
    </row>
    <row r="222" spans="2:21" x14ac:dyDescent="0.3">
      <c r="B222" s="479"/>
      <c r="C222" s="479"/>
      <c r="D222" s="479"/>
      <c r="E222" s="479"/>
      <c r="F222" s="491"/>
      <c r="G222" s="482" t="str">
        <f t="shared" ca="1" si="8"/>
        <v/>
      </c>
      <c r="H222" s="483" t="str">
        <f ca="1">IFERROR(IF(OR($C$11="",$C$11=0),"",IF(OR($D$11=0,$D$11=""),IF(NOT(ISNUMBER(INDEX($F$7:$F$1000,ROWS($I$7:I222)*$C$11))),"",$B$5+SUM(OFFSET($F$7,0,0,ROWS($I$7:I222)*$C$11))),IF(NOT(ISNUMBER(INDEX($F$7:$F$1000,ROUNDUP(ROWS($I$7:I222)/2,0)*$C$11))),"",IF(MOD(ROWS($I$7:I222),2)=1,IF(ISNUMBER($B$5),$B$5+SUM(OFFSET($F$7,0,0,ROUNDUP(ROWS($I$7:I222)/2,0)*$C$11))-SUM(OFFSET($F$7,(ROUNDUP(ROWS($I$7:I222)/2,0)*$C$11)-$C$11,0,$C$11))+$D$11,""),$B$5+SUM(OFFSET($F$7,0,0,ROUNDUP(ROWS($I$7:I222)/2,0)*$C$11)))))),"")</f>
        <v/>
      </c>
      <c r="I222" s="484"/>
      <c r="J222" s="479"/>
      <c r="K222" s="484"/>
      <c r="L222" s="484"/>
      <c r="M222" s="479"/>
      <c r="N222" s="484">
        <f>F220+F221+F222</f>
        <v>0</v>
      </c>
      <c r="O222" s="484">
        <f>N222/2</f>
        <v>0</v>
      </c>
      <c r="P222" s="487"/>
      <c r="Q222" s="479"/>
      <c r="R222" s="484"/>
      <c r="S222" s="484"/>
      <c r="T222" s="479"/>
      <c r="U222" s="479"/>
    </row>
    <row r="223" spans="2:21" x14ac:dyDescent="0.3">
      <c r="B223" s="479"/>
      <c r="C223" s="479"/>
      <c r="D223" s="479"/>
      <c r="E223" s="479"/>
      <c r="F223" s="491"/>
      <c r="G223" s="482" t="str">
        <f t="shared" ca="1" si="8"/>
        <v/>
      </c>
      <c r="H223" s="483" t="str">
        <f ca="1">IFERROR(IF(OR($C$11="",$C$11=0),"",IF(OR($D$11=0,$D$11=""),IF(NOT(ISNUMBER(INDEX($F$7:$F$1000,ROWS($I$7:I223)*$C$11))),"",$B$5+SUM(OFFSET($F$7,0,0,ROWS($I$7:I223)*$C$11))),IF(NOT(ISNUMBER(INDEX($F$7:$F$1000,ROUNDUP(ROWS($I$7:I223)/2,0)*$C$11))),"",IF(MOD(ROWS($I$7:I223),2)=1,IF(ISNUMBER($B$5),$B$5+SUM(OFFSET($F$7,0,0,ROUNDUP(ROWS($I$7:I223)/2,0)*$C$11))-SUM(OFFSET($F$7,(ROUNDUP(ROWS($I$7:I223)/2,0)*$C$11)-$C$11,0,$C$11))+$D$11,""),$B$5+SUM(OFFSET($F$7,0,0,ROUNDUP(ROWS($I$7:I223)/2,0)*$C$11)))))),"")</f>
        <v/>
      </c>
      <c r="I223" s="484"/>
      <c r="J223" s="479"/>
      <c r="K223" s="484"/>
      <c r="L223" s="484"/>
      <c r="M223" s="479"/>
      <c r="N223" s="479"/>
      <c r="O223" s="484"/>
      <c r="P223" s="487"/>
      <c r="Q223" s="479"/>
      <c r="R223" s="484"/>
      <c r="S223" s="484"/>
      <c r="T223" s="479"/>
      <c r="U223" s="479"/>
    </row>
    <row r="224" spans="2:21" x14ac:dyDescent="0.3">
      <c r="B224" s="479"/>
      <c r="C224" s="479"/>
      <c r="D224" s="479"/>
      <c r="E224" s="479"/>
      <c r="F224" s="491"/>
      <c r="G224" s="482" t="str">
        <f t="shared" ca="1" si="8"/>
        <v/>
      </c>
      <c r="H224" s="483" t="str">
        <f ca="1">IFERROR(IF(OR($C$11="",$C$11=0),"",IF(OR($D$11=0,$D$11=""),IF(NOT(ISNUMBER(INDEX($F$7:$F$1000,ROWS($I$7:I224)*$C$11))),"",$B$5+SUM(OFFSET($F$7,0,0,ROWS($I$7:I224)*$C$11))),IF(NOT(ISNUMBER(INDEX($F$7:$F$1000,ROUNDUP(ROWS($I$7:I224)/2,0)*$C$11))),"",IF(MOD(ROWS($I$7:I224),2)=1,IF(ISNUMBER($B$5),$B$5+SUM(OFFSET($F$7,0,0,ROUNDUP(ROWS($I$7:I224)/2,0)*$C$11))-SUM(OFFSET($F$7,(ROUNDUP(ROWS($I$7:I224)/2,0)*$C$11)-$C$11,0,$C$11))+$D$11,""),$B$5+SUM(OFFSET($F$7,0,0,ROUNDUP(ROWS($I$7:I224)/2,0)*$C$11)))))),"")</f>
        <v/>
      </c>
      <c r="I224" s="484"/>
      <c r="J224" s="479"/>
      <c r="K224" s="484"/>
      <c r="L224" s="484"/>
      <c r="M224" s="479"/>
      <c r="N224" s="479"/>
      <c r="O224" s="484">
        <f>N225/2</f>
        <v>0</v>
      </c>
      <c r="P224" s="487"/>
      <c r="Q224" s="479"/>
      <c r="R224" s="484"/>
      <c r="S224" s="484"/>
      <c r="T224" s="479"/>
      <c r="U224" s="479"/>
    </row>
    <row r="225" spans="2:21" x14ac:dyDescent="0.3">
      <c r="B225" s="479"/>
      <c r="C225" s="479"/>
      <c r="D225" s="479"/>
      <c r="E225" s="479"/>
      <c r="F225" s="491"/>
      <c r="G225" s="482" t="str">
        <f t="shared" ca="1" si="8"/>
        <v/>
      </c>
      <c r="H225" s="483" t="str">
        <f ca="1">IFERROR(IF(OR($C$11="",$C$11=0),"",IF(OR($D$11=0,$D$11=""),IF(NOT(ISNUMBER(INDEX($F$7:$F$1000,ROWS($I$7:I225)*$C$11))),"",$B$5+SUM(OFFSET($F$7,0,0,ROWS($I$7:I225)*$C$11))),IF(NOT(ISNUMBER(INDEX($F$7:$F$1000,ROUNDUP(ROWS($I$7:I225)/2,0)*$C$11))),"",IF(MOD(ROWS($I$7:I225),2)=1,IF(ISNUMBER($B$5),$B$5+SUM(OFFSET($F$7,0,0,ROUNDUP(ROWS($I$7:I225)/2,0)*$C$11))-SUM(OFFSET($F$7,(ROUNDUP(ROWS($I$7:I225)/2,0)*$C$11)-$C$11,0,$C$11))+$D$11,""),$B$5+SUM(OFFSET($F$7,0,0,ROUNDUP(ROWS($I$7:I225)/2,0)*$C$11)))))),"")</f>
        <v/>
      </c>
      <c r="I225" s="484"/>
      <c r="J225" s="479"/>
      <c r="K225" s="484"/>
      <c r="L225" s="484"/>
      <c r="M225" s="479"/>
      <c r="N225" s="484">
        <f>F223+F224+F225</f>
        <v>0</v>
      </c>
      <c r="O225" s="484">
        <f>N225/2</f>
        <v>0</v>
      </c>
      <c r="P225" s="487"/>
      <c r="Q225" s="479"/>
      <c r="R225" s="484"/>
      <c r="S225" s="484"/>
      <c r="T225" s="479"/>
      <c r="U225" s="479"/>
    </row>
    <row r="226" spans="2:21" x14ac:dyDescent="0.3">
      <c r="B226" s="479"/>
      <c r="C226" s="479"/>
      <c r="D226" s="479"/>
      <c r="E226" s="479"/>
      <c r="F226" s="491"/>
      <c r="G226" s="482" t="str">
        <f t="shared" ref="G226:G289" ca="1" si="10">IF(OR(H226="", H226=H225), "", H226-H225)</f>
        <v/>
      </c>
      <c r="H226" s="483" t="str">
        <f ca="1">IFERROR(IF(OR($C$11="",$C$11=0),"",IF(OR($D$11=0,$D$11=""),IF(NOT(ISNUMBER(INDEX($F$7:$F$1000,ROWS($I$7:I226)*$C$11))),"",$B$5+SUM(OFFSET($F$7,0,0,ROWS($I$7:I226)*$C$11))),IF(NOT(ISNUMBER(INDEX($F$7:$F$1000,ROUNDUP(ROWS($I$7:I226)/2,0)*$C$11))),"",IF(MOD(ROWS($I$7:I226),2)=1,IF(ISNUMBER($B$5),$B$5+SUM(OFFSET($F$7,0,0,ROUNDUP(ROWS($I$7:I226)/2,0)*$C$11))-SUM(OFFSET($F$7,(ROUNDUP(ROWS($I$7:I226)/2,0)*$C$11)-$C$11,0,$C$11))+$D$11,""),$B$5+SUM(OFFSET($F$7,0,0,ROUNDUP(ROWS($I$7:I226)/2,0)*$C$11)))))),"")</f>
        <v/>
      </c>
      <c r="I226" s="484"/>
      <c r="J226" s="479"/>
      <c r="K226" s="484"/>
      <c r="L226" s="484"/>
      <c r="M226" s="479"/>
      <c r="N226" s="479"/>
      <c r="O226" s="484"/>
      <c r="P226" s="487"/>
      <c r="Q226" s="479"/>
      <c r="R226" s="484"/>
      <c r="S226" s="484"/>
      <c r="T226" s="479"/>
      <c r="U226" s="479"/>
    </row>
    <row r="227" spans="2:21" x14ac:dyDescent="0.3">
      <c r="B227" s="479"/>
      <c r="C227" s="479"/>
      <c r="D227" s="479"/>
      <c r="E227" s="479"/>
      <c r="F227" s="491"/>
      <c r="G227" s="482" t="str">
        <f t="shared" ca="1" si="10"/>
        <v/>
      </c>
      <c r="H227" s="483" t="str">
        <f ca="1">IFERROR(IF(OR($C$11="",$C$11=0),"",IF(OR($D$11=0,$D$11=""),IF(NOT(ISNUMBER(INDEX($F$7:$F$1000,ROWS($I$7:I227)*$C$11))),"",$B$5+SUM(OFFSET($F$7,0,0,ROWS($I$7:I227)*$C$11))),IF(NOT(ISNUMBER(INDEX($F$7:$F$1000,ROUNDUP(ROWS($I$7:I227)/2,0)*$C$11))),"",IF(MOD(ROWS($I$7:I227),2)=1,IF(ISNUMBER($B$5),$B$5+SUM(OFFSET($F$7,0,0,ROUNDUP(ROWS($I$7:I227)/2,0)*$C$11))-SUM(OFFSET($F$7,(ROUNDUP(ROWS($I$7:I227)/2,0)*$C$11)-$C$11,0,$C$11))+$D$11,""),$B$5+SUM(OFFSET($F$7,0,0,ROUNDUP(ROWS($I$7:I227)/2,0)*$C$11)))))),"")</f>
        <v/>
      </c>
      <c r="I227" s="484"/>
      <c r="J227" s="479"/>
      <c r="K227" s="484"/>
      <c r="L227" s="484"/>
      <c r="M227" s="479"/>
      <c r="N227" s="479"/>
      <c r="O227" s="484">
        <f>N228/2</f>
        <v>0</v>
      </c>
      <c r="P227" s="487"/>
      <c r="Q227" s="479"/>
      <c r="R227" s="484"/>
      <c r="S227" s="484"/>
      <c r="T227" s="479"/>
      <c r="U227" s="479"/>
    </row>
    <row r="228" spans="2:21" x14ac:dyDescent="0.3">
      <c r="B228" s="479"/>
      <c r="C228" s="479"/>
      <c r="D228" s="479"/>
      <c r="E228" s="479"/>
      <c r="F228" s="491"/>
      <c r="G228" s="482" t="str">
        <f t="shared" ca="1" si="10"/>
        <v/>
      </c>
      <c r="H228" s="483" t="str">
        <f ca="1">IFERROR(IF(OR($C$11="",$C$11=0),"",IF(OR($D$11=0,$D$11=""),IF(NOT(ISNUMBER(INDEX($F$7:$F$1000,ROWS($I$7:I228)*$C$11))),"",$B$5+SUM(OFFSET($F$7,0,0,ROWS($I$7:I228)*$C$11))),IF(NOT(ISNUMBER(INDEX($F$7:$F$1000,ROUNDUP(ROWS($I$7:I228)/2,0)*$C$11))),"",IF(MOD(ROWS($I$7:I228),2)=1,IF(ISNUMBER($B$5),$B$5+SUM(OFFSET($F$7,0,0,ROUNDUP(ROWS($I$7:I228)/2,0)*$C$11))-SUM(OFFSET($F$7,(ROUNDUP(ROWS($I$7:I228)/2,0)*$C$11)-$C$11,0,$C$11))+$D$11,""),$B$5+SUM(OFFSET($F$7,0,0,ROUNDUP(ROWS($I$7:I228)/2,0)*$C$11)))))),"")</f>
        <v/>
      </c>
      <c r="I228" s="484"/>
      <c r="J228" s="479"/>
      <c r="K228" s="484"/>
      <c r="L228" s="484"/>
      <c r="M228" s="479"/>
      <c r="N228" s="484">
        <f>F226+F227+F228</f>
        <v>0</v>
      </c>
      <c r="O228" s="484">
        <f>N228/2</f>
        <v>0</v>
      </c>
      <c r="P228" s="487"/>
      <c r="Q228" s="479"/>
      <c r="R228" s="484"/>
      <c r="S228" s="484"/>
      <c r="T228" s="479"/>
      <c r="U228" s="479"/>
    </row>
    <row r="229" spans="2:21" x14ac:dyDescent="0.3">
      <c r="B229" s="479"/>
      <c r="C229" s="479"/>
      <c r="D229" s="479"/>
      <c r="E229" s="479"/>
      <c r="F229" s="491"/>
      <c r="G229" s="482" t="str">
        <f t="shared" ca="1" si="10"/>
        <v/>
      </c>
      <c r="H229" s="483" t="str">
        <f ca="1">IFERROR(IF(OR($C$11="",$C$11=0),"",IF(OR($D$11=0,$D$11=""),IF(NOT(ISNUMBER(INDEX($F$7:$F$1000,ROWS($I$7:I229)*$C$11))),"",$B$5+SUM(OFFSET($F$7,0,0,ROWS($I$7:I229)*$C$11))),IF(NOT(ISNUMBER(INDEX($F$7:$F$1000,ROUNDUP(ROWS($I$7:I229)/2,0)*$C$11))),"",IF(MOD(ROWS($I$7:I229),2)=1,IF(ISNUMBER($B$5),$B$5+SUM(OFFSET($F$7,0,0,ROUNDUP(ROWS($I$7:I229)/2,0)*$C$11))-SUM(OFFSET($F$7,(ROUNDUP(ROWS($I$7:I229)/2,0)*$C$11)-$C$11,0,$C$11))+$D$11,""),$B$5+SUM(OFFSET($F$7,0,0,ROUNDUP(ROWS($I$7:I229)/2,0)*$C$11)))))),"")</f>
        <v/>
      </c>
      <c r="I229" s="484"/>
      <c r="J229" s="479"/>
      <c r="K229" s="484"/>
      <c r="L229" s="484"/>
      <c r="M229" s="479"/>
      <c r="N229" s="479"/>
      <c r="O229" s="484"/>
      <c r="P229" s="487"/>
      <c r="Q229" s="479"/>
      <c r="R229" s="484"/>
      <c r="S229" s="484"/>
      <c r="T229" s="479"/>
      <c r="U229" s="479"/>
    </row>
    <row r="230" spans="2:21" x14ac:dyDescent="0.3">
      <c r="B230" s="479"/>
      <c r="C230" s="479"/>
      <c r="D230" s="479"/>
      <c r="E230" s="479"/>
      <c r="F230" s="491"/>
      <c r="G230" s="482" t="str">
        <f t="shared" ca="1" si="10"/>
        <v/>
      </c>
      <c r="H230" s="483" t="str">
        <f ca="1">IFERROR(IF(OR($C$11="",$C$11=0),"",IF(OR($D$11=0,$D$11=""),IF(NOT(ISNUMBER(INDEX($F$7:$F$1000,ROWS($I$7:I230)*$C$11))),"",$B$5+SUM(OFFSET($F$7,0,0,ROWS($I$7:I230)*$C$11))),IF(NOT(ISNUMBER(INDEX($F$7:$F$1000,ROUNDUP(ROWS($I$7:I230)/2,0)*$C$11))),"",IF(MOD(ROWS($I$7:I230),2)=1,IF(ISNUMBER($B$5),$B$5+SUM(OFFSET($F$7,0,0,ROUNDUP(ROWS($I$7:I230)/2,0)*$C$11))-SUM(OFFSET($F$7,(ROUNDUP(ROWS($I$7:I230)/2,0)*$C$11)-$C$11,0,$C$11))+$D$11,""),$B$5+SUM(OFFSET($F$7,0,0,ROUNDUP(ROWS($I$7:I230)/2,0)*$C$11)))))),"")</f>
        <v/>
      </c>
      <c r="I230" s="484"/>
      <c r="J230" s="479"/>
      <c r="K230" s="484"/>
      <c r="L230" s="484"/>
      <c r="M230" s="479"/>
      <c r="N230" s="479"/>
      <c r="O230" s="484">
        <f>N231/2</f>
        <v>0</v>
      </c>
      <c r="P230" s="487"/>
      <c r="Q230" s="479"/>
      <c r="R230" s="484"/>
      <c r="S230" s="484"/>
      <c r="T230" s="479"/>
      <c r="U230" s="479"/>
    </row>
    <row r="231" spans="2:21" x14ac:dyDescent="0.3">
      <c r="B231" s="479"/>
      <c r="C231" s="479"/>
      <c r="D231" s="479"/>
      <c r="E231" s="479"/>
      <c r="F231" s="491"/>
      <c r="G231" s="482" t="str">
        <f t="shared" ca="1" si="10"/>
        <v/>
      </c>
      <c r="H231" s="483" t="str">
        <f ca="1">IFERROR(IF(OR($C$11="",$C$11=0),"",IF(OR($D$11=0,$D$11=""),IF(NOT(ISNUMBER(INDEX($F$7:$F$1000,ROWS($I$7:I231)*$C$11))),"",$B$5+SUM(OFFSET($F$7,0,0,ROWS($I$7:I231)*$C$11))),IF(NOT(ISNUMBER(INDEX($F$7:$F$1000,ROUNDUP(ROWS($I$7:I231)/2,0)*$C$11))),"",IF(MOD(ROWS($I$7:I231),2)=1,IF(ISNUMBER($B$5),$B$5+SUM(OFFSET($F$7,0,0,ROUNDUP(ROWS($I$7:I231)/2,0)*$C$11))-SUM(OFFSET($F$7,(ROUNDUP(ROWS($I$7:I231)/2,0)*$C$11)-$C$11,0,$C$11))+$D$11,""),$B$5+SUM(OFFSET($F$7,0,0,ROUNDUP(ROWS($I$7:I231)/2,0)*$C$11)))))),"")</f>
        <v/>
      </c>
      <c r="I231" s="484"/>
      <c r="J231" s="479"/>
      <c r="K231" s="484"/>
      <c r="L231" s="484"/>
      <c r="M231" s="479"/>
      <c r="N231" s="484">
        <f>F229+F230+F231</f>
        <v>0</v>
      </c>
      <c r="O231" s="484">
        <f>N231/2</f>
        <v>0</v>
      </c>
      <c r="P231" s="487"/>
      <c r="Q231" s="479"/>
      <c r="R231" s="484"/>
      <c r="S231" s="484"/>
      <c r="T231" s="479"/>
      <c r="U231" s="479"/>
    </row>
    <row r="232" spans="2:21" x14ac:dyDescent="0.3">
      <c r="B232" s="479"/>
      <c r="C232" s="479"/>
      <c r="D232" s="479"/>
      <c r="E232" s="479"/>
      <c r="F232" s="491"/>
      <c r="G232" s="482" t="str">
        <f t="shared" ca="1" si="10"/>
        <v/>
      </c>
      <c r="H232" s="483" t="str">
        <f ca="1">IFERROR(IF(OR($C$11="",$C$11=0),"",IF(OR($D$11=0,$D$11=""),IF(NOT(ISNUMBER(INDEX($F$7:$F$1000,ROWS($I$7:I232)*$C$11))),"",$B$5+SUM(OFFSET($F$7,0,0,ROWS($I$7:I232)*$C$11))),IF(NOT(ISNUMBER(INDEX($F$7:$F$1000,ROUNDUP(ROWS($I$7:I232)/2,0)*$C$11))),"",IF(MOD(ROWS($I$7:I232),2)=1,IF(ISNUMBER($B$5),$B$5+SUM(OFFSET($F$7,0,0,ROUNDUP(ROWS($I$7:I232)/2,0)*$C$11))-SUM(OFFSET($F$7,(ROUNDUP(ROWS($I$7:I232)/2,0)*$C$11)-$C$11,0,$C$11))+$D$11,""),$B$5+SUM(OFFSET($F$7,0,0,ROUNDUP(ROWS($I$7:I232)/2,0)*$C$11)))))),"")</f>
        <v/>
      </c>
      <c r="I232" s="484"/>
      <c r="J232" s="479"/>
      <c r="K232" s="484"/>
      <c r="L232" s="484"/>
      <c r="M232" s="479"/>
      <c r="N232" s="479"/>
      <c r="O232" s="484"/>
      <c r="P232" s="487"/>
      <c r="Q232" s="479"/>
      <c r="R232" s="484"/>
      <c r="S232" s="484"/>
      <c r="T232" s="479"/>
      <c r="U232" s="479"/>
    </row>
    <row r="233" spans="2:21" x14ac:dyDescent="0.3">
      <c r="B233" s="479"/>
      <c r="C233" s="479"/>
      <c r="D233" s="479"/>
      <c r="E233" s="479"/>
      <c r="F233" s="491"/>
      <c r="G233" s="482" t="str">
        <f t="shared" ca="1" si="10"/>
        <v/>
      </c>
      <c r="H233" s="483" t="str">
        <f ca="1">IFERROR(IF(OR($C$11="",$C$11=0),"",IF(OR($D$11=0,$D$11=""),IF(NOT(ISNUMBER(INDEX($F$7:$F$1000,ROWS($I$7:I233)*$C$11))),"",$B$5+SUM(OFFSET($F$7,0,0,ROWS($I$7:I233)*$C$11))),IF(NOT(ISNUMBER(INDEX($F$7:$F$1000,ROUNDUP(ROWS($I$7:I233)/2,0)*$C$11))),"",IF(MOD(ROWS($I$7:I233),2)=1,IF(ISNUMBER($B$5),$B$5+SUM(OFFSET($F$7,0,0,ROUNDUP(ROWS($I$7:I233)/2,0)*$C$11))-SUM(OFFSET($F$7,(ROUNDUP(ROWS($I$7:I233)/2,0)*$C$11)-$C$11,0,$C$11))+$D$11,""),$B$5+SUM(OFFSET($F$7,0,0,ROUNDUP(ROWS($I$7:I233)/2,0)*$C$11)))))),"")</f>
        <v/>
      </c>
      <c r="I233" s="484"/>
      <c r="J233" s="479"/>
      <c r="K233" s="484"/>
      <c r="L233" s="484"/>
      <c r="M233" s="479"/>
      <c r="N233" s="479"/>
      <c r="O233" s="484">
        <f>N234/2</f>
        <v>0</v>
      </c>
      <c r="P233" s="487"/>
      <c r="Q233" s="479"/>
      <c r="R233" s="484"/>
      <c r="S233" s="484"/>
      <c r="T233" s="479"/>
      <c r="U233" s="479"/>
    </row>
    <row r="234" spans="2:21" x14ac:dyDescent="0.3">
      <c r="B234" s="479"/>
      <c r="C234" s="479"/>
      <c r="D234" s="479"/>
      <c r="E234" s="479"/>
      <c r="F234" s="491"/>
      <c r="G234" s="482" t="str">
        <f t="shared" ca="1" si="10"/>
        <v/>
      </c>
      <c r="H234" s="483" t="str">
        <f ca="1">IFERROR(IF(OR($C$11="",$C$11=0),"",IF(OR($D$11=0,$D$11=""),IF(NOT(ISNUMBER(INDEX($F$7:$F$1000,ROWS($I$7:I234)*$C$11))),"",$B$5+SUM(OFFSET($F$7,0,0,ROWS($I$7:I234)*$C$11))),IF(NOT(ISNUMBER(INDEX($F$7:$F$1000,ROUNDUP(ROWS($I$7:I234)/2,0)*$C$11))),"",IF(MOD(ROWS($I$7:I234),2)=1,IF(ISNUMBER($B$5),$B$5+SUM(OFFSET($F$7,0,0,ROUNDUP(ROWS($I$7:I234)/2,0)*$C$11))-SUM(OFFSET($F$7,(ROUNDUP(ROWS($I$7:I234)/2,0)*$C$11)-$C$11,0,$C$11))+$D$11,""),$B$5+SUM(OFFSET($F$7,0,0,ROUNDUP(ROWS($I$7:I234)/2,0)*$C$11)))))),"")</f>
        <v/>
      </c>
      <c r="I234" s="484"/>
      <c r="J234" s="479"/>
      <c r="K234" s="484"/>
      <c r="L234" s="484"/>
      <c r="M234" s="479"/>
      <c r="N234" s="484">
        <f>F232+F233+F234</f>
        <v>0</v>
      </c>
      <c r="O234" s="484">
        <f>N234/2</f>
        <v>0</v>
      </c>
      <c r="P234" s="487"/>
      <c r="Q234" s="479"/>
      <c r="R234" s="484"/>
      <c r="S234" s="484"/>
      <c r="T234" s="479"/>
      <c r="U234" s="479"/>
    </row>
    <row r="235" spans="2:21" x14ac:dyDescent="0.3">
      <c r="B235" s="479"/>
      <c r="C235" s="479"/>
      <c r="D235" s="479"/>
      <c r="E235" s="479"/>
      <c r="F235" s="491"/>
      <c r="G235" s="482" t="str">
        <f t="shared" ca="1" si="10"/>
        <v/>
      </c>
      <c r="H235" s="483" t="str">
        <f ca="1">IFERROR(IF(OR($C$11="",$C$11=0),"",IF(OR($D$11=0,$D$11=""),IF(NOT(ISNUMBER(INDEX($F$7:$F$1000,ROWS($I$7:I235)*$C$11))),"",$B$5+SUM(OFFSET($F$7,0,0,ROWS($I$7:I235)*$C$11))),IF(NOT(ISNUMBER(INDEX($F$7:$F$1000,ROUNDUP(ROWS($I$7:I235)/2,0)*$C$11))),"",IF(MOD(ROWS($I$7:I235),2)=1,IF(ISNUMBER($B$5),$B$5+SUM(OFFSET($F$7,0,0,ROUNDUP(ROWS($I$7:I235)/2,0)*$C$11))-SUM(OFFSET($F$7,(ROUNDUP(ROWS($I$7:I235)/2,0)*$C$11)-$C$11,0,$C$11))+$D$11,""),$B$5+SUM(OFFSET($F$7,0,0,ROUNDUP(ROWS($I$7:I235)/2,0)*$C$11)))))),"")</f>
        <v/>
      </c>
      <c r="I235" s="484"/>
      <c r="J235" s="479"/>
      <c r="K235" s="484"/>
      <c r="L235" s="484"/>
      <c r="M235" s="479"/>
      <c r="N235" s="479"/>
      <c r="O235" s="484"/>
      <c r="P235" s="487"/>
      <c r="Q235" s="479"/>
      <c r="R235" s="484"/>
      <c r="S235" s="484"/>
      <c r="T235" s="479"/>
      <c r="U235" s="479"/>
    </row>
    <row r="236" spans="2:21" x14ac:dyDescent="0.3">
      <c r="B236" s="479"/>
      <c r="C236" s="479"/>
      <c r="D236" s="479"/>
      <c r="E236" s="479"/>
      <c r="F236" s="491"/>
      <c r="G236" s="482" t="str">
        <f t="shared" ca="1" si="10"/>
        <v/>
      </c>
      <c r="H236" s="483" t="str">
        <f ca="1">IFERROR(IF(OR($C$11="",$C$11=0),"",IF(OR($D$11=0,$D$11=""),IF(NOT(ISNUMBER(INDEX($F$7:$F$1000,ROWS($I$7:I236)*$C$11))),"",$B$5+SUM(OFFSET($F$7,0,0,ROWS($I$7:I236)*$C$11))),IF(NOT(ISNUMBER(INDEX($F$7:$F$1000,ROUNDUP(ROWS($I$7:I236)/2,0)*$C$11))),"",IF(MOD(ROWS($I$7:I236),2)=1,IF(ISNUMBER($B$5),$B$5+SUM(OFFSET($F$7,0,0,ROUNDUP(ROWS($I$7:I236)/2,0)*$C$11))-SUM(OFFSET($F$7,(ROUNDUP(ROWS($I$7:I236)/2,0)*$C$11)-$C$11,0,$C$11))+$D$11,""),$B$5+SUM(OFFSET($F$7,0,0,ROUNDUP(ROWS($I$7:I236)/2,0)*$C$11)))))),"")</f>
        <v/>
      </c>
      <c r="I236" s="484"/>
      <c r="J236" s="479"/>
      <c r="K236" s="484"/>
      <c r="L236" s="484"/>
      <c r="M236" s="479"/>
      <c r="N236" s="479"/>
      <c r="O236" s="484">
        <f>N237/2</f>
        <v>0</v>
      </c>
      <c r="P236" s="487"/>
      <c r="Q236" s="479"/>
      <c r="R236" s="484"/>
      <c r="S236" s="484"/>
      <c r="T236" s="479"/>
      <c r="U236" s="479"/>
    </row>
    <row r="237" spans="2:21" x14ac:dyDescent="0.3">
      <c r="B237" s="479"/>
      <c r="C237" s="479"/>
      <c r="D237" s="479"/>
      <c r="E237" s="479"/>
      <c r="F237" s="491"/>
      <c r="G237" s="482" t="str">
        <f t="shared" ca="1" si="10"/>
        <v/>
      </c>
      <c r="H237" s="483" t="str">
        <f ca="1">IFERROR(IF(OR($C$11="",$C$11=0),"",IF(OR($D$11=0,$D$11=""),IF(NOT(ISNUMBER(INDEX($F$7:$F$1000,ROWS($I$7:I237)*$C$11))),"",$B$5+SUM(OFFSET($F$7,0,0,ROWS($I$7:I237)*$C$11))),IF(NOT(ISNUMBER(INDEX($F$7:$F$1000,ROUNDUP(ROWS($I$7:I237)/2,0)*$C$11))),"",IF(MOD(ROWS($I$7:I237),2)=1,IF(ISNUMBER($B$5),$B$5+SUM(OFFSET($F$7,0,0,ROUNDUP(ROWS($I$7:I237)/2,0)*$C$11))-SUM(OFFSET($F$7,(ROUNDUP(ROWS($I$7:I237)/2,0)*$C$11)-$C$11,0,$C$11))+$D$11,""),$B$5+SUM(OFFSET($F$7,0,0,ROUNDUP(ROWS($I$7:I237)/2,0)*$C$11)))))),"")</f>
        <v/>
      </c>
      <c r="I237" s="484"/>
      <c r="J237" s="479"/>
      <c r="K237" s="484"/>
      <c r="L237" s="484"/>
      <c r="M237" s="479"/>
      <c r="N237" s="484">
        <f>F235+F236+F237</f>
        <v>0</v>
      </c>
      <c r="O237" s="484">
        <f>N237/2</f>
        <v>0</v>
      </c>
      <c r="P237" s="487"/>
      <c r="Q237" s="479"/>
      <c r="R237" s="484"/>
      <c r="S237" s="484"/>
      <c r="T237" s="479"/>
      <c r="U237" s="479"/>
    </row>
    <row r="238" spans="2:21" x14ac:dyDescent="0.3">
      <c r="B238" s="479"/>
      <c r="C238" s="479"/>
      <c r="D238" s="479"/>
      <c r="E238" s="479"/>
      <c r="F238" s="491"/>
      <c r="G238" s="482" t="str">
        <f t="shared" ca="1" si="10"/>
        <v/>
      </c>
      <c r="H238" s="483" t="str">
        <f ca="1">IFERROR(IF(OR($C$11="",$C$11=0),"",IF(OR($D$11=0,$D$11=""),IF(NOT(ISNUMBER(INDEX($F$7:$F$1000,ROWS($I$7:I238)*$C$11))),"",$B$5+SUM(OFFSET($F$7,0,0,ROWS($I$7:I238)*$C$11))),IF(NOT(ISNUMBER(INDEX($F$7:$F$1000,ROUNDUP(ROWS($I$7:I238)/2,0)*$C$11))),"",IF(MOD(ROWS($I$7:I238),2)=1,IF(ISNUMBER($B$5),$B$5+SUM(OFFSET($F$7,0,0,ROUNDUP(ROWS($I$7:I238)/2,0)*$C$11))-SUM(OFFSET($F$7,(ROUNDUP(ROWS($I$7:I238)/2,0)*$C$11)-$C$11,0,$C$11))+$D$11,""),$B$5+SUM(OFFSET($F$7,0,0,ROUNDUP(ROWS($I$7:I238)/2,0)*$C$11)))))),"")</f>
        <v/>
      </c>
      <c r="I238" s="484"/>
      <c r="J238" s="479"/>
      <c r="K238" s="484"/>
      <c r="L238" s="484"/>
      <c r="M238" s="479"/>
      <c r="N238" s="479"/>
      <c r="O238" s="484"/>
      <c r="P238" s="487"/>
      <c r="Q238" s="479"/>
      <c r="R238" s="484"/>
      <c r="S238" s="484"/>
      <c r="T238" s="479"/>
      <c r="U238" s="479"/>
    </row>
    <row r="239" spans="2:21" x14ac:dyDescent="0.3">
      <c r="B239" s="479"/>
      <c r="C239" s="479"/>
      <c r="D239" s="479"/>
      <c r="E239" s="479"/>
      <c r="F239" s="491"/>
      <c r="G239" s="482" t="str">
        <f t="shared" ca="1" si="10"/>
        <v/>
      </c>
      <c r="H239" s="483" t="str">
        <f ca="1">IFERROR(IF(OR($C$11="",$C$11=0),"",IF(OR($D$11=0,$D$11=""),IF(NOT(ISNUMBER(INDEX($F$7:$F$1000,ROWS($I$7:I239)*$C$11))),"",$B$5+SUM(OFFSET($F$7,0,0,ROWS($I$7:I239)*$C$11))),IF(NOT(ISNUMBER(INDEX($F$7:$F$1000,ROUNDUP(ROWS($I$7:I239)/2,0)*$C$11))),"",IF(MOD(ROWS($I$7:I239),2)=1,IF(ISNUMBER($B$5),$B$5+SUM(OFFSET($F$7,0,0,ROUNDUP(ROWS($I$7:I239)/2,0)*$C$11))-SUM(OFFSET($F$7,(ROUNDUP(ROWS($I$7:I239)/2,0)*$C$11)-$C$11,0,$C$11))+$D$11,""),$B$5+SUM(OFFSET($F$7,0,0,ROUNDUP(ROWS($I$7:I239)/2,0)*$C$11)))))),"")</f>
        <v/>
      </c>
      <c r="I239" s="484"/>
      <c r="J239" s="479"/>
      <c r="K239" s="484"/>
      <c r="L239" s="484"/>
      <c r="M239" s="479"/>
      <c r="N239" s="479"/>
      <c r="O239" s="484">
        <f>N240/2</f>
        <v>0</v>
      </c>
      <c r="P239" s="487"/>
      <c r="Q239" s="479"/>
      <c r="R239" s="484"/>
      <c r="S239" s="484"/>
      <c r="T239" s="479"/>
      <c r="U239" s="479"/>
    </row>
    <row r="240" spans="2:21" x14ac:dyDescent="0.3">
      <c r="B240" s="479"/>
      <c r="C240" s="479"/>
      <c r="D240" s="479"/>
      <c r="E240" s="479"/>
      <c r="F240" s="491"/>
      <c r="G240" s="482" t="str">
        <f t="shared" ca="1" si="10"/>
        <v/>
      </c>
      <c r="H240" s="483" t="str">
        <f ca="1">IFERROR(IF(OR($C$11="",$C$11=0),"",IF(OR($D$11=0,$D$11=""),IF(NOT(ISNUMBER(INDEX($F$7:$F$1000,ROWS($I$7:I240)*$C$11))),"",$B$5+SUM(OFFSET($F$7,0,0,ROWS($I$7:I240)*$C$11))),IF(NOT(ISNUMBER(INDEX($F$7:$F$1000,ROUNDUP(ROWS($I$7:I240)/2,0)*$C$11))),"",IF(MOD(ROWS($I$7:I240),2)=1,IF(ISNUMBER($B$5),$B$5+SUM(OFFSET($F$7,0,0,ROUNDUP(ROWS($I$7:I240)/2,0)*$C$11))-SUM(OFFSET($F$7,(ROUNDUP(ROWS($I$7:I240)/2,0)*$C$11)-$C$11,0,$C$11))+$D$11,""),$B$5+SUM(OFFSET($F$7,0,0,ROUNDUP(ROWS($I$7:I240)/2,0)*$C$11)))))),"")</f>
        <v/>
      </c>
      <c r="I240" s="484"/>
      <c r="J240" s="479"/>
      <c r="K240" s="484"/>
      <c r="L240" s="484"/>
      <c r="M240" s="479"/>
      <c r="N240" s="484">
        <f>F238+F239+F240</f>
        <v>0</v>
      </c>
      <c r="O240" s="484">
        <f>N240/2</f>
        <v>0</v>
      </c>
      <c r="P240" s="487"/>
      <c r="Q240" s="479"/>
      <c r="R240" s="484"/>
      <c r="S240" s="484"/>
      <c r="T240" s="479"/>
      <c r="U240" s="479"/>
    </row>
    <row r="241" spans="2:21" x14ac:dyDescent="0.3">
      <c r="B241" s="479"/>
      <c r="C241" s="479"/>
      <c r="D241" s="479"/>
      <c r="E241" s="479"/>
      <c r="F241" s="491"/>
      <c r="G241" s="482" t="str">
        <f t="shared" ca="1" si="10"/>
        <v/>
      </c>
      <c r="H241" s="483" t="str">
        <f ca="1">IFERROR(IF(OR($C$11="",$C$11=0),"",IF(OR($D$11=0,$D$11=""),IF(NOT(ISNUMBER(INDEX($F$7:$F$1000,ROWS($I$7:I241)*$C$11))),"",$B$5+SUM(OFFSET($F$7,0,0,ROWS($I$7:I241)*$C$11))),IF(NOT(ISNUMBER(INDEX($F$7:$F$1000,ROUNDUP(ROWS($I$7:I241)/2,0)*$C$11))),"",IF(MOD(ROWS($I$7:I241),2)=1,IF(ISNUMBER($B$5),$B$5+SUM(OFFSET($F$7,0,0,ROUNDUP(ROWS($I$7:I241)/2,0)*$C$11))-SUM(OFFSET($F$7,(ROUNDUP(ROWS($I$7:I241)/2,0)*$C$11)-$C$11,0,$C$11))+$D$11,""),$B$5+SUM(OFFSET($F$7,0,0,ROUNDUP(ROWS($I$7:I241)/2,0)*$C$11)))))),"")</f>
        <v/>
      </c>
      <c r="I241" s="484"/>
      <c r="J241" s="479"/>
      <c r="K241" s="484"/>
      <c r="L241" s="484"/>
      <c r="M241" s="479"/>
      <c r="N241" s="479"/>
      <c r="O241" s="484"/>
      <c r="P241" s="487"/>
      <c r="Q241" s="479"/>
      <c r="R241" s="484"/>
      <c r="S241" s="484"/>
      <c r="T241" s="479"/>
      <c r="U241" s="479"/>
    </row>
    <row r="242" spans="2:21" x14ac:dyDescent="0.3">
      <c r="B242" s="479"/>
      <c r="C242" s="479"/>
      <c r="D242" s="479"/>
      <c r="E242" s="479"/>
      <c r="F242" s="491"/>
      <c r="G242" s="482" t="str">
        <f t="shared" ca="1" si="10"/>
        <v/>
      </c>
      <c r="H242" s="483" t="str">
        <f ca="1">IFERROR(IF(OR($C$11="",$C$11=0),"",IF(OR($D$11=0,$D$11=""),IF(NOT(ISNUMBER(INDEX($F$7:$F$1000,ROWS($I$7:I242)*$C$11))),"",$B$5+SUM(OFFSET($F$7,0,0,ROWS($I$7:I242)*$C$11))),IF(NOT(ISNUMBER(INDEX($F$7:$F$1000,ROUNDUP(ROWS($I$7:I242)/2,0)*$C$11))),"",IF(MOD(ROWS($I$7:I242),2)=1,IF(ISNUMBER($B$5),$B$5+SUM(OFFSET($F$7,0,0,ROUNDUP(ROWS($I$7:I242)/2,0)*$C$11))-SUM(OFFSET($F$7,(ROUNDUP(ROWS($I$7:I242)/2,0)*$C$11)-$C$11,0,$C$11))+$D$11,""),$B$5+SUM(OFFSET($F$7,0,0,ROUNDUP(ROWS($I$7:I242)/2,0)*$C$11)))))),"")</f>
        <v/>
      </c>
      <c r="I242" s="484"/>
      <c r="J242" s="479"/>
      <c r="K242" s="484"/>
      <c r="L242" s="484"/>
      <c r="M242" s="479"/>
      <c r="N242" s="479"/>
      <c r="O242" s="484">
        <f>N243/2</f>
        <v>0</v>
      </c>
      <c r="P242" s="487"/>
      <c r="Q242" s="479"/>
      <c r="R242" s="484"/>
      <c r="S242" s="484"/>
      <c r="T242" s="479"/>
      <c r="U242" s="479"/>
    </row>
    <row r="243" spans="2:21" x14ac:dyDescent="0.3">
      <c r="B243" s="479"/>
      <c r="C243" s="479"/>
      <c r="D243" s="479"/>
      <c r="E243" s="479"/>
      <c r="F243" s="491"/>
      <c r="G243" s="482" t="str">
        <f t="shared" ca="1" si="10"/>
        <v/>
      </c>
      <c r="H243" s="483" t="str">
        <f ca="1">IFERROR(IF(OR($C$11="",$C$11=0),"",IF(OR($D$11=0,$D$11=""),IF(NOT(ISNUMBER(INDEX($F$7:$F$1000,ROWS($I$7:I243)*$C$11))),"",$B$5+SUM(OFFSET($F$7,0,0,ROWS($I$7:I243)*$C$11))),IF(NOT(ISNUMBER(INDEX($F$7:$F$1000,ROUNDUP(ROWS($I$7:I243)/2,0)*$C$11))),"",IF(MOD(ROWS($I$7:I243),2)=1,IF(ISNUMBER($B$5),$B$5+SUM(OFFSET($F$7,0,0,ROUNDUP(ROWS($I$7:I243)/2,0)*$C$11))-SUM(OFFSET($F$7,(ROUNDUP(ROWS($I$7:I243)/2,0)*$C$11)-$C$11,0,$C$11))+$D$11,""),$B$5+SUM(OFFSET($F$7,0,0,ROUNDUP(ROWS($I$7:I243)/2,0)*$C$11)))))),"")</f>
        <v/>
      </c>
      <c r="I243" s="484"/>
      <c r="J243" s="479"/>
      <c r="K243" s="484"/>
      <c r="L243" s="484"/>
      <c r="M243" s="479"/>
      <c r="N243" s="484">
        <f>F241+F242+F243</f>
        <v>0</v>
      </c>
      <c r="O243" s="484">
        <f>N243/2</f>
        <v>0</v>
      </c>
      <c r="P243" s="487"/>
      <c r="Q243" s="479"/>
      <c r="R243" s="484"/>
      <c r="S243" s="484"/>
      <c r="T243" s="479"/>
      <c r="U243" s="479"/>
    </row>
    <row r="244" spans="2:21" x14ac:dyDescent="0.3">
      <c r="B244" s="479"/>
      <c r="C244" s="479"/>
      <c r="D244" s="479"/>
      <c r="E244" s="479"/>
      <c r="F244" s="491"/>
      <c r="G244" s="482" t="str">
        <f t="shared" ca="1" si="10"/>
        <v/>
      </c>
      <c r="H244" s="483" t="str">
        <f ca="1">IFERROR(IF(OR($C$11="",$C$11=0),"",IF(OR($D$11=0,$D$11=""),IF(NOT(ISNUMBER(INDEX($F$7:$F$1000,ROWS($I$7:I244)*$C$11))),"",$B$5+SUM(OFFSET($F$7,0,0,ROWS($I$7:I244)*$C$11))),IF(NOT(ISNUMBER(INDEX($F$7:$F$1000,ROUNDUP(ROWS($I$7:I244)/2,0)*$C$11))),"",IF(MOD(ROWS($I$7:I244),2)=1,IF(ISNUMBER($B$5),$B$5+SUM(OFFSET($F$7,0,0,ROUNDUP(ROWS($I$7:I244)/2,0)*$C$11))-SUM(OFFSET($F$7,(ROUNDUP(ROWS($I$7:I244)/2,0)*$C$11)-$C$11,0,$C$11))+$D$11,""),$B$5+SUM(OFFSET($F$7,0,0,ROUNDUP(ROWS($I$7:I244)/2,0)*$C$11)))))),"")</f>
        <v/>
      </c>
      <c r="I244" s="484"/>
      <c r="J244" s="479"/>
      <c r="K244" s="484"/>
      <c r="L244" s="484"/>
      <c r="M244" s="479"/>
      <c r="N244" s="479"/>
      <c r="O244" s="484"/>
      <c r="P244" s="487"/>
      <c r="Q244" s="479"/>
      <c r="R244" s="484"/>
      <c r="S244" s="484"/>
      <c r="T244" s="479"/>
      <c r="U244" s="479"/>
    </row>
    <row r="245" spans="2:21" x14ac:dyDescent="0.3">
      <c r="B245" s="479"/>
      <c r="C245" s="479"/>
      <c r="D245" s="479"/>
      <c r="E245" s="479"/>
      <c r="F245" s="491"/>
      <c r="G245" s="482" t="str">
        <f t="shared" ca="1" si="10"/>
        <v/>
      </c>
      <c r="H245" s="483" t="str">
        <f ca="1">IFERROR(IF(OR($C$11="",$C$11=0),"",IF(OR($D$11=0,$D$11=""),IF(NOT(ISNUMBER(INDEX($F$7:$F$1000,ROWS($I$7:I245)*$C$11))),"",$B$5+SUM(OFFSET($F$7,0,0,ROWS($I$7:I245)*$C$11))),IF(NOT(ISNUMBER(INDEX($F$7:$F$1000,ROUNDUP(ROWS($I$7:I245)/2,0)*$C$11))),"",IF(MOD(ROWS($I$7:I245),2)=1,IF(ISNUMBER($B$5),$B$5+SUM(OFFSET($F$7,0,0,ROUNDUP(ROWS($I$7:I245)/2,0)*$C$11))-SUM(OFFSET($F$7,(ROUNDUP(ROWS($I$7:I245)/2,0)*$C$11)-$C$11,0,$C$11))+$D$11,""),$B$5+SUM(OFFSET($F$7,0,0,ROUNDUP(ROWS($I$7:I245)/2,0)*$C$11)))))),"")</f>
        <v/>
      </c>
      <c r="I245" s="484"/>
      <c r="J245" s="479"/>
      <c r="K245" s="484"/>
      <c r="L245" s="484"/>
      <c r="M245" s="479"/>
      <c r="N245" s="479"/>
      <c r="O245" s="484">
        <f>N246/2</f>
        <v>0</v>
      </c>
      <c r="P245" s="487"/>
      <c r="Q245" s="479"/>
      <c r="R245" s="484"/>
      <c r="S245" s="484"/>
      <c r="T245" s="479"/>
      <c r="U245" s="479"/>
    </row>
    <row r="246" spans="2:21" x14ac:dyDescent="0.3">
      <c r="B246" s="479"/>
      <c r="C246" s="479"/>
      <c r="D246" s="479"/>
      <c r="E246" s="479"/>
      <c r="F246" s="491"/>
      <c r="G246" s="482" t="str">
        <f t="shared" ca="1" si="10"/>
        <v/>
      </c>
      <c r="H246" s="483" t="str">
        <f ca="1">IFERROR(IF(OR($C$11="",$C$11=0),"",IF(OR($D$11=0,$D$11=""),IF(NOT(ISNUMBER(INDEX($F$7:$F$1000,ROWS($I$7:I246)*$C$11))),"",$B$5+SUM(OFFSET($F$7,0,0,ROWS($I$7:I246)*$C$11))),IF(NOT(ISNUMBER(INDEX($F$7:$F$1000,ROUNDUP(ROWS($I$7:I246)/2,0)*$C$11))),"",IF(MOD(ROWS($I$7:I246),2)=1,IF(ISNUMBER($B$5),$B$5+SUM(OFFSET($F$7,0,0,ROUNDUP(ROWS($I$7:I246)/2,0)*$C$11))-SUM(OFFSET($F$7,(ROUNDUP(ROWS($I$7:I246)/2,0)*$C$11)-$C$11,0,$C$11))+$D$11,""),$B$5+SUM(OFFSET($F$7,0,0,ROUNDUP(ROWS($I$7:I246)/2,0)*$C$11)))))),"")</f>
        <v/>
      </c>
      <c r="I246" s="484"/>
      <c r="J246" s="479"/>
      <c r="K246" s="484"/>
      <c r="L246" s="484"/>
      <c r="M246" s="479"/>
      <c r="N246" s="484">
        <f>F244+F245+F246</f>
        <v>0</v>
      </c>
      <c r="O246" s="484">
        <f>N246/2</f>
        <v>0</v>
      </c>
      <c r="P246" s="487"/>
      <c r="Q246" s="479"/>
      <c r="R246" s="484"/>
      <c r="S246" s="484"/>
      <c r="T246" s="479"/>
      <c r="U246" s="479"/>
    </row>
    <row r="247" spans="2:21" x14ac:dyDescent="0.3">
      <c r="B247" s="479"/>
      <c r="C247" s="479"/>
      <c r="D247" s="479"/>
      <c r="E247" s="479"/>
      <c r="F247" s="491"/>
      <c r="G247" s="482" t="str">
        <f t="shared" ca="1" si="10"/>
        <v/>
      </c>
      <c r="H247" s="483" t="str">
        <f ca="1">IFERROR(IF(OR($C$11="",$C$11=0),"",IF(OR($D$11=0,$D$11=""),IF(NOT(ISNUMBER(INDEX($F$7:$F$1000,ROWS($I$7:I247)*$C$11))),"",$B$5+SUM(OFFSET($F$7,0,0,ROWS($I$7:I247)*$C$11))),IF(NOT(ISNUMBER(INDEX($F$7:$F$1000,ROUNDUP(ROWS($I$7:I247)/2,0)*$C$11))),"",IF(MOD(ROWS($I$7:I247),2)=1,IF(ISNUMBER($B$5),$B$5+SUM(OFFSET($F$7,0,0,ROUNDUP(ROWS($I$7:I247)/2,0)*$C$11))-SUM(OFFSET($F$7,(ROUNDUP(ROWS($I$7:I247)/2,0)*$C$11)-$C$11,0,$C$11))+$D$11,""),$B$5+SUM(OFFSET($F$7,0,0,ROUNDUP(ROWS($I$7:I247)/2,0)*$C$11)))))),"")</f>
        <v/>
      </c>
      <c r="I247" s="484"/>
      <c r="J247" s="479"/>
      <c r="K247" s="484"/>
      <c r="L247" s="484"/>
      <c r="M247" s="479"/>
      <c r="N247" s="479"/>
      <c r="O247" s="484"/>
      <c r="P247" s="487"/>
      <c r="Q247" s="479"/>
      <c r="R247" s="484"/>
      <c r="S247" s="484"/>
      <c r="T247" s="479"/>
      <c r="U247" s="479"/>
    </row>
    <row r="248" spans="2:21" x14ac:dyDescent="0.3">
      <c r="B248" s="479"/>
      <c r="C248" s="479"/>
      <c r="D248" s="479"/>
      <c r="E248" s="479"/>
      <c r="F248" s="491"/>
      <c r="G248" s="482" t="str">
        <f t="shared" ca="1" si="10"/>
        <v/>
      </c>
      <c r="H248" s="483" t="str">
        <f ca="1">IFERROR(IF(OR($C$11="",$C$11=0),"",IF(OR($D$11=0,$D$11=""),IF(NOT(ISNUMBER(INDEX($F$7:$F$1000,ROWS($I$7:I248)*$C$11))),"",$B$5+SUM(OFFSET($F$7,0,0,ROWS($I$7:I248)*$C$11))),IF(NOT(ISNUMBER(INDEX($F$7:$F$1000,ROUNDUP(ROWS($I$7:I248)/2,0)*$C$11))),"",IF(MOD(ROWS($I$7:I248),2)=1,IF(ISNUMBER($B$5),$B$5+SUM(OFFSET($F$7,0,0,ROUNDUP(ROWS($I$7:I248)/2,0)*$C$11))-SUM(OFFSET($F$7,(ROUNDUP(ROWS($I$7:I248)/2,0)*$C$11)-$C$11,0,$C$11))+$D$11,""),$B$5+SUM(OFFSET($F$7,0,0,ROUNDUP(ROWS($I$7:I248)/2,0)*$C$11)))))),"")</f>
        <v/>
      </c>
      <c r="I248" s="484"/>
      <c r="J248" s="479"/>
      <c r="K248" s="484"/>
      <c r="L248" s="484"/>
      <c r="M248" s="479"/>
      <c r="N248" s="479"/>
      <c r="O248" s="484">
        <f>N249/2</f>
        <v>0</v>
      </c>
      <c r="P248" s="487"/>
      <c r="Q248" s="479"/>
      <c r="R248" s="484"/>
      <c r="S248" s="484"/>
      <c r="T248" s="479"/>
      <c r="U248" s="479"/>
    </row>
    <row r="249" spans="2:21" x14ac:dyDescent="0.3">
      <c r="B249" s="479"/>
      <c r="C249" s="479"/>
      <c r="D249" s="479"/>
      <c r="E249" s="479"/>
      <c r="F249" s="491"/>
      <c r="G249" s="482" t="str">
        <f t="shared" ca="1" si="10"/>
        <v/>
      </c>
      <c r="H249" s="483" t="str">
        <f ca="1">IFERROR(IF(OR($C$11="",$C$11=0),"",IF(OR($D$11=0,$D$11=""),IF(NOT(ISNUMBER(INDEX($F$7:$F$1000,ROWS($I$7:I249)*$C$11))),"",$B$5+SUM(OFFSET($F$7,0,0,ROWS($I$7:I249)*$C$11))),IF(NOT(ISNUMBER(INDEX($F$7:$F$1000,ROUNDUP(ROWS($I$7:I249)/2,0)*$C$11))),"",IF(MOD(ROWS($I$7:I249),2)=1,IF(ISNUMBER($B$5),$B$5+SUM(OFFSET($F$7,0,0,ROUNDUP(ROWS($I$7:I249)/2,0)*$C$11))-SUM(OFFSET($F$7,(ROUNDUP(ROWS($I$7:I249)/2,0)*$C$11)-$C$11,0,$C$11))+$D$11,""),$B$5+SUM(OFFSET($F$7,0,0,ROUNDUP(ROWS($I$7:I249)/2,0)*$C$11)))))),"")</f>
        <v/>
      </c>
      <c r="I249" s="484"/>
      <c r="J249" s="479"/>
      <c r="K249" s="484"/>
      <c r="L249" s="484"/>
      <c r="M249" s="479"/>
      <c r="N249" s="484">
        <f>F247+F248+F249</f>
        <v>0</v>
      </c>
      <c r="O249" s="484">
        <f>N249/2</f>
        <v>0</v>
      </c>
      <c r="P249" s="487"/>
      <c r="Q249" s="479"/>
      <c r="R249" s="484"/>
      <c r="S249" s="484"/>
      <c r="T249" s="479"/>
      <c r="U249" s="479"/>
    </row>
    <row r="250" spans="2:21" x14ac:dyDescent="0.3">
      <c r="B250" s="479"/>
      <c r="C250" s="479"/>
      <c r="D250" s="479"/>
      <c r="E250" s="479"/>
      <c r="F250" s="491"/>
      <c r="G250" s="482" t="str">
        <f t="shared" ca="1" si="10"/>
        <v/>
      </c>
      <c r="H250" s="483" t="str">
        <f ca="1">IFERROR(IF(OR($C$11="",$C$11=0),"",IF(OR($D$11=0,$D$11=""),IF(NOT(ISNUMBER(INDEX($F$7:$F$1000,ROWS($I$7:I250)*$C$11))),"",$B$5+SUM(OFFSET($F$7,0,0,ROWS($I$7:I250)*$C$11))),IF(NOT(ISNUMBER(INDEX($F$7:$F$1000,ROUNDUP(ROWS($I$7:I250)/2,0)*$C$11))),"",IF(MOD(ROWS($I$7:I250),2)=1,IF(ISNUMBER($B$5),$B$5+SUM(OFFSET($F$7,0,0,ROUNDUP(ROWS($I$7:I250)/2,0)*$C$11))-SUM(OFFSET($F$7,(ROUNDUP(ROWS($I$7:I250)/2,0)*$C$11)-$C$11,0,$C$11))+$D$11,""),$B$5+SUM(OFFSET($F$7,0,0,ROUNDUP(ROWS($I$7:I250)/2,0)*$C$11)))))),"")</f>
        <v/>
      </c>
      <c r="I250" s="484"/>
      <c r="J250" s="479"/>
      <c r="K250" s="484"/>
      <c r="L250" s="484"/>
      <c r="M250" s="479"/>
      <c r="N250" s="479"/>
      <c r="O250" s="484"/>
      <c r="P250" s="487"/>
      <c r="Q250" s="479"/>
      <c r="R250" s="484"/>
      <c r="S250" s="484"/>
      <c r="T250" s="479"/>
      <c r="U250" s="479"/>
    </row>
    <row r="251" spans="2:21" x14ac:dyDescent="0.3">
      <c r="B251" s="479"/>
      <c r="C251" s="479"/>
      <c r="D251" s="479"/>
      <c r="E251" s="479"/>
      <c r="F251" s="491"/>
      <c r="G251" s="482" t="str">
        <f t="shared" ca="1" si="10"/>
        <v/>
      </c>
      <c r="H251" s="483" t="str">
        <f ca="1">IFERROR(IF(OR($C$11="",$C$11=0),"",IF(OR($D$11=0,$D$11=""),IF(NOT(ISNUMBER(INDEX($F$7:$F$1000,ROWS($I$7:I251)*$C$11))),"",$B$5+SUM(OFFSET($F$7,0,0,ROWS($I$7:I251)*$C$11))),IF(NOT(ISNUMBER(INDEX($F$7:$F$1000,ROUNDUP(ROWS($I$7:I251)/2,0)*$C$11))),"",IF(MOD(ROWS($I$7:I251),2)=1,IF(ISNUMBER($B$5),$B$5+SUM(OFFSET($F$7,0,0,ROUNDUP(ROWS($I$7:I251)/2,0)*$C$11))-SUM(OFFSET($F$7,(ROUNDUP(ROWS($I$7:I251)/2,0)*$C$11)-$C$11,0,$C$11))+$D$11,""),$B$5+SUM(OFFSET($F$7,0,0,ROUNDUP(ROWS($I$7:I251)/2,0)*$C$11)))))),"")</f>
        <v/>
      </c>
      <c r="I251" s="484"/>
      <c r="J251" s="479"/>
      <c r="K251" s="484"/>
      <c r="L251" s="484"/>
      <c r="M251" s="479"/>
      <c r="N251" s="479"/>
      <c r="O251" s="484">
        <f>N252/2</f>
        <v>0</v>
      </c>
      <c r="P251" s="487"/>
      <c r="Q251" s="479"/>
      <c r="R251" s="484"/>
      <c r="S251" s="484"/>
      <c r="T251" s="479"/>
      <c r="U251" s="479"/>
    </row>
    <row r="252" spans="2:21" x14ac:dyDescent="0.3">
      <c r="B252" s="479"/>
      <c r="C252" s="479"/>
      <c r="D252" s="479"/>
      <c r="E252" s="479"/>
      <c r="F252" s="491"/>
      <c r="G252" s="482" t="str">
        <f t="shared" ca="1" si="10"/>
        <v/>
      </c>
      <c r="H252" s="483" t="str">
        <f ca="1">IFERROR(IF(OR($C$11="",$C$11=0),"",IF(OR($D$11=0,$D$11=""),IF(NOT(ISNUMBER(INDEX($F$7:$F$1000,ROWS($I$7:I252)*$C$11))),"",$B$5+SUM(OFFSET($F$7,0,0,ROWS($I$7:I252)*$C$11))),IF(NOT(ISNUMBER(INDEX($F$7:$F$1000,ROUNDUP(ROWS($I$7:I252)/2,0)*$C$11))),"",IF(MOD(ROWS($I$7:I252),2)=1,IF(ISNUMBER($B$5),$B$5+SUM(OFFSET($F$7,0,0,ROUNDUP(ROWS($I$7:I252)/2,0)*$C$11))-SUM(OFFSET($F$7,(ROUNDUP(ROWS($I$7:I252)/2,0)*$C$11)-$C$11,0,$C$11))+$D$11,""),$B$5+SUM(OFFSET($F$7,0,0,ROUNDUP(ROWS($I$7:I252)/2,0)*$C$11)))))),"")</f>
        <v/>
      </c>
      <c r="I252" s="484"/>
      <c r="J252" s="479"/>
      <c r="K252" s="484"/>
      <c r="L252" s="484"/>
      <c r="M252" s="479"/>
      <c r="N252" s="484">
        <f>F250+F251+F252</f>
        <v>0</v>
      </c>
      <c r="O252" s="484">
        <f>N252/2</f>
        <v>0</v>
      </c>
      <c r="P252" s="487"/>
      <c r="Q252" s="479"/>
      <c r="R252" s="484"/>
      <c r="S252" s="484"/>
      <c r="T252" s="479"/>
      <c r="U252" s="479"/>
    </row>
    <row r="253" spans="2:21" x14ac:dyDescent="0.3">
      <c r="B253" s="479"/>
      <c r="C253" s="479"/>
      <c r="D253" s="479"/>
      <c r="E253" s="479"/>
      <c r="F253" s="491"/>
      <c r="G253" s="482" t="str">
        <f t="shared" ca="1" si="10"/>
        <v/>
      </c>
      <c r="H253" s="483" t="str">
        <f ca="1">IFERROR(IF(OR($C$11="",$C$11=0),"",IF(OR($D$11=0,$D$11=""),IF(NOT(ISNUMBER(INDEX($F$7:$F$1000,ROWS($I$7:I253)*$C$11))),"",$B$5+SUM(OFFSET($F$7,0,0,ROWS($I$7:I253)*$C$11))),IF(NOT(ISNUMBER(INDEX($F$7:$F$1000,ROUNDUP(ROWS($I$7:I253)/2,0)*$C$11))),"",IF(MOD(ROWS($I$7:I253),2)=1,IF(ISNUMBER($B$5),$B$5+SUM(OFFSET($F$7,0,0,ROUNDUP(ROWS($I$7:I253)/2,0)*$C$11))-SUM(OFFSET($F$7,(ROUNDUP(ROWS($I$7:I253)/2,0)*$C$11)-$C$11,0,$C$11))+$D$11,""),$B$5+SUM(OFFSET($F$7,0,0,ROUNDUP(ROWS($I$7:I253)/2,0)*$C$11)))))),"")</f>
        <v/>
      </c>
      <c r="I253" s="484"/>
      <c r="J253" s="479"/>
      <c r="K253" s="484"/>
      <c r="L253" s="484"/>
      <c r="M253" s="479"/>
      <c r="N253" s="479"/>
      <c r="O253" s="484"/>
      <c r="P253" s="487"/>
      <c r="Q253" s="479"/>
      <c r="R253" s="484"/>
      <c r="S253" s="484"/>
      <c r="T253" s="479"/>
      <c r="U253" s="479"/>
    </row>
    <row r="254" spans="2:21" x14ac:dyDescent="0.3">
      <c r="B254" s="479"/>
      <c r="C254" s="479"/>
      <c r="D254" s="479"/>
      <c r="E254" s="479"/>
      <c r="F254" s="491"/>
      <c r="G254" s="482" t="str">
        <f t="shared" ca="1" si="10"/>
        <v/>
      </c>
      <c r="H254" s="483" t="str">
        <f ca="1">IFERROR(IF(OR($C$11="",$C$11=0),"",IF(OR($D$11=0,$D$11=""),IF(NOT(ISNUMBER(INDEX($F$7:$F$1000,ROWS($I$7:I254)*$C$11))),"",$B$5+SUM(OFFSET($F$7,0,0,ROWS($I$7:I254)*$C$11))),IF(NOT(ISNUMBER(INDEX($F$7:$F$1000,ROUNDUP(ROWS($I$7:I254)/2,0)*$C$11))),"",IF(MOD(ROWS($I$7:I254),2)=1,IF(ISNUMBER($B$5),$B$5+SUM(OFFSET($F$7,0,0,ROUNDUP(ROWS($I$7:I254)/2,0)*$C$11))-SUM(OFFSET($F$7,(ROUNDUP(ROWS($I$7:I254)/2,0)*$C$11)-$C$11,0,$C$11))+$D$11,""),$B$5+SUM(OFFSET($F$7,0,0,ROUNDUP(ROWS($I$7:I254)/2,0)*$C$11)))))),"")</f>
        <v/>
      </c>
      <c r="I254" s="484"/>
      <c r="J254" s="479"/>
      <c r="K254" s="484"/>
      <c r="L254" s="484"/>
      <c r="M254" s="479"/>
      <c r="N254" s="479"/>
      <c r="O254" s="484">
        <f>N255/2</f>
        <v>0</v>
      </c>
      <c r="P254" s="487"/>
      <c r="Q254" s="479"/>
      <c r="R254" s="484"/>
      <c r="S254" s="484"/>
      <c r="T254" s="479"/>
      <c r="U254" s="479"/>
    </row>
    <row r="255" spans="2:21" x14ac:dyDescent="0.3">
      <c r="B255" s="479"/>
      <c r="C255" s="479"/>
      <c r="D255" s="479"/>
      <c r="E255" s="479"/>
      <c r="F255" s="491"/>
      <c r="G255" s="482" t="str">
        <f t="shared" ca="1" si="10"/>
        <v/>
      </c>
      <c r="H255" s="483" t="str">
        <f ca="1">IFERROR(IF(OR($C$11="",$C$11=0),"",IF(OR($D$11=0,$D$11=""),IF(NOT(ISNUMBER(INDEX($F$7:$F$1000,ROWS($I$7:I255)*$C$11))),"",$B$5+SUM(OFFSET($F$7,0,0,ROWS($I$7:I255)*$C$11))),IF(NOT(ISNUMBER(INDEX($F$7:$F$1000,ROUNDUP(ROWS($I$7:I255)/2,0)*$C$11))),"",IF(MOD(ROWS($I$7:I255),2)=1,IF(ISNUMBER($B$5),$B$5+SUM(OFFSET($F$7,0,0,ROUNDUP(ROWS($I$7:I255)/2,0)*$C$11))-SUM(OFFSET($F$7,(ROUNDUP(ROWS($I$7:I255)/2,0)*$C$11)-$C$11,0,$C$11))+$D$11,""),$B$5+SUM(OFFSET($F$7,0,0,ROUNDUP(ROWS($I$7:I255)/2,0)*$C$11)))))),"")</f>
        <v/>
      </c>
      <c r="I255" s="484"/>
      <c r="J255" s="479"/>
      <c r="K255" s="484"/>
      <c r="L255" s="484"/>
      <c r="M255" s="479"/>
      <c r="N255" s="484">
        <f>F253+F254+F255</f>
        <v>0</v>
      </c>
      <c r="O255" s="484">
        <f>N255/2</f>
        <v>0</v>
      </c>
      <c r="P255" s="487"/>
      <c r="Q255" s="479"/>
      <c r="R255" s="484"/>
      <c r="S255" s="484"/>
      <c r="T255" s="479"/>
      <c r="U255" s="479"/>
    </row>
    <row r="256" spans="2:21" x14ac:dyDescent="0.3">
      <c r="B256" s="479"/>
      <c r="C256" s="479"/>
      <c r="D256" s="479"/>
      <c r="E256" s="479"/>
      <c r="F256" s="491"/>
      <c r="G256" s="482" t="str">
        <f t="shared" ca="1" si="10"/>
        <v/>
      </c>
      <c r="H256" s="483" t="str">
        <f ca="1">IFERROR(IF(OR($C$11="",$C$11=0),"",IF(OR($D$11=0,$D$11=""),IF(NOT(ISNUMBER(INDEX($F$7:$F$1000,ROWS($I$7:I256)*$C$11))),"",$B$5+SUM(OFFSET($F$7,0,0,ROWS($I$7:I256)*$C$11))),IF(NOT(ISNUMBER(INDEX($F$7:$F$1000,ROUNDUP(ROWS($I$7:I256)/2,0)*$C$11))),"",IF(MOD(ROWS($I$7:I256),2)=1,IF(ISNUMBER($B$5),$B$5+SUM(OFFSET($F$7,0,0,ROUNDUP(ROWS($I$7:I256)/2,0)*$C$11))-SUM(OFFSET($F$7,(ROUNDUP(ROWS($I$7:I256)/2,0)*$C$11)-$C$11,0,$C$11))+$D$11,""),$B$5+SUM(OFFSET($F$7,0,0,ROUNDUP(ROWS($I$7:I256)/2,0)*$C$11)))))),"")</f>
        <v/>
      </c>
      <c r="I256" s="484"/>
      <c r="J256" s="479"/>
      <c r="K256" s="484"/>
      <c r="L256" s="484"/>
      <c r="M256" s="479"/>
      <c r="N256" s="479"/>
      <c r="O256" s="484"/>
      <c r="P256" s="487"/>
      <c r="Q256" s="479"/>
      <c r="R256" s="484"/>
      <c r="S256" s="484"/>
      <c r="T256" s="479"/>
      <c r="U256" s="479"/>
    </row>
    <row r="257" spans="2:21" x14ac:dyDescent="0.3">
      <c r="B257" s="479"/>
      <c r="C257" s="479"/>
      <c r="D257" s="479"/>
      <c r="E257" s="479"/>
      <c r="F257" s="491"/>
      <c r="G257" s="482" t="str">
        <f t="shared" ca="1" si="10"/>
        <v/>
      </c>
      <c r="H257" s="483" t="str">
        <f ca="1">IFERROR(IF(OR($C$11="",$C$11=0),"",IF(OR($D$11=0,$D$11=""),IF(NOT(ISNUMBER(INDEX($F$7:$F$1000,ROWS($I$7:I257)*$C$11))),"",$B$5+SUM(OFFSET($F$7,0,0,ROWS($I$7:I257)*$C$11))),IF(NOT(ISNUMBER(INDEX($F$7:$F$1000,ROUNDUP(ROWS($I$7:I257)/2,0)*$C$11))),"",IF(MOD(ROWS($I$7:I257),2)=1,IF(ISNUMBER($B$5),$B$5+SUM(OFFSET($F$7,0,0,ROUNDUP(ROWS($I$7:I257)/2,0)*$C$11))-SUM(OFFSET($F$7,(ROUNDUP(ROWS($I$7:I257)/2,0)*$C$11)-$C$11,0,$C$11))+$D$11,""),$B$5+SUM(OFFSET($F$7,0,0,ROUNDUP(ROWS($I$7:I257)/2,0)*$C$11)))))),"")</f>
        <v/>
      </c>
      <c r="I257" s="484"/>
      <c r="J257" s="479"/>
      <c r="K257" s="484"/>
      <c r="L257" s="484"/>
      <c r="M257" s="479"/>
      <c r="N257" s="479"/>
      <c r="O257" s="484">
        <f>N258/2</f>
        <v>0</v>
      </c>
      <c r="P257" s="487"/>
      <c r="Q257" s="479"/>
      <c r="R257" s="484"/>
      <c r="S257" s="484"/>
      <c r="T257" s="479"/>
      <c r="U257" s="479"/>
    </row>
    <row r="258" spans="2:21" x14ac:dyDescent="0.3">
      <c r="B258" s="479"/>
      <c r="C258" s="479"/>
      <c r="D258" s="479"/>
      <c r="E258" s="479"/>
      <c r="F258" s="491"/>
      <c r="G258" s="482" t="str">
        <f t="shared" ca="1" si="10"/>
        <v/>
      </c>
      <c r="H258" s="483" t="str">
        <f ca="1">IFERROR(IF(OR($C$11="",$C$11=0),"",IF(OR($D$11=0,$D$11=""),IF(NOT(ISNUMBER(INDEX($F$7:$F$1000,ROWS($I$7:I258)*$C$11))),"",$B$5+SUM(OFFSET($F$7,0,0,ROWS($I$7:I258)*$C$11))),IF(NOT(ISNUMBER(INDEX($F$7:$F$1000,ROUNDUP(ROWS($I$7:I258)/2,0)*$C$11))),"",IF(MOD(ROWS($I$7:I258),2)=1,IF(ISNUMBER($B$5),$B$5+SUM(OFFSET($F$7,0,0,ROUNDUP(ROWS($I$7:I258)/2,0)*$C$11))-SUM(OFFSET($F$7,(ROUNDUP(ROWS($I$7:I258)/2,0)*$C$11)-$C$11,0,$C$11))+$D$11,""),$B$5+SUM(OFFSET($F$7,0,0,ROUNDUP(ROWS($I$7:I258)/2,0)*$C$11)))))),"")</f>
        <v/>
      </c>
      <c r="I258" s="484"/>
      <c r="J258" s="479"/>
      <c r="K258" s="484"/>
      <c r="L258" s="484"/>
      <c r="M258" s="479"/>
      <c r="N258" s="484">
        <f>F256+F257+F258</f>
        <v>0</v>
      </c>
      <c r="O258" s="484">
        <f>N258/2</f>
        <v>0</v>
      </c>
      <c r="P258" s="487"/>
      <c r="Q258" s="479"/>
      <c r="R258" s="484"/>
      <c r="S258" s="484"/>
      <c r="T258" s="479"/>
      <c r="U258" s="479"/>
    </row>
    <row r="259" spans="2:21" x14ac:dyDescent="0.3">
      <c r="B259" s="479"/>
      <c r="C259" s="479"/>
      <c r="D259" s="479"/>
      <c r="E259" s="479"/>
      <c r="F259" s="491"/>
      <c r="G259" s="482" t="str">
        <f t="shared" ca="1" si="10"/>
        <v/>
      </c>
      <c r="H259" s="483" t="str">
        <f ca="1">IFERROR(IF(OR($C$11="",$C$11=0),"",IF(OR($D$11=0,$D$11=""),IF(NOT(ISNUMBER(INDEX($F$7:$F$1000,ROWS($I$7:I259)*$C$11))),"",$B$5+SUM(OFFSET($F$7,0,0,ROWS($I$7:I259)*$C$11))),IF(NOT(ISNUMBER(INDEX($F$7:$F$1000,ROUNDUP(ROWS($I$7:I259)/2,0)*$C$11))),"",IF(MOD(ROWS($I$7:I259),2)=1,IF(ISNUMBER($B$5),$B$5+SUM(OFFSET($F$7,0,0,ROUNDUP(ROWS($I$7:I259)/2,0)*$C$11))-SUM(OFFSET($F$7,(ROUNDUP(ROWS($I$7:I259)/2,0)*$C$11)-$C$11,0,$C$11))+$D$11,""),$B$5+SUM(OFFSET($F$7,0,0,ROUNDUP(ROWS($I$7:I259)/2,0)*$C$11)))))),"")</f>
        <v/>
      </c>
      <c r="I259" s="484"/>
      <c r="J259" s="479"/>
      <c r="K259" s="484"/>
      <c r="L259" s="484"/>
      <c r="M259" s="479"/>
      <c r="N259" s="479"/>
      <c r="O259" s="484"/>
      <c r="P259" s="487"/>
      <c r="Q259" s="479"/>
      <c r="R259" s="484"/>
      <c r="S259" s="484"/>
      <c r="T259" s="479"/>
      <c r="U259" s="479"/>
    </row>
    <row r="260" spans="2:21" x14ac:dyDescent="0.3">
      <c r="B260" s="479"/>
      <c r="C260" s="479"/>
      <c r="D260" s="479"/>
      <c r="E260" s="479"/>
      <c r="F260" s="491"/>
      <c r="G260" s="482" t="str">
        <f t="shared" ca="1" si="10"/>
        <v/>
      </c>
      <c r="H260" s="483" t="str">
        <f ca="1">IFERROR(IF(OR($C$11="",$C$11=0),"",IF(OR($D$11=0,$D$11=""),IF(NOT(ISNUMBER(INDEX($F$7:$F$1000,ROWS($I$7:I260)*$C$11))),"",$B$5+SUM(OFFSET($F$7,0,0,ROWS($I$7:I260)*$C$11))),IF(NOT(ISNUMBER(INDEX($F$7:$F$1000,ROUNDUP(ROWS($I$7:I260)/2,0)*$C$11))),"",IF(MOD(ROWS($I$7:I260),2)=1,IF(ISNUMBER($B$5),$B$5+SUM(OFFSET($F$7,0,0,ROUNDUP(ROWS($I$7:I260)/2,0)*$C$11))-SUM(OFFSET($F$7,(ROUNDUP(ROWS($I$7:I260)/2,0)*$C$11)-$C$11,0,$C$11))+$D$11,""),$B$5+SUM(OFFSET($F$7,0,0,ROUNDUP(ROWS($I$7:I260)/2,0)*$C$11)))))),"")</f>
        <v/>
      </c>
      <c r="I260" s="484"/>
      <c r="J260" s="479"/>
      <c r="K260" s="484"/>
      <c r="L260" s="484"/>
      <c r="M260" s="479"/>
      <c r="N260" s="479"/>
      <c r="O260" s="484">
        <f>N261/2</f>
        <v>0</v>
      </c>
      <c r="P260" s="487"/>
      <c r="Q260" s="479"/>
      <c r="R260" s="484"/>
      <c r="S260" s="484"/>
      <c r="T260" s="479"/>
      <c r="U260" s="479"/>
    </row>
    <row r="261" spans="2:21" x14ac:dyDescent="0.3">
      <c r="B261" s="479"/>
      <c r="C261" s="479"/>
      <c r="D261" s="479"/>
      <c r="E261" s="479"/>
      <c r="F261" s="491"/>
      <c r="G261" s="482" t="str">
        <f t="shared" ca="1" si="10"/>
        <v/>
      </c>
      <c r="H261" s="483" t="str">
        <f ca="1">IFERROR(IF(OR($C$11="",$C$11=0),"",IF(OR($D$11=0,$D$11=""),IF(NOT(ISNUMBER(INDEX($F$7:$F$1000,ROWS($I$7:I261)*$C$11))),"",$B$5+SUM(OFFSET($F$7,0,0,ROWS($I$7:I261)*$C$11))),IF(NOT(ISNUMBER(INDEX($F$7:$F$1000,ROUNDUP(ROWS($I$7:I261)/2,0)*$C$11))),"",IF(MOD(ROWS($I$7:I261),2)=1,IF(ISNUMBER($B$5),$B$5+SUM(OFFSET($F$7,0,0,ROUNDUP(ROWS($I$7:I261)/2,0)*$C$11))-SUM(OFFSET($F$7,(ROUNDUP(ROWS($I$7:I261)/2,0)*$C$11)-$C$11,0,$C$11))+$D$11,""),$B$5+SUM(OFFSET($F$7,0,0,ROUNDUP(ROWS($I$7:I261)/2,0)*$C$11)))))),"")</f>
        <v/>
      </c>
      <c r="I261" s="484"/>
      <c r="J261" s="479"/>
      <c r="K261" s="484"/>
      <c r="L261" s="484"/>
      <c r="M261" s="479"/>
      <c r="N261" s="484">
        <f>F259+F260+F261</f>
        <v>0</v>
      </c>
      <c r="O261" s="484">
        <f>N261/2</f>
        <v>0</v>
      </c>
      <c r="P261" s="487"/>
      <c r="Q261" s="479"/>
      <c r="R261" s="484"/>
      <c r="S261" s="484"/>
      <c r="T261" s="479"/>
      <c r="U261" s="479"/>
    </row>
    <row r="262" spans="2:21" x14ac:dyDescent="0.3">
      <c r="B262" s="479"/>
      <c r="C262" s="479"/>
      <c r="D262" s="479"/>
      <c r="E262" s="479"/>
      <c r="F262" s="491"/>
      <c r="G262" s="482" t="str">
        <f t="shared" ca="1" si="10"/>
        <v/>
      </c>
      <c r="H262" s="483" t="str">
        <f ca="1">IFERROR(IF(OR($C$11="",$C$11=0),"",IF(OR($D$11=0,$D$11=""),IF(NOT(ISNUMBER(INDEX($F$7:$F$1000,ROWS($I$7:I262)*$C$11))),"",$B$5+SUM(OFFSET($F$7,0,0,ROWS($I$7:I262)*$C$11))),IF(NOT(ISNUMBER(INDEX($F$7:$F$1000,ROUNDUP(ROWS($I$7:I262)/2,0)*$C$11))),"",IF(MOD(ROWS($I$7:I262),2)=1,IF(ISNUMBER($B$5),$B$5+SUM(OFFSET($F$7,0,0,ROUNDUP(ROWS($I$7:I262)/2,0)*$C$11))-SUM(OFFSET($F$7,(ROUNDUP(ROWS($I$7:I262)/2,0)*$C$11)-$C$11,0,$C$11))+$D$11,""),$B$5+SUM(OFFSET($F$7,0,0,ROUNDUP(ROWS($I$7:I262)/2,0)*$C$11)))))),"")</f>
        <v/>
      </c>
      <c r="I262" s="484"/>
      <c r="J262" s="479"/>
      <c r="K262" s="484"/>
      <c r="L262" s="484"/>
      <c r="M262" s="479"/>
      <c r="N262" s="479"/>
      <c r="O262" s="484"/>
      <c r="P262" s="487"/>
      <c r="Q262" s="479"/>
      <c r="R262" s="484"/>
      <c r="S262" s="484"/>
      <c r="T262" s="479"/>
      <c r="U262" s="479"/>
    </row>
    <row r="263" spans="2:21" x14ac:dyDescent="0.3">
      <c r="B263" s="479"/>
      <c r="C263" s="479"/>
      <c r="D263" s="479"/>
      <c r="E263" s="479"/>
      <c r="F263" s="491"/>
      <c r="G263" s="482" t="str">
        <f t="shared" ca="1" si="10"/>
        <v/>
      </c>
      <c r="H263" s="483" t="str">
        <f ca="1">IFERROR(IF(OR($C$11="",$C$11=0),"",IF(OR($D$11=0,$D$11=""),IF(NOT(ISNUMBER(INDEX($F$7:$F$1000,ROWS($I$7:I263)*$C$11))),"",$B$5+SUM(OFFSET($F$7,0,0,ROWS($I$7:I263)*$C$11))),IF(NOT(ISNUMBER(INDEX($F$7:$F$1000,ROUNDUP(ROWS($I$7:I263)/2,0)*$C$11))),"",IF(MOD(ROWS($I$7:I263),2)=1,IF(ISNUMBER($B$5),$B$5+SUM(OFFSET($F$7,0,0,ROUNDUP(ROWS($I$7:I263)/2,0)*$C$11))-SUM(OFFSET($F$7,(ROUNDUP(ROWS($I$7:I263)/2,0)*$C$11)-$C$11,0,$C$11))+$D$11,""),$B$5+SUM(OFFSET($F$7,0,0,ROUNDUP(ROWS($I$7:I263)/2,0)*$C$11)))))),"")</f>
        <v/>
      </c>
      <c r="I263" s="484"/>
      <c r="J263" s="479"/>
      <c r="K263" s="484"/>
      <c r="L263" s="484"/>
      <c r="M263" s="479"/>
      <c r="N263" s="479"/>
      <c r="O263" s="484">
        <f>N264/2</f>
        <v>0</v>
      </c>
      <c r="P263" s="487"/>
      <c r="Q263" s="479"/>
      <c r="R263" s="484"/>
      <c r="S263" s="484"/>
      <c r="T263" s="479"/>
      <c r="U263" s="479"/>
    </row>
    <row r="264" spans="2:21" x14ac:dyDescent="0.3">
      <c r="B264" s="479"/>
      <c r="C264" s="479"/>
      <c r="D264" s="479"/>
      <c r="E264" s="479"/>
      <c r="F264" s="491"/>
      <c r="G264" s="482" t="str">
        <f t="shared" ca="1" si="10"/>
        <v/>
      </c>
      <c r="H264" s="483" t="str">
        <f ca="1">IFERROR(IF(OR($C$11="",$C$11=0),"",IF(OR($D$11=0,$D$11=""),IF(NOT(ISNUMBER(INDEX($F$7:$F$1000,ROWS($I$7:I264)*$C$11))),"",$B$5+SUM(OFFSET($F$7,0,0,ROWS($I$7:I264)*$C$11))),IF(NOT(ISNUMBER(INDEX($F$7:$F$1000,ROUNDUP(ROWS($I$7:I264)/2,0)*$C$11))),"",IF(MOD(ROWS($I$7:I264),2)=1,IF(ISNUMBER($B$5),$B$5+SUM(OFFSET($F$7,0,0,ROUNDUP(ROWS($I$7:I264)/2,0)*$C$11))-SUM(OFFSET($F$7,(ROUNDUP(ROWS($I$7:I264)/2,0)*$C$11)-$C$11,0,$C$11))+$D$11,""),$B$5+SUM(OFFSET($F$7,0,0,ROUNDUP(ROWS($I$7:I264)/2,0)*$C$11)))))),"")</f>
        <v/>
      </c>
      <c r="I264" s="484"/>
      <c r="J264" s="479"/>
      <c r="K264" s="484"/>
      <c r="L264" s="484"/>
      <c r="M264" s="479"/>
      <c r="N264" s="484">
        <f>F262+F263+F264</f>
        <v>0</v>
      </c>
      <c r="O264" s="484">
        <f>N264/2</f>
        <v>0</v>
      </c>
      <c r="P264" s="487"/>
      <c r="Q264" s="479"/>
      <c r="R264" s="484"/>
      <c r="S264" s="484"/>
      <c r="T264" s="479"/>
      <c r="U264" s="479"/>
    </row>
    <row r="265" spans="2:21" x14ac:dyDescent="0.3">
      <c r="B265" s="479"/>
      <c r="C265" s="479"/>
      <c r="D265" s="479"/>
      <c r="E265" s="479"/>
      <c r="F265" s="491"/>
      <c r="G265" s="482" t="str">
        <f t="shared" ca="1" si="10"/>
        <v/>
      </c>
      <c r="H265" s="483" t="str">
        <f ca="1">IFERROR(IF(OR($C$11="",$C$11=0),"",IF(OR($D$11=0,$D$11=""),IF(NOT(ISNUMBER(INDEX($F$7:$F$1000,ROWS($I$7:I265)*$C$11))),"",$B$5+SUM(OFFSET($F$7,0,0,ROWS($I$7:I265)*$C$11))),IF(NOT(ISNUMBER(INDEX($F$7:$F$1000,ROUNDUP(ROWS($I$7:I265)/2,0)*$C$11))),"",IF(MOD(ROWS($I$7:I265),2)=1,IF(ISNUMBER($B$5),$B$5+SUM(OFFSET($F$7,0,0,ROUNDUP(ROWS($I$7:I265)/2,0)*$C$11))-SUM(OFFSET($F$7,(ROUNDUP(ROWS($I$7:I265)/2,0)*$C$11)-$C$11,0,$C$11))+$D$11,""),$B$5+SUM(OFFSET($F$7,0,0,ROUNDUP(ROWS($I$7:I265)/2,0)*$C$11)))))),"")</f>
        <v/>
      </c>
      <c r="I265" s="484"/>
      <c r="J265" s="479"/>
      <c r="K265" s="484"/>
      <c r="L265" s="484"/>
      <c r="M265" s="479"/>
      <c r="N265" s="479"/>
      <c r="O265" s="484"/>
      <c r="P265" s="487"/>
      <c r="Q265" s="479"/>
      <c r="R265" s="484"/>
      <c r="S265" s="484"/>
      <c r="T265" s="479"/>
      <c r="U265" s="479"/>
    </row>
    <row r="266" spans="2:21" x14ac:dyDescent="0.3">
      <c r="B266" s="479"/>
      <c r="C266" s="479"/>
      <c r="D266" s="479"/>
      <c r="E266" s="479"/>
      <c r="F266" s="491"/>
      <c r="G266" s="482" t="str">
        <f t="shared" ca="1" si="10"/>
        <v/>
      </c>
      <c r="H266" s="483" t="str">
        <f ca="1">IFERROR(IF(OR($C$11="",$C$11=0),"",IF(OR($D$11=0,$D$11=""),IF(NOT(ISNUMBER(INDEX($F$7:$F$1000,ROWS($I$7:I266)*$C$11))),"",$B$5+SUM(OFFSET($F$7,0,0,ROWS($I$7:I266)*$C$11))),IF(NOT(ISNUMBER(INDEX($F$7:$F$1000,ROUNDUP(ROWS($I$7:I266)/2,0)*$C$11))),"",IF(MOD(ROWS($I$7:I266),2)=1,IF(ISNUMBER($B$5),$B$5+SUM(OFFSET($F$7,0,0,ROUNDUP(ROWS($I$7:I266)/2,0)*$C$11))-SUM(OFFSET($F$7,(ROUNDUP(ROWS($I$7:I266)/2,0)*$C$11)-$C$11,0,$C$11))+$D$11,""),$B$5+SUM(OFFSET($F$7,0,0,ROUNDUP(ROWS($I$7:I266)/2,0)*$C$11)))))),"")</f>
        <v/>
      </c>
      <c r="I266" s="484"/>
      <c r="J266" s="479"/>
      <c r="K266" s="484"/>
      <c r="L266" s="484"/>
      <c r="M266" s="479"/>
      <c r="N266" s="479"/>
      <c r="O266" s="484">
        <f>N267/2</f>
        <v>0</v>
      </c>
      <c r="P266" s="487"/>
      <c r="Q266" s="479"/>
      <c r="R266" s="484"/>
      <c r="S266" s="484"/>
      <c r="T266" s="479"/>
      <c r="U266" s="479"/>
    </row>
    <row r="267" spans="2:21" x14ac:dyDescent="0.3">
      <c r="B267" s="479"/>
      <c r="C267" s="479"/>
      <c r="D267" s="479"/>
      <c r="E267" s="479"/>
      <c r="F267" s="491"/>
      <c r="G267" s="482" t="str">
        <f t="shared" ca="1" si="10"/>
        <v/>
      </c>
      <c r="H267" s="483" t="str">
        <f ca="1">IFERROR(IF(OR($C$11="",$C$11=0),"",IF(OR($D$11=0,$D$11=""),IF(NOT(ISNUMBER(INDEX($F$7:$F$1000,ROWS($I$7:I267)*$C$11))),"",$B$5+SUM(OFFSET($F$7,0,0,ROWS($I$7:I267)*$C$11))),IF(NOT(ISNUMBER(INDEX($F$7:$F$1000,ROUNDUP(ROWS($I$7:I267)/2,0)*$C$11))),"",IF(MOD(ROWS($I$7:I267),2)=1,IF(ISNUMBER($B$5),$B$5+SUM(OFFSET($F$7,0,0,ROUNDUP(ROWS($I$7:I267)/2,0)*$C$11))-SUM(OFFSET($F$7,(ROUNDUP(ROWS($I$7:I267)/2,0)*$C$11)-$C$11,0,$C$11))+$D$11,""),$B$5+SUM(OFFSET($F$7,0,0,ROUNDUP(ROWS($I$7:I267)/2,0)*$C$11)))))),"")</f>
        <v/>
      </c>
      <c r="I267" s="484"/>
      <c r="J267" s="479"/>
      <c r="K267" s="484"/>
      <c r="L267" s="484"/>
      <c r="M267" s="479"/>
      <c r="N267" s="484">
        <f>F265+F266+F267</f>
        <v>0</v>
      </c>
      <c r="O267" s="484">
        <f>N267/2</f>
        <v>0</v>
      </c>
      <c r="P267" s="487"/>
      <c r="Q267" s="479"/>
      <c r="R267" s="484"/>
      <c r="S267" s="484"/>
      <c r="T267" s="479"/>
      <c r="U267" s="479"/>
    </row>
    <row r="268" spans="2:21" x14ac:dyDescent="0.3">
      <c r="B268" s="479"/>
      <c r="C268" s="479"/>
      <c r="D268" s="479"/>
      <c r="E268" s="479"/>
      <c r="F268" s="491"/>
      <c r="G268" s="482" t="str">
        <f t="shared" ca="1" si="10"/>
        <v/>
      </c>
      <c r="H268" s="483" t="str">
        <f ca="1">IFERROR(IF(OR($C$11="",$C$11=0),"",IF(OR($D$11=0,$D$11=""),IF(NOT(ISNUMBER(INDEX($F$7:$F$1000,ROWS($I$7:I268)*$C$11))),"",$B$5+SUM(OFFSET($F$7,0,0,ROWS($I$7:I268)*$C$11))),IF(NOT(ISNUMBER(INDEX($F$7:$F$1000,ROUNDUP(ROWS($I$7:I268)/2,0)*$C$11))),"",IF(MOD(ROWS($I$7:I268),2)=1,IF(ISNUMBER($B$5),$B$5+SUM(OFFSET($F$7,0,0,ROUNDUP(ROWS($I$7:I268)/2,0)*$C$11))-SUM(OFFSET($F$7,(ROUNDUP(ROWS($I$7:I268)/2,0)*$C$11)-$C$11,0,$C$11))+$D$11,""),$B$5+SUM(OFFSET($F$7,0,0,ROUNDUP(ROWS($I$7:I268)/2,0)*$C$11)))))),"")</f>
        <v/>
      </c>
      <c r="I268" s="484"/>
      <c r="J268" s="479"/>
      <c r="K268" s="484"/>
      <c r="L268" s="484"/>
      <c r="M268" s="479"/>
      <c r="N268" s="479"/>
      <c r="O268" s="484"/>
      <c r="P268" s="487"/>
      <c r="Q268" s="479"/>
      <c r="R268" s="484"/>
      <c r="S268" s="484"/>
      <c r="T268" s="479"/>
      <c r="U268" s="479"/>
    </row>
    <row r="269" spans="2:21" x14ac:dyDescent="0.3">
      <c r="B269" s="479"/>
      <c r="C269" s="479"/>
      <c r="D269" s="479"/>
      <c r="E269" s="479"/>
      <c r="F269" s="491"/>
      <c r="G269" s="482" t="str">
        <f t="shared" ca="1" si="10"/>
        <v/>
      </c>
      <c r="H269" s="483" t="str">
        <f ca="1">IFERROR(IF(OR($C$11="",$C$11=0),"",IF(OR($D$11=0,$D$11=""),IF(NOT(ISNUMBER(INDEX($F$7:$F$1000,ROWS($I$7:I269)*$C$11))),"",$B$5+SUM(OFFSET($F$7,0,0,ROWS($I$7:I269)*$C$11))),IF(NOT(ISNUMBER(INDEX($F$7:$F$1000,ROUNDUP(ROWS($I$7:I269)/2,0)*$C$11))),"",IF(MOD(ROWS($I$7:I269),2)=1,IF(ISNUMBER($B$5),$B$5+SUM(OFFSET($F$7,0,0,ROUNDUP(ROWS($I$7:I269)/2,0)*$C$11))-SUM(OFFSET($F$7,(ROUNDUP(ROWS($I$7:I269)/2,0)*$C$11)-$C$11,0,$C$11))+$D$11,""),$B$5+SUM(OFFSET($F$7,0,0,ROUNDUP(ROWS($I$7:I269)/2,0)*$C$11)))))),"")</f>
        <v/>
      </c>
      <c r="I269" s="484"/>
      <c r="J269" s="479"/>
      <c r="K269" s="484"/>
      <c r="L269" s="484"/>
      <c r="M269" s="479"/>
      <c r="N269" s="479"/>
      <c r="O269" s="484">
        <f>N270/2</f>
        <v>0</v>
      </c>
      <c r="P269" s="487"/>
      <c r="Q269" s="479"/>
      <c r="R269" s="484"/>
      <c r="S269" s="484"/>
      <c r="T269" s="479"/>
      <c r="U269" s="479"/>
    </row>
    <row r="270" spans="2:21" x14ac:dyDescent="0.3">
      <c r="B270" s="479"/>
      <c r="C270" s="479"/>
      <c r="D270" s="479"/>
      <c r="E270" s="479"/>
      <c r="F270" s="491"/>
      <c r="G270" s="482" t="str">
        <f t="shared" ca="1" si="10"/>
        <v/>
      </c>
      <c r="H270" s="483" t="str">
        <f ca="1">IFERROR(IF(OR($C$11="",$C$11=0),"",IF(OR($D$11=0,$D$11=""),IF(NOT(ISNUMBER(INDEX($F$7:$F$1000,ROWS($I$7:I270)*$C$11))),"",$B$5+SUM(OFFSET($F$7,0,0,ROWS($I$7:I270)*$C$11))),IF(NOT(ISNUMBER(INDEX($F$7:$F$1000,ROUNDUP(ROWS($I$7:I270)/2,0)*$C$11))),"",IF(MOD(ROWS($I$7:I270),2)=1,IF(ISNUMBER($B$5),$B$5+SUM(OFFSET($F$7,0,0,ROUNDUP(ROWS($I$7:I270)/2,0)*$C$11))-SUM(OFFSET($F$7,(ROUNDUP(ROWS($I$7:I270)/2,0)*$C$11)-$C$11,0,$C$11))+$D$11,""),$B$5+SUM(OFFSET($F$7,0,0,ROUNDUP(ROWS($I$7:I270)/2,0)*$C$11)))))),"")</f>
        <v/>
      </c>
      <c r="I270" s="484"/>
      <c r="J270" s="479"/>
      <c r="K270" s="484"/>
      <c r="L270" s="484"/>
      <c r="M270" s="479"/>
      <c r="N270" s="484">
        <f>F268+F269+F270</f>
        <v>0</v>
      </c>
      <c r="O270" s="484">
        <f>N270/2</f>
        <v>0</v>
      </c>
      <c r="P270" s="487"/>
      <c r="Q270" s="479"/>
      <c r="R270" s="484"/>
      <c r="S270" s="484"/>
      <c r="T270" s="479"/>
      <c r="U270" s="479"/>
    </row>
    <row r="271" spans="2:21" x14ac:dyDescent="0.3">
      <c r="B271" s="479"/>
      <c r="C271" s="479"/>
      <c r="D271" s="479"/>
      <c r="E271" s="479"/>
      <c r="F271" s="491"/>
      <c r="G271" s="482" t="str">
        <f t="shared" ca="1" si="10"/>
        <v/>
      </c>
      <c r="H271" s="483" t="str">
        <f ca="1">IFERROR(IF(OR($C$11="",$C$11=0),"",IF(OR($D$11=0,$D$11=""),IF(NOT(ISNUMBER(INDEX($F$7:$F$1000,ROWS($I$7:I271)*$C$11))),"",$B$5+SUM(OFFSET($F$7,0,0,ROWS($I$7:I271)*$C$11))),IF(NOT(ISNUMBER(INDEX($F$7:$F$1000,ROUNDUP(ROWS($I$7:I271)/2,0)*$C$11))),"",IF(MOD(ROWS($I$7:I271),2)=1,IF(ISNUMBER($B$5),$B$5+SUM(OFFSET($F$7,0,0,ROUNDUP(ROWS($I$7:I271)/2,0)*$C$11))-SUM(OFFSET($F$7,(ROUNDUP(ROWS($I$7:I271)/2,0)*$C$11)-$C$11,0,$C$11))+$D$11,""),$B$5+SUM(OFFSET($F$7,0,0,ROUNDUP(ROWS($I$7:I271)/2,0)*$C$11)))))),"")</f>
        <v/>
      </c>
      <c r="I271" s="484"/>
      <c r="J271" s="479"/>
      <c r="K271" s="484"/>
      <c r="L271" s="484"/>
      <c r="M271" s="479"/>
      <c r="N271" s="479"/>
      <c r="O271" s="484"/>
      <c r="P271" s="487"/>
      <c r="Q271" s="479"/>
      <c r="R271" s="484"/>
      <c r="S271" s="484"/>
      <c r="T271" s="479"/>
      <c r="U271" s="479"/>
    </row>
    <row r="272" spans="2:21" x14ac:dyDescent="0.3">
      <c r="B272" s="479"/>
      <c r="C272" s="479"/>
      <c r="D272" s="479"/>
      <c r="E272" s="479"/>
      <c r="F272" s="491"/>
      <c r="G272" s="482" t="str">
        <f t="shared" ca="1" si="10"/>
        <v/>
      </c>
      <c r="H272" s="483" t="str">
        <f ca="1">IFERROR(IF(OR($C$11="",$C$11=0),"",IF(OR($D$11=0,$D$11=""),IF(NOT(ISNUMBER(INDEX($F$7:$F$1000,ROWS($I$7:I272)*$C$11))),"",$B$5+SUM(OFFSET($F$7,0,0,ROWS($I$7:I272)*$C$11))),IF(NOT(ISNUMBER(INDEX($F$7:$F$1000,ROUNDUP(ROWS($I$7:I272)/2,0)*$C$11))),"",IF(MOD(ROWS($I$7:I272),2)=1,IF(ISNUMBER($B$5),$B$5+SUM(OFFSET($F$7,0,0,ROUNDUP(ROWS($I$7:I272)/2,0)*$C$11))-SUM(OFFSET($F$7,(ROUNDUP(ROWS($I$7:I272)/2,0)*$C$11)-$C$11,0,$C$11))+$D$11,""),$B$5+SUM(OFFSET($F$7,0,0,ROUNDUP(ROWS($I$7:I272)/2,0)*$C$11)))))),"")</f>
        <v/>
      </c>
      <c r="I272" s="484"/>
      <c r="J272" s="479"/>
      <c r="K272" s="484"/>
      <c r="L272" s="484"/>
      <c r="M272" s="479"/>
      <c r="N272" s="479"/>
      <c r="O272" s="484">
        <f>N273/2</f>
        <v>0</v>
      </c>
      <c r="P272" s="487"/>
      <c r="Q272" s="479"/>
      <c r="R272" s="484"/>
      <c r="S272" s="484"/>
      <c r="T272" s="479"/>
      <c r="U272" s="479"/>
    </row>
    <row r="273" spans="2:21" x14ac:dyDescent="0.3">
      <c r="B273" s="479"/>
      <c r="C273" s="479"/>
      <c r="D273" s="479"/>
      <c r="E273" s="479"/>
      <c r="F273" s="491"/>
      <c r="G273" s="482" t="str">
        <f t="shared" ca="1" si="10"/>
        <v/>
      </c>
      <c r="H273" s="483" t="str">
        <f ca="1">IFERROR(IF(OR($C$11="",$C$11=0),"",IF(OR($D$11=0,$D$11=""),IF(NOT(ISNUMBER(INDEX($F$7:$F$1000,ROWS($I$7:I273)*$C$11))),"",$B$5+SUM(OFFSET($F$7,0,0,ROWS($I$7:I273)*$C$11))),IF(NOT(ISNUMBER(INDEX($F$7:$F$1000,ROUNDUP(ROWS($I$7:I273)/2,0)*$C$11))),"",IF(MOD(ROWS($I$7:I273),2)=1,IF(ISNUMBER($B$5),$B$5+SUM(OFFSET($F$7,0,0,ROUNDUP(ROWS($I$7:I273)/2,0)*$C$11))-SUM(OFFSET($F$7,(ROUNDUP(ROWS($I$7:I273)/2,0)*$C$11)-$C$11,0,$C$11))+$D$11,""),$B$5+SUM(OFFSET($F$7,0,0,ROUNDUP(ROWS($I$7:I273)/2,0)*$C$11)))))),"")</f>
        <v/>
      </c>
      <c r="I273" s="484"/>
      <c r="J273" s="479"/>
      <c r="K273" s="484"/>
      <c r="L273" s="484"/>
      <c r="M273" s="479"/>
      <c r="N273" s="484">
        <f>F271+F272+F273</f>
        <v>0</v>
      </c>
      <c r="O273" s="484">
        <f>N273/2</f>
        <v>0</v>
      </c>
      <c r="P273" s="487"/>
      <c r="Q273" s="479"/>
      <c r="R273" s="484"/>
      <c r="S273" s="484"/>
      <c r="T273" s="479"/>
      <c r="U273" s="479"/>
    </row>
    <row r="274" spans="2:21" x14ac:dyDescent="0.3">
      <c r="B274" s="479"/>
      <c r="C274" s="479"/>
      <c r="D274" s="479"/>
      <c r="E274" s="479"/>
      <c r="F274" s="491"/>
      <c r="G274" s="482" t="str">
        <f t="shared" ca="1" si="10"/>
        <v/>
      </c>
      <c r="H274" s="483" t="str">
        <f ca="1">IFERROR(IF(OR($C$11="",$C$11=0),"",IF(OR($D$11=0,$D$11=""),IF(NOT(ISNUMBER(INDEX($F$7:$F$1000,ROWS($I$7:I274)*$C$11))),"",$B$5+SUM(OFFSET($F$7,0,0,ROWS($I$7:I274)*$C$11))),IF(NOT(ISNUMBER(INDEX($F$7:$F$1000,ROUNDUP(ROWS($I$7:I274)/2,0)*$C$11))),"",IF(MOD(ROWS($I$7:I274),2)=1,IF(ISNUMBER($B$5),$B$5+SUM(OFFSET($F$7,0,0,ROUNDUP(ROWS($I$7:I274)/2,0)*$C$11))-SUM(OFFSET($F$7,(ROUNDUP(ROWS($I$7:I274)/2,0)*$C$11)-$C$11,0,$C$11))+$D$11,""),$B$5+SUM(OFFSET($F$7,0,0,ROUNDUP(ROWS($I$7:I274)/2,0)*$C$11)))))),"")</f>
        <v/>
      </c>
      <c r="I274" s="484"/>
      <c r="J274" s="479"/>
      <c r="K274" s="484"/>
      <c r="L274" s="484"/>
      <c r="M274" s="479"/>
      <c r="N274" s="479"/>
      <c r="O274" s="484"/>
      <c r="P274" s="487"/>
      <c r="Q274" s="479"/>
      <c r="R274" s="484"/>
      <c r="S274" s="484"/>
      <c r="T274" s="479"/>
      <c r="U274" s="479"/>
    </row>
    <row r="275" spans="2:21" x14ac:dyDescent="0.3">
      <c r="B275" s="479"/>
      <c r="C275" s="479"/>
      <c r="D275" s="479"/>
      <c r="E275" s="479"/>
      <c r="F275" s="491"/>
      <c r="G275" s="482" t="str">
        <f t="shared" ca="1" si="10"/>
        <v/>
      </c>
      <c r="H275" s="483" t="str">
        <f ca="1">IFERROR(IF(OR($C$11="",$C$11=0),"",IF(OR($D$11=0,$D$11=""),IF(NOT(ISNUMBER(INDEX($F$7:$F$1000,ROWS($I$7:I275)*$C$11))),"",$B$5+SUM(OFFSET($F$7,0,0,ROWS($I$7:I275)*$C$11))),IF(NOT(ISNUMBER(INDEX($F$7:$F$1000,ROUNDUP(ROWS($I$7:I275)/2,0)*$C$11))),"",IF(MOD(ROWS($I$7:I275),2)=1,IF(ISNUMBER($B$5),$B$5+SUM(OFFSET($F$7,0,0,ROUNDUP(ROWS($I$7:I275)/2,0)*$C$11))-SUM(OFFSET($F$7,(ROUNDUP(ROWS($I$7:I275)/2,0)*$C$11)-$C$11,0,$C$11))+$D$11,""),$B$5+SUM(OFFSET($F$7,0,0,ROUNDUP(ROWS($I$7:I275)/2,0)*$C$11)))))),"")</f>
        <v/>
      </c>
      <c r="I275" s="484"/>
      <c r="J275" s="479"/>
      <c r="K275" s="484"/>
      <c r="L275" s="484"/>
      <c r="M275" s="479"/>
      <c r="N275" s="479"/>
      <c r="O275" s="484">
        <f>N276/2</f>
        <v>0</v>
      </c>
      <c r="P275" s="487"/>
      <c r="Q275" s="479"/>
      <c r="R275" s="484"/>
      <c r="S275" s="484"/>
      <c r="T275" s="479"/>
      <c r="U275" s="479"/>
    </row>
    <row r="276" spans="2:21" x14ac:dyDescent="0.3">
      <c r="B276" s="479"/>
      <c r="C276" s="479"/>
      <c r="D276" s="479"/>
      <c r="E276" s="479"/>
      <c r="F276" s="491"/>
      <c r="G276" s="482" t="str">
        <f t="shared" ca="1" si="10"/>
        <v/>
      </c>
      <c r="H276" s="483" t="str">
        <f ca="1">IFERROR(IF(OR($C$11="",$C$11=0),"",IF(OR($D$11=0,$D$11=""),IF(NOT(ISNUMBER(INDEX($F$7:$F$1000,ROWS($I$7:I276)*$C$11))),"",$B$5+SUM(OFFSET($F$7,0,0,ROWS($I$7:I276)*$C$11))),IF(NOT(ISNUMBER(INDEX($F$7:$F$1000,ROUNDUP(ROWS($I$7:I276)/2,0)*$C$11))),"",IF(MOD(ROWS($I$7:I276),2)=1,IF(ISNUMBER($B$5),$B$5+SUM(OFFSET($F$7,0,0,ROUNDUP(ROWS($I$7:I276)/2,0)*$C$11))-SUM(OFFSET($F$7,(ROUNDUP(ROWS($I$7:I276)/2,0)*$C$11)-$C$11,0,$C$11))+$D$11,""),$B$5+SUM(OFFSET($F$7,0,0,ROUNDUP(ROWS($I$7:I276)/2,0)*$C$11)))))),"")</f>
        <v/>
      </c>
      <c r="I276" s="484"/>
      <c r="J276" s="479"/>
      <c r="K276" s="484"/>
      <c r="L276" s="484"/>
      <c r="M276" s="479"/>
      <c r="N276" s="484">
        <f>F274+F275+F276</f>
        <v>0</v>
      </c>
      <c r="O276" s="484">
        <f>N276/2</f>
        <v>0</v>
      </c>
      <c r="P276" s="487"/>
      <c r="Q276" s="479"/>
      <c r="R276" s="484"/>
      <c r="S276" s="484"/>
      <c r="T276" s="479"/>
      <c r="U276" s="479"/>
    </row>
    <row r="277" spans="2:21" x14ac:dyDescent="0.3">
      <c r="B277" s="479"/>
      <c r="C277" s="479"/>
      <c r="D277" s="479"/>
      <c r="E277" s="479"/>
      <c r="F277" s="491"/>
      <c r="G277" s="482" t="str">
        <f t="shared" ca="1" si="10"/>
        <v/>
      </c>
      <c r="H277" s="483" t="str">
        <f ca="1">IFERROR(IF(OR($C$11="",$C$11=0),"",IF(OR($D$11=0,$D$11=""),IF(NOT(ISNUMBER(INDEX($F$7:$F$1000,ROWS($I$7:I277)*$C$11))),"",$B$5+SUM(OFFSET($F$7,0,0,ROWS($I$7:I277)*$C$11))),IF(NOT(ISNUMBER(INDEX($F$7:$F$1000,ROUNDUP(ROWS($I$7:I277)/2,0)*$C$11))),"",IF(MOD(ROWS($I$7:I277),2)=1,IF(ISNUMBER($B$5),$B$5+SUM(OFFSET($F$7,0,0,ROUNDUP(ROWS($I$7:I277)/2,0)*$C$11))-SUM(OFFSET($F$7,(ROUNDUP(ROWS($I$7:I277)/2,0)*$C$11)-$C$11,0,$C$11))+$D$11,""),$B$5+SUM(OFFSET($F$7,0,0,ROUNDUP(ROWS($I$7:I277)/2,0)*$C$11)))))),"")</f>
        <v/>
      </c>
      <c r="I277" s="484"/>
      <c r="J277" s="479"/>
      <c r="K277" s="484"/>
      <c r="L277" s="484"/>
      <c r="M277" s="479"/>
      <c r="N277" s="479"/>
      <c r="O277" s="484"/>
      <c r="P277" s="487"/>
      <c r="Q277" s="479"/>
      <c r="R277" s="484"/>
      <c r="S277" s="484"/>
      <c r="T277" s="479"/>
      <c r="U277" s="479"/>
    </row>
    <row r="278" spans="2:21" x14ac:dyDescent="0.3">
      <c r="B278" s="479"/>
      <c r="C278" s="479"/>
      <c r="D278" s="479"/>
      <c r="E278" s="479"/>
      <c r="F278" s="491"/>
      <c r="G278" s="482" t="str">
        <f t="shared" ca="1" si="10"/>
        <v/>
      </c>
      <c r="H278" s="483" t="str">
        <f ca="1">IFERROR(IF(OR($C$11="",$C$11=0),"",IF(OR($D$11=0,$D$11=""),IF(NOT(ISNUMBER(INDEX($F$7:$F$1000,ROWS($I$7:I278)*$C$11))),"",$B$5+SUM(OFFSET($F$7,0,0,ROWS($I$7:I278)*$C$11))),IF(NOT(ISNUMBER(INDEX($F$7:$F$1000,ROUNDUP(ROWS($I$7:I278)/2,0)*$C$11))),"",IF(MOD(ROWS($I$7:I278),2)=1,IF(ISNUMBER($B$5),$B$5+SUM(OFFSET($F$7,0,0,ROUNDUP(ROWS($I$7:I278)/2,0)*$C$11))-SUM(OFFSET($F$7,(ROUNDUP(ROWS($I$7:I278)/2,0)*$C$11)-$C$11,0,$C$11))+$D$11,""),$B$5+SUM(OFFSET($F$7,0,0,ROUNDUP(ROWS($I$7:I278)/2,0)*$C$11)))))),"")</f>
        <v/>
      </c>
      <c r="I278" s="484"/>
      <c r="J278" s="479"/>
      <c r="K278" s="484"/>
      <c r="L278" s="484"/>
      <c r="M278" s="479"/>
      <c r="N278" s="479"/>
      <c r="O278" s="484">
        <f>N279/2</f>
        <v>0</v>
      </c>
      <c r="P278" s="487"/>
      <c r="Q278" s="479"/>
      <c r="R278" s="484"/>
      <c r="S278" s="484"/>
      <c r="T278" s="479"/>
      <c r="U278" s="479"/>
    </row>
    <row r="279" spans="2:21" x14ac:dyDescent="0.3">
      <c r="B279" s="479"/>
      <c r="C279" s="479"/>
      <c r="D279" s="479"/>
      <c r="E279" s="479"/>
      <c r="F279" s="491"/>
      <c r="G279" s="482" t="str">
        <f t="shared" ca="1" si="10"/>
        <v/>
      </c>
      <c r="H279" s="483" t="str">
        <f ca="1">IFERROR(IF(OR($C$11="",$C$11=0),"",IF(OR($D$11=0,$D$11=""),IF(NOT(ISNUMBER(INDEX($F$7:$F$1000,ROWS($I$7:I279)*$C$11))),"",$B$5+SUM(OFFSET($F$7,0,0,ROWS($I$7:I279)*$C$11))),IF(NOT(ISNUMBER(INDEX($F$7:$F$1000,ROUNDUP(ROWS($I$7:I279)/2,0)*$C$11))),"",IF(MOD(ROWS($I$7:I279),2)=1,IF(ISNUMBER($B$5),$B$5+SUM(OFFSET($F$7,0,0,ROUNDUP(ROWS($I$7:I279)/2,0)*$C$11))-SUM(OFFSET($F$7,(ROUNDUP(ROWS($I$7:I279)/2,0)*$C$11)-$C$11,0,$C$11))+$D$11,""),$B$5+SUM(OFFSET($F$7,0,0,ROUNDUP(ROWS($I$7:I279)/2,0)*$C$11)))))),"")</f>
        <v/>
      </c>
      <c r="I279" s="484"/>
      <c r="J279" s="479"/>
      <c r="K279" s="484"/>
      <c r="L279" s="484"/>
      <c r="M279" s="479"/>
      <c r="N279" s="484">
        <f>F277+F278+F279</f>
        <v>0</v>
      </c>
      <c r="O279" s="484">
        <f>N279/2</f>
        <v>0</v>
      </c>
      <c r="P279" s="487"/>
      <c r="Q279" s="479"/>
      <c r="R279" s="484"/>
      <c r="S279" s="484"/>
      <c r="T279" s="479"/>
      <c r="U279" s="479"/>
    </row>
    <row r="280" spans="2:21" x14ac:dyDescent="0.3">
      <c r="B280" s="479"/>
      <c r="C280" s="479"/>
      <c r="D280" s="479"/>
      <c r="E280" s="479"/>
      <c r="F280" s="491"/>
      <c r="G280" s="482" t="str">
        <f t="shared" ca="1" si="10"/>
        <v/>
      </c>
      <c r="H280" s="483" t="str">
        <f ca="1">IFERROR(IF(OR($C$11="",$C$11=0),"",IF(OR($D$11=0,$D$11=""),IF(NOT(ISNUMBER(INDEX($F$7:$F$1000,ROWS($I$7:I280)*$C$11))),"",$B$5+SUM(OFFSET($F$7,0,0,ROWS($I$7:I280)*$C$11))),IF(NOT(ISNUMBER(INDEX($F$7:$F$1000,ROUNDUP(ROWS($I$7:I280)/2,0)*$C$11))),"",IF(MOD(ROWS($I$7:I280),2)=1,IF(ISNUMBER($B$5),$B$5+SUM(OFFSET($F$7,0,0,ROUNDUP(ROWS($I$7:I280)/2,0)*$C$11))-SUM(OFFSET($F$7,(ROUNDUP(ROWS($I$7:I280)/2,0)*$C$11)-$C$11,0,$C$11))+$D$11,""),$B$5+SUM(OFFSET($F$7,0,0,ROUNDUP(ROWS($I$7:I280)/2,0)*$C$11)))))),"")</f>
        <v/>
      </c>
      <c r="I280" s="484"/>
      <c r="J280" s="479"/>
      <c r="K280" s="484"/>
      <c r="L280" s="484"/>
      <c r="M280" s="479"/>
      <c r="N280" s="479"/>
      <c r="O280" s="484"/>
      <c r="P280" s="487"/>
      <c r="Q280" s="479"/>
      <c r="R280" s="484"/>
      <c r="S280" s="484"/>
      <c r="T280" s="479"/>
      <c r="U280" s="479"/>
    </row>
    <row r="281" spans="2:21" x14ac:dyDescent="0.3">
      <c r="B281" s="479"/>
      <c r="C281" s="479"/>
      <c r="D281" s="479"/>
      <c r="E281" s="479"/>
      <c r="F281" s="491"/>
      <c r="G281" s="482" t="str">
        <f t="shared" ca="1" si="10"/>
        <v/>
      </c>
      <c r="H281" s="483" t="str">
        <f ca="1">IFERROR(IF(OR($C$11="",$C$11=0),"",IF(OR($D$11=0,$D$11=""),IF(NOT(ISNUMBER(INDEX($F$7:$F$1000,ROWS($I$7:I281)*$C$11))),"",$B$5+SUM(OFFSET($F$7,0,0,ROWS($I$7:I281)*$C$11))),IF(NOT(ISNUMBER(INDEX($F$7:$F$1000,ROUNDUP(ROWS($I$7:I281)/2,0)*$C$11))),"",IF(MOD(ROWS($I$7:I281),2)=1,IF(ISNUMBER($B$5),$B$5+SUM(OFFSET($F$7,0,0,ROUNDUP(ROWS($I$7:I281)/2,0)*$C$11))-SUM(OFFSET($F$7,(ROUNDUP(ROWS($I$7:I281)/2,0)*$C$11)-$C$11,0,$C$11))+$D$11,""),$B$5+SUM(OFFSET($F$7,0,0,ROUNDUP(ROWS($I$7:I281)/2,0)*$C$11)))))),"")</f>
        <v/>
      </c>
      <c r="I281" s="484"/>
      <c r="J281" s="479"/>
      <c r="K281" s="484"/>
      <c r="L281" s="484"/>
      <c r="M281" s="479"/>
      <c r="N281" s="479"/>
      <c r="O281" s="484">
        <f>N282/2</f>
        <v>0</v>
      </c>
      <c r="P281" s="487"/>
      <c r="Q281" s="479"/>
      <c r="R281" s="484"/>
      <c r="S281" s="484"/>
      <c r="T281" s="479"/>
      <c r="U281" s="479"/>
    </row>
    <row r="282" spans="2:21" x14ac:dyDescent="0.3">
      <c r="B282" s="479"/>
      <c r="C282" s="479"/>
      <c r="D282" s="479"/>
      <c r="E282" s="479"/>
      <c r="F282" s="491"/>
      <c r="G282" s="482" t="str">
        <f t="shared" ca="1" si="10"/>
        <v/>
      </c>
      <c r="H282" s="483" t="str">
        <f ca="1">IFERROR(IF(OR($C$11="",$C$11=0),"",IF(OR($D$11=0,$D$11=""),IF(NOT(ISNUMBER(INDEX($F$7:$F$1000,ROWS($I$7:I282)*$C$11))),"",$B$5+SUM(OFFSET($F$7,0,0,ROWS($I$7:I282)*$C$11))),IF(NOT(ISNUMBER(INDEX($F$7:$F$1000,ROUNDUP(ROWS($I$7:I282)/2,0)*$C$11))),"",IF(MOD(ROWS($I$7:I282),2)=1,IF(ISNUMBER($B$5),$B$5+SUM(OFFSET($F$7,0,0,ROUNDUP(ROWS($I$7:I282)/2,0)*$C$11))-SUM(OFFSET($F$7,(ROUNDUP(ROWS($I$7:I282)/2,0)*$C$11)-$C$11,0,$C$11))+$D$11,""),$B$5+SUM(OFFSET($F$7,0,0,ROUNDUP(ROWS($I$7:I282)/2,0)*$C$11)))))),"")</f>
        <v/>
      </c>
      <c r="I282" s="484"/>
      <c r="J282" s="479"/>
      <c r="K282" s="484"/>
      <c r="L282" s="484"/>
      <c r="M282" s="479"/>
      <c r="N282" s="484">
        <f>F280+F281+F282</f>
        <v>0</v>
      </c>
      <c r="O282" s="484">
        <f>N282/2</f>
        <v>0</v>
      </c>
      <c r="P282" s="487"/>
      <c r="Q282" s="479"/>
      <c r="R282" s="484"/>
      <c r="S282" s="484"/>
      <c r="T282" s="479"/>
      <c r="U282" s="479"/>
    </row>
    <row r="283" spans="2:21" x14ac:dyDescent="0.3">
      <c r="B283" s="479"/>
      <c r="C283" s="479"/>
      <c r="D283" s="479"/>
      <c r="E283" s="479"/>
      <c r="F283" s="491"/>
      <c r="G283" s="482" t="str">
        <f t="shared" ca="1" si="10"/>
        <v/>
      </c>
      <c r="H283" s="483" t="str">
        <f ca="1">IFERROR(IF(OR($C$11="",$C$11=0),"",IF(OR($D$11=0,$D$11=""),IF(NOT(ISNUMBER(INDEX($F$7:$F$1000,ROWS($I$7:I283)*$C$11))),"",$B$5+SUM(OFFSET($F$7,0,0,ROWS($I$7:I283)*$C$11))),IF(NOT(ISNUMBER(INDEX($F$7:$F$1000,ROUNDUP(ROWS($I$7:I283)/2,0)*$C$11))),"",IF(MOD(ROWS($I$7:I283),2)=1,IF(ISNUMBER($B$5),$B$5+SUM(OFFSET($F$7,0,0,ROUNDUP(ROWS($I$7:I283)/2,0)*$C$11))-SUM(OFFSET($F$7,(ROUNDUP(ROWS($I$7:I283)/2,0)*$C$11)-$C$11,0,$C$11))+$D$11,""),$B$5+SUM(OFFSET($F$7,0,0,ROUNDUP(ROWS($I$7:I283)/2,0)*$C$11)))))),"")</f>
        <v/>
      </c>
      <c r="I283" s="484"/>
      <c r="J283" s="479"/>
      <c r="K283" s="484"/>
      <c r="L283" s="484"/>
      <c r="M283" s="479"/>
      <c r="N283" s="479"/>
      <c r="O283" s="484"/>
      <c r="P283" s="487"/>
      <c r="Q283" s="479"/>
      <c r="R283" s="484"/>
      <c r="S283" s="484"/>
      <c r="T283" s="479"/>
      <c r="U283" s="479"/>
    </row>
    <row r="284" spans="2:21" x14ac:dyDescent="0.3">
      <c r="B284" s="479"/>
      <c r="C284" s="479"/>
      <c r="D284" s="479"/>
      <c r="E284" s="479"/>
      <c r="F284" s="491"/>
      <c r="G284" s="482" t="str">
        <f t="shared" ca="1" si="10"/>
        <v/>
      </c>
      <c r="H284" s="483" t="str">
        <f ca="1">IFERROR(IF(OR($C$11="",$C$11=0),"",IF(OR($D$11=0,$D$11=""),IF(NOT(ISNUMBER(INDEX($F$7:$F$1000,ROWS($I$7:I284)*$C$11))),"",$B$5+SUM(OFFSET($F$7,0,0,ROWS($I$7:I284)*$C$11))),IF(NOT(ISNUMBER(INDEX($F$7:$F$1000,ROUNDUP(ROWS($I$7:I284)/2,0)*$C$11))),"",IF(MOD(ROWS($I$7:I284),2)=1,IF(ISNUMBER($B$5),$B$5+SUM(OFFSET($F$7,0,0,ROUNDUP(ROWS($I$7:I284)/2,0)*$C$11))-SUM(OFFSET($F$7,(ROUNDUP(ROWS($I$7:I284)/2,0)*$C$11)-$C$11,0,$C$11))+$D$11,""),$B$5+SUM(OFFSET($F$7,0,0,ROUNDUP(ROWS($I$7:I284)/2,0)*$C$11)))))),"")</f>
        <v/>
      </c>
      <c r="I284" s="484"/>
      <c r="J284" s="479"/>
      <c r="K284" s="484"/>
      <c r="L284" s="484"/>
      <c r="M284" s="479"/>
      <c r="N284" s="479"/>
      <c r="O284" s="484">
        <f>N285/2</f>
        <v>0</v>
      </c>
      <c r="P284" s="487"/>
      <c r="Q284" s="479"/>
      <c r="R284" s="484"/>
      <c r="S284" s="484"/>
      <c r="T284" s="479"/>
      <c r="U284" s="479"/>
    </row>
    <row r="285" spans="2:21" x14ac:dyDescent="0.3">
      <c r="B285" s="479"/>
      <c r="C285" s="479"/>
      <c r="D285" s="479"/>
      <c r="E285" s="479"/>
      <c r="F285" s="491"/>
      <c r="G285" s="482" t="str">
        <f t="shared" ca="1" si="10"/>
        <v/>
      </c>
      <c r="H285" s="483" t="str">
        <f ca="1">IFERROR(IF(OR($C$11="",$C$11=0),"",IF(OR($D$11=0,$D$11=""),IF(NOT(ISNUMBER(INDEX($F$7:$F$1000,ROWS($I$7:I285)*$C$11))),"",$B$5+SUM(OFFSET($F$7,0,0,ROWS($I$7:I285)*$C$11))),IF(NOT(ISNUMBER(INDEX($F$7:$F$1000,ROUNDUP(ROWS($I$7:I285)/2,0)*$C$11))),"",IF(MOD(ROWS($I$7:I285),2)=1,IF(ISNUMBER($B$5),$B$5+SUM(OFFSET($F$7,0,0,ROUNDUP(ROWS($I$7:I285)/2,0)*$C$11))-SUM(OFFSET($F$7,(ROUNDUP(ROWS($I$7:I285)/2,0)*$C$11)-$C$11,0,$C$11))+$D$11,""),$B$5+SUM(OFFSET($F$7,0,0,ROUNDUP(ROWS($I$7:I285)/2,0)*$C$11)))))),"")</f>
        <v/>
      </c>
      <c r="I285" s="484"/>
      <c r="J285" s="479"/>
      <c r="K285" s="484"/>
      <c r="L285" s="484"/>
      <c r="M285" s="479"/>
      <c r="N285" s="484">
        <f>F283+F284+F285</f>
        <v>0</v>
      </c>
      <c r="O285" s="484">
        <f>N285/2</f>
        <v>0</v>
      </c>
      <c r="P285" s="487"/>
      <c r="Q285" s="479"/>
      <c r="R285" s="484"/>
      <c r="S285" s="484"/>
      <c r="T285" s="479"/>
      <c r="U285" s="479"/>
    </row>
    <row r="286" spans="2:21" x14ac:dyDescent="0.3">
      <c r="B286" s="479"/>
      <c r="C286" s="479"/>
      <c r="D286" s="479"/>
      <c r="E286" s="479"/>
      <c r="F286" s="491"/>
      <c r="G286" s="482" t="str">
        <f t="shared" ca="1" si="10"/>
        <v/>
      </c>
      <c r="H286" s="483" t="str">
        <f ca="1">IFERROR(IF(OR($C$11="",$C$11=0),"",IF(OR($D$11=0,$D$11=""),IF(NOT(ISNUMBER(INDEX($F$7:$F$1000,ROWS($I$7:I286)*$C$11))),"",$B$5+SUM(OFFSET($F$7,0,0,ROWS($I$7:I286)*$C$11))),IF(NOT(ISNUMBER(INDEX($F$7:$F$1000,ROUNDUP(ROWS($I$7:I286)/2,0)*$C$11))),"",IF(MOD(ROWS($I$7:I286),2)=1,IF(ISNUMBER($B$5),$B$5+SUM(OFFSET($F$7,0,0,ROUNDUP(ROWS($I$7:I286)/2,0)*$C$11))-SUM(OFFSET($F$7,(ROUNDUP(ROWS($I$7:I286)/2,0)*$C$11)-$C$11,0,$C$11))+$D$11,""),$B$5+SUM(OFFSET($F$7,0,0,ROUNDUP(ROWS($I$7:I286)/2,0)*$C$11)))))),"")</f>
        <v/>
      </c>
      <c r="I286" s="484"/>
      <c r="J286" s="479"/>
      <c r="K286" s="484"/>
      <c r="L286" s="484"/>
      <c r="M286" s="479"/>
      <c r="N286" s="479"/>
      <c r="O286" s="484"/>
      <c r="P286" s="487"/>
      <c r="Q286" s="479"/>
      <c r="R286" s="484"/>
      <c r="S286" s="484"/>
      <c r="T286" s="479"/>
      <c r="U286" s="479"/>
    </row>
    <row r="287" spans="2:21" x14ac:dyDescent="0.3">
      <c r="B287" s="479"/>
      <c r="C287" s="479"/>
      <c r="D287" s="479"/>
      <c r="E287" s="479"/>
      <c r="F287" s="491"/>
      <c r="G287" s="482" t="str">
        <f t="shared" ca="1" si="10"/>
        <v/>
      </c>
      <c r="H287" s="483" t="str">
        <f ca="1">IFERROR(IF(OR($C$11="",$C$11=0),"",IF(OR($D$11=0,$D$11=""),IF(NOT(ISNUMBER(INDEX($F$7:$F$1000,ROWS($I$7:I287)*$C$11))),"",$B$5+SUM(OFFSET($F$7,0,0,ROWS($I$7:I287)*$C$11))),IF(NOT(ISNUMBER(INDEX($F$7:$F$1000,ROUNDUP(ROWS($I$7:I287)/2,0)*$C$11))),"",IF(MOD(ROWS($I$7:I287),2)=1,IF(ISNUMBER($B$5),$B$5+SUM(OFFSET($F$7,0,0,ROUNDUP(ROWS($I$7:I287)/2,0)*$C$11))-SUM(OFFSET($F$7,(ROUNDUP(ROWS($I$7:I287)/2,0)*$C$11)-$C$11,0,$C$11))+$D$11,""),$B$5+SUM(OFFSET($F$7,0,0,ROUNDUP(ROWS($I$7:I287)/2,0)*$C$11)))))),"")</f>
        <v/>
      </c>
      <c r="I287" s="484"/>
      <c r="J287" s="479"/>
      <c r="K287" s="484"/>
      <c r="L287" s="484"/>
      <c r="M287" s="479"/>
      <c r="N287" s="479"/>
      <c r="O287" s="484">
        <f>N288/2</f>
        <v>0</v>
      </c>
      <c r="P287" s="487"/>
      <c r="Q287" s="479"/>
      <c r="R287" s="484"/>
      <c r="S287" s="484"/>
      <c r="T287" s="479"/>
      <c r="U287" s="479"/>
    </row>
    <row r="288" spans="2:21" x14ac:dyDescent="0.3">
      <c r="B288" s="479"/>
      <c r="C288" s="479"/>
      <c r="D288" s="479"/>
      <c r="E288" s="479"/>
      <c r="F288" s="491"/>
      <c r="G288" s="482" t="str">
        <f t="shared" ca="1" si="10"/>
        <v/>
      </c>
      <c r="H288" s="483" t="str">
        <f ca="1">IFERROR(IF(OR($C$11="",$C$11=0),"",IF(OR($D$11=0,$D$11=""),IF(NOT(ISNUMBER(INDEX($F$7:$F$1000,ROWS($I$7:I288)*$C$11))),"",$B$5+SUM(OFFSET($F$7,0,0,ROWS($I$7:I288)*$C$11))),IF(NOT(ISNUMBER(INDEX($F$7:$F$1000,ROUNDUP(ROWS($I$7:I288)/2,0)*$C$11))),"",IF(MOD(ROWS($I$7:I288),2)=1,IF(ISNUMBER($B$5),$B$5+SUM(OFFSET($F$7,0,0,ROUNDUP(ROWS($I$7:I288)/2,0)*$C$11))-SUM(OFFSET($F$7,(ROUNDUP(ROWS($I$7:I288)/2,0)*$C$11)-$C$11,0,$C$11))+$D$11,""),$B$5+SUM(OFFSET($F$7,0,0,ROUNDUP(ROWS($I$7:I288)/2,0)*$C$11)))))),"")</f>
        <v/>
      </c>
      <c r="I288" s="484"/>
      <c r="J288" s="479"/>
      <c r="K288" s="484"/>
      <c r="L288" s="484"/>
      <c r="M288" s="479"/>
      <c r="N288" s="484">
        <f>F286+F287+F288</f>
        <v>0</v>
      </c>
      <c r="O288" s="484">
        <f>N288/2</f>
        <v>0</v>
      </c>
      <c r="P288" s="487"/>
      <c r="Q288" s="479"/>
      <c r="R288" s="484"/>
      <c r="S288" s="484"/>
      <c r="T288" s="479"/>
      <c r="U288" s="479"/>
    </row>
    <row r="289" spans="2:21" x14ac:dyDescent="0.3">
      <c r="B289" s="479"/>
      <c r="C289" s="479"/>
      <c r="D289" s="479"/>
      <c r="E289" s="479"/>
      <c r="F289" s="491"/>
      <c r="G289" s="482" t="str">
        <f t="shared" ca="1" si="10"/>
        <v/>
      </c>
      <c r="H289" s="483" t="str">
        <f ca="1">IFERROR(IF(OR($C$11="",$C$11=0),"",IF(OR($D$11=0,$D$11=""),IF(NOT(ISNUMBER(INDEX($F$7:$F$1000,ROWS($I$7:I289)*$C$11))),"",$B$5+SUM(OFFSET($F$7,0,0,ROWS($I$7:I289)*$C$11))),IF(NOT(ISNUMBER(INDEX($F$7:$F$1000,ROUNDUP(ROWS($I$7:I289)/2,0)*$C$11))),"",IF(MOD(ROWS($I$7:I289),2)=1,IF(ISNUMBER($B$5),$B$5+SUM(OFFSET($F$7,0,0,ROUNDUP(ROWS($I$7:I289)/2,0)*$C$11))-SUM(OFFSET($F$7,(ROUNDUP(ROWS($I$7:I289)/2,0)*$C$11)-$C$11,0,$C$11))+$D$11,""),$B$5+SUM(OFFSET($F$7,0,0,ROUNDUP(ROWS($I$7:I289)/2,0)*$C$11)))))),"")</f>
        <v/>
      </c>
      <c r="I289" s="484"/>
      <c r="J289" s="479"/>
      <c r="K289" s="484"/>
      <c r="L289" s="484"/>
      <c r="M289" s="479"/>
      <c r="N289" s="479"/>
      <c r="O289" s="484"/>
      <c r="P289" s="487"/>
      <c r="Q289" s="479"/>
      <c r="R289" s="484"/>
      <c r="S289" s="484"/>
      <c r="T289" s="479"/>
      <c r="U289" s="479"/>
    </row>
    <row r="290" spans="2:21" x14ac:dyDescent="0.3">
      <c r="B290" s="479"/>
      <c r="C290" s="479"/>
      <c r="D290" s="479"/>
      <c r="E290" s="479"/>
      <c r="F290" s="491"/>
      <c r="G290" s="482" t="str">
        <f t="shared" ref="G290:G315" ca="1" si="11">IF(OR(H290="", H290=H289), "", H290-H289)</f>
        <v/>
      </c>
      <c r="H290" s="483" t="str">
        <f ca="1">IFERROR(IF(OR($C$11="",$C$11=0),"",IF(OR($D$11=0,$D$11=""),IF(NOT(ISNUMBER(INDEX($F$7:$F$1000,ROWS($I$7:I290)*$C$11))),"",$B$5+SUM(OFFSET($F$7,0,0,ROWS($I$7:I290)*$C$11))),IF(NOT(ISNUMBER(INDEX($F$7:$F$1000,ROUNDUP(ROWS($I$7:I290)/2,0)*$C$11))),"",IF(MOD(ROWS($I$7:I290),2)=1,IF(ISNUMBER($B$5),$B$5+SUM(OFFSET($F$7,0,0,ROUNDUP(ROWS($I$7:I290)/2,0)*$C$11))-SUM(OFFSET($F$7,(ROUNDUP(ROWS($I$7:I290)/2,0)*$C$11)-$C$11,0,$C$11))+$D$11,""),$B$5+SUM(OFFSET($F$7,0,0,ROUNDUP(ROWS($I$7:I290)/2,0)*$C$11)))))),"")</f>
        <v/>
      </c>
      <c r="I290" s="484"/>
      <c r="J290" s="479"/>
      <c r="K290" s="484"/>
      <c r="L290" s="484"/>
      <c r="M290" s="479"/>
      <c r="N290" s="479"/>
      <c r="O290" s="484">
        <f>N291/2</f>
        <v>0</v>
      </c>
      <c r="P290" s="487"/>
      <c r="Q290" s="479"/>
      <c r="R290" s="484"/>
      <c r="S290" s="484"/>
      <c r="T290" s="479"/>
      <c r="U290" s="479"/>
    </row>
    <row r="291" spans="2:21" x14ac:dyDescent="0.3">
      <c r="B291" s="479"/>
      <c r="C291" s="479"/>
      <c r="D291" s="479"/>
      <c r="E291" s="479"/>
      <c r="F291" s="491"/>
      <c r="G291" s="482" t="str">
        <f t="shared" ca="1" si="11"/>
        <v/>
      </c>
      <c r="H291" s="483" t="str">
        <f ca="1">IFERROR(IF(OR($C$11="",$C$11=0),"",IF(OR($D$11=0,$D$11=""),IF(NOT(ISNUMBER(INDEX($F$7:$F$1000,ROWS($I$7:I291)*$C$11))),"",$B$5+SUM(OFFSET($F$7,0,0,ROWS($I$7:I291)*$C$11))),IF(NOT(ISNUMBER(INDEX($F$7:$F$1000,ROUNDUP(ROWS($I$7:I291)/2,0)*$C$11))),"",IF(MOD(ROWS($I$7:I291),2)=1,IF(ISNUMBER($B$5),$B$5+SUM(OFFSET($F$7,0,0,ROUNDUP(ROWS($I$7:I291)/2,0)*$C$11))-SUM(OFFSET($F$7,(ROUNDUP(ROWS($I$7:I291)/2,0)*$C$11)-$C$11,0,$C$11))+$D$11,""),$B$5+SUM(OFFSET($F$7,0,0,ROUNDUP(ROWS($I$7:I291)/2,0)*$C$11)))))),"")</f>
        <v/>
      </c>
      <c r="I291" s="484"/>
      <c r="J291" s="479"/>
      <c r="K291" s="484"/>
      <c r="L291" s="484"/>
      <c r="M291" s="479"/>
      <c r="N291" s="484">
        <f>F289+F290+F291</f>
        <v>0</v>
      </c>
      <c r="O291" s="484">
        <f>N291/2</f>
        <v>0</v>
      </c>
      <c r="P291" s="487"/>
      <c r="Q291" s="479"/>
      <c r="R291" s="484"/>
      <c r="S291" s="484"/>
      <c r="T291" s="479"/>
      <c r="U291" s="479"/>
    </row>
    <row r="292" spans="2:21" x14ac:dyDescent="0.3">
      <c r="B292" s="479"/>
      <c r="C292" s="479"/>
      <c r="D292" s="479"/>
      <c r="E292" s="479"/>
      <c r="F292" s="491"/>
      <c r="G292" s="482" t="str">
        <f t="shared" ca="1" si="11"/>
        <v/>
      </c>
      <c r="H292" s="483" t="str">
        <f ca="1">IFERROR(IF(OR($C$11="",$C$11=0),"",IF(OR($D$11=0,$D$11=""),IF(NOT(ISNUMBER(INDEX($F$7:$F$1000,ROWS($I$7:I292)*$C$11))),"",$B$5+SUM(OFFSET($F$7,0,0,ROWS($I$7:I292)*$C$11))),IF(NOT(ISNUMBER(INDEX($F$7:$F$1000,ROUNDUP(ROWS($I$7:I292)/2,0)*$C$11))),"",IF(MOD(ROWS($I$7:I292),2)=1,IF(ISNUMBER($B$5),$B$5+SUM(OFFSET($F$7,0,0,ROUNDUP(ROWS($I$7:I292)/2,0)*$C$11))-SUM(OFFSET($F$7,(ROUNDUP(ROWS($I$7:I292)/2,0)*$C$11)-$C$11,0,$C$11))+$D$11,""),$B$5+SUM(OFFSET($F$7,0,0,ROUNDUP(ROWS($I$7:I292)/2,0)*$C$11)))))),"")</f>
        <v/>
      </c>
      <c r="I292" s="484"/>
      <c r="J292" s="479"/>
      <c r="K292" s="484"/>
      <c r="L292" s="484"/>
      <c r="M292" s="479"/>
      <c r="N292" s="479"/>
      <c r="O292" s="484"/>
      <c r="P292" s="487"/>
      <c r="Q292" s="479"/>
      <c r="R292" s="484"/>
      <c r="S292" s="484"/>
      <c r="T292" s="479"/>
      <c r="U292" s="479"/>
    </row>
    <row r="293" spans="2:21" x14ac:dyDescent="0.3">
      <c r="B293" s="479"/>
      <c r="C293" s="479"/>
      <c r="D293" s="479"/>
      <c r="E293" s="479"/>
      <c r="F293" s="491"/>
      <c r="G293" s="482" t="str">
        <f t="shared" ca="1" si="11"/>
        <v/>
      </c>
      <c r="H293" s="483" t="str">
        <f ca="1">IFERROR(IF(OR($C$11="",$C$11=0),"",IF(OR($D$11=0,$D$11=""),IF(NOT(ISNUMBER(INDEX($F$7:$F$1000,ROWS($I$7:I293)*$C$11))),"",$B$5+SUM(OFFSET($F$7,0,0,ROWS($I$7:I293)*$C$11))),IF(NOT(ISNUMBER(INDEX($F$7:$F$1000,ROUNDUP(ROWS($I$7:I293)/2,0)*$C$11))),"",IF(MOD(ROWS($I$7:I293),2)=1,IF(ISNUMBER($B$5),$B$5+SUM(OFFSET($F$7,0,0,ROUNDUP(ROWS($I$7:I293)/2,0)*$C$11))-SUM(OFFSET($F$7,(ROUNDUP(ROWS($I$7:I293)/2,0)*$C$11)-$C$11,0,$C$11))+$D$11,""),$B$5+SUM(OFFSET($F$7,0,0,ROUNDUP(ROWS($I$7:I293)/2,0)*$C$11)))))),"")</f>
        <v/>
      </c>
      <c r="I293" s="484"/>
      <c r="J293" s="479"/>
      <c r="K293" s="484"/>
      <c r="L293" s="484"/>
      <c r="M293" s="479"/>
      <c r="N293" s="479"/>
      <c r="O293" s="484">
        <f>N294/2</f>
        <v>0</v>
      </c>
      <c r="P293" s="487"/>
      <c r="Q293" s="479"/>
      <c r="R293" s="484"/>
      <c r="S293" s="484"/>
      <c r="T293" s="479"/>
      <c r="U293" s="479"/>
    </row>
    <row r="294" spans="2:21" x14ac:dyDescent="0.3">
      <c r="B294" s="479"/>
      <c r="C294" s="479"/>
      <c r="D294" s="479"/>
      <c r="E294" s="479"/>
      <c r="F294" s="491"/>
      <c r="G294" s="482" t="str">
        <f t="shared" ca="1" si="11"/>
        <v/>
      </c>
      <c r="H294" s="483" t="str">
        <f ca="1">IFERROR(IF(OR($C$11="",$C$11=0),"",IF(OR($D$11=0,$D$11=""),IF(NOT(ISNUMBER(INDEX($F$7:$F$1000,ROWS($I$7:I294)*$C$11))),"",$B$5+SUM(OFFSET($F$7,0,0,ROWS($I$7:I294)*$C$11))),IF(NOT(ISNUMBER(INDEX($F$7:$F$1000,ROUNDUP(ROWS($I$7:I294)/2,0)*$C$11))),"",IF(MOD(ROWS($I$7:I294),2)=1,IF(ISNUMBER($B$5),$B$5+SUM(OFFSET($F$7,0,0,ROUNDUP(ROWS($I$7:I294)/2,0)*$C$11))-SUM(OFFSET($F$7,(ROUNDUP(ROWS($I$7:I294)/2,0)*$C$11)-$C$11,0,$C$11))+$D$11,""),$B$5+SUM(OFFSET($F$7,0,0,ROUNDUP(ROWS($I$7:I294)/2,0)*$C$11)))))),"")</f>
        <v/>
      </c>
      <c r="I294" s="484"/>
      <c r="J294" s="479"/>
      <c r="K294" s="484"/>
      <c r="L294" s="484"/>
      <c r="M294" s="479"/>
      <c r="N294" s="484">
        <f>F292+F293+F294</f>
        <v>0</v>
      </c>
      <c r="O294" s="484">
        <f>N294/2</f>
        <v>0</v>
      </c>
      <c r="P294" s="487"/>
      <c r="Q294" s="479"/>
      <c r="R294" s="484"/>
      <c r="S294" s="484"/>
      <c r="T294" s="479"/>
      <c r="U294" s="479"/>
    </row>
    <row r="295" spans="2:21" x14ac:dyDescent="0.3">
      <c r="B295" s="479"/>
      <c r="C295" s="479"/>
      <c r="D295" s="479"/>
      <c r="E295" s="479"/>
      <c r="F295" s="491"/>
      <c r="G295" s="482" t="str">
        <f t="shared" ca="1" si="11"/>
        <v/>
      </c>
      <c r="H295" s="483" t="str">
        <f ca="1">IFERROR(IF(OR($C$11="",$C$11=0),"",IF(OR($D$11=0,$D$11=""),IF(NOT(ISNUMBER(INDEX($F$7:$F$1000,ROWS($I$7:I295)*$C$11))),"",$B$5+SUM(OFFSET($F$7,0,0,ROWS($I$7:I295)*$C$11))),IF(NOT(ISNUMBER(INDEX($F$7:$F$1000,ROUNDUP(ROWS($I$7:I295)/2,0)*$C$11))),"",IF(MOD(ROWS($I$7:I295),2)=1,IF(ISNUMBER($B$5),$B$5+SUM(OFFSET($F$7,0,0,ROUNDUP(ROWS($I$7:I295)/2,0)*$C$11))-SUM(OFFSET($F$7,(ROUNDUP(ROWS($I$7:I295)/2,0)*$C$11)-$C$11,0,$C$11))+$D$11,""),$B$5+SUM(OFFSET($F$7,0,0,ROUNDUP(ROWS($I$7:I295)/2,0)*$C$11)))))),"")</f>
        <v/>
      </c>
      <c r="I295" s="484"/>
      <c r="J295" s="479"/>
      <c r="K295" s="484"/>
      <c r="L295" s="484"/>
      <c r="M295" s="479"/>
      <c r="N295" s="479"/>
      <c r="O295" s="484"/>
      <c r="P295" s="487"/>
      <c r="Q295" s="479"/>
      <c r="R295" s="484"/>
      <c r="S295" s="484"/>
      <c r="T295" s="479"/>
      <c r="U295" s="479"/>
    </row>
    <row r="296" spans="2:21" x14ac:dyDescent="0.3">
      <c r="B296" s="479"/>
      <c r="C296" s="479"/>
      <c r="D296" s="479"/>
      <c r="E296" s="479"/>
      <c r="F296" s="491"/>
      <c r="G296" s="482" t="str">
        <f t="shared" ca="1" si="11"/>
        <v/>
      </c>
      <c r="H296" s="483" t="str">
        <f ca="1">IFERROR(IF(OR($C$11="",$C$11=0),"",IF(OR($D$11=0,$D$11=""),IF(NOT(ISNUMBER(INDEX($F$7:$F$1000,ROWS($I$7:I296)*$C$11))),"",$B$5+SUM(OFFSET($F$7,0,0,ROWS($I$7:I296)*$C$11))),IF(NOT(ISNUMBER(INDEX($F$7:$F$1000,ROUNDUP(ROWS($I$7:I296)/2,0)*$C$11))),"",IF(MOD(ROWS($I$7:I296),2)=1,IF(ISNUMBER($B$5),$B$5+SUM(OFFSET($F$7,0,0,ROUNDUP(ROWS($I$7:I296)/2,0)*$C$11))-SUM(OFFSET($F$7,(ROUNDUP(ROWS($I$7:I296)/2,0)*$C$11)-$C$11,0,$C$11))+$D$11,""),$B$5+SUM(OFFSET($F$7,0,0,ROUNDUP(ROWS($I$7:I296)/2,0)*$C$11)))))),"")</f>
        <v/>
      </c>
      <c r="I296" s="484"/>
      <c r="J296" s="479"/>
      <c r="K296" s="484"/>
      <c r="L296" s="484"/>
      <c r="M296" s="479"/>
      <c r="N296" s="479"/>
      <c r="O296" s="484">
        <f>N297/2</f>
        <v>0</v>
      </c>
      <c r="P296" s="487"/>
      <c r="Q296" s="479"/>
      <c r="R296" s="484"/>
      <c r="S296" s="484"/>
      <c r="T296" s="479"/>
      <c r="U296" s="479"/>
    </row>
    <row r="297" spans="2:21" x14ac:dyDescent="0.3">
      <c r="B297" s="479"/>
      <c r="C297" s="479"/>
      <c r="D297" s="479"/>
      <c r="E297" s="479"/>
      <c r="F297" s="491"/>
      <c r="G297" s="482" t="str">
        <f t="shared" ca="1" si="11"/>
        <v/>
      </c>
      <c r="H297" s="483" t="str">
        <f ca="1">IFERROR(IF(OR($C$11="",$C$11=0),"",IF(OR($D$11=0,$D$11=""),IF(NOT(ISNUMBER(INDEX($F$7:$F$1000,ROWS($I$7:I297)*$C$11))),"",$B$5+SUM(OFFSET($F$7,0,0,ROWS($I$7:I297)*$C$11))),IF(NOT(ISNUMBER(INDEX($F$7:$F$1000,ROUNDUP(ROWS($I$7:I297)/2,0)*$C$11))),"",IF(MOD(ROWS($I$7:I297),2)=1,IF(ISNUMBER($B$5),$B$5+SUM(OFFSET($F$7,0,0,ROUNDUP(ROWS($I$7:I297)/2,0)*$C$11))-SUM(OFFSET($F$7,(ROUNDUP(ROWS($I$7:I297)/2,0)*$C$11)-$C$11,0,$C$11))+$D$11,""),$B$5+SUM(OFFSET($F$7,0,0,ROUNDUP(ROWS($I$7:I297)/2,0)*$C$11)))))),"")</f>
        <v/>
      </c>
      <c r="I297" s="484"/>
      <c r="J297" s="479"/>
      <c r="K297" s="484"/>
      <c r="L297" s="484"/>
      <c r="M297" s="479"/>
      <c r="N297" s="484">
        <f>F295+F296+F297</f>
        <v>0</v>
      </c>
      <c r="O297" s="484">
        <f>N297/2</f>
        <v>0</v>
      </c>
      <c r="P297" s="487"/>
      <c r="Q297" s="479"/>
      <c r="R297" s="484"/>
      <c r="S297" s="484"/>
      <c r="T297" s="479"/>
      <c r="U297" s="479"/>
    </row>
    <row r="298" spans="2:21" x14ac:dyDescent="0.3">
      <c r="B298" s="479"/>
      <c r="C298" s="479"/>
      <c r="D298" s="479"/>
      <c r="E298" s="479"/>
      <c r="F298" s="491"/>
      <c r="G298" s="482" t="str">
        <f t="shared" ca="1" si="11"/>
        <v/>
      </c>
      <c r="H298" s="483" t="str">
        <f ca="1">IFERROR(IF(OR($C$11="",$C$11=0),"",IF(OR($D$11=0,$D$11=""),IF(NOT(ISNUMBER(INDEX($F$7:$F$1000,ROWS($I$7:I298)*$C$11))),"",$B$5+SUM(OFFSET($F$7,0,0,ROWS($I$7:I298)*$C$11))),IF(NOT(ISNUMBER(INDEX($F$7:$F$1000,ROUNDUP(ROWS($I$7:I298)/2,0)*$C$11))),"",IF(MOD(ROWS($I$7:I298),2)=1,IF(ISNUMBER($B$5),$B$5+SUM(OFFSET($F$7,0,0,ROUNDUP(ROWS($I$7:I298)/2,0)*$C$11))-SUM(OFFSET($F$7,(ROUNDUP(ROWS($I$7:I298)/2,0)*$C$11)-$C$11,0,$C$11))+$D$11,""),$B$5+SUM(OFFSET($F$7,0,0,ROUNDUP(ROWS($I$7:I298)/2,0)*$C$11)))))),"")</f>
        <v/>
      </c>
      <c r="I298" s="484"/>
      <c r="J298" s="479"/>
      <c r="K298" s="484"/>
      <c r="L298" s="484"/>
      <c r="M298" s="479"/>
      <c r="N298" s="479"/>
      <c r="O298" s="484"/>
      <c r="P298" s="487"/>
      <c r="Q298" s="479"/>
      <c r="R298" s="484"/>
      <c r="S298" s="484"/>
      <c r="T298" s="479"/>
      <c r="U298" s="479"/>
    </row>
    <row r="299" spans="2:21" x14ac:dyDescent="0.3">
      <c r="B299" s="479"/>
      <c r="C299" s="479"/>
      <c r="D299" s="479"/>
      <c r="E299" s="479"/>
      <c r="F299" s="491"/>
      <c r="G299" s="482" t="str">
        <f t="shared" ca="1" si="11"/>
        <v/>
      </c>
      <c r="H299" s="483" t="str">
        <f ca="1">IFERROR(IF(OR($C$11="",$C$11=0),"",IF(OR($D$11=0,$D$11=""),IF(NOT(ISNUMBER(INDEX($F$7:$F$1000,ROWS($I$7:I299)*$C$11))),"",$B$5+SUM(OFFSET($F$7,0,0,ROWS($I$7:I299)*$C$11))),IF(NOT(ISNUMBER(INDEX($F$7:$F$1000,ROUNDUP(ROWS($I$7:I299)/2,0)*$C$11))),"",IF(MOD(ROWS($I$7:I299),2)=1,IF(ISNUMBER($B$5),$B$5+SUM(OFFSET($F$7,0,0,ROUNDUP(ROWS($I$7:I299)/2,0)*$C$11))-SUM(OFFSET($F$7,(ROUNDUP(ROWS($I$7:I299)/2,0)*$C$11)-$C$11,0,$C$11))+$D$11,""),$B$5+SUM(OFFSET($F$7,0,0,ROUNDUP(ROWS($I$7:I299)/2,0)*$C$11)))))),"")</f>
        <v/>
      </c>
      <c r="I299" s="484"/>
      <c r="J299" s="479"/>
      <c r="K299" s="484"/>
      <c r="L299" s="484"/>
      <c r="M299" s="479"/>
      <c r="N299" s="479"/>
      <c r="O299" s="484">
        <f>N300/2</f>
        <v>0</v>
      </c>
      <c r="P299" s="487"/>
      <c r="Q299" s="479"/>
      <c r="R299" s="484"/>
      <c r="S299" s="484"/>
      <c r="T299" s="479"/>
      <c r="U299" s="479"/>
    </row>
    <row r="300" spans="2:21" x14ac:dyDescent="0.3">
      <c r="B300" s="479"/>
      <c r="C300" s="479"/>
      <c r="D300" s="479"/>
      <c r="E300" s="479"/>
      <c r="F300" s="491"/>
      <c r="G300" s="482" t="str">
        <f t="shared" ca="1" si="11"/>
        <v/>
      </c>
      <c r="H300" s="483" t="str">
        <f ca="1">IFERROR(IF(OR($C$11="",$C$11=0),"",IF(OR($D$11=0,$D$11=""),IF(NOT(ISNUMBER(INDEX($F$7:$F$1000,ROWS($I$7:I300)*$C$11))),"",$B$5+SUM(OFFSET($F$7,0,0,ROWS($I$7:I300)*$C$11))),IF(NOT(ISNUMBER(INDEX($F$7:$F$1000,ROUNDUP(ROWS($I$7:I300)/2,0)*$C$11))),"",IF(MOD(ROWS($I$7:I300),2)=1,IF(ISNUMBER($B$5),$B$5+SUM(OFFSET($F$7,0,0,ROUNDUP(ROWS($I$7:I300)/2,0)*$C$11))-SUM(OFFSET($F$7,(ROUNDUP(ROWS($I$7:I300)/2,0)*$C$11)-$C$11,0,$C$11))+$D$11,""),$B$5+SUM(OFFSET($F$7,0,0,ROUNDUP(ROWS($I$7:I300)/2,0)*$C$11)))))),"")</f>
        <v/>
      </c>
      <c r="I300" s="484"/>
      <c r="J300" s="479"/>
      <c r="K300" s="484"/>
      <c r="L300" s="484"/>
      <c r="M300" s="479"/>
      <c r="N300" s="484">
        <f>F298+F299+F300</f>
        <v>0</v>
      </c>
      <c r="O300" s="484">
        <f>N300/2</f>
        <v>0</v>
      </c>
      <c r="P300" s="487"/>
      <c r="Q300" s="479"/>
      <c r="R300" s="484"/>
      <c r="S300" s="484"/>
      <c r="T300" s="479"/>
      <c r="U300" s="479"/>
    </row>
    <row r="301" spans="2:21" x14ac:dyDescent="0.3">
      <c r="B301" s="479"/>
      <c r="C301" s="479"/>
      <c r="D301" s="479"/>
      <c r="E301" s="479"/>
      <c r="F301" s="491"/>
      <c r="G301" s="482" t="str">
        <f t="shared" ca="1" si="11"/>
        <v/>
      </c>
      <c r="H301" s="483" t="str">
        <f ca="1">IFERROR(IF(OR($C$11="",$C$11=0),"",IF(OR($D$11=0,$D$11=""),IF(NOT(ISNUMBER(INDEX($F$7:$F$1000,ROWS($I$7:I301)*$C$11))),"",$B$5+SUM(OFFSET($F$7,0,0,ROWS($I$7:I301)*$C$11))),IF(NOT(ISNUMBER(INDEX($F$7:$F$1000,ROUNDUP(ROWS($I$7:I301)/2,0)*$C$11))),"",IF(MOD(ROWS($I$7:I301),2)=1,IF(ISNUMBER($B$5),$B$5+SUM(OFFSET($F$7,0,0,ROUNDUP(ROWS($I$7:I301)/2,0)*$C$11))-SUM(OFFSET($F$7,(ROUNDUP(ROWS($I$7:I301)/2,0)*$C$11)-$C$11,0,$C$11))+$D$11,""),$B$5+SUM(OFFSET($F$7,0,0,ROUNDUP(ROWS($I$7:I301)/2,0)*$C$11)))))),"")</f>
        <v/>
      </c>
      <c r="I301" s="484"/>
      <c r="J301" s="479"/>
      <c r="K301" s="484"/>
      <c r="L301" s="484"/>
      <c r="M301" s="479"/>
      <c r="N301" s="479"/>
      <c r="O301" s="484"/>
      <c r="P301" s="487"/>
      <c r="Q301" s="479"/>
      <c r="R301" s="484"/>
      <c r="S301" s="484"/>
      <c r="T301" s="479"/>
      <c r="U301" s="479"/>
    </row>
    <row r="302" spans="2:21" x14ac:dyDescent="0.3">
      <c r="B302" s="479"/>
      <c r="C302" s="479"/>
      <c r="D302" s="479"/>
      <c r="E302" s="479"/>
      <c r="F302" s="491"/>
      <c r="G302" s="482" t="str">
        <f t="shared" ca="1" si="11"/>
        <v/>
      </c>
      <c r="H302" s="483" t="str">
        <f ca="1">IFERROR(IF(OR($C$11="",$C$11=0),"",IF(OR($D$11=0,$D$11=""),IF(NOT(ISNUMBER(INDEX($F$7:$F$1000,ROWS($I$7:I302)*$C$11))),"",$B$5+SUM(OFFSET($F$7,0,0,ROWS($I$7:I302)*$C$11))),IF(NOT(ISNUMBER(INDEX($F$7:$F$1000,ROUNDUP(ROWS($I$7:I302)/2,0)*$C$11))),"",IF(MOD(ROWS($I$7:I302),2)=1,IF(ISNUMBER($B$5),$B$5+SUM(OFFSET($F$7,0,0,ROUNDUP(ROWS($I$7:I302)/2,0)*$C$11))-SUM(OFFSET($F$7,(ROUNDUP(ROWS($I$7:I302)/2,0)*$C$11)-$C$11,0,$C$11))+$D$11,""),$B$5+SUM(OFFSET($F$7,0,0,ROUNDUP(ROWS($I$7:I302)/2,0)*$C$11)))))),"")</f>
        <v/>
      </c>
      <c r="I302" s="484"/>
      <c r="J302" s="479"/>
      <c r="K302" s="484"/>
      <c r="L302" s="484"/>
      <c r="M302" s="479"/>
      <c r="N302" s="479"/>
      <c r="O302" s="484">
        <f>N303/2</f>
        <v>0</v>
      </c>
      <c r="P302" s="487"/>
      <c r="Q302" s="479"/>
      <c r="R302" s="484"/>
      <c r="S302" s="484"/>
      <c r="T302" s="479"/>
      <c r="U302" s="479"/>
    </row>
    <row r="303" spans="2:21" x14ac:dyDescent="0.3">
      <c r="B303" s="479"/>
      <c r="C303" s="479"/>
      <c r="D303" s="479"/>
      <c r="E303" s="479"/>
      <c r="F303" s="491"/>
      <c r="G303" s="482" t="str">
        <f t="shared" ca="1" si="11"/>
        <v/>
      </c>
      <c r="H303" s="483" t="str">
        <f ca="1">IFERROR(IF(OR($C$11="",$C$11=0),"",IF(OR($D$11=0,$D$11=""),IF(NOT(ISNUMBER(INDEX($F$7:$F$1000,ROWS($I$7:I303)*$C$11))),"",$B$5+SUM(OFFSET($F$7,0,0,ROWS($I$7:I303)*$C$11))),IF(NOT(ISNUMBER(INDEX($F$7:$F$1000,ROUNDUP(ROWS($I$7:I303)/2,0)*$C$11))),"",IF(MOD(ROWS($I$7:I303),2)=1,IF(ISNUMBER($B$5),$B$5+SUM(OFFSET($F$7,0,0,ROUNDUP(ROWS($I$7:I303)/2,0)*$C$11))-SUM(OFFSET($F$7,(ROUNDUP(ROWS($I$7:I303)/2,0)*$C$11)-$C$11,0,$C$11))+$D$11,""),$B$5+SUM(OFFSET($F$7,0,0,ROUNDUP(ROWS($I$7:I303)/2,0)*$C$11)))))),"")</f>
        <v/>
      </c>
      <c r="I303" s="484"/>
      <c r="J303" s="479"/>
      <c r="K303" s="484"/>
      <c r="L303" s="484"/>
      <c r="M303" s="479"/>
      <c r="N303" s="484">
        <f>F301+F302+F303</f>
        <v>0</v>
      </c>
      <c r="O303" s="484">
        <f>N303/2</f>
        <v>0</v>
      </c>
      <c r="P303" s="487"/>
      <c r="Q303" s="479"/>
      <c r="R303" s="484"/>
      <c r="S303" s="484"/>
      <c r="T303" s="479"/>
      <c r="U303" s="479"/>
    </row>
    <row r="304" spans="2:21" x14ac:dyDescent="0.3">
      <c r="B304" s="479"/>
      <c r="C304" s="479"/>
      <c r="D304" s="479"/>
      <c r="E304" s="479"/>
      <c r="F304" s="491"/>
      <c r="G304" s="482" t="str">
        <f t="shared" ca="1" si="11"/>
        <v/>
      </c>
      <c r="H304" s="483" t="str">
        <f ca="1">IFERROR(IF(OR($C$11="",$C$11=0),"",IF(OR($D$11=0,$D$11=""),IF(NOT(ISNUMBER(INDEX($F$7:$F$1000,ROWS($I$7:I304)*$C$11))),"",$B$5+SUM(OFFSET($F$7,0,0,ROWS($I$7:I304)*$C$11))),IF(NOT(ISNUMBER(INDEX($F$7:$F$1000,ROUNDUP(ROWS($I$7:I304)/2,0)*$C$11))),"",IF(MOD(ROWS($I$7:I304),2)=1,IF(ISNUMBER($B$5),$B$5+SUM(OFFSET($F$7,0,0,ROUNDUP(ROWS($I$7:I304)/2,0)*$C$11))-SUM(OFFSET($F$7,(ROUNDUP(ROWS($I$7:I304)/2,0)*$C$11)-$C$11,0,$C$11))+$D$11,""),$B$5+SUM(OFFSET($F$7,0,0,ROUNDUP(ROWS($I$7:I304)/2,0)*$C$11)))))),"")</f>
        <v/>
      </c>
      <c r="I304" s="484"/>
      <c r="J304" s="479"/>
      <c r="K304" s="484"/>
      <c r="L304" s="479"/>
      <c r="M304" s="479"/>
      <c r="N304" s="479"/>
      <c r="O304" s="484"/>
      <c r="P304" s="487"/>
      <c r="Q304" s="479"/>
      <c r="R304" s="484"/>
      <c r="S304" s="484"/>
      <c r="T304" s="479"/>
      <c r="U304" s="479"/>
    </row>
    <row r="305" spans="2:21" x14ac:dyDescent="0.3">
      <c r="B305" s="479"/>
      <c r="C305" s="479"/>
      <c r="D305" s="479"/>
      <c r="E305" s="479"/>
      <c r="F305" s="491"/>
      <c r="G305" s="482" t="str">
        <f t="shared" ca="1" si="11"/>
        <v/>
      </c>
      <c r="H305" s="483" t="str">
        <f ca="1">IFERROR(IF(OR($C$11="",$C$11=0),"",IF(OR($D$11=0,$D$11=""),IF(NOT(ISNUMBER(INDEX($F$7:$F$1000,ROWS($I$7:I305)*$C$11))),"",$B$5+SUM(OFFSET($F$7,0,0,ROWS($I$7:I305)*$C$11))),IF(NOT(ISNUMBER(INDEX($F$7:$F$1000,ROUNDUP(ROWS($I$7:I305)/2,0)*$C$11))),"",IF(MOD(ROWS($I$7:I305),2)=1,IF(ISNUMBER($B$5),$B$5+SUM(OFFSET($F$7,0,0,ROUNDUP(ROWS($I$7:I305)/2,0)*$C$11))-SUM(OFFSET($F$7,(ROUNDUP(ROWS($I$7:I305)/2,0)*$C$11)-$C$11,0,$C$11))+$D$11,""),$B$5+SUM(OFFSET($F$7,0,0,ROUNDUP(ROWS($I$7:I305)/2,0)*$C$11)))))),"")</f>
        <v/>
      </c>
      <c r="I305" s="484"/>
      <c r="J305" s="479"/>
      <c r="K305" s="484"/>
      <c r="L305" s="479"/>
      <c r="M305" s="479"/>
      <c r="N305" s="479"/>
      <c r="O305" s="484">
        <f>N306/2</f>
        <v>0</v>
      </c>
      <c r="P305" s="487"/>
      <c r="Q305" s="479"/>
      <c r="R305" s="484"/>
      <c r="S305" s="484"/>
      <c r="T305" s="479"/>
      <c r="U305" s="479"/>
    </row>
    <row r="306" spans="2:21" x14ac:dyDescent="0.3">
      <c r="B306" s="479"/>
      <c r="C306" s="479"/>
      <c r="D306" s="479"/>
      <c r="E306" s="479"/>
      <c r="F306" s="491"/>
      <c r="G306" s="482" t="str">
        <f t="shared" ca="1" si="11"/>
        <v/>
      </c>
      <c r="H306" s="483" t="str">
        <f ca="1">IFERROR(IF(OR($C$11="",$C$11=0),"",IF(OR($D$11=0,$D$11=""),IF(NOT(ISNUMBER(INDEX($F$7:$F$1000,ROWS($I$7:I306)*$C$11))),"",$B$5+SUM(OFFSET($F$7,0,0,ROWS($I$7:I306)*$C$11))),IF(NOT(ISNUMBER(INDEX($F$7:$F$1000,ROUNDUP(ROWS($I$7:I306)/2,0)*$C$11))),"",IF(MOD(ROWS($I$7:I306),2)=1,IF(ISNUMBER($B$5),$B$5+SUM(OFFSET($F$7,0,0,ROUNDUP(ROWS($I$7:I306)/2,0)*$C$11))-SUM(OFFSET($F$7,(ROUNDUP(ROWS($I$7:I306)/2,0)*$C$11)-$C$11,0,$C$11))+$D$11,""),$B$5+SUM(OFFSET($F$7,0,0,ROUNDUP(ROWS($I$7:I306)/2,0)*$C$11)))))),"")</f>
        <v/>
      </c>
      <c r="I306" s="484"/>
      <c r="J306" s="479"/>
      <c r="K306" s="484" t="str">
        <f>IF(F460="","",F459+F460)</f>
        <v/>
      </c>
      <c r="L306" s="479"/>
      <c r="M306" s="479"/>
      <c r="N306" s="484">
        <f>F304+F305+F306</f>
        <v>0</v>
      </c>
      <c r="O306" s="484">
        <f>N306/2</f>
        <v>0</v>
      </c>
      <c r="P306" s="487"/>
      <c r="Q306" s="479"/>
      <c r="R306" s="484"/>
      <c r="S306" s="484"/>
      <c r="T306" s="479"/>
      <c r="U306" s="479"/>
    </row>
    <row r="307" spans="2:21" x14ac:dyDescent="0.3">
      <c r="B307" s="479"/>
      <c r="C307" s="479"/>
      <c r="D307" s="479"/>
      <c r="E307" s="479"/>
      <c r="F307" s="491"/>
      <c r="G307" s="482" t="str">
        <f t="shared" ca="1" si="11"/>
        <v/>
      </c>
      <c r="H307" s="483" t="str">
        <f ca="1">IFERROR(IF(OR($C$11="",$C$11=0),"",IF(OR($D$11=0,$D$11=""),IF(NOT(ISNUMBER(INDEX($F$7:$F$1000,ROWS($I$7:I307)*$C$11))),"",$B$5+SUM(OFFSET($F$7,0,0,ROWS($I$7:I307)*$C$11))),IF(NOT(ISNUMBER(INDEX($F$7:$F$1000,ROUNDUP(ROWS($I$7:I307)/2,0)*$C$11))),"",IF(MOD(ROWS($I$7:I307),2)=1,IF(ISNUMBER($B$5),$B$5+SUM(OFFSET($F$7,0,0,ROUNDUP(ROWS($I$7:I307)/2,0)*$C$11))-SUM(OFFSET($F$7,(ROUNDUP(ROWS($I$7:I307)/2,0)*$C$11)-$C$11,0,$C$11))+$D$11,""),$B$5+SUM(OFFSET($F$7,0,0,ROUNDUP(ROWS($I$7:I307)/2,0)*$C$11)))))),"")</f>
        <v/>
      </c>
      <c r="I307" s="479"/>
      <c r="J307" s="479"/>
      <c r="K307" s="484"/>
      <c r="L307" s="479"/>
      <c r="M307" s="479"/>
      <c r="N307" s="479"/>
      <c r="O307" s="484"/>
      <c r="P307" s="487"/>
      <c r="Q307" s="479"/>
      <c r="R307" s="484"/>
      <c r="S307" s="484"/>
      <c r="T307" s="479"/>
      <c r="U307" s="479"/>
    </row>
    <row r="308" spans="2:21" x14ac:dyDescent="0.3">
      <c r="B308" s="479"/>
      <c r="C308" s="479"/>
      <c r="D308" s="479"/>
      <c r="E308" s="479"/>
      <c r="F308" s="491"/>
      <c r="G308" s="482" t="str">
        <f t="shared" ca="1" si="11"/>
        <v/>
      </c>
      <c r="H308" s="483" t="str">
        <f ca="1">IFERROR(IF(OR($C$11="",$C$11=0),"",IF(OR($D$11=0,$D$11=""),IF(NOT(ISNUMBER(INDEX($F$7:$F$1000,ROWS($I$7:I308)*$C$11))),"",$B$5+SUM(OFFSET($F$7,0,0,ROWS($I$7:I308)*$C$11))),IF(NOT(ISNUMBER(INDEX($F$7:$F$1000,ROUNDUP(ROWS($I$7:I308)/2,0)*$C$11))),"",IF(MOD(ROWS($I$7:I308),2)=1,IF(ISNUMBER($B$5),$B$5+SUM(OFFSET($F$7,0,0,ROUNDUP(ROWS($I$7:I308)/2,0)*$C$11))-SUM(OFFSET($F$7,(ROUNDUP(ROWS($I$7:I308)/2,0)*$C$11)-$C$11,0,$C$11))+$D$11,""),$B$5+SUM(OFFSET($F$7,0,0,ROUNDUP(ROWS($I$7:I308)/2,0)*$C$11)))))),"")</f>
        <v/>
      </c>
      <c r="I308" s="479"/>
      <c r="J308" s="479"/>
      <c r="K308" s="484" t="str">
        <f>IF(F462="","",F461+F462)</f>
        <v/>
      </c>
      <c r="L308" s="479"/>
      <c r="M308" s="479"/>
      <c r="N308" s="479"/>
      <c r="O308" s="484">
        <f>N309/2</f>
        <v>0</v>
      </c>
      <c r="P308" s="487"/>
      <c r="Q308" s="479"/>
      <c r="R308" s="484"/>
      <c r="S308" s="484"/>
      <c r="T308" s="479"/>
      <c r="U308" s="479"/>
    </row>
    <row r="309" spans="2:21" x14ac:dyDescent="0.3">
      <c r="B309" s="479"/>
      <c r="C309" s="479"/>
      <c r="D309" s="479"/>
      <c r="E309" s="479"/>
      <c r="F309" s="491"/>
      <c r="G309" s="482" t="str">
        <f t="shared" ca="1" si="11"/>
        <v/>
      </c>
      <c r="H309" s="483" t="str">
        <f ca="1">IFERROR(IF(OR($C$11="",$C$11=0),"",IF(OR($D$11=0,$D$11=""),IF(NOT(ISNUMBER(INDEX($F$7:$F$1000,ROWS($I$7:I309)*$C$11))),"",$B$5+SUM(OFFSET($F$7,0,0,ROWS($I$7:I309)*$C$11))),IF(NOT(ISNUMBER(INDEX($F$7:$F$1000,ROUNDUP(ROWS($I$7:I309)/2,0)*$C$11))),"",IF(MOD(ROWS($I$7:I309),2)=1,IF(ISNUMBER($B$5),$B$5+SUM(OFFSET($F$7,0,0,ROUNDUP(ROWS($I$7:I309)/2,0)*$C$11))-SUM(OFFSET($F$7,(ROUNDUP(ROWS($I$7:I309)/2,0)*$C$11)-$C$11,0,$C$11))+$D$11,""),$B$5+SUM(OFFSET($F$7,0,0,ROUNDUP(ROWS($I$7:I309)/2,0)*$C$11)))))),"")</f>
        <v/>
      </c>
      <c r="I309" s="479"/>
      <c r="J309" s="479"/>
      <c r="K309" s="484"/>
      <c r="L309" s="479"/>
      <c r="M309" s="479"/>
      <c r="N309" s="484">
        <f>F307+F308+F309</f>
        <v>0</v>
      </c>
      <c r="O309" s="484">
        <f>N309/2</f>
        <v>0</v>
      </c>
      <c r="P309" s="487"/>
      <c r="Q309" s="479"/>
      <c r="R309" s="484"/>
      <c r="S309" s="484"/>
      <c r="T309" s="479"/>
      <c r="U309" s="479"/>
    </row>
    <row r="310" spans="2:21" x14ac:dyDescent="0.3">
      <c r="B310" s="479"/>
      <c r="C310" s="479"/>
      <c r="D310" s="479"/>
      <c r="E310" s="479"/>
      <c r="F310" s="491"/>
      <c r="G310" s="482" t="str">
        <f t="shared" ca="1" si="11"/>
        <v/>
      </c>
      <c r="H310" s="483" t="str">
        <f ca="1">IFERROR(IF(OR($C$11="",$C$11=0),"",IF(OR($D$11=0,$D$11=""),IF(NOT(ISNUMBER(INDEX($F$7:$F$1000,ROWS($I$7:I310)*$C$11))),"",$B$5+SUM(OFFSET($F$7,0,0,ROWS($I$7:I310)*$C$11))),IF(NOT(ISNUMBER(INDEX($F$7:$F$1000,ROUNDUP(ROWS($I$7:I310)/2,0)*$C$11))),"",IF(MOD(ROWS($I$7:I310),2)=1,IF(ISNUMBER($B$5),$B$5+SUM(OFFSET($F$7,0,0,ROUNDUP(ROWS($I$7:I310)/2,0)*$C$11))-SUM(OFFSET($F$7,(ROUNDUP(ROWS($I$7:I310)/2,0)*$C$11)-$C$11,0,$C$11))+$D$11,""),$B$5+SUM(OFFSET($F$7,0,0,ROUNDUP(ROWS($I$7:I310)/2,0)*$C$11)))))),"")</f>
        <v/>
      </c>
      <c r="I310" s="479"/>
      <c r="J310" s="479"/>
      <c r="K310" s="484" t="str">
        <f>IF(F464="","",F463+F464)</f>
        <v/>
      </c>
      <c r="L310" s="479"/>
      <c r="M310" s="479"/>
      <c r="N310" s="479"/>
      <c r="O310" s="484"/>
      <c r="P310" s="487"/>
      <c r="Q310" s="479"/>
      <c r="R310" s="484"/>
      <c r="S310" s="484"/>
      <c r="T310" s="479"/>
      <c r="U310" s="479"/>
    </row>
    <row r="311" spans="2:21" x14ac:dyDescent="0.3">
      <c r="B311" s="479"/>
      <c r="C311" s="479"/>
      <c r="D311" s="479"/>
      <c r="E311" s="479"/>
      <c r="F311" s="491"/>
      <c r="G311" s="482" t="str">
        <f t="shared" ca="1" si="11"/>
        <v/>
      </c>
      <c r="H311" s="483" t="str">
        <f ca="1">IFERROR(IF(OR($C$11="",$C$11=0),"",IF(OR($D$11=0,$D$11=""),IF(NOT(ISNUMBER(INDEX($F$7:$F$1000,ROWS($I$7:I311)*$C$11))),"",$B$5+SUM(OFFSET($F$7,0,0,ROWS($I$7:I311)*$C$11))),IF(NOT(ISNUMBER(INDEX($F$7:$F$1000,ROUNDUP(ROWS($I$7:I311)/2,0)*$C$11))),"",IF(MOD(ROWS($I$7:I311),2)=1,IF(ISNUMBER($B$5),$B$5+SUM(OFFSET($F$7,0,0,ROUNDUP(ROWS($I$7:I311)/2,0)*$C$11))-SUM(OFFSET($F$7,(ROUNDUP(ROWS($I$7:I311)/2,0)*$C$11)-$C$11,0,$C$11))+$D$11,""),$B$5+SUM(OFFSET($F$7,0,0,ROUNDUP(ROWS($I$7:I311)/2,0)*$C$11)))))),"")</f>
        <v/>
      </c>
      <c r="I311" s="479"/>
      <c r="J311" s="479"/>
      <c r="K311" s="484"/>
      <c r="L311" s="479"/>
      <c r="M311" s="479"/>
      <c r="N311" s="479"/>
      <c r="O311" s="484">
        <f>N312/2</f>
        <v>0</v>
      </c>
      <c r="P311" s="487"/>
      <c r="Q311" s="479"/>
      <c r="R311" s="484"/>
      <c r="S311" s="484"/>
      <c r="T311" s="479"/>
      <c r="U311" s="479"/>
    </row>
    <row r="312" spans="2:21" x14ac:dyDescent="0.3">
      <c r="B312" s="479"/>
      <c r="C312" s="479"/>
      <c r="D312" s="479"/>
      <c r="E312" s="479"/>
      <c r="F312" s="491"/>
      <c r="G312" s="482" t="str">
        <f t="shared" ca="1" si="11"/>
        <v/>
      </c>
      <c r="H312" s="483" t="str">
        <f ca="1">IFERROR(IF(OR($C$11="",$C$11=0),"",IF(OR($D$11=0,$D$11=""),IF(NOT(ISNUMBER(INDEX($F$7:$F$1000,ROWS($I$7:I312)*$C$11))),"",$B$5+SUM(OFFSET($F$7,0,0,ROWS($I$7:I312)*$C$11))),IF(NOT(ISNUMBER(INDEX($F$7:$F$1000,ROUNDUP(ROWS($I$7:I312)/2,0)*$C$11))),"",IF(MOD(ROWS($I$7:I312),2)=1,IF(ISNUMBER($B$5),$B$5+SUM(OFFSET($F$7,0,0,ROUNDUP(ROWS($I$7:I312)/2,0)*$C$11))-SUM(OFFSET($F$7,(ROUNDUP(ROWS($I$7:I312)/2,0)*$C$11)-$C$11,0,$C$11))+$D$11,""),$B$5+SUM(OFFSET($F$7,0,0,ROUNDUP(ROWS($I$7:I312)/2,0)*$C$11)))))),"")</f>
        <v/>
      </c>
      <c r="I312" s="479"/>
      <c r="J312" s="479"/>
      <c r="K312" s="484" t="str">
        <f>IF(F466="","",F465+F466)</f>
        <v/>
      </c>
      <c r="L312" s="479"/>
      <c r="M312" s="479"/>
      <c r="N312" s="484">
        <f>F310+F311+F312</f>
        <v>0</v>
      </c>
      <c r="O312" s="484">
        <f>N312/2</f>
        <v>0</v>
      </c>
      <c r="P312" s="487"/>
      <c r="Q312" s="479"/>
      <c r="R312" s="484"/>
      <c r="S312" s="484"/>
      <c r="T312" s="479"/>
      <c r="U312" s="479"/>
    </row>
    <row r="313" spans="2:21" x14ac:dyDescent="0.3">
      <c r="B313" s="479"/>
      <c r="C313" s="479"/>
      <c r="D313" s="479"/>
      <c r="E313" s="479"/>
      <c r="F313" s="491"/>
      <c r="G313" s="482" t="str">
        <f t="shared" ca="1" si="11"/>
        <v/>
      </c>
      <c r="H313" s="483" t="str">
        <f ca="1">IFERROR(IF(OR($C$11="",$C$11=0),"",IF(OR($D$11=0,$D$11=""),IF(NOT(ISNUMBER(INDEX($F$7:$F$1000,ROWS($I$7:I313)*$C$11))),"",$B$5+SUM(OFFSET($F$7,0,0,ROWS($I$7:I313)*$C$11))),IF(NOT(ISNUMBER(INDEX($F$7:$F$1000,ROUNDUP(ROWS($I$7:I313)/2,0)*$C$11))),"",IF(MOD(ROWS($I$7:I313),2)=1,IF(ISNUMBER($B$5),$B$5+SUM(OFFSET($F$7,0,0,ROUNDUP(ROWS($I$7:I313)/2,0)*$C$11))-SUM(OFFSET($F$7,(ROUNDUP(ROWS($I$7:I313)/2,0)*$C$11)-$C$11,0,$C$11))+$D$11,""),$B$5+SUM(OFFSET($F$7,0,0,ROUNDUP(ROWS($I$7:I313)/2,0)*$C$11)))))),"")</f>
        <v/>
      </c>
      <c r="I313" s="479"/>
      <c r="J313" s="479"/>
      <c r="K313" s="484"/>
      <c r="L313" s="479"/>
      <c r="M313" s="479"/>
      <c r="N313" s="479"/>
      <c r="O313" s="484"/>
      <c r="P313" s="487"/>
      <c r="Q313" s="479"/>
      <c r="R313" s="484"/>
      <c r="S313" s="484"/>
      <c r="T313" s="479"/>
      <c r="U313" s="479"/>
    </row>
    <row r="314" spans="2:21" x14ac:dyDescent="0.3">
      <c r="B314" s="479"/>
      <c r="C314" s="479"/>
      <c r="D314" s="479"/>
      <c r="E314" s="479"/>
      <c r="F314" s="491"/>
      <c r="G314" s="482" t="str">
        <f t="shared" ca="1" si="11"/>
        <v/>
      </c>
      <c r="H314" s="483" t="str">
        <f ca="1">IFERROR(IF(OR($C$11="",$C$11=0),"",IF(OR($D$11=0,$D$11=""),IF(NOT(ISNUMBER(INDEX($F$7:$F$1000,ROWS($I$7:I314)*$C$11))),"",$B$5+SUM(OFFSET($F$7,0,0,ROWS($I$7:I314)*$C$11))),IF(NOT(ISNUMBER(INDEX($F$7:$F$1000,ROUNDUP(ROWS($I$7:I314)/2,0)*$C$11))),"",IF(MOD(ROWS($I$7:I314),2)=1,IF(ISNUMBER($B$5),$B$5+SUM(OFFSET($F$7,0,0,ROUNDUP(ROWS($I$7:I314)/2,0)*$C$11))-SUM(OFFSET($F$7,(ROUNDUP(ROWS($I$7:I314)/2,0)*$C$11)-$C$11,0,$C$11))+$D$11,""),$B$5+SUM(OFFSET($F$7,0,0,ROUNDUP(ROWS($I$7:I314)/2,0)*$C$11)))))),"")</f>
        <v/>
      </c>
      <c r="I314" s="479"/>
      <c r="J314" s="479"/>
      <c r="K314" s="484" t="str">
        <f>IF(F468="","",F467+F468)</f>
        <v/>
      </c>
      <c r="L314" s="479"/>
      <c r="M314" s="479"/>
      <c r="N314" s="479"/>
      <c r="O314" s="484">
        <f>N315/2</f>
        <v>0</v>
      </c>
      <c r="P314" s="487"/>
      <c r="Q314" s="479"/>
      <c r="R314" s="484"/>
      <c r="S314" s="484"/>
      <c r="T314" s="479"/>
      <c r="U314" s="479"/>
    </row>
    <row r="315" spans="2:21" ht="15" thickBot="1" x14ac:dyDescent="0.35">
      <c r="B315" s="479"/>
      <c r="C315" s="479"/>
      <c r="D315" s="479"/>
      <c r="E315" s="479"/>
      <c r="F315" s="500"/>
      <c r="G315" s="482" t="str">
        <f t="shared" ca="1" si="11"/>
        <v/>
      </c>
      <c r="H315" s="483" t="str">
        <f ca="1">IFERROR(IF(OR($C$11="",$C$11=0),"",IF(OR($D$11=0,$D$11=""),IF(NOT(ISNUMBER(INDEX($F$7:$F$1000,ROWS($I$7:I315)*$C$11))),"",$B$5+SUM(OFFSET($F$7,0,0,ROWS($I$7:I315)*$C$11))),IF(NOT(ISNUMBER(INDEX($F$7:$F$1000,ROUNDUP(ROWS($I$7:I315)/2,0)*$C$11))),"",IF(MOD(ROWS($I$7:I315),2)=1,IF(ISNUMBER($B$5),$B$5+SUM(OFFSET($F$7,0,0,ROUNDUP(ROWS($I$7:I315)/2,0)*$C$11))-SUM(OFFSET($F$7,(ROUNDUP(ROWS($I$7:I315)/2,0)*$C$11)-$C$11,0,$C$11))+$D$11,""),$B$5+SUM(OFFSET($F$7,0,0,ROUNDUP(ROWS($I$7:I315)/2,0)*$C$11)))))),"")</f>
        <v/>
      </c>
      <c r="I315" s="479"/>
      <c r="J315" s="479"/>
      <c r="K315" s="484"/>
      <c r="L315" s="479"/>
      <c r="M315" s="479"/>
      <c r="N315" s="484">
        <f>F313+F314+F315</f>
        <v>0</v>
      </c>
      <c r="O315" s="484">
        <f>N315/2</f>
        <v>0</v>
      </c>
      <c r="P315" s="487"/>
      <c r="Q315" s="479"/>
      <c r="R315" s="484"/>
      <c r="S315" s="484"/>
      <c r="T315" s="479"/>
      <c r="U315" s="479"/>
    </row>
    <row r="316" spans="2:21" x14ac:dyDescent="0.3">
      <c r="B316" s="479"/>
      <c r="C316" s="479"/>
      <c r="D316" s="479"/>
      <c r="E316" s="479"/>
      <c r="F316" s="501"/>
      <c r="G316" s="501"/>
      <c r="H316" s="502"/>
      <c r="K316" s="503" t="str">
        <f>IF(F470="","",F469+F470)</f>
        <v/>
      </c>
      <c r="O316" s="503"/>
      <c r="R316" s="502"/>
      <c r="S316" s="502"/>
    </row>
    <row r="317" spans="2:21" x14ac:dyDescent="0.3">
      <c r="B317" s="479"/>
      <c r="C317" s="479"/>
      <c r="D317" s="479"/>
      <c r="E317" s="479"/>
      <c r="F317" s="501"/>
      <c r="G317" s="501"/>
      <c r="H317" s="502"/>
      <c r="K317" s="503"/>
      <c r="O317" s="503"/>
      <c r="R317" s="502"/>
      <c r="S317" s="502"/>
    </row>
    <row r="318" spans="2:21" x14ac:dyDescent="0.3">
      <c r="F318" s="501"/>
      <c r="G318" s="501"/>
      <c r="H318" s="502"/>
      <c r="K318" s="503" t="str">
        <f>IF(F472="","",F471+F472)</f>
        <v/>
      </c>
      <c r="N318" s="503"/>
      <c r="O318" s="503"/>
      <c r="R318" s="502"/>
      <c r="S318" s="502"/>
    </row>
    <row r="319" spans="2:21" x14ac:dyDescent="0.3">
      <c r="F319" s="501"/>
      <c r="G319" s="501"/>
      <c r="K319" s="503"/>
      <c r="R319" s="502"/>
      <c r="S319" s="502"/>
    </row>
    <row r="320" spans="2:21" x14ac:dyDescent="0.3">
      <c r="F320" s="501"/>
      <c r="G320" s="501"/>
      <c r="K320" s="503" t="str">
        <f>IF(F474="","",F473+F474)</f>
        <v/>
      </c>
      <c r="R320" s="502"/>
      <c r="S320" s="502"/>
    </row>
    <row r="321" spans="6:19" x14ac:dyDescent="0.3">
      <c r="F321" s="501"/>
      <c r="G321" s="501"/>
      <c r="K321" s="503"/>
      <c r="R321" s="502"/>
      <c r="S321" s="502"/>
    </row>
    <row r="322" spans="6:19" x14ac:dyDescent="0.3">
      <c r="F322" s="501"/>
      <c r="G322" s="501"/>
      <c r="K322" s="503" t="str">
        <f>IF(F476="","",F475+F476)</f>
        <v/>
      </c>
      <c r="R322" s="502"/>
      <c r="S322" s="502"/>
    </row>
    <row r="323" spans="6:19" x14ac:dyDescent="0.3">
      <c r="F323" s="501"/>
      <c r="G323" s="501"/>
      <c r="K323" s="503"/>
      <c r="R323" s="502"/>
      <c r="S323" s="502"/>
    </row>
    <row r="324" spans="6:19" x14ac:dyDescent="0.3">
      <c r="F324" s="501"/>
      <c r="G324" s="501"/>
      <c r="K324" s="503" t="str">
        <f>IF(F478="","",F477+F478)</f>
        <v/>
      </c>
      <c r="R324" s="502"/>
      <c r="S324" s="502"/>
    </row>
    <row r="325" spans="6:19" x14ac:dyDescent="0.3">
      <c r="F325" s="501"/>
      <c r="G325" s="501"/>
      <c r="K325" s="503"/>
      <c r="R325" s="502"/>
      <c r="S325" s="502"/>
    </row>
    <row r="326" spans="6:19" x14ac:dyDescent="0.3">
      <c r="F326" s="501"/>
      <c r="G326" s="501"/>
      <c r="K326" s="503" t="str">
        <f>IF(F480="","",F479+F480)</f>
        <v/>
      </c>
      <c r="R326" s="502"/>
      <c r="S326" s="502"/>
    </row>
    <row r="327" spans="6:19" x14ac:dyDescent="0.3">
      <c r="F327" s="501"/>
      <c r="G327" s="501"/>
      <c r="K327" s="503"/>
      <c r="R327" s="502"/>
      <c r="S327" s="502"/>
    </row>
    <row r="328" spans="6:19" x14ac:dyDescent="0.3">
      <c r="F328" s="501"/>
      <c r="G328" s="501"/>
      <c r="K328" s="503" t="str">
        <f>IF(F482="","",F481+F482)</f>
        <v/>
      </c>
      <c r="R328" s="502"/>
      <c r="S328" s="502"/>
    </row>
    <row r="329" spans="6:19" x14ac:dyDescent="0.3">
      <c r="F329" s="501"/>
      <c r="G329" s="501"/>
      <c r="K329" s="503"/>
      <c r="R329" s="502"/>
      <c r="S329" s="502"/>
    </row>
    <row r="330" spans="6:19" x14ac:dyDescent="0.3">
      <c r="F330" s="501"/>
      <c r="G330" s="501"/>
      <c r="K330" s="503" t="str">
        <f>IF(F484="","",F483+F484)</f>
        <v/>
      </c>
      <c r="R330" s="502"/>
      <c r="S330" s="502"/>
    </row>
    <row r="331" spans="6:19" x14ac:dyDescent="0.3">
      <c r="F331" s="501"/>
      <c r="G331" s="501"/>
      <c r="K331" s="503"/>
      <c r="R331" s="502"/>
      <c r="S331" s="502"/>
    </row>
    <row r="332" spans="6:19" x14ac:dyDescent="0.3">
      <c r="F332" s="501"/>
      <c r="G332" s="501"/>
      <c r="K332" s="503" t="str">
        <f>IF(F486="","",F485+F486)</f>
        <v/>
      </c>
      <c r="R332" s="502"/>
      <c r="S332" s="502"/>
    </row>
    <row r="333" spans="6:19" x14ac:dyDescent="0.3">
      <c r="F333" s="501"/>
      <c r="G333" s="501"/>
      <c r="K333" s="503"/>
      <c r="R333" s="502"/>
      <c r="S333" s="502"/>
    </row>
    <row r="334" spans="6:19" x14ac:dyDescent="0.3">
      <c r="F334" s="501"/>
      <c r="G334" s="501"/>
      <c r="R334" s="502"/>
      <c r="S334" s="502"/>
    </row>
    <row r="335" spans="6:19" x14ac:dyDescent="0.3">
      <c r="F335" s="501"/>
      <c r="G335" s="501"/>
      <c r="R335" s="502"/>
      <c r="S335" s="502"/>
    </row>
    <row r="336" spans="6:19" x14ac:dyDescent="0.3">
      <c r="F336" s="501"/>
      <c r="G336" s="501"/>
      <c r="R336" s="502"/>
      <c r="S336" s="502"/>
    </row>
    <row r="337" spans="6:19" x14ac:dyDescent="0.3">
      <c r="F337" s="501"/>
      <c r="G337" s="501"/>
      <c r="R337" s="502"/>
      <c r="S337" s="502"/>
    </row>
    <row r="338" spans="6:19" x14ac:dyDescent="0.3">
      <c r="F338" s="501"/>
      <c r="G338" s="501"/>
      <c r="R338" s="502"/>
      <c r="S338" s="502"/>
    </row>
    <row r="339" spans="6:19" x14ac:dyDescent="0.3">
      <c r="F339" s="501"/>
      <c r="G339" s="501"/>
      <c r="R339" s="502"/>
      <c r="S339" s="502"/>
    </row>
    <row r="340" spans="6:19" x14ac:dyDescent="0.3">
      <c r="F340" s="501"/>
      <c r="G340" s="501"/>
      <c r="R340" s="502"/>
      <c r="S340" s="502"/>
    </row>
    <row r="341" spans="6:19" x14ac:dyDescent="0.3">
      <c r="F341" s="501"/>
      <c r="G341" s="501"/>
      <c r="R341" s="502"/>
      <c r="S341" s="502"/>
    </row>
    <row r="342" spans="6:19" x14ac:dyDescent="0.3">
      <c r="F342" s="501"/>
      <c r="G342" s="501"/>
      <c r="R342" s="502"/>
      <c r="S342" s="502"/>
    </row>
    <row r="343" spans="6:19" x14ac:dyDescent="0.3">
      <c r="F343" s="501"/>
      <c r="G343" s="501"/>
      <c r="R343" s="502"/>
      <c r="S343" s="502"/>
    </row>
    <row r="344" spans="6:19" x14ac:dyDescent="0.3">
      <c r="F344" s="501"/>
      <c r="G344" s="501"/>
      <c r="R344" s="502"/>
      <c r="S344" s="502"/>
    </row>
    <row r="345" spans="6:19" x14ac:dyDescent="0.3">
      <c r="F345" s="501"/>
      <c r="G345" s="501"/>
      <c r="R345" s="502"/>
      <c r="S345" s="502"/>
    </row>
    <row r="346" spans="6:19" x14ac:dyDescent="0.3">
      <c r="F346" s="501"/>
      <c r="G346" s="501"/>
      <c r="R346" s="502"/>
      <c r="S346" s="502"/>
    </row>
    <row r="347" spans="6:19" x14ac:dyDescent="0.3">
      <c r="F347" s="501"/>
      <c r="G347" s="501"/>
      <c r="R347" s="502"/>
      <c r="S347" s="502"/>
    </row>
    <row r="348" spans="6:19" x14ac:dyDescent="0.3">
      <c r="F348" s="501"/>
      <c r="G348" s="501"/>
      <c r="R348" s="502"/>
      <c r="S348" s="502"/>
    </row>
    <row r="349" spans="6:19" x14ac:dyDescent="0.3">
      <c r="F349" s="501"/>
      <c r="G349" s="501"/>
      <c r="R349" s="502"/>
      <c r="S349" s="502"/>
    </row>
    <row r="350" spans="6:19" x14ac:dyDescent="0.3">
      <c r="F350" s="501"/>
      <c r="G350" s="501"/>
      <c r="R350" s="502"/>
      <c r="S350" s="502"/>
    </row>
    <row r="351" spans="6:19" x14ac:dyDescent="0.3">
      <c r="F351" s="501"/>
      <c r="G351" s="501"/>
      <c r="R351" s="502"/>
      <c r="S351" s="502"/>
    </row>
    <row r="352" spans="6:19" x14ac:dyDescent="0.3">
      <c r="F352" s="501"/>
      <c r="G352" s="501"/>
      <c r="R352" s="502"/>
      <c r="S352" s="502"/>
    </row>
    <row r="353" spans="6:19" x14ac:dyDescent="0.3">
      <c r="F353" s="501"/>
      <c r="G353" s="501"/>
      <c r="R353" s="502"/>
      <c r="S353" s="502"/>
    </row>
    <row r="354" spans="6:19" x14ac:dyDescent="0.3">
      <c r="F354" s="501"/>
      <c r="G354" s="501"/>
      <c r="R354" s="502"/>
      <c r="S354" s="502"/>
    </row>
    <row r="355" spans="6:19" x14ac:dyDescent="0.3">
      <c r="F355" s="501"/>
      <c r="G355" s="501"/>
      <c r="R355" s="502"/>
      <c r="S355" s="502"/>
    </row>
    <row r="356" spans="6:19" x14ac:dyDescent="0.3">
      <c r="F356" s="501"/>
      <c r="G356" s="501"/>
      <c r="R356" s="502"/>
      <c r="S356" s="502"/>
    </row>
    <row r="357" spans="6:19" x14ac:dyDescent="0.3">
      <c r="F357" s="501"/>
      <c r="G357" s="501"/>
      <c r="R357" s="502"/>
      <c r="S357" s="502"/>
    </row>
    <row r="358" spans="6:19" x14ac:dyDescent="0.3">
      <c r="F358" s="501"/>
      <c r="G358" s="501"/>
      <c r="R358" s="502"/>
      <c r="S358" s="502"/>
    </row>
    <row r="359" spans="6:19" x14ac:dyDescent="0.3">
      <c r="F359" s="501"/>
      <c r="G359" s="501"/>
      <c r="R359" s="502"/>
      <c r="S359" s="502"/>
    </row>
    <row r="360" spans="6:19" x14ac:dyDescent="0.3">
      <c r="F360" s="501"/>
      <c r="G360" s="501"/>
      <c r="R360" s="502"/>
      <c r="S360" s="502"/>
    </row>
    <row r="361" spans="6:19" x14ac:dyDescent="0.3">
      <c r="F361" s="501"/>
      <c r="G361" s="501"/>
      <c r="R361" s="502"/>
      <c r="S361" s="502"/>
    </row>
    <row r="362" spans="6:19" x14ac:dyDescent="0.3">
      <c r="F362" s="501"/>
      <c r="G362" s="501"/>
      <c r="R362" s="502"/>
      <c r="S362" s="502"/>
    </row>
    <row r="363" spans="6:19" x14ac:dyDescent="0.3">
      <c r="F363" s="501"/>
      <c r="G363" s="501"/>
      <c r="R363" s="502"/>
      <c r="S363" s="502"/>
    </row>
    <row r="364" spans="6:19" x14ac:dyDescent="0.3">
      <c r="F364" s="501"/>
      <c r="G364" s="501"/>
      <c r="R364" s="502"/>
      <c r="S364" s="502"/>
    </row>
    <row r="365" spans="6:19" x14ac:dyDescent="0.3">
      <c r="F365" s="501"/>
      <c r="G365" s="501"/>
      <c r="R365" s="502"/>
      <c r="S365" s="502"/>
    </row>
    <row r="366" spans="6:19" x14ac:dyDescent="0.3">
      <c r="F366" s="501"/>
      <c r="G366" s="501"/>
      <c r="R366" s="502"/>
      <c r="S366" s="502"/>
    </row>
    <row r="367" spans="6:19" x14ac:dyDescent="0.3">
      <c r="F367" s="501"/>
      <c r="G367" s="501"/>
      <c r="R367" s="502"/>
      <c r="S367" s="502"/>
    </row>
    <row r="368" spans="6:19" x14ac:dyDescent="0.3">
      <c r="F368" s="501"/>
      <c r="G368" s="501"/>
      <c r="R368" s="502"/>
      <c r="S368" s="502"/>
    </row>
    <row r="369" spans="6:19" x14ac:dyDescent="0.3">
      <c r="F369" s="501"/>
      <c r="G369" s="501"/>
      <c r="R369" s="502"/>
      <c r="S369" s="502"/>
    </row>
    <row r="370" spans="6:19" x14ac:dyDescent="0.3">
      <c r="F370" s="501"/>
      <c r="G370" s="501"/>
      <c r="R370" s="502"/>
      <c r="S370" s="502"/>
    </row>
    <row r="371" spans="6:19" x14ac:dyDescent="0.3">
      <c r="F371" s="501"/>
      <c r="G371" s="501"/>
      <c r="R371" s="502"/>
      <c r="S371" s="502"/>
    </row>
    <row r="372" spans="6:19" x14ac:dyDescent="0.3">
      <c r="F372" s="501"/>
      <c r="G372" s="501"/>
      <c r="R372" s="502"/>
      <c r="S372" s="502"/>
    </row>
    <row r="373" spans="6:19" x14ac:dyDescent="0.3">
      <c r="F373" s="501"/>
      <c r="G373" s="501"/>
      <c r="R373" s="502"/>
      <c r="S373" s="502"/>
    </row>
    <row r="374" spans="6:19" x14ac:dyDescent="0.3">
      <c r="F374" s="501"/>
      <c r="G374" s="501"/>
      <c r="R374" s="502"/>
      <c r="S374" s="502"/>
    </row>
    <row r="375" spans="6:19" x14ac:dyDescent="0.3">
      <c r="F375" s="501"/>
      <c r="G375" s="501"/>
      <c r="R375" s="502"/>
      <c r="S375" s="502"/>
    </row>
    <row r="376" spans="6:19" x14ac:dyDescent="0.3">
      <c r="F376" s="501"/>
      <c r="G376" s="501"/>
      <c r="R376" s="502"/>
      <c r="S376" s="502"/>
    </row>
    <row r="377" spans="6:19" x14ac:dyDescent="0.3">
      <c r="F377" s="501"/>
      <c r="G377" s="501"/>
      <c r="R377" s="502"/>
      <c r="S377" s="502"/>
    </row>
    <row r="378" spans="6:19" x14ac:dyDescent="0.3">
      <c r="F378" s="501"/>
      <c r="G378" s="501"/>
      <c r="R378" s="502"/>
      <c r="S378" s="502"/>
    </row>
    <row r="379" spans="6:19" x14ac:dyDescent="0.3">
      <c r="F379" s="501"/>
      <c r="G379" s="501"/>
      <c r="R379" s="502"/>
      <c r="S379" s="502"/>
    </row>
    <row r="380" spans="6:19" x14ac:dyDescent="0.3">
      <c r="F380" s="501"/>
      <c r="G380" s="501"/>
      <c r="R380" s="502"/>
      <c r="S380" s="502"/>
    </row>
    <row r="381" spans="6:19" x14ac:dyDescent="0.3">
      <c r="F381" s="501"/>
      <c r="G381" s="501"/>
      <c r="R381" s="502"/>
      <c r="S381" s="502"/>
    </row>
    <row r="382" spans="6:19" x14ac:dyDescent="0.3">
      <c r="F382" s="501"/>
      <c r="G382" s="501"/>
      <c r="R382" s="502"/>
      <c r="S382" s="502"/>
    </row>
    <row r="383" spans="6:19" x14ac:dyDescent="0.3">
      <c r="F383" s="501"/>
      <c r="G383" s="501"/>
      <c r="R383" s="502"/>
      <c r="S383" s="502"/>
    </row>
    <row r="384" spans="6:19" x14ac:dyDescent="0.3">
      <c r="F384" s="501"/>
      <c r="G384" s="501"/>
      <c r="R384" s="502"/>
      <c r="S384" s="502"/>
    </row>
    <row r="385" spans="6:19" x14ac:dyDescent="0.3">
      <c r="F385" s="501"/>
      <c r="G385" s="501"/>
      <c r="R385" s="502"/>
      <c r="S385" s="502"/>
    </row>
    <row r="386" spans="6:19" x14ac:dyDescent="0.3">
      <c r="F386" s="501"/>
      <c r="G386" s="501"/>
      <c r="R386" s="502"/>
      <c r="S386" s="502"/>
    </row>
    <row r="387" spans="6:19" x14ac:dyDescent="0.3">
      <c r="F387" s="501"/>
      <c r="G387" s="501"/>
      <c r="R387" s="502"/>
      <c r="S387" s="502"/>
    </row>
    <row r="388" spans="6:19" x14ac:dyDescent="0.3">
      <c r="F388" s="501"/>
      <c r="G388" s="501"/>
      <c r="R388" s="502"/>
      <c r="S388" s="502"/>
    </row>
    <row r="389" spans="6:19" x14ac:dyDescent="0.3">
      <c r="F389" s="501"/>
      <c r="G389" s="501"/>
      <c r="R389" s="502"/>
      <c r="S389" s="502"/>
    </row>
    <row r="390" spans="6:19" x14ac:dyDescent="0.3">
      <c r="F390" s="501"/>
      <c r="G390" s="501"/>
      <c r="R390" s="502"/>
      <c r="S390" s="502"/>
    </row>
    <row r="391" spans="6:19" x14ac:dyDescent="0.3">
      <c r="F391" s="501"/>
      <c r="G391" s="501"/>
    </row>
    <row r="392" spans="6:19" x14ac:dyDescent="0.3">
      <c r="F392" s="501"/>
      <c r="G392" s="501"/>
    </row>
    <row r="393" spans="6:19" x14ac:dyDescent="0.3">
      <c r="F393" s="501"/>
      <c r="G393" s="501"/>
    </row>
    <row r="394" spans="6:19" x14ac:dyDescent="0.3">
      <c r="F394" s="501"/>
      <c r="G394" s="501"/>
    </row>
    <row r="395" spans="6:19" x14ac:dyDescent="0.3">
      <c r="F395" s="501"/>
      <c r="G395" s="501"/>
    </row>
    <row r="396" spans="6:19" x14ac:dyDescent="0.3">
      <c r="F396" s="501"/>
      <c r="G396" s="501"/>
    </row>
    <row r="397" spans="6:19" x14ac:dyDescent="0.3">
      <c r="F397" s="501"/>
      <c r="G397" s="501"/>
    </row>
    <row r="398" spans="6:19" x14ac:dyDescent="0.3">
      <c r="F398" s="501"/>
      <c r="G398" s="501"/>
    </row>
    <row r="399" spans="6:19" x14ac:dyDescent="0.3">
      <c r="F399" s="501"/>
      <c r="G399" s="501"/>
    </row>
    <row r="400" spans="6:19" x14ac:dyDescent="0.3">
      <c r="F400" s="501"/>
      <c r="G400" s="501"/>
    </row>
    <row r="401" spans="1:21" x14ac:dyDescent="0.3">
      <c r="F401" s="501"/>
      <c r="G401" s="501"/>
    </row>
    <row r="402" spans="1:21" x14ac:dyDescent="0.3">
      <c r="F402" s="501"/>
      <c r="G402" s="501"/>
    </row>
    <row r="403" spans="1:21" x14ac:dyDescent="0.3">
      <c r="F403" s="501"/>
      <c r="G403" s="501"/>
    </row>
    <row r="404" spans="1:21" s="15" customFormat="1" x14ac:dyDescent="0.3">
      <c r="A404"/>
      <c r="B404"/>
      <c r="C404"/>
      <c r="D404"/>
      <c r="E404"/>
      <c r="F404" s="501"/>
      <c r="G404" s="501"/>
      <c r="I404"/>
      <c r="J404"/>
      <c r="K404"/>
      <c r="L404"/>
      <c r="M404"/>
      <c r="N404"/>
      <c r="O404"/>
      <c r="P404" s="464"/>
      <c r="Q404"/>
      <c r="T404"/>
      <c r="U404"/>
    </row>
    <row r="405" spans="1:21" s="15" customFormat="1" x14ac:dyDescent="0.3">
      <c r="A405"/>
      <c r="B405"/>
      <c r="C405"/>
      <c r="D405"/>
      <c r="E405"/>
      <c r="F405" s="501"/>
      <c r="G405" s="501"/>
      <c r="I405"/>
      <c r="J405"/>
      <c r="K405"/>
      <c r="L405"/>
      <c r="M405"/>
      <c r="N405"/>
      <c r="O405"/>
      <c r="P405" s="464"/>
      <c r="Q405"/>
      <c r="T405"/>
      <c r="U405"/>
    </row>
    <row r="406" spans="1:21" s="15" customFormat="1" x14ac:dyDescent="0.3">
      <c r="A406"/>
      <c r="B406"/>
      <c r="C406"/>
      <c r="D406"/>
      <c r="E406"/>
      <c r="F406" s="501"/>
      <c r="G406" s="501"/>
      <c r="I406"/>
      <c r="J406"/>
      <c r="K406"/>
      <c r="L406"/>
      <c r="M406"/>
      <c r="N406"/>
      <c r="O406"/>
      <c r="P406" s="464"/>
      <c r="Q406"/>
      <c r="T406"/>
      <c r="U406"/>
    </row>
    <row r="407" spans="1:21" s="15" customFormat="1" x14ac:dyDescent="0.3">
      <c r="A407"/>
      <c r="B407"/>
      <c r="C407"/>
      <c r="D407"/>
      <c r="E407"/>
      <c r="F407" s="501"/>
      <c r="G407" s="501"/>
      <c r="I407"/>
      <c r="J407"/>
      <c r="K407"/>
      <c r="L407"/>
      <c r="M407"/>
      <c r="N407"/>
      <c r="O407"/>
      <c r="P407" s="464"/>
      <c r="Q407"/>
      <c r="T407"/>
      <c r="U407"/>
    </row>
    <row r="408" spans="1:21" s="15" customFormat="1" x14ac:dyDescent="0.3">
      <c r="A408"/>
      <c r="B408"/>
      <c r="C408"/>
      <c r="D408"/>
      <c r="E408"/>
      <c r="F408" s="501"/>
      <c r="G408" s="501"/>
      <c r="I408"/>
      <c r="J408"/>
      <c r="K408"/>
      <c r="L408"/>
      <c r="M408"/>
      <c r="N408"/>
      <c r="O408"/>
      <c r="P408" s="464"/>
      <c r="Q408"/>
      <c r="T408"/>
      <c r="U408"/>
    </row>
    <row r="409" spans="1:21" s="15" customFormat="1" x14ac:dyDescent="0.3">
      <c r="A409"/>
      <c r="B409"/>
      <c r="C409"/>
      <c r="D409"/>
      <c r="E409"/>
      <c r="F409" s="501"/>
      <c r="G409" s="501"/>
      <c r="I409"/>
      <c r="J409"/>
      <c r="K409"/>
      <c r="L409"/>
      <c r="M409"/>
      <c r="N409"/>
      <c r="O409"/>
      <c r="P409" s="464"/>
      <c r="Q409"/>
      <c r="T409"/>
      <c r="U409"/>
    </row>
    <row r="410" spans="1:21" s="15" customFormat="1" x14ac:dyDescent="0.3">
      <c r="A410"/>
      <c r="B410"/>
      <c r="C410"/>
      <c r="D410"/>
      <c r="E410"/>
      <c r="F410" s="501"/>
      <c r="G410" s="501"/>
      <c r="I410"/>
      <c r="J410"/>
      <c r="K410"/>
      <c r="L410"/>
      <c r="M410"/>
      <c r="N410"/>
      <c r="O410"/>
      <c r="P410" s="464"/>
      <c r="Q410"/>
      <c r="T410"/>
      <c r="U410"/>
    </row>
    <row r="411" spans="1:21" s="15" customFormat="1" x14ac:dyDescent="0.3">
      <c r="A411"/>
      <c r="B411"/>
      <c r="C411"/>
      <c r="D411"/>
      <c r="E411"/>
      <c r="F411" s="501"/>
      <c r="G411" s="501"/>
      <c r="I411"/>
      <c r="J411"/>
      <c r="K411"/>
      <c r="L411"/>
      <c r="M411"/>
      <c r="N411"/>
      <c r="O411"/>
      <c r="P411" s="464"/>
      <c r="Q411"/>
      <c r="T411"/>
      <c r="U411"/>
    </row>
    <row r="412" spans="1:21" s="15" customFormat="1" x14ac:dyDescent="0.3">
      <c r="A412"/>
      <c r="B412"/>
      <c r="C412"/>
      <c r="D412"/>
      <c r="E412"/>
      <c r="F412" s="501"/>
      <c r="G412" s="501"/>
      <c r="I412"/>
      <c r="J412"/>
      <c r="K412"/>
      <c r="L412"/>
      <c r="M412"/>
      <c r="N412"/>
      <c r="O412"/>
      <c r="P412" s="464"/>
      <c r="Q412"/>
      <c r="T412"/>
      <c r="U412"/>
    </row>
    <row r="413" spans="1:21" s="15" customFormat="1" x14ac:dyDescent="0.3">
      <c r="A413"/>
      <c r="B413"/>
      <c r="C413"/>
      <c r="D413"/>
      <c r="E413"/>
      <c r="F413" s="501"/>
      <c r="G413" s="501"/>
      <c r="I413"/>
      <c r="J413"/>
      <c r="K413"/>
      <c r="L413"/>
      <c r="M413"/>
      <c r="N413"/>
      <c r="O413"/>
      <c r="P413" s="464"/>
      <c r="Q413"/>
      <c r="T413"/>
      <c r="U413"/>
    </row>
    <row r="414" spans="1:21" s="15" customFormat="1" x14ac:dyDescent="0.3">
      <c r="A414"/>
      <c r="B414"/>
      <c r="C414"/>
      <c r="D414"/>
      <c r="E414"/>
      <c r="F414" s="501"/>
      <c r="G414" s="501"/>
      <c r="I414"/>
      <c r="J414"/>
      <c r="K414"/>
      <c r="L414"/>
      <c r="M414"/>
      <c r="N414"/>
      <c r="O414"/>
      <c r="P414" s="464"/>
      <c r="Q414"/>
      <c r="T414"/>
      <c r="U414"/>
    </row>
    <row r="1047990" spans="14:14" x14ac:dyDescent="0.3">
      <c r="N1047990" s="503"/>
    </row>
  </sheetData>
  <mergeCells count="10">
    <mergeCell ref="B11:B14"/>
    <mergeCell ref="C11:C14"/>
    <mergeCell ref="D11:D14"/>
    <mergeCell ref="B16:D19"/>
    <mergeCell ref="B2:T2"/>
    <mergeCell ref="B4:D4"/>
    <mergeCell ref="J4:L4"/>
    <mergeCell ref="R4:T4"/>
    <mergeCell ref="B5:D6"/>
    <mergeCell ref="B7:D9"/>
  </mergeCells>
  <dataValidations count="1">
    <dataValidation allowBlank="1" showInputMessage="1" sqref="B5:D6" xr:uid="{51BC703F-7E84-4D68-A129-C29D97BA2FD6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cleartally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Spinner 2">
              <controlPr defaultSize="0" autoPict="0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tnAppendTallyBitDepths">
              <controlPr defaultSize="0" print="0" autoFill="0" autoPict="0" macro="[0]!AppendTallyBitDepths">
                <anchor moveWithCells="1" sizeWithCells="1">
                  <from>
                    <xdr:col>1</xdr:col>
                    <xdr:colOff>0</xdr:colOff>
                    <xdr:row>15</xdr:row>
                    <xdr:rowOff>45720</xdr:rowOff>
                  </from>
                  <to>
                    <xdr:col>3</xdr:col>
                    <xdr:colOff>716280</xdr:colOff>
                    <xdr:row>19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E4A9-8849-44B2-AADD-DB9689D6DCEF}">
  <sheetPr codeName="Sheet3">
    <tabColor rgb="FF004F4F"/>
  </sheetPr>
  <dimension ref="A1:AC113"/>
  <sheetViews>
    <sheetView showGridLines="0" showRowColHeaders="0" zoomScale="115" zoomScaleNormal="115" workbookViewId="0">
      <selection activeCell="Q25" sqref="Q25"/>
    </sheetView>
  </sheetViews>
  <sheetFormatPr defaultColWidth="8.88671875" defaultRowHeight="12" x14ac:dyDescent="0.25"/>
  <cols>
    <col min="1" max="1" width="4.77734375" style="240" customWidth="1"/>
    <col min="2" max="2" width="14.77734375" style="240" customWidth="1"/>
    <col min="3" max="3" width="12.77734375" style="240" customWidth="1"/>
    <col min="4" max="4" width="30.77734375" style="240" customWidth="1"/>
    <col min="5" max="23" width="11.77734375" style="240" customWidth="1"/>
    <col min="24" max="16384" width="8.88671875" style="240"/>
  </cols>
  <sheetData>
    <row r="1" spans="1:29" ht="25.95" customHeight="1" x14ac:dyDescent="0.25">
      <c r="A1" s="939" t="s">
        <v>437</v>
      </c>
      <c r="B1" s="939"/>
      <c r="C1" s="939"/>
    </row>
    <row r="2" spans="1:29" ht="15" customHeight="1" x14ac:dyDescent="0.25">
      <c r="A2" s="241" t="s">
        <v>705</v>
      </c>
    </row>
    <row r="3" spans="1:29" ht="13.95" customHeight="1" x14ac:dyDescent="0.3">
      <c r="A3" s="583"/>
      <c r="B3" s="583"/>
      <c r="C3" s="583"/>
      <c r="D3" s="583"/>
      <c r="E3" s="583"/>
      <c r="F3" s="583"/>
      <c r="G3" s="583"/>
      <c r="H3" s="583"/>
      <c r="I3" s="583"/>
      <c r="J3" s="583"/>
      <c r="K3" s="583"/>
      <c r="L3" s="583"/>
      <c r="M3" s="583"/>
      <c r="O3" s="941" t="s">
        <v>451</v>
      </c>
      <c r="P3" s="941"/>
      <c r="Q3" s="941"/>
      <c r="R3" s="941"/>
      <c r="S3" s="941"/>
      <c r="T3" s="941"/>
      <c r="U3" s="941"/>
      <c r="V3" s="941"/>
      <c r="W3" s="941"/>
    </row>
    <row r="4" spans="1:29" ht="1.95" customHeight="1" x14ac:dyDescent="0.25"/>
    <row r="5" spans="1:29" ht="15" customHeight="1" x14ac:dyDescent="0.3">
      <c r="A5" s="248" t="s">
        <v>399</v>
      </c>
      <c r="B5" s="249" t="s">
        <v>400</v>
      </c>
      <c r="C5" s="249" t="s">
        <v>401</v>
      </c>
      <c r="D5" s="249" t="s">
        <v>402</v>
      </c>
      <c r="E5" s="250" t="s">
        <v>445</v>
      </c>
      <c r="F5" s="250" t="s">
        <v>405</v>
      </c>
      <c r="G5" s="250" t="s">
        <v>403</v>
      </c>
      <c r="H5" s="250" t="s">
        <v>425</v>
      </c>
      <c r="J5" s="940" t="s">
        <v>438</v>
      </c>
      <c r="K5" s="940"/>
      <c r="L5" s="940" t="s">
        <v>869</v>
      </c>
      <c r="M5" s="940"/>
      <c r="O5" s="257" t="s">
        <v>427</v>
      </c>
      <c r="P5" s="257" t="s">
        <v>218</v>
      </c>
      <c r="Q5" s="257" t="s">
        <v>452</v>
      </c>
      <c r="R5" s="257" t="s">
        <v>453</v>
      </c>
      <c r="S5" s="257" t="s">
        <v>454</v>
      </c>
      <c r="T5" s="257" t="s">
        <v>429</v>
      </c>
      <c r="U5" s="257" t="s">
        <v>455</v>
      </c>
      <c r="V5" s="257" t="s">
        <v>431</v>
      </c>
      <c r="W5" s="257" t="s">
        <v>432</v>
      </c>
      <c r="Z5" s="583"/>
      <c r="AA5" s="583"/>
      <c r="AB5" s="583"/>
      <c r="AC5" s="583"/>
    </row>
    <row r="6" spans="1:29" ht="15" customHeight="1" x14ac:dyDescent="0.3">
      <c r="A6" s="585" t="s">
        <v>406</v>
      </c>
      <c r="B6" s="586" t="s">
        <v>668</v>
      </c>
      <c r="C6" s="587" t="s">
        <v>836</v>
      </c>
      <c r="D6" s="586" t="s">
        <v>391</v>
      </c>
      <c r="E6" s="588">
        <v>11.58</v>
      </c>
      <c r="F6" s="588">
        <v>28.33</v>
      </c>
      <c r="G6" s="589">
        <v>52.66</v>
      </c>
      <c r="H6" s="591">
        <v>6</v>
      </c>
      <c r="J6" s="242" t="s">
        <v>404</v>
      </c>
      <c r="K6" s="243" t="s">
        <v>886</v>
      </c>
      <c r="L6" s="242" t="s">
        <v>330</v>
      </c>
      <c r="M6" s="243"/>
      <c r="O6" s="258">
        <v>1</v>
      </c>
      <c r="P6" s="259">
        <v>613</v>
      </c>
      <c r="Q6" s="259">
        <v>32</v>
      </c>
      <c r="R6" s="259">
        <v>581</v>
      </c>
      <c r="S6" s="259">
        <v>1</v>
      </c>
      <c r="T6" s="259">
        <v>9.9</v>
      </c>
      <c r="U6" s="259">
        <v>5.23</v>
      </c>
      <c r="V6" s="259">
        <v>16.13</v>
      </c>
      <c r="W6" s="259">
        <v>32.75</v>
      </c>
      <c r="Z6" s="583"/>
      <c r="AA6" s="583"/>
      <c r="AB6" s="583"/>
      <c r="AC6" s="583"/>
    </row>
    <row r="7" spans="1:29" ht="15" customHeight="1" x14ac:dyDescent="0.3">
      <c r="A7" s="592" t="s">
        <v>407</v>
      </c>
      <c r="B7" s="593" t="s">
        <v>833</v>
      </c>
      <c r="C7" s="594" t="s">
        <v>408</v>
      </c>
      <c r="D7" s="593" t="s">
        <v>385</v>
      </c>
      <c r="E7" s="595">
        <v>11.58</v>
      </c>
      <c r="F7" s="595">
        <v>28.33</v>
      </c>
      <c r="G7" s="596">
        <v>52.66</v>
      </c>
      <c r="H7" s="597">
        <v>6</v>
      </c>
      <c r="J7" s="244" t="s">
        <v>403</v>
      </c>
      <c r="K7" s="245" t="s">
        <v>887</v>
      </c>
      <c r="L7" s="244" t="s">
        <v>360</v>
      </c>
      <c r="M7" s="245"/>
      <c r="O7" s="260">
        <v>2</v>
      </c>
      <c r="P7" s="261">
        <v>1665.12</v>
      </c>
      <c r="Q7" s="261">
        <v>53</v>
      </c>
      <c r="R7" s="261">
        <v>1612.12</v>
      </c>
      <c r="S7" s="261">
        <v>6.12</v>
      </c>
      <c r="T7" s="261">
        <v>54.83</v>
      </c>
      <c r="U7" s="261">
        <v>14.77</v>
      </c>
      <c r="V7" s="261">
        <v>75.72</v>
      </c>
      <c r="W7" s="261">
        <v>89.5</v>
      </c>
      <c r="Z7" s="583"/>
      <c r="AA7" s="583"/>
      <c r="AB7" s="583"/>
      <c r="AC7" s="583"/>
    </row>
    <row r="8" spans="1:29" ht="15" customHeight="1" x14ac:dyDescent="0.3">
      <c r="A8" s="585" t="s">
        <v>409</v>
      </c>
      <c r="B8" s="586" t="s">
        <v>818</v>
      </c>
      <c r="C8" s="587" t="s">
        <v>840</v>
      </c>
      <c r="D8" s="586" t="s">
        <v>390</v>
      </c>
      <c r="E8" s="588">
        <v>11.58</v>
      </c>
      <c r="F8" s="588">
        <v>28.33</v>
      </c>
      <c r="G8" s="589">
        <v>52.66</v>
      </c>
      <c r="H8" s="591">
        <v>6</v>
      </c>
      <c r="J8" s="242" t="s">
        <v>439</v>
      </c>
      <c r="K8" s="243" t="s">
        <v>888</v>
      </c>
      <c r="L8" s="242" t="s">
        <v>361</v>
      </c>
      <c r="M8" s="243"/>
      <c r="O8" s="258">
        <v>3</v>
      </c>
      <c r="P8" s="259">
        <v>507.94</v>
      </c>
      <c r="Q8" s="259">
        <v>46.02</v>
      </c>
      <c r="R8" s="259">
        <v>461.92</v>
      </c>
      <c r="S8" s="259">
        <v>10.42</v>
      </c>
      <c r="T8" s="259">
        <v>25.5</v>
      </c>
      <c r="U8" s="259">
        <v>4.58</v>
      </c>
      <c r="V8" s="259">
        <v>40.5</v>
      </c>
      <c r="W8" s="259">
        <v>52.42</v>
      </c>
      <c r="Z8" s="583"/>
      <c r="AA8" s="583"/>
      <c r="AB8" s="583"/>
      <c r="AC8" s="583"/>
    </row>
    <row r="9" spans="1:29" ht="15" customHeight="1" x14ac:dyDescent="0.3">
      <c r="A9" s="592" t="s">
        <v>411</v>
      </c>
      <c r="B9" s="593" t="s">
        <v>827</v>
      </c>
      <c r="C9" s="594" t="s">
        <v>410</v>
      </c>
      <c r="D9" s="593" t="s">
        <v>386</v>
      </c>
      <c r="E9" s="595">
        <v>11.58</v>
      </c>
      <c r="F9" s="595">
        <v>28.33</v>
      </c>
      <c r="G9" s="596">
        <v>52.66</v>
      </c>
      <c r="H9" s="597">
        <v>6</v>
      </c>
      <c r="J9" s="244" t="s">
        <v>440</v>
      </c>
      <c r="K9" s="245" t="s">
        <v>889</v>
      </c>
      <c r="L9" s="244" t="s">
        <v>362</v>
      </c>
      <c r="M9" s="245" t="s">
        <v>350</v>
      </c>
      <c r="O9" s="260">
        <v>4</v>
      </c>
      <c r="P9" s="261">
        <v>199.94</v>
      </c>
      <c r="Q9" s="261">
        <v>167.64</v>
      </c>
      <c r="R9" s="261">
        <v>32.299999999999997</v>
      </c>
      <c r="S9" s="261">
        <v>33.58</v>
      </c>
      <c r="T9" s="261">
        <v>2.42</v>
      </c>
      <c r="U9" s="261">
        <v>8.92</v>
      </c>
      <c r="V9" s="261">
        <v>44.92</v>
      </c>
      <c r="W9" s="261">
        <v>62.75</v>
      </c>
      <c r="Z9" s="583"/>
      <c r="AA9" s="583"/>
      <c r="AB9" s="583"/>
      <c r="AC9" s="583"/>
    </row>
    <row r="10" spans="1:29" ht="15" customHeight="1" x14ac:dyDescent="0.3">
      <c r="A10" s="585" t="s">
        <v>412</v>
      </c>
      <c r="B10" s="586" t="s">
        <v>724</v>
      </c>
      <c r="C10" s="587" t="s">
        <v>837</v>
      </c>
      <c r="D10" s="586" t="s">
        <v>722</v>
      </c>
      <c r="E10" s="588">
        <v>11.58</v>
      </c>
      <c r="F10" s="588">
        <v>28.33</v>
      </c>
      <c r="G10" s="589">
        <v>52.66</v>
      </c>
      <c r="H10" s="591">
        <v>6</v>
      </c>
      <c r="J10" s="242" t="s">
        <v>441</v>
      </c>
      <c r="K10" s="243" t="s">
        <v>890</v>
      </c>
      <c r="L10" s="242" t="s">
        <v>442</v>
      </c>
      <c r="M10" s="584">
        <v>1234.42</v>
      </c>
      <c r="O10" s="258">
        <v>5</v>
      </c>
      <c r="P10" s="259">
        <v>1578</v>
      </c>
      <c r="Q10" s="259">
        <v>339.61</v>
      </c>
      <c r="R10" s="259">
        <v>1238.3900000000001</v>
      </c>
      <c r="S10" s="259">
        <v>38.75</v>
      </c>
      <c r="T10" s="259">
        <v>38.479999999999997</v>
      </c>
      <c r="U10" s="259">
        <v>14.93</v>
      </c>
      <c r="V10" s="259">
        <v>92.16</v>
      </c>
      <c r="W10" s="259">
        <v>110.92</v>
      </c>
      <c r="Z10" s="583"/>
      <c r="AA10" s="583"/>
      <c r="AB10" s="583"/>
      <c r="AC10" s="583"/>
    </row>
    <row r="11" spans="1:29" ht="15" customHeight="1" x14ac:dyDescent="0.3">
      <c r="A11" s="592" t="s">
        <v>267</v>
      </c>
      <c r="B11" s="593" t="s">
        <v>723</v>
      </c>
      <c r="C11" s="594" t="s">
        <v>837</v>
      </c>
      <c r="D11" s="593" t="s">
        <v>722</v>
      </c>
      <c r="E11" s="595">
        <v>11.58</v>
      </c>
      <c r="F11" s="595">
        <v>28.33</v>
      </c>
      <c r="G11" s="596">
        <v>52.66</v>
      </c>
      <c r="H11" s="597">
        <v>6</v>
      </c>
      <c r="J11" s="244" t="s">
        <v>443</v>
      </c>
      <c r="K11" s="245">
        <v>0.22</v>
      </c>
      <c r="L11" s="244" t="s">
        <v>428</v>
      </c>
      <c r="M11" s="245">
        <v>11.58</v>
      </c>
      <c r="O11" s="260">
        <v>6</v>
      </c>
      <c r="P11" s="261">
        <v>1234.42</v>
      </c>
      <c r="Q11" s="261">
        <v>94</v>
      </c>
      <c r="R11" s="261">
        <v>1140.42</v>
      </c>
      <c r="S11" s="261">
        <v>11.58</v>
      </c>
      <c r="T11" s="261">
        <v>28.33</v>
      </c>
      <c r="U11" s="261">
        <v>12.75</v>
      </c>
      <c r="V11" s="261">
        <v>52.66</v>
      </c>
      <c r="W11" s="261">
        <v>64.42</v>
      </c>
      <c r="Z11" s="583"/>
      <c r="AA11" s="583"/>
      <c r="AB11" s="583"/>
      <c r="AC11" s="583"/>
    </row>
    <row r="12" spans="1:29" ht="15" customHeight="1" x14ac:dyDescent="0.3">
      <c r="A12" s="585" t="s">
        <v>413</v>
      </c>
      <c r="B12" s="586" t="s">
        <v>820</v>
      </c>
      <c r="C12" s="587" t="s">
        <v>870</v>
      </c>
      <c r="D12" s="586" t="s">
        <v>392</v>
      </c>
      <c r="E12" s="588">
        <v>11.58</v>
      </c>
      <c r="F12" s="588">
        <v>28.33</v>
      </c>
      <c r="G12" s="589">
        <v>52.66</v>
      </c>
      <c r="H12" s="591">
        <v>6</v>
      </c>
      <c r="J12" s="242" t="s">
        <v>444</v>
      </c>
      <c r="K12" s="243">
        <v>3</v>
      </c>
      <c r="L12" s="242" t="s">
        <v>429</v>
      </c>
      <c r="M12" s="243">
        <v>28.33</v>
      </c>
      <c r="Z12" s="583"/>
      <c r="AA12" s="583"/>
      <c r="AB12" s="583"/>
      <c r="AC12" s="583"/>
    </row>
    <row r="13" spans="1:29" ht="15" customHeight="1" x14ac:dyDescent="0.3">
      <c r="A13" s="592" t="s">
        <v>414</v>
      </c>
      <c r="B13" s="593" t="s">
        <v>829</v>
      </c>
      <c r="C13" s="594" t="s">
        <v>424</v>
      </c>
      <c r="D13" s="593" t="s">
        <v>394</v>
      </c>
      <c r="E13" s="595">
        <v>11.58</v>
      </c>
      <c r="F13" s="595">
        <v>28.33</v>
      </c>
      <c r="G13" s="596">
        <v>52.66</v>
      </c>
      <c r="H13" s="597">
        <v>6</v>
      </c>
      <c r="J13" s="246"/>
      <c r="K13" s="246"/>
      <c r="L13" s="244" t="s">
        <v>430</v>
      </c>
      <c r="M13" s="245">
        <v>12.75</v>
      </c>
      <c r="Z13" s="583"/>
      <c r="AA13" s="583"/>
      <c r="AB13" s="583"/>
      <c r="AC13" s="583"/>
    </row>
    <row r="14" spans="1:29" ht="15" customHeight="1" x14ac:dyDescent="0.3">
      <c r="A14" s="585" t="s">
        <v>415</v>
      </c>
      <c r="B14" s="586" t="s">
        <v>721</v>
      </c>
      <c r="C14" s="587" t="s">
        <v>842</v>
      </c>
      <c r="D14" s="586" t="s">
        <v>393</v>
      </c>
      <c r="E14" s="588">
        <v>11.58</v>
      </c>
      <c r="F14" s="588">
        <v>28.33</v>
      </c>
      <c r="G14" s="589">
        <v>52.66</v>
      </c>
      <c r="H14" s="591">
        <v>6</v>
      </c>
      <c r="J14" s="247"/>
      <c r="K14" s="247"/>
      <c r="L14" s="242" t="s">
        <v>431</v>
      </c>
      <c r="M14" s="243">
        <v>52.66</v>
      </c>
      <c r="Z14" s="583"/>
      <c r="AA14" s="583"/>
      <c r="AB14" s="583"/>
      <c r="AC14" s="583"/>
    </row>
    <row r="15" spans="1:29" ht="15" customHeight="1" x14ac:dyDescent="0.3">
      <c r="A15" s="592" t="s">
        <v>264</v>
      </c>
      <c r="B15" s="593" t="s">
        <v>822</v>
      </c>
      <c r="C15" s="594" t="s">
        <v>871</v>
      </c>
      <c r="D15" s="593" t="s">
        <v>636</v>
      </c>
      <c r="E15" s="595">
        <v>11.58</v>
      </c>
      <c r="F15" s="595">
        <v>28.33</v>
      </c>
      <c r="G15" s="596">
        <v>52.66</v>
      </c>
      <c r="H15" s="597">
        <v>6</v>
      </c>
      <c r="J15" s="246"/>
      <c r="K15" s="246"/>
      <c r="L15" s="244" t="s">
        <v>432</v>
      </c>
      <c r="M15" s="245">
        <v>64.42</v>
      </c>
      <c r="Z15" s="583"/>
      <c r="AA15" s="583"/>
      <c r="AB15" s="583"/>
      <c r="AC15" s="583"/>
    </row>
    <row r="16" spans="1:29" ht="15" customHeight="1" x14ac:dyDescent="0.3">
      <c r="A16" s="585" t="s">
        <v>416</v>
      </c>
      <c r="B16" s="586" t="s">
        <v>679</v>
      </c>
      <c r="C16" s="587" t="s">
        <v>839</v>
      </c>
      <c r="D16" s="586" t="s">
        <v>678</v>
      </c>
      <c r="E16" s="588">
        <v>11.58</v>
      </c>
      <c r="F16" s="588">
        <v>28.33</v>
      </c>
      <c r="G16" s="589">
        <v>52.66</v>
      </c>
      <c r="H16" s="591">
        <v>6</v>
      </c>
      <c r="J16" s="247"/>
      <c r="K16" s="247"/>
      <c r="L16" s="242" t="s">
        <v>834</v>
      </c>
      <c r="M16" s="243"/>
      <c r="Z16" s="583"/>
      <c r="AA16" s="583"/>
      <c r="AB16" s="583"/>
      <c r="AC16" s="583"/>
    </row>
    <row r="17" spans="1:29" ht="15" customHeight="1" x14ac:dyDescent="0.3">
      <c r="A17" s="592" t="s">
        <v>417</v>
      </c>
      <c r="B17" s="593" t="s">
        <v>828</v>
      </c>
      <c r="C17" s="594" t="s">
        <v>838</v>
      </c>
      <c r="D17" s="593" t="s">
        <v>389</v>
      </c>
      <c r="E17" s="595">
        <v>11.58</v>
      </c>
      <c r="F17" s="595">
        <v>28.33</v>
      </c>
      <c r="G17" s="596">
        <v>52.66</v>
      </c>
      <c r="H17" s="597">
        <v>6</v>
      </c>
      <c r="J17" s="246"/>
      <c r="K17" s="246"/>
      <c r="L17" s="244" t="s">
        <v>817</v>
      </c>
      <c r="M17" s="245"/>
      <c r="Z17" s="583"/>
      <c r="AA17" s="583"/>
      <c r="AB17" s="583"/>
      <c r="AC17" s="583"/>
    </row>
    <row r="18" spans="1:29" ht="15" customHeight="1" x14ac:dyDescent="0.3">
      <c r="A18" s="252"/>
      <c r="B18" s="252"/>
      <c r="C18" s="252"/>
      <c r="D18" s="252"/>
      <c r="E18" s="252"/>
      <c r="F18" s="252"/>
      <c r="G18" s="252"/>
      <c r="H18" s="252"/>
      <c r="J18" s="543"/>
      <c r="K18" s="543"/>
      <c r="L18" s="544" t="s">
        <v>835</v>
      </c>
      <c r="M18" s="545">
        <v>0.22</v>
      </c>
      <c r="Z18" s="583"/>
      <c r="AA18" s="583"/>
      <c r="AB18" s="583"/>
      <c r="AC18" s="583"/>
    </row>
    <row r="19" spans="1:29" ht="18" customHeight="1" x14ac:dyDescent="0.3">
      <c r="A19" s="598" t="s">
        <v>446</v>
      </c>
      <c r="B19" s="598"/>
      <c r="C19" s="598"/>
      <c r="D19" s="598"/>
      <c r="E19" s="598"/>
      <c r="F19" s="598"/>
      <c r="G19" s="598"/>
      <c r="H19" s="598"/>
      <c r="Z19" s="583"/>
      <c r="AA19" s="583"/>
      <c r="AB19" s="583"/>
      <c r="AC19" s="583"/>
    </row>
    <row r="20" spans="1:29" ht="15" customHeight="1" x14ac:dyDescent="0.3">
      <c r="A20" s="253" t="s">
        <v>399</v>
      </c>
      <c r="B20" s="254" t="s">
        <v>400</v>
      </c>
      <c r="C20" s="254" t="s">
        <v>401</v>
      </c>
      <c r="D20" s="254" t="s">
        <v>402</v>
      </c>
      <c r="E20" s="255" t="s">
        <v>445</v>
      </c>
      <c r="F20" s="255" t="s">
        <v>405</v>
      </c>
      <c r="G20" s="255" t="s">
        <v>403</v>
      </c>
      <c r="H20" s="255" t="s">
        <v>425</v>
      </c>
      <c r="Z20" s="583"/>
      <c r="AA20" s="583"/>
      <c r="AB20" s="583"/>
      <c r="AC20" s="583"/>
    </row>
    <row r="21" spans="1:29" ht="15" customHeight="1" x14ac:dyDescent="0.3">
      <c r="A21" s="585" t="s">
        <v>406</v>
      </c>
      <c r="B21" s="586" t="s">
        <v>574</v>
      </c>
      <c r="C21" s="587" t="s">
        <v>708</v>
      </c>
      <c r="D21" s="586" t="s">
        <v>575</v>
      </c>
      <c r="E21" s="599">
        <v>50.12</v>
      </c>
      <c r="F21" s="599">
        <v>82.75</v>
      </c>
      <c r="G21" s="589">
        <v>161.13999999999999</v>
      </c>
      <c r="H21" s="591">
        <v>3</v>
      </c>
      <c r="Z21" s="583"/>
      <c r="AA21" s="583"/>
      <c r="AB21" s="583"/>
      <c r="AC21" s="583"/>
    </row>
    <row r="22" spans="1:29" ht="15" customHeight="1" x14ac:dyDescent="0.3">
      <c r="A22" s="592" t="s">
        <v>407</v>
      </c>
      <c r="B22" s="593" t="s">
        <v>572</v>
      </c>
      <c r="C22" s="594" t="s">
        <v>707</v>
      </c>
      <c r="D22" s="593" t="s">
        <v>573</v>
      </c>
      <c r="E22" s="600">
        <v>50.12</v>
      </c>
      <c r="F22" s="600">
        <v>82.75</v>
      </c>
      <c r="G22" s="596">
        <v>161.13999999999999</v>
      </c>
      <c r="H22" s="597">
        <v>3</v>
      </c>
      <c r="Z22" s="583"/>
      <c r="AA22" s="583"/>
      <c r="AB22" s="583"/>
      <c r="AC22" s="583"/>
    </row>
    <row r="23" spans="1:29" ht="15" customHeight="1" x14ac:dyDescent="0.25">
      <c r="A23" s="585" t="s">
        <v>409</v>
      </c>
      <c r="B23" s="586" t="s">
        <v>577</v>
      </c>
      <c r="C23" s="587" t="s">
        <v>707</v>
      </c>
      <c r="D23" s="586" t="s">
        <v>573</v>
      </c>
      <c r="E23" s="599">
        <v>50.12</v>
      </c>
      <c r="F23" s="599">
        <v>82.75</v>
      </c>
      <c r="G23" s="589">
        <v>161.13999999999999</v>
      </c>
      <c r="H23" s="591">
        <v>3</v>
      </c>
    </row>
    <row r="24" spans="1:29" ht="15" customHeight="1" x14ac:dyDescent="0.25">
      <c r="A24" s="592" t="s">
        <v>411</v>
      </c>
      <c r="B24" s="593" t="s">
        <v>581</v>
      </c>
      <c r="C24" s="594" t="s">
        <v>710</v>
      </c>
      <c r="D24" s="593" t="s">
        <v>582</v>
      </c>
      <c r="E24" s="600">
        <v>50.12</v>
      </c>
      <c r="F24" s="600">
        <v>82.75</v>
      </c>
      <c r="G24" s="596">
        <v>161.13999999999999</v>
      </c>
      <c r="H24" s="597">
        <v>3</v>
      </c>
    </row>
    <row r="25" spans="1:29" ht="15" customHeight="1" x14ac:dyDescent="0.25">
      <c r="A25" s="585" t="s">
        <v>412</v>
      </c>
      <c r="B25" s="586" t="s">
        <v>724</v>
      </c>
      <c r="C25" s="587" t="s">
        <v>837</v>
      </c>
      <c r="D25" s="586" t="s">
        <v>722</v>
      </c>
      <c r="E25" s="599">
        <v>50.33</v>
      </c>
      <c r="F25" s="599">
        <v>66.81</v>
      </c>
      <c r="G25" s="589">
        <v>144.82</v>
      </c>
      <c r="H25" s="591">
        <v>2</v>
      </c>
    </row>
    <row r="26" spans="1:29" ht="15" customHeight="1" x14ac:dyDescent="0.25">
      <c r="A26" s="592" t="s">
        <v>267</v>
      </c>
      <c r="B26" s="593" t="s">
        <v>723</v>
      </c>
      <c r="C26" s="594" t="s">
        <v>837</v>
      </c>
      <c r="D26" s="593" t="s">
        <v>722</v>
      </c>
      <c r="E26" s="600">
        <v>50.33</v>
      </c>
      <c r="F26" s="600">
        <v>66.81</v>
      </c>
      <c r="G26" s="596">
        <v>144.82</v>
      </c>
      <c r="H26" s="597">
        <v>2</v>
      </c>
    </row>
    <row r="27" spans="1:29" ht="15" customHeight="1" x14ac:dyDescent="0.25">
      <c r="A27" s="585" t="s">
        <v>413</v>
      </c>
      <c r="B27" s="586" t="s">
        <v>721</v>
      </c>
      <c r="C27" s="587" t="s">
        <v>842</v>
      </c>
      <c r="D27" s="586" t="s">
        <v>393</v>
      </c>
      <c r="E27" s="599">
        <v>50.33</v>
      </c>
      <c r="F27" s="599">
        <v>66.81</v>
      </c>
      <c r="G27" s="589">
        <v>144.82</v>
      </c>
      <c r="H27" s="591">
        <v>2</v>
      </c>
    </row>
    <row r="28" spans="1:29" ht="15" customHeight="1" x14ac:dyDescent="0.25">
      <c r="A28" s="592" t="s">
        <v>414</v>
      </c>
      <c r="B28" s="593" t="s">
        <v>679</v>
      </c>
      <c r="C28" s="594" t="s">
        <v>839</v>
      </c>
      <c r="D28" s="593" t="s">
        <v>678</v>
      </c>
      <c r="E28" s="600">
        <v>50.33</v>
      </c>
      <c r="F28" s="600">
        <v>66.81</v>
      </c>
      <c r="G28" s="596">
        <v>144.82</v>
      </c>
      <c r="H28" s="597">
        <v>2</v>
      </c>
    </row>
    <row r="29" spans="1:29" ht="15" customHeight="1" x14ac:dyDescent="0.25">
      <c r="A29" s="585" t="s">
        <v>415</v>
      </c>
      <c r="B29" s="586" t="s">
        <v>576</v>
      </c>
      <c r="C29" s="587" t="s">
        <v>424</v>
      </c>
      <c r="D29" s="586" t="s">
        <v>394</v>
      </c>
      <c r="E29" s="599">
        <v>40.699999999999996</v>
      </c>
      <c r="F29" s="599">
        <v>67.150000000000006</v>
      </c>
      <c r="G29" s="589">
        <v>136.77000000000001</v>
      </c>
      <c r="H29" s="591">
        <v>3</v>
      </c>
    </row>
    <row r="30" spans="1:29" ht="15" customHeight="1" x14ac:dyDescent="0.25">
      <c r="A30" s="592" t="s">
        <v>264</v>
      </c>
      <c r="B30" s="593" t="s">
        <v>580</v>
      </c>
      <c r="C30" s="594" t="s">
        <v>408</v>
      </c>
      <c r="D30" s="593" t="s">
        <v>385</v>
      </c>
      <c r="E30" s="600">
        <v>40.699999999999996</v>
      </c>
      <c r="F30" s="600">
        <v>67.150000000000006</v>
      </c>
      <c r="G30" s="596">
        <v>136.77000000000001</v>
      </c>
      <c r="H30" s="597">
        <v>3</v>
      </c>
    </row>
    <row r="31" spans="1:29" ht="15" customHeight="1" x14ac:dyDescent="0.25">
      <c r="A31" s="585" t="s">
        <v>416</v>
      </c>
      <c r="B31" s="586" t="s">
        <v>571</v>
      </c>
      <c r="C31" s="587" t="s">
        <v>410</v>
      </c>
      <c r="D31" s="586" t="s">
        <v>386</v>
      </c>
      <c r="E31" s="599">
        <v>40.699999999999996</v>
      </c>
      <c r="F31" s="599">
        <v>67.150000000000006</v>
      </c>
      <c r="G31" s="589">
        <v>136.77000000000001</v>
      </c>
      <c r="H31" s="591">
        <v>3</v>
      </c>
    </row>
    <row r="32" spans="1:29" ht="15" customHeight="1" x14ac:dyDescent="0.25">
      <c r="A32" s="592" t="s">
        <v>417</v>
      </c>
      <c r="B32" s="593" t="s">
        <v>687</v>
      </c>
      <c r="C32" s="594" t="s">
        <v>408</v>
      </c>
      <c r="D32" s="593" t="s">
        <v>385</v>
      </c>
      <c r="E32" s="600">
        <v>49.17</v>
      </c>
      <c r="F32" s="600">
        <v>63.98</v>
      </c>
      <c r="G32" s="596">
        <v>132.66</v>
      </c>
      <c r="H32" s="597">
        <v>2</v>
      </c>
    </row>
    <row r="33" spans="1:8" ht="15" customHeight="1" x14ac:dyDescent="0.25">
      <c r="A33" s="585" t="s">
        <v>418</v>
      </c>
      <c r="B33" s="586" t="s">
        <v>646</v>
      </c>
      <c r="C33" s="587" t="s">
        <v>424</v>
      </c>
      <c r="D33" s="586" t="s">
        <v>394</v>
      </c>
      <c r="E33" s="599">
        <v>49.17</v>
      </c>
      <c r="F33" s="599">
        <v>63.98</v>
      </c>
      <c r="G33" s="589">
        <v>132.66</v>
      </c>
      <c r="H33" s="591">
        <v>2</v>
      </c>
    </row>
    <row r="34" spans="1:8" ht="15" customHeight="1" x14ac:dyDescent="0.25">
      <c r="A34" s="592" t="s">
        <v>419</v>
      </c>
      <c r="B34" s="593" t="s">
        <v>644</v>
      </c>
      <c r="C34" s="594" t="s">
        <v>410</v>
      </c>
      <c r="D34" s="593" t="s">
        <v>386</v>
      </c>
      <c r="E34" s="600">
        <v>49.17</v>
      </c>
      <c r="F34" s="600">
        <v>63.98</v>
      </c>
      <c r="G34" s="596">
        <v>132.66</v>
      </c>
      <c r="H34" s="597">
        <v>2</v>
      </c>
    </row>
    <row r="35" spans="1:8" ht="15" customHeight="1" x14ac:dyDescent="0.25">
      <c r="A35" s="585" t="s">
        <v>262</v>
      </c>
      <c r="B35" s="586" t="s">
        <v>569</v>
      </c>
      <c r="C35" s="587" t="s">
        <v>706</v>
      </c>
      <c r="D35" s="586" t="s">
        <v>570</v>
      </c>
      <c r="E35" s="599">
        <v>16.54</v>
      </c>
      <c r="F35" s="599">
        <v>80.33</v>
      </c>
      <c r="G35" s="589">
        <v>116.22</v>
      </c>
      <c r="H35" s="591">
        <v>2</v>
      </c>
    </row>
    <row r="36" spans="1:8" ht="15" customHeight="1" x14ac:dyDescent="0.25">
      <c r="A36" s="592" t="s">
        <v>420</v>
      </c>
      <c r="B36" s="593" t="s">
        <v>578</v>
      </c>
      <c r="C36" s="594" t="s">
        <v>709</v>
      </c>
      <c r="D36" s="593" t="s">
        <v>579</v>
      </c>
      <c r="E36" s="600">
        <v>16.54</v>
      </c>
      <c r="F36" s="600">
        <v>80.33</v>
      </c>
      <c r="G36" s="596">
        <v>116.22</v>
      </c>
      <c r="H36" s="597">
        <v>2</v>
      </c>
    </row>
    <row r="37" spans="1:8" ht="15" customHeight="1" x14ac:dyDescent="0.25">
      <c r="A37" s="585" t="s">
        <v>421</v>
      </c>
      <c r="B37" s="586" t="s">
        <v>586</v>
      </c>
      <c r="C37" s="587" t="s">
        <v>713</v>
      </c>
      <c r="D37" s="586" t="s">
        <v>587</v>
      </c>
      <c r="E37" s="599">
        <v>16.54</v>
      </c>
      <c r="F37" s="599">
        <v>80.33</v>
      </c>
      <c r="G37" s="589">
        <v>116.22</v>
      </c>
      <c r="H37" s="591">
        <v>2</v>
      </c>
    </row>
    <row r="38" spans="1:8" ht="15" customHeight="1" x14ac:dyDescent="0.25">
      <c r="A38" s="592" t="s">
        <v>422</v>
      </c>
      <c r="B38" s="593" t="s">
        <v>583</v>
      </c>
      <c r="C38" s="594" t="s">
        <v>711</v>
      </c>
      <c r="D38" s="593" t="s">
        <v>584</v>
      </c>
      <c r="E38" s="600">
        <v>16.54</v>
      </c>
      <c r="F38" s="600">
        <v>80.33</v>
      </c>
      <c r="G38" s="596">
        <v>116.22</v>
      </c>
      <c r="H38" s="597">
        <v>2</v>
      </c>
    </row>
    <row r="39" spans="1:8" ht="15" customHeight="1" x14ac:dyDescent="0.25">
      <c r="A39" s="585" t="s">
        <v>423</v>
      </c>
      <c r="B39" s="586" t="s">
        <v>665</v>
      </c>
      <c r="C39" s="587" t="s">
        <v>836</v>
      </c>
      <c r="D39" s="586" t="s">
        <v>391</v>
      </c>
      <c r="E39" s="599">
        <v>38.75</v>
      </c>
      <c r="F39" s="599">
        <v>38.479999999999997</v>
      </c>
      <c r="G39" s="589">
        <v>92.16</v>
      </c>
      <c r="H39" s="591">
        <v>1</v>
      </c>
    </row>
    <row r="40" spans="1:8" ht="15" customHeight="1" x14ac:dyDescent="0.25">
      <c r="A40" s="592" t="s">
        <v>433</v>
      </c>
      <c r="B40" s="593" t="s">
        <v>388</v>
      </c>
      <c r="C40" s="594" t="s">
        <v>838</v>
      </c>
      <c r="D40" s="593" t="s">
        <v>389</v>
      </c>
      <c r="E40" s="600">
        <v>38.75</v>
      </c>
      <c r="F40" s="600">
        <v>38.479999999999997</v>
      </c>
      <c r="G40" s="596">
        <v>92.16</v>
      </c>
      <c r="H40" s="597">
        <v>1</v>
      </c>
    </row>
    <row r="41" spans="1:8" ht="15" customHeight="1" x14ac:dyDescent="0.25">
      <c r="A41" s="585" t="s">
        <v>434</v>
      </c>
      <c r="B41" s="586" t="s">
        <v>632</v>
      </c>
      <c r="C41" s="587" t="s">
        <v>840</v>
      </c>
      <c r="D41" s="586" t="s">
        <v>390</v>
      </c>
      <c r="E41" s="599">
        <v>38.75</v>
      </c>
      <c r="F41" s="599">
        <v>38.479999999999997</v>
      </c>
      <c r="G41" s="589">
        <v>92.16</v>
      </c>
      <c r="H41" s="591">
        <v>1</v>
      </c>
    </row>
    <row r="42" spans="1:8" ht="15" customHeight="1" x14ac:dyDescent="0.25">
      <c r="A42" s="592" t="s">
        <v>435</v>
      </c>
      <c r="B42" s="593" t="s">
        <v>628</v>
      </c>
      <c r="C42" s="594" t="s">
        <v>841</v>
      </c>
      <c r="D42" s="593" t="s">
        <v>387</v>
      </c>
      <c r="E42" s="600">
        <v>38.75</v>
      </c>
      <c r="F42" s="600">
        <v>38.479999999999997</v>
      </c>
      <c r="G42" s="596">
        <v>92.16</v>
      </c>
      <c r="H42" s="597">
        <v>1</v>
      </c>
    </row>
    <row r="43" spans="1:8" ht="15" customHeight="1" x14ac:dyDescent="0.25">
      <c r="A43" s="585" t="s">
        <v>845</v>
      </c>
      <c r="B43" s="586" t="s">
        <v>635</v>
      </c>
      <c r="C43" s="587" t="s">
        <v>843</v>
      </c>
      <c r="D43" s="586" t="s">
        <v>634</v>
      </c>
      <c r="E43" s="599">
        <v>38.75</v>
      </c>
      <c r="F43" s="599">
        <v>38.479999999999997</v>
      </c>
      <c r="G43" s="589">
        <v>92.16</v>
      </c>
      <c r="H43" s="591">
        <v>1</v>
      </c>
    </row>
    <row r="44" spans="1:8" ht="15" customHeight="1" x14ac:dyDescent="0.25">
      <c r="A44" s="592" t="s">
        <v>846</v>
      </c>
      <c r="B44" s="593" t="s">
        <v>468</v>
      </c>
      <c r="C44" s="594" t="s">
        <v>712</v>
      </c>
      <c r="D44" s="593" t="s">
        <v>585</v>
      </c>
      <c r="E44" s="600">
        <v>6.12</v>
      </c>
      <c r="F44" s="600">
        <v>54.83</v>
      </c>
      <c r="G44" s="596">
        <v>75.72</v>
      </c>
      <c r="H44" s="597">
        <v>1</v>
      </c>
    </row>
    <row r="45" spans="1:8" ht="15" customHeight="1" x14ac:dyDescent="0.25">
      <c r="A45" s="585" t="s">
        <v>847</v>
      </c>
      <c r="B45" s="586" t="s">
        <v>668</v>
      </c>
      <c r="C45" s="587" t="s">
        <v>836</v>
      </c>
      <c r="D45" s="586" t="s">
        <v>391</v>
      </c>
      <c r="E45" s="599">
        <v>11.58</v>
      </c>
      <c r="F45" s="599">
        <v>28.33</v>
      </c>
      <c r="G45" s="589">
        <v>52.66</v>
      </c>
      <c r="H45" s="591">
        <v>1</v>
      </c>
    </row>
    <row r="46" spans="1:8" ht="15" customHeight="1" x14ac:dyDescent="0.25">
      <c r="A46" s="592" t="s">
        <v>848</v>
      </c>
      <c r="B46" s="593" t="s">
        <v>833</v>
      </c>
      <c r="C46" s="594" t="s">
        <v>408</v>
      </c>
      <c r="D46" s="593" t="s">
        <v>385</v>
      </c>
      <c r="E46" s="600">
        <v>11.58</v>
      </c>
      <c r="F46" s="600">
        <v>28.33</v>
      </c>
      <c r="G46" s="596">
        <v>52.66</v>
      </c>
      <c r="H46" s="597">
        <v>1</v>
      </c>
    </row>
    <row r="47" spans="1:8" ht="15" customHeight="1" x14ac:dyDescent="0.25">
      <c r="A47" s="585" t="s">
        <v>849</v>
      </c>
      <c r="B47" s="586" t="s">
        <v>818</v>
      </c>
      <c r="C47" s="587" t="s">
        <v>840</v>
      </c>
      <c r="D47" s="586" t="s">
        <v>390</v>
      </c>
      <c r="E47" s="599">
        <v>11.58</v>
      </c>
      <c r="F47" s="599">
        <v>28.33</v>
      </c>
      <c r="G47" s="589">
        <v>52.66</v>
      </c>
      <c r="H47" s="591">
        <v>1</v>
      </c>
    </row>
    <row r="48" spans="1:8" ht="15" customHeight="1" x14ac:dyDescent="0.25">
      <c r="A48" s="592" t="s">
        <v>850</v>
      </c>
      <c r="B48" s="593" t="s">
        <v>827</v>
      </c>
      <c r="C48" s="594" t="s">
        <v>410</v>
      </c>
      <c r="D48" s="593" t="s">
        <v>386</v>
      </c>
      <c r="E48" s="600">
        <v>11.58</v>
      </c>
      <c r="F48" s="600">
        <v>28.33</v>
      </c>
      <c r="G48" s="596">
        <v>52.66</v>
      </c>
      <c r="H48" s="597">
        <v>1</v>
      </c>
    </row>
    <row r="49" spans="1:8" ht="15" customHeight="1" x14ac:dyDescent="0.25">
      <c r="A49" s="585" t="s">
        <v>851</v>
      </c>
      <c r="B49" s="586" t="s">
        <v>820</v>
      </c>
      <c r="C49" s="587" t="s">
        <v>870</v>
      </c>
      <c r="D49" s="586" t="s">
        <v>392</v>
      </c>
      <c r="E49" s="599">
        <v>11.58</v>
      </c>
      <c r="F49" s="599">
        <v>28.33</v>
      </c>
      <c r="G49" s="589">
        <v>52.66</v>
      </c>
      <c r="H49" s="591">
        <v>1</v>
      </c>
    </row>
    <row r="50" spans="1:8" ht="15" customHeight="1" x14ac:dyDescent="0.25">
      <c r="A50" s="592" t="s">
        <v>852</v>
      </c>
      <c r="B50" s="593" t="s">
        <v>829</v>
      </c>
      <c r="C50" s="594" t="s">
        <v>424</v>
      </c>
      <c r="D50" s="593" t="s">
        <v>394</v>
      </c>
      <c r="E50" s="600">
        <v>11.58</v>
      </c>
      <c r="F50" s="600">
        <v>28.33</v>
      </c>
      <c r="G50" s="596">
        <v>52.66</v>
      </c>
      <c r="H50" s="597">
        <v>1</v>
      </c>
    </row>
    <row r="51" spans="1:8" ht="15" customHeight="1" x14ac:dyDescent="0.25">
      <c r="A51" s="585" t="s">
        <v>853</v>
      </c>
      <c r="B51" s="586" t="s">
        <v>822</v>
      </c>
      <c r="C51" s="587" t="s">
        <v>871</v>
      </c>
      <c r="D51" s="586" t="s">
        <v>636</v>
      </c>
      <c r="E51" s="599">
        <v>11.58</v>
      </c>
      <c r="F51" s="599">
        <v>28.33</v>
      </c>
      <c r="G51" s="589">
        <v>52.66</v>
      </c>
      <c r="H51" s="591">
        <v>1</v>
      </c>
    </row>
    <row r="52" spans="1:8" ht="15" customHeight="1" x14ac:dyDescent="0.25">
      <c r="A52" s="592" t="s">
        <v>854</v>
      </c>
      <c r="B52" s="593" t="s">
        <v>828</v>
      </c>
      <c r="C52" s="594" t="s">
        <v>838</v>
      </c>
      <c r="D52" s="593" t="s">
        <v>389</v>
      </c>
      <c r="E52" s="600">
        <v>11.58</v>
      </c>
      <c r="F52" s="600">
        <v>28.33</v>
      </c>
      <c r="G52" s="596">
        <v>52.66</v>
      </c>
      <c r="H52" s="597">
        <v>1</v>
      </c>
    </row>
    <row r="53" spans="1:8" ht="15" customHeight="1" x14ac:dyDescent="0.25">
      <c r="A53" s="585" t="s">
        <v>855</v>
      </c>
      <c r="B53" s="586" t="s">
        <v>466</v>
      </c>
      <c r="C53" s="587" t="s">
        <v>712</v>
      </c>
      <c r="D53" s="586" t="s">
        <v>585</v>
      </c>
      <c r="E53" s="599">
        <v>33.58</v>
      </c>
      <c r="F53" s="599">
        <v>2.42</v>
      </c>
      <c r="G53" s="589">
        <v>44.92</v>
      </c>
      <c r="H53" s="591">
        <v>1</v>
      </c>
    </row>
    <row r="54" spans="1:8" ht="15" customHeight="1" x14ac:dyDescent="0.25">
      <c r="A54" s="592" t="s">
        <v>856</v>
      </c>
      <c r="B54" s="593" t="s">
        <v>809</v>
      </c>
      <c r="C54" s="594" t="s">
        <v>709</v>
      </c>
      <c r="D54" s="593" t="s">
        <v>579</v>
      </c>
      <c r="E54" s="600">
        <v>33.58</v>
      </c>
      <c r="F54" s="600">
        <v>2.42</v>
      </c>
      <c r="G54" s="596">
        <v>44.92</v>
      </c>
      <c r="H54" s="597">
        <v>1</v>
      </c>
    </row>
    <row r="55" spans="1:8" ht="15" customHeight="1" x14ac:dyDescent="0.25">
      <c r="A55" s="585" t="s">
        <v>857</v>
      </c>
      <c r="B55" s="586" t="s">
        <v>810</v>
      </c>
      <c r="C55" s="587" t="s">
        <v>706</v>
      </c>
      <c r="D55" s="586" t="s">
        <v>570</v>
      </c>
      <c r="E55" s="599">
        <v>33.58</v>
      </c>
      <c r="F55" s="599">
        <v>2.42</v>
      </c>
      <c r="G55" s="589">
        <v>44.92</v>
      </c>
      <c r="H55" s="591">
        <v>1</v>
      </c>
    </row>
    <row r="56" spans="1:8" ht="15" customHeight="1" x14ac:dyDescent="0.25">
      <c r="A56" s="592" t="s">
        <v>858</v>
      </c>
      <c r="B56" s="593" t="s">
        <v>811</v>
      </c>
      <c r="C56" s="594" t="s">
        <v>711</v>
      </c>
      <c r="D56" s="593" t="s">
        <v>584</v>
      </c>
      <c r="E56" s="600">
        <v>33.58</v>
      </c>
      <c r="F56" s="600">
        <v>2.42</v>
      </c>
      <c r="G56" s="596">
        <v>44.92</v>
      </c>
      <c r="H56" s="597">
        <v>1</v>
      </c>
    </row>
    <row r="57" spans="1:8" ht="15" customHeight="1" x14ac:dyDescent="0.25">
      <c r="A57" s="585" t="s">
        <v>859</v>
      </c>
      <c r="B57" s="586" t="s">
        <v>812</v>
      </c>
      <c r="C57" s="587" t="s">
        <v>844</v>
      </c>
      <c r="D57" s="586" t="s">
        <v>639</v>
      </c>
      <c r="E57" s="599">
        <v>33.58</v>
      </c>
      <c r="F57" s="599">
        <v>2.42</v>
      </c>
      <c r="G57" s="589">
        <v>44.92</v>
      </c>
      <c r="H57" s="591">
        <v>1</v>
      </c>
    </row>
    <row r="58" spans="1:8" ht="15" customHeight="1" x14ac:dyDescent="0.25">
      <c r="A58" s="592" t="s">
        <v>860</v>
      </c>
      <c r="B58" s="593" t="s">
        <v>469</v>
      </c>
      <c r="C58" s="594" t="s">
        <v>712</v>
      </c>
      <c r="D58" s="593" t="s">
        <v>585</v>
      </c>
      <c r="E58" s="600">
        <v>10.42</v>
      </c>
      <c r="F58" s="600">
        <v>25.5</v>
      </c>
      <c r="G58" s="596">
        <v>40.5</v>
      </c>
      <c r="H58" s="597">
        <v>1</v>
      </c>
    </row>
    <row r="59" spans="1:8" ht="15" customHeight="1" x14ac:dyDescent="0.25">
      <c r="A59" s="585" t="s">
        <v>861</v>
      </c>
      <c r="B59" s="586" t="s">
        <v>589</v>
      </c>
      <c r="C59" s="587" t="s">
        <v>447</v>
      </c>
      <c r="D59" s="586" t="s">
        <v>396</v>
      </c>
      <c r="E59" s="599">
        <v>1</v>
      </c>
      <c r="F59" s="599">
        <v>9.9</v>
      </c>
      <c r="G59" s="589">
        <v>16.13</v>
      </c>
      <c r="H59" s="591">
        <v>1</v>
      </c>
    </row>
    <row r="60" spans="1:8" ht="15" customHeight="1" x14ac:dyDescent="0.25">
      <c r="A60" s="592" t="s">
        <v>862</v>
      </c>
      <c r="B60" s="593" t="s">
        <v>590</v>
      </c>
      <c r="C60" s="594" t="s">
        <v>714</v>
      </c>
      <c r="D60" s="593" t="s">
        <v>591</v>
      </c>
      <c r="E60" s="600">
        <v>1</v>
      </c>
      <c r="F60" s="600">
        <v>9.9</v>
      </c>
      <c r="G60" s="596">
        <v>16.13</v>
      </c>
      <c r="H60" s="597">
        <v>1</v>
      </c>
    </row>
    <row r="61" spans="1:8" ht="15" customHeight="1" x14ac:dyDescent="0.25">
      <c r="A61" s="585" t="s">
        <v>872</v>
      </c>
      <c r="B61" s="586" t="s">
        <v>592</v>
      </c>
      <c r="C61" s="587" t="s">
        <v>710</v>
      </c>
      <c r="D61" s="586" t="s">
        <v>582</v>
      </c>
      <c r="E61" s="599">
        <v>1</v>
      </c>
      <c r="F61" s="599">
        <v>9.9</v>
      </c>
      <c r="G61" s="589">
        <v>16.13</v>
      </c>
      <c r="H61" s="591">
        <v>1</v>
      </c>
    </row>
    <row r="62" spans="1:8" ht="15" customHeight="1" x14ac:dyDescent="0.25">
      <c r="A62" s="592" t="s">
        <v>873</v>
      </c>
      <c r="B62" s="593" t="s">
        <v>593</v>
      </c>
      <c r="C62" s="594" t="s">
        <v>449</v>
      </c>
      <c r="D62" s="593" t="s">
        <v>398</v>
      </c>
      <c r="E62" s="600">
        <v>1</v>
      </c>
      <c r="F62" s="600">
        <v>9.9</v>
      </c>
      <c r="G62" s="596">
        <v>16.13</v>
      </c>
      <c r="H62" s="597">
        <v>1</v>
      </c>
    </row>
    <row r="63" spans="1:8" ht="15" customHeight="1" x14ac:dyDescent="0.25">
      <c r="A63" s="585" t="s">
        <v>874</v>
      </c>
      <c r="B63" s="586" t="s">
        <v>594</v>
      </c>
      <c r="C63" s="587" t="s">
        <v>449</v>
      </c>
      <c r="D63" s="586" t="s">
        <v>398</v>
      </c>
      <c r="E63" s="599">
        <v>1</v>
      </c>
      <c r="F63" s="599">
        <v>9.9</v>
      </c>
      <c r="G63" s="589">
        <v>16.13</v>
      </c>
      <c r="H63" s="591">
        <v>1</v>
      </c>
    </row>
    <row r="64" spans="1:8" ht="15" customHeight="1" x14ac:dyDescent="0.25">
      <c r="A64" s="592" t="s">
        <v>875</v>
      </c>
      <c r="B64" s="593" t="s">
        <v>595</v>
      </c>
      <c r="C64" s="594" t="s">
        <v>715</v>
      </c>
      <c r="D64" s="593" t="s">
        <v>596</v>
      </c>
      <c r="E64" s="600">
        <v>1</v>
      </c>
      <c r="F64" s="600">
        <v>9.9</v>
      </c>
      <c r="G64" s="596">
        <v>16.13</v>
      </c>
      <c r="H64" s="597">
        <v>1</v>
      </c>
    </row>
    <row r="65" spans="1:8" ht="15" customHeight="1" x14ac:dyDescent="0.25">
      <c r="A65" s="585" t="s">
        <v>784</v>
      </c>
      <c r="B65" s="586" t="s">
        <v>597</v>
      </c>
      <c r="C65" s="587" t="s">
        <v>716</v>
      </c>
      <c r="D65" s="586" t="s">
        <v>395</v>
      </c>
      <c r="E65" s="599">
        <v>1</v>
      </c>
      <c r="F65" s="599">
        <v>9.9</v>
      </c>
      <c r="G65" s="589">
        <v>16.13</v>
      </c>
      <c r="H65" s="591">
        <v>1</v>
      </c>
    </row>
    <row r="66" spans="1:8" ht="15" customHeight="1" x14ac:dyDescent="0.25">
      <c r="A66" s="592" t="s">
        <v>876</v>
      </c>
      <c r="B66" s="593" t="s">
        <v>598</v>
      </c>
      <c r="C66" s="594" t="s">
        <v>717</v>
      </c>
      <c r="D66" s="593" t="s">
        <v>599</v>
      </c>
      <c r="E66" s="600">
        <v>1</v>
      </c>
      <c r="F66" s="600">
        <v>9.9</v>
      </c>
      <c r="G66" s="596">
        <v>16.13</v>
      </c>
      <c r="H66" s="597">
        <v>1</v>
      </c>
    </row>
    <row r="67" spans="1:8" ht="15" customHeight="1" x14ac:dyDescent="0.25">
      <c r="A67" s="585" t="s">
        <v>877</v>
      </c>
      <c r="B67" s="586" t="s">
        <v>600</v>
      </c>
      <c r="C67" s="587" t="s">
        <v>448</v>
      </c>
      <c r="D67" s="586" t="s">
        <v>397</v>
      </c>
      <c r="E67" s="599">
        <v>1</v>
      </c>
      <c r="F67" s="599">
        <v>9.9</v>
      </c>
      <c r="G67" s="589">
        <v>16.13</v>
      </c>
      <c r="H67" s="591">
        <v>1</v>
      </c>
    </row>
    <row r="68" spans="1:8" ht="15" customHeight="1" x14ac:dyDescent="0.25">
      <c r="A68" s="592" t="s">
        <v>878</v>
      </c>
      <c r="B68" s="593" t="s">
        <v>601</v>
      </c>
      <c r="C68" s="594" t="s">
        <v>718</v>
      </c>
      <c r="D68" s="593" t="s">
        <v>602</v>
      </c>
      <c r="E68" s="600">
        <v>1</v>
      </c>
      <c r="F68" s="600">
        <v>9.9</v>
      </c>
      <c r="G68" s="596">
        <v>16.13</v>
      </c>
      <c r="H68" s="597">
        <v>1</v>
      </c>
    </row>
    <row r="69" spans="1:8" ht="15" customHeight="1" x14ac:dyDescent="0.25">
      <c r="A69" s="251"/>
      <c r="B69" s="251"/>
      <c r="C69" s="251"/>
      <c r="D69" s="251"/>
      <c r="E69" s="251"/>
      <c r="F69" s="251"/>
      <c r="G69" s="251"/>
      <c r="H69" s="251"/>
    </row>
    <row r="70" spans="1:8" ht="18" customHeight="1" x14ac:dyDescent="0.25">
      <c r="A70" s="256" t="s">
        <v>450</v>
      </c>
      <c r="B70" s="256"/>
      <c r="C70" s="256"/>
      <c r="D70" s="256"/>
      <c r="E70" s="256"/>
      <c r="F70" s="256"/>
      <c r="G70" s="256"/>
      <c r="H70" s="256"/>
    </row>
    <row r="71" spans="1:8" ht="15" customHeight="1" x14ac:dyDescent="0.25">
      <c r="A71" s="590" t="s">
        <v>426</v>
      </c>
    </row>
    <row r="72" spans="1:8" ht="15" customHeight="1" x14ac:dyDescent="0.25">
      <c r="A72" s="252"/>
      <c r="B72" s="252"/>
      <c r="C72" s="252"/>
      <c r="D72" s="252"/>
      <c r="E72" s="252"/>
      <c r="F72" s="252"/>
      <c r="G72" s="252"/>
      <c r="H72" s="252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8" customHeight="1" x14ac:dyDescent="0.25"/>
    <row r="82" ht="18" customHeight="1" x14ac:dyDescent="0.25"/>
    <row r="83" ht="13.95" customHeight="1" x14ac:dyDescent="0.25"/>
    <row r="84" ht="13.95" customHeight="1" x14ac:dyDescent="0.25"/>
    <row r="85" ht="13.95" customHeight="1" x14ac:dyDescent="0.25"/>
    <row r="86" ht="13.95" customHeight="1" x14ac:dyDescent="0.25"/>
    <row r="87" ht="13.95" customHeight="1" x14ac:dyDescent="0.25"/>
    <row r="88" ht="13.95" customHeight="1" x14ac:dyDescent="0.25"/>
    <row r="89" ht="13.95" customHeight="1" x14ac:dyDescent="0.25"/>
    <row r="90" ht="13.95" customHeight="1" x14ac:dyDescent="0.25"/>
    <row r="91" ht="13.95" customHeight="1" x14ac:dyDescent="0.25"/>
    <row r="92" ht="13.95" customHeight="1" x14ac:dyDescent="0.25"/>
    <row r="93" ht="13.95" customHeight="1" x14ac:dyDescent="0.25"/>
    <row r="94" ht="13.95" customHeight="1" x14ac:dyDescent="0.25"/>
    <row r="95" ht="13.95" customHeight="1" x14ac:dyDescent="0.25"/>
    <row r="96" ht="13.95" customHeight="1" x14ac:dyDescent="0.25"/>
    <row r="97" ht="13.95" customHeight="1" x14ac:dyDescent="0.25"/>
    <row r="98" ht="13.95" customHeight="1" x14ac:dyDescent="0.25"/>
    <row r="99" ht="13.95" customHeight="1" x14ac:dyDescent="0.25"/>
    <row r="100" ht="13.95" customHeight="1" x14ac:dyDescent="0.25"/>
    <row r="101" ht="13.95" customHeight="1" x14ac:dyDescent="0.25"/>
    <row r="102" ht="13.95" customHeight="1" x14ac:dyDescent="0.25"/>
    <row r="103" ht="13.95" customHeight="1" x14ac:dyDescent="0.25"/>
    <row r="104" ht="13.95" customHeight="1" x14ac:dyDescent="0.25"/>
    <row r="105" ht="13.95" customHeight="1" x14ac:dyDescent="0.25"/>
    <row r="106" ht="13.95" customHeight="1" x14ac:dyDescent="0.25"/>
    <row r="107" ht="13.95" customHeight="1" x14ac:dyDescent="0.25"/>
    <row r="108" ht="1.95" customHeight="1" x14ac:dyDescent="0.25"/>
    <row r="109" ht="13.95" customHeight="1" x14ac:dyDescent="0.25"/>
    <row r="110" ht="18" customHeight="1" x14ac:dyDescent="0.25"/>
    <row r="111" ht="13.95" customHeight="1" x14ac:dyDescent="0.25"/>
    <row r="112" ht="18" customHeight="1" x14ac:dyDescent="0.25"/>
    <row r="113" ht="13.95" customHeight="1" x14ac:dyDescent="0.25"/>
  </sheetData>
  <sheetProtection sheet="1" objects="1" scenarios="1"/>
  <mergeCells count="4">
    <mergeCell ref="A1:C1"/>
    <mergeCell ref="J5:K5"/>
    <mergeCell ref="L5:M5"/>
    <mergeCell ref="O3:W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299" r:id="rId3" name="BHABtn_1">
              <controlPr defaultSize="0" print="0" autoFill="0" autoPict="0" macro="[0]!SelectBH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0" r:id="rId4" name="BHABtn_2">
              <controlPr defaultSize="0" print="0" autoFill="0" autoPict="0" macro="[0]!SelectBHA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1" r:id="rId5" name="BHABtn_3">
              <controlPr defaultSize="0" print="0" autoFill="0" autoPict="0" macro="[0]!SelectBH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2" r:id="rId6" name="BHABtn_4">
              <controlPr defaultSize="0" print="0" autoFill="0" autoPict="0" macro="[0]!SelectBH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3" r:id="rId7" name="BHABtn_5">
              <controlPr defaultSize="0" print="0" autoFill="0" autoPict="0" macro="[0]!SelectBH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4" r:id="rId8" name="BHABtn_6">
              <controlPr defaultSize="0" print="0" autoFill="0" autoPict="0" macro="[0]!SelectBHA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5" r:id="rId9" name="BtnImport">
              <controlPr defaultSize="0" print="0" autoFill="0" autoPict="0" macro="[0]!RefreshData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6" r:id="rId10" name="BtnRebuild">
              <controlPr defaultSize="0" print="0" autoFill="0" autoPict="0" macro="[0]!RebuildDashboard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D37-E9CA-46E6-BA50-308C879E2636}">
  <sheetPr codeName="Sheet8">
    <tabColor rgb="FF00B0F0"/>
  </sheetPr>
  <dimension ref="A1:E10"/>
  <sheetViews>
    <sheetView workbookViewId="0">
      <selection activeCell="I12" sqref="I12"/>
    </sheetView>
  </sheetViews>
  <sheetFormatPr defaultRowHeight="14.4" x14ac:dyDescent="0.3"/>
  <cols>
    <col min="1" max="1" width="10.109375" bestFit="1" customWidth="1"/>
    <col min="2" max="2" width="15.33203125" bestFit="1" customWidth="1"/>
    <col min="3" max="3" width="20.5546875" bestFit="1" customWidth="1"/>
    <col min="4" max="4" width="20.44140625" customWidth="1"/>
    <col min="5" max="5" width="17.88671875" customWidth="1"/>
  </cols>
  <sheetData>
    <row r="1" spans="1:5" s="29" customFormat="1" ht="28.5" customHeight="1" x14ac:dyDescent="0.45">
      <c r="A1" s="28"/>
      <c r="B1" s="30" t="s">
        <v>199</v>
      </c>
      <c r="C1" s="30" t="s">
        <v>200</v>
      </c>
      <c r="D1" s="30" t="s">
        <v>201</v>
      </c>
      <c r="E1" s="30" t="s">
        <v>202</v>
      </c>
    </row>
    <row r="2" spans="1:5" s="29" customFormat="1" ht="28.5" customHeight="1" x14ac:dyDescent="0.45">
      <c r="A2" s="31"/>
      <c r="B2" s="32"/>
      <c r="C2" s="32"/>
      <c r="D2" s="32"/>
      <c r="E2" s="32"/>
    </row>
    <row r="3" spans="1:5" s="29" customFormat="1" ht="28.5" customHeight="1" x14ac:dyDescent="0.45">
      <c r="A3" s="28"/>
      <c r="B3" s="30"/>
      <c r="C3" s="30"/>
      <c r="D3" s="30"/>
      <c r="E3" s="30"/>
    </row>
    <row r="4" spans="1:5" s="29" customFormat="1" ht="28.5" customHeight="1" x14ac:dyDescent="0.45">
      <c r="A4" s="31"/>
      <c r="B4" s="32"/>
      <c r="C4" s="32"/>
      <c r="D4" s="32"/>
      <c r="E4" s="32"/>
    </row>
    <row r="5" spans="1:5" s="29" customFormat="1" ht="28.5" customHeight="1" x14ac:dyDescent="0.45">
      <c r="A5" s="28"/>
      <c r="B5" s="30"/>
      <c r="C5" s="30"/>
      <c r="D5" s="30"/>
      <c r="E5" s="30"/>
    </row>
    <row r="6" spans="1:5" s="29" customFormat="1" ht="28.5" customHeight="1" x14ac:dyDescent="0.45">
      <c r="A6" s="31"/>
      <c r="B6" s="32"/>
      <c r="C6" s="32"/>
      <c r="D6" s="32"/>
      <c r="E6" s="32"/>
    </row>
    <row r="7" spans="1:5" s="29" customFormat="1" ht="28.5" customHeight="1" x14ac:dyDescent="0.45">
      <c r="A7" s="28"/>
      <c r="B7" s="30"/>
      <c r="C7" s="30"/>
      <c r="D7" s="30"/>
      <c r="E7" s="30"/>
    </row>
    <row r="8" spans="1:5" s="29" customFormat="1" ht="28.5" customHeight="1" x14ac:dyDescent="0.45">
      <c r="A8" s="31"/>
      <c r="B8" s="32"/>
      <c r="C8" s="32"/>
      <c r="D8" s="32"/>
      <c r="E8" s="32"/>
    </row>
    <row r="9" spans="1:5" s="29" customFormat="1" ht="28.5" customHeight="1" x14ac:dyDescent="0.45">
      <c r="A9" s="28"/>
      <c r="B9" s="30"/>
      <c r="C9" s="30"/>
      <c r="D9" s="30"/>
      <c r="E9" s="30"/>
    </row>
    <row r="10" spans="1:5" x14ac:dyDescent="0.3">
      <c r="B10" s="15"/>
      <c r="C10" s="15"/>
      <c r="D10" s="15"/>
      <c r="E10" s="15"/>
    </row>
  </sheetData>
  <sortState xmlns:xlrd2="http://schemas.microsoft.com/office/spreadsheetml/2017/richdata2" ref="A2:E9">
    <sortCondition ref="A2:A9"/>
  </sortState>
  <phoneticPr fontId="29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771D9-E885-4CC8-BC88-C32C17B37FC1}">
  <sheetPr codeName="Sheet6">
    <tabColor rgb="FF00B0F0"/>
    <pageSetUpPr fitToPage="1"/>
  </sheetPr>
  <dimension ref="A1:AA30"/>
  <sheetViews>
    <sheetView topLeftCell="A8" workbookViewId="0">
      <selection activeCell="H21" sqref="H21"/>
    </sheetView>
  </sheetViews>
  <sheetFormatPr defaultColWidth="9.109375" defaultRowHeight="13.2" x14ac:dyDescent="0.25"/>
  <cols>
    <col min="1" max="1" width="2.33203125" style="37" customWidth="1"/>
    <col min="2" max="2" width="10.88671875" style="38" customWidth="1"/>
    <col min="3" max="4" width="9.88671875" style="38" customWidth="1"/>
    <col min="5" max="5" width="9.88671875" style="37" customWidth="1"/>
    <col min="6" max="7" width="10.88671875" style="37" customWidth="1"/>
    <col min="8" max="8" width="14.33203125" style="37" customWidth="1"/>
    <col min="9" max="9" width="0.6640625" style="37" customWidth="1"/>
    <col min="10" max="10" width="9" style="37" customWidth="1"/>
    <col min="11" max="11" width="11.44140625" style="37" customWidth="1"/>
    <col min="12" max="12" width="7.88671875" style="37" customWidth="1"/>
    <col min="13" max="13" width="8.44140625" style="37" customWidth="1"/>
    <col min="14" max="14" width="8.109375" style="37" customWidth="1"/>
    <col min="15" max="18" width="8.33203125" style="37" customWidth="1"/>
    <col min="19" max="20" width="10.109375" style="37" customWidth="1"/>
    <col min="21" max="21" width="2.5546875" style="37" customWidth="1"/>
    <col min="22" max="22" width="9.109375" style="37"/>
    <col min="23" max="23" width="30.109375" style="37" customWidth="1"/>
    <col min="24" max="24" width="9.109375" style="37"/>
    <col min="25" max="25" width="11.5546875" style="37" bestFit="1" customWidth="1"/>
    <col min="26" max="26" width="9.109375" style="37"/>
    <col min="27" max="27" width="11.5546875" style="37" hidden="1" customWidth="1"/>
    <col min="28" max="16384" width="9.109375" style="37"/>
  </cols>
  <sheetData>
    <row r="1" spans="1:27" ht="13.8" thickBot="1" x14ac:dyDescent="0.3"/>
    <row r="2" spans="1:27" ht="7.5" customHeight="1" thickBot="1" x14ac:dyDescent="0.3">
      <c r="A2" s="39"/>
      <c r="B2" s="40"/>
      <c r="C2" s="40"/>
      <c r="D2" s="40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2"/>
    </row>
    <row r="3" spans="1:27" s="45" customFormat="1" ht="18.75" customHeight="1" thickBot="1" x14ac:dyDescent="0.3">
      <c r="A3" s="43"/>
      <c r="B3" s="44"/>
      <c r="C3" s="44"/>
      <c r="D3" s="44"/>
      <c r="M3" s="46" t="s">
        <v>197</v>
      </c>
      <c r="N3" s="46" t="s">
        <v>203</v>
      </c>
      <c r="O3" s="46" t="s">
        <v>195</v>
      </c>
      <c r="P3" s="46" t="s">
        <v>196</v>
      </c>
      <c r="T3" s="47"/>
      <c r="U3" s="48"/>
    </row>
    <row r="4" spans="1:27" s="45" customFormat="1" ht="18.75" customHeight="1" thickBot="1" x14ac:dyDescent="0.3">
      <c r="A4" s="43"/>
      <c r="B4" s="999" t="s">
        <v>204</v>
      </c>
      <c r="C4" s="1000"/>
      <c r="D4" s="49"/>
      <c r="F4" s="50"/>
      <c r="G4" s="1001" t="s">
        <v>205</v>
      </c>
      <c r="H4" s="1002"/>
      <c r="I4" s="43"/>
      <c r="J4" s="48"/>
      <c r="K4" s="996" t="s">
        <v>206</v>
      </c>
      <c r="L4" s="943"/>
      <c r="M4" s="51"/>
      <c r="N4" s="52"/>
      <c r="O4" s="52"/>
      <c r="P4" s="52"/>
      <c r="Q4" s="942" t="s">
        <v>207</v>
      </c>
      <c r="R4" s="943"/>
      <c r="S4" s="1003"/>
      <c r="T4" s="1004"/>
      <c r="U4" s="48"/>
    </row>
    <row r="5" spans="1:27" s="45" customFormat="1" ht="18.75" customHeight="1" thickBot="1" x14ac:dyDescent="0.3">
      <c r="A5" s="43"/>
      <c r="B5" s="973" t="s">
        <v>193</v>
      </c>
      <c r="C5" s="974"/>
      <c r="D5" s="53"/>
      <c r="F5" s="54"/>
      <c r="G5" s="994" t="s">
        <v>208</v>
      </c>
      <c r="H5" s="995"/>
      <c r="I5" s="43"/>
      <c r="J5" s="48"/>
      <c r="K5" s="996" t="s">
        <v>209</v>
      </c>
      <c r="L5" s="943"/>
      <c r="M5" s="52"/>
      <c r="N5" s="52"/>
      <c r="O5" s="52"/>
      <c r="P5" s="52"/>
      <c r="Q5" s="942" t="s">
        <v>210</v>
      </c>
      <c r="R5" s="943"/>
      <c r="S5" s="997"/>
      <c r="T5" s="998"/>
      <c r="U5" s="48"/>
      <c r="V5" s="55" t="s">
        <v>211</v>
      </c>
      <c r="W5" s="986" t="s">
        <v>212</v>
      </c>
      <c r="X5" s="986"/>
    </row>
    <row r="6" spans="1:27" s="45" customFormat="1" ht="10.5" customHeight="1" x14ac:dyDescent="0.25">
      <c r="A6" s="43"/>
      <c r="B6" s="968" t="s">
        <v>213</v>
      </c>
      <c r="C6" s="969"/>
      <c r="D6" s="987"/>
      <c r="F6" s="988"/>
      <c r="G6" s="990" t="s">
        <v>214</v>
      </c>
      <c r="H6" s="991"/>
      <c r="I6" s="43"/>
      <c r="K6" s="56"/>
      <c r="L6" s="56"/>
      <c r="M6" s="57"/>
      <c r="N6" s="57"/>
      <c r="O6" s="57"/>
      <c r="P6" s="58"/>
      <c r="Q6" s="56"/>
      <c r="R6" s="56"/>
      <c r="S6" s="59"/>
      <c r="T6" s="56"/>
      <c r="U6" s="48"/>
      <c r="W6" s="44"/>
      <c r="X6" s="44"/>
    </row>
    <row r="7" spans="1:27" s="45" customFormat="1" ht="10.5" customHeight="1" thickBot="1" x14ac:dyDescent="0.3">
      <c r="A7" s="43"/>
      <c r="B7" s="968"/>
      <c r="C7" s="969"/>
      <c r="D7" s="987"/>
      <c r="F7" s="989"/>
      <c r="G7" s="992"/>
      <c r="H7" s="993"/>
      <c r="I7" s="43"/>
      <c r="K7" s="60"/>
      <c r="L7" s="60"/>
      <c r="M7" s="61"/>
      <c r="N7" s="61"/>
      <c r="O7" s="61"/>
      <c r="P7" s="62"/>
      <c r="Q7" s="60"/>
      <c r="R7" s="60"/>
      <c r="S7" s="63"/>
      <c r="T7" s="60"/>
      <c r="U7" s="48"/>
      <c r="W7" s="44"/>
      <c r="X7" s="44"/>
    </row>
    <row r="8" spans="1:27" s="45" customFormat="1" ht="18.75" customHeight="1" thickBot="1" x14ac:dyDescent="0.3">
      <c r="A8" s="43"/>
      <c r="B8" s="973" t="s">
        <v>215</v>
      </c>
      <c r="C8" s="974"/>
      <c r="D8" s="53"/>
      <c r="F8" s="64"/>
      <c r="G8" s="984" t="s">
        <v>216</v>
      </c>
      <c r="H8" s="985"/>
      <c r="J8" s="65"/>
      <c r="K8" s="66" t="s">
        <v>217</v>
      </c>
      <c r="L8" s="67" t="s">
        <v>218</v>
      </c>
      <c r="M8" s="67" t="s">
        <v>219</v>
      </c>
      <c r="N8" s="67" t="s">
        <v>220</v>
      </c>
      <c r="O8" s="67" t="s">
        <v>221</v>
      </c>
      <c r="P8" s="67" t="s">
        <v>222</v>
      </c>
      <c r="Q8" s="67" t="s">
        <v>198</v>
      </c>
      <c r="R8" s="67" t="s">
        <v>223</v>
      </c>
      <c r="S8" s="67" t="s">
        <v>224</v>
      </c>
      <c r="T8" s="68" t="s">
        <v>225</v>
      </c>
      <c r="U8" s="48"/>
      <c r="W8" s="45" t="s">
        <v>226</v>
      </c>
    </row>
    <row r="9" spans="1:27" s="45" customFormat="1" ht="18.75" customHeight="1" thickBot="1" x14ac:dyDescent="0.3">
      <c r="A9" s="43"/>
      <c r="B9" s="968" t="s">
        <v>227</v>
      </c>
      <c r="C9" s="969"/>
      <c r="D9" s="69"/>
      <c r="F9" s="140">
        <f>F4-F8</f>
        <v>0</v>
      </c>
      <c r="G9" s="70" t="s">
        <v>228</v>
      </c>
      <c r="H9" s="71"/>
      <c r="J9" s="970" t="s">
        <v>229</v>
      </c>
      <c r="K9" s="72" t="s">
        <v>230</v>
      </c>
      <c r="L9" s="73">
        <v>4</v>
      </c>
      <c r="M9" s="138">
        <v>0.5</v>
      </c>
      <c r="N9" s="75" t="s">
        <v>231</v>
      </c>
      <c r="O9" s="73" t="s">
        <v>232</v>
      </c>
      <c r="P9" s="73" t="s">
        <v>232</v>
      </c>
      <c r="Q9" s="134">
        <f>R9-4</f>
        <v>-4</v>
      </c>
      <c r="R9" s="134">
        <f>S4</f>
        <v>0</v>
      </c>
      <c r="S9" s="76" t="str">
        <f>IF(ISBLANK($S$5)," ",S5)</f>
        <v xml:space="preserve"> </v>
      </c>
      <c r="T9" s="77" t="e">
        <f>S9+(AA9/60)</f>
        <v>#VALUE!</v>
      </c>
      <c r="U9" s="48"/>
      <c r="W9" s="45" t="str">
        <f>CONCATENATE("WORK TROUGH ",Q9,"m","-",R9,"m")</f>
        <v>WORK TROUGH -4m-0m</v>
      </c>
      <c r="Y9" s="78"/>
      <c r="AA9" s="45">
        <f t="shared" ref="AA9:AA14" si="0">(M9*60)/24</f>
        <v>1.25</v>
      </c>
    </row>
    <row r="10" spans="1:27" s="45" customFormat="1" ht="18.75" customHeight="1" thickBot="1" x14ac:dyDescent="0.3">
      <c r="A10" s="43"/>
      <c r="B10" s="973" t="s">
        <v>233</v>
      </c>
      <c r="C10" s="974"/>
      <c r="D10" s="53"/>
      <c r="F10" s="140">
        <f>F5-F6</f>
        <v>0</v>
      </c>
      <c r="G10" s="70" t="s">
        <v>234</v>
      </c>
      <c r="H10" s="71"/>
      <c r="J10" s="971"/>
      <c r="K10" s="79">
        <v>1</v>
      </c>
      <c r="L10" s="80">
        <v>1</v>
      </c>
      <c r="M10" s="139">
        <f>L10/K10</f>
        <v>1</v>
      </c>
      <c r="N10" s="82" t="s">
        <v>231</v>
      </c>
      <c r="O10" s="80">
        <v>2</v>
      </c>
      <c r="P10" s="80">
        <v>500</v>
      </c>
      <c r="Q10" s="135">
        <f t="shared" ref="Q10:Q15" si="1">R9</f>
        <v>0</v>
      </c>
      <c r="R10" s="135">
        <f t="shared" ref="R10:R15" si="2">Q10+L10</f>
        <v>1</v>
      </c>
      <c r="S10" s="83" t="e">
        <f>T9</f>
        <v>#VALUE!</v>
      </c>
      <c r="T10" s="84" t="e">
        <f>S10+(AA10/60)</f>
        <v>#VALUE!</v>
      </c>
      <c r="U10" s="48"/>
      <c r="W10" s="45" t="str">
        <f>CONCATENATE("TIME DRILLING ",L10,"m","@",K10,"m/hr ", Q10,"m-",R10,"m")</f>
        <v>TIME DRILLING 1m@1m/hr 0m-1m</v>
      </c>
      <c r="Y10" s="78"/>
      <c r="AA10" s="45">
        <f t="shared" si="0"/>
        <v>2.5</v>
      </c>
    </row>
    <row r="11" spans="1:27" s="45" customFormat="1" ht="18.75" customHeight="1" x14ac:dyDescent="0.25">
      <c r="A11" s="43"/>
      <c r="B11" s="975" t="s">
        <v>235</v>
      </c>
      <c r="C11" s="976"/>
      <c r="D11" s="85">
        <v>1.2</v>
      </c>
      <c r="F11" s="86"/>
      <c r="G11" s="87"/>
      <c r="H11" s="87"/>
      <c r="J11" s="971"/>
      <c r="K11" s="88">
        <v>2</v>
      </c>
      <c r="L11" s="89">
        <v>2</v>
      </c>
      <c r="M11" s="90">
        <f>L11/K11</f>
        <v>1</v>
      </c>
      <c r="N11" s="91" t="s">
        <v>236</v>
      </c>
      <c r="O11" s="89">
        <v>2</v>
      </c>
      <c r="P11" s="89">
        <v>500</v>
      </c>
      <c r="Q11" s="136">
        <f t="shared" si="1"/>
        <v>1</v>
      </c>
      <c r="R11" s="136">
        <f t="shared" si="2"/>
        <v>3</v>
      </c>
      <c r="S11" s="92" t="e">
        <f>T10</f>
        <v>#VALUE!</v>
      </c>
      <c r="T11" s="93" t="e">
        <f>S11+(AA11/60)</f>
        <v>#VALUE!</v>
      </c>
      <c r="U11" s="48"/>
      <c r="W11" s="45" t="str">
        <f>CONCATENATE("TIME DRILLING ",L11,"m","@",K11,"m/hr ", Q11,"m-",R11,"m")</f>
        <v>TIME DRILLING 2m@2m/hr 1m-3m</v>
      </c>
      <c r="Y11" s="78"/>
      <c r="AA11" s="45">
        <f t="shared" si="0"/>
        <v>2.5</v>
      </c>
    </row>
    <row r="12" spans="1:27" s="45" customFormat="1" ht="18.75" customHeight="1" x14ac:dyDescent="0.25">
      <c r="A12" s="43"/>
      <c r="B12" s="977" t="s">
        <v>237</v>
      </c>
      <c r="C12" s="978"/>
      <c r="D12" s="94">
        <v>1</v>
      </c>
      <c r="F12" s="95"/>
      <c r="G12" s="95" t="s">
        <v>238</v>
      </c>
      <c r="H12" s="95"/>
      <c r="I12" s="95"/>
      <c r="J12" s="971"/>
      <c r="K12" s="79">
        <v>3</v>
      </c>
      <c r="L12" s="80">
        <v>2</v>
      </c>
      <c r="M12" s="81">
        <f>L12/K12</f>
        <v>0.66666666666666663</v>
      </c>
      <c r="N12" s="82" t="s">
        <v>239</v>
      </c>
      <c r="O12" s="80">
        <v>3</v>
      </c>
      <c r="P12" s="80">
        <v>750</v>
      </c>
      <c r="Q12" s="135">
        <f t="shared" si="1"/>
        <v>3</v>
      </c>
      <c r="R12" s="135">
        <f t="shared" si="2"/>
        <v>5</v>
      </c>
      <c r="S12" s="83" t="e">
        <f>T11</f>
        <v>#VALUE!</v>
      </c>
      <c r="T12" s="84" t="e">
        <f>S12+(AA12/60)</f>
        <v>#VALUE!</v>
      </c>
      <c r="U12" s="48"/>
      <c r="W12" s="45" t="str">
        <f>CONCATENATE("TIME DRILLING ",L12,"m","@",K12,"m/hr ", Q12,"m-",R12,"m")</f>
        <v>TIME DRILLING 2m@3m/hr 3m-5m</v>
      </c>
      <c r="Y12" s="78"/>
      <c r="AA12" s="45">
        <f t="shared" si="0"/>
        <v>1.6666666666666667</v>
      </c>
    </row>
    <row r="13" spans="1:27" s="45" customFormat="1" ht="18.75" customHeight="1" thickBot="1" x14ac:dyDescent="0.3">
      <c r="A13" s="43"/>
      <c r="B13" s="979" t="s">
        <v>240</v>
      </c>
      <c r="C13" s="980"/>
      <c r="D13" s="96">
        <v>0.8</v>
      </c>
      <c r="F13" s="95"/>
      <c r="G13" s="95"/>
      <c r="H13" s="95"/>
      <c r="I13" s="95"/>
      <c r="J13" s="971"/>
      <c r="K13" s="88" t="s">
        <v>202</v>
      </c>
      <c r="L13" s="89">
        <v>5</v>
      </c>
      <c r="M13" s="90"/>
      <c r="N13" s="91" t="s">
        <v>241</v>
      </c>
      <c r="O13" s="89"/>
      <c r="P13" s="89"/>
      <c r="Q13" s="136">
        <f t="shared" si="1"/>
        <v>5</v>
      </c>
      <c r="R13" s="136">
        <f t="shared" si="2"/>
        <v>10</v>
      </c>
      <c r="S13" s="92" t="e">
        <f>T12</f>
        <v>#VALUE!</v>
      </c>
      <c r="T13" s="93" t="e">
        <f>S13+(AA13/60)</f>
        <v>#VALUE!</v>
      </c>
      <c r="U13" s="48"/>
      <c r="W13" s="45" t="str">
        <f>CONCATENATE("CONTROL DRILLING ",L13,"m","@",800, " kPa Diff ", Q13,"m-",R13,"m")</f>
        <v>CONTROL DRILLING 5m@800 kPa Diff 5m-10m</v>
      </c>
      <c r="Y13" s="78"/>
      <c r="AA13" s="45">
        <f t="shared" si="0"/>
        <v>0</v>
      </c>
    </row>
    <row r="14" spans="1:27" s="45" customFormat="1" ht="18.75" customHeight="1" thickBot="1" x14ac:dyDescent="0.3">
      <c r="A14" s="43"/>
      <c r="B14" s="44"/>
      <c r="F14" s="95"/>
      <c r="G14" s="95"/>
      <c r="H14" s="95"/>
      <c r="I14" s="95"/>
      <c r="J14" s="971"/>
      <c r="K14" s="79"/>
      <c r="L14" s="80"/>
      <c r="M14" s="81"/>
      <c r="N14" s="82"/>
      <c r="O14" s="80"/>
      <c r="P14" s="80"/>
      <c r="Q14" s="135">
        <f t="shared" si="1"/>
        <v>10</v>
      </c>
      <c r="R14" s="135">
        <f t="shared" si="2"/>
        <v>10</v>
      </c>
      <c r="S14" s="97"/>
      <c r="T14" s="84"/>
      <c r="U14" s="48"/>
      <c r="W14" s="45" t="str">
        <f>CONCATENATE("CONTROL DRILLING ",L14,"m","@",800, " kPa Diff ", Q14,"m-",R14,"m")</f>
        <v>CONTROL DRILLING m@800 kPa Diff 10m-10m</v>
      </c>
      <c r="Y14" s="78"/>
      <c r="AA14" s="45">
        <f t="shared" si="0"/>
        <v>0</v>
      </c>
    </row>
    <row r="15" spans="1:27" s="45" customFormat="1" ht="18.75" customHeight="1" thickBot="1" x14ac:dyDescent="0.3">
      <c r="A15" s="43"/>
      <c r="B15" s="981" t="s">
        <v>242</v>
      </c>
      <c r="C15" s="982"/>
      <c r="D15" s="982"/>
      <c r="E15" s="982"/>
      <c r="F15" s="982"/>
      <c r="G15" s="983"/>
      <c r="H15" s="98"/>
      <c r="J15" s="972"/>
      <c r="K15" s="99"/>
      <c r="L15" s="100"/>
      <c r="M15" s="101"/>
      <c r="N15" s="102"/>
      <c r="O15" s="100"/>
      <c r="P15" s="100"/>
      <c r="Q15" s="137">
        <f t="shared" si="1"/>
        <v>10</v>
      </c>
      <c r="R15" s="137">
        <f t="shared" si="2"/>
        <v>10</v>
      </c>
      <c r="S15" s="103"/>
      <c r="T15" s="104"/>
      <c r="U15" s="48"/>
      <c r="W15" s="45" t="s">
        <v>243</v>
      </c>
      <c r="Y15" s="78"/>
    </row>
    <row r="16" spans="1:27" s="45" customFormat="1" ht="18.75" customHeight="1" thickBot="1" x14ac:dyDescent="0.3">
      <c r="A16" s="43"/>
      <c r="B16" s="944" t="s">
        <v>244</v>
      </c>
      <c r="C16" s="945"/>
      <c r="D16" s="945"/>
      <c r="E16" s="945"/>
      <c r="F16" s="945"/>
      <c r="G16" s="946"/>
      <c r="H16" s="98"/>
      <c r="I16" s="105"/>
      <c r="K16" s="942" t="s">
        <v>245</v>
      </c>
      <c r="L16" s="943"/>
      <c r="M16" s="51">
        <f>SUM(M9:M15)</f>
        <v>3.1666666666666665</v>
      </c>
      <c r="N16" s="106"/>
      <c r="O16" s="106"/>
      <c r="P16" s="106"/>
      <c r="Q16" s="106"/>
      <c r="R16" s="106"/>
      <c r="S16" s="106"/>
      <c r="T16" s="106"/>
      <c r="U16" s="48"/>
      <c r="Y16" s="78"/>
    </row>
    <row r="17" spans="1:25" s="45" customFormat="1" ht="18.75" customHeight="1" x14ac:dyDescent="0.25">
      <c r="A17" s="43"/>
      <c r="B17" s="947" t="s">
        <v>246</v>
      </c>
      <c r="C17" s="948"/>
      <c r="D17" s="948"/>
      <c r="E17" s="948"/>
      <c r="F17" s="948"/>
      <c r="G17" s="949"/>
      <c r="H17" s="98"/>
      <c r="I17" s="105"/>
      <c r="U17" s="48"/>
      <c r="Y17" s="78"/>
    </row>
    <row r="18" spans="1:25" s="45" customFormat="1" ht="18.75" customHeight="1" x14ac:dyDescent="0.25">
      <c r="A18" s="43"/>
      <c r="B18" s="950"/>
      <c r="C18" s="951"/>
      <c r="D18" s="951"/>
      <c r="E18" s="951"/>
      <c r="F18" s="951"/>
      <c r="G18" s="952"/>
      <c r="H18" s="98"/>
      <c r="I18" s="105"/>
      <c r="U18" s="48"/>
      <c r="W18" s="45" t="s">
        <v>238</v>
      </c>
      <c r="Y18" s="78"/>
    </row>
    <row r="19" spans="1:25" s="45" customFormat="1" ht="18.75" customHeight="1" x14ac:dyDescent="0.25">
      <c r="A19" s="43"/>
      <c r="B19" s="953" t="s">
        <v>247</v>
      </c>
      <c r="C19" s="954"/>
      <c r="D19" s="954"/>
      <c r="E19" s="954"/>
      <c r="F19" s="954"/>
      <c r="G19" s="955"/>
      <c r="H19" s="98"/>
      <c r="U19" s="48"/>
      <c r="Y19" s="78"/>
    </row>
    <row r="20" spans="1:25" s="45" customFormat="1" ht="18.75" customHeight="1" thickBot="1" x14ac:dyDescent="0.3">
      <c r="A20" s="43"/>
      <c r="B20" s="956"/>
      <c r="C20" s="957"/>
      <c r="D20" s="957"/>
      <c r="E20" s="957"/>
      <c r="F20" s="957"/>
      <c r="G20" s="958"/>
      <c r="H20" s="98"/>
      <c r="T20" s="47"/>
      <c r="U20" s="48"/>
      <c r="Y20" s="78"/>
    </row>
    <row r="21" spans="1:25" s="45" customFormat="1" ht="18.75" customHeight="1" thickBot="1" x14ac:dyDescent="0.3">
      <c r="A21" s="43"/>
      <c r="B21" s="947" t="s">
        <v>248</v>
      </c>
      <c r="C21" s="948"/>
      <c r="D21" s="948"/>
      <c r="E21" s="948"/>
      <c r="F21" s="948"/>
      <c r="G21" s="949"/>
      <c r="H21" s="98"/>
      <c r="K21" s="66" t="s">
        <v>217</v>
      </c>
      <c r="L21" s="67" t="s">
        <v>218</v>
      </c>
      <c r="M21" s="67" t="s">
        <v>219</v>
      </c>
      <c r="N21" s="67" t="s">
        <v>220</v>
      </c>
      <c r="O21" s="67" t="s">
        <v>221</v>
      </c>
      <c r="P21" s="67" t="s">
        <v>222</v>
      </c>
      <c r="Q21" s="67" t="s">
        <v>198</v>
      </c>
      <c r="R21" s="67" t="s">
        <v>223</v>
      </c>
      <c r="S21" s="67" t="s">
        <v>224</v>
      </c>
      <c r="T21" s="68" t="s">
        <v>225</v>
      </c>
      <c r="U21" s="48"/>
      <c r="Y21" s="78"/>
    </row>
    <row r="22" spans="1:25" s="45" customFormat="1" ht="18.75" customHeight="1" thickBot="1" x14ac:dyDescent="0.3">
      <c r="A22" s="43"/>
      <c r="B22" s="959"/>
      <c r="C22" s="960"/>
      <c r="D22" s="960"/>
      <c r="E22" s="960"/>
      <c r="F22" s="960"/>
      <c r="G22" s="961"/>
      <c r="H22" s="98"/>
      <c r="J22" s="962" t="s">
        <v>249</v>
      </c>
      <c r="K22" s="72" t="s">
        <v>230</v>
      </c>
      <c r="L22" s="73">
        <v>4</v>
      </c>
      <c r="M22" s="74"/>
      <c r="N22" s="75"/>
      <c r="O22" s="73" t="s">
        <v>232</v>
      </c>
      <c r="P22" s="73" t="s">
        <v>232</v>
      </c>
      <c r="Q22" s="73"/>
      <c r="R22" s="73"/>
      <c r="S22" s="76"/>
      <c r="T22" s="77"/>
      <c r="U22" s="48"/>
      <c r="W22" s="78"/>
      <c r="Y22" s="78"/>
    </row>
    <row r="23" spans="1:25" s="45" customFormat="1" ht="18.75" customHeight="1" thickBot="1" x14ac:dyDescent="0.3">
      <c r="A23" s="43"/>
      <c r="B23" s="44"/>
      <c r="C23" s="44"/>
      <c r="D23" s="44"/>
      <c r="J23" s="963"/>
      <c r="K23" s="79"/>
      <c r="L23" s="80"/>
      <c r="M23" s="81"/>
      <c r="N23" s="82"/>
      <c r="O23" s="80"/>
      <c r="P23" s="80"/>
      <c r="Q23" s="80"/>
      <c r="R23" s="80"/>
      <c r="S23" s="83"/>
      <c r="T23" s="84"/>
      <c r="U23" s="48"/>
      <c r="W23" s="78"/>
      <c r="Y23" s="78"/>
    </row>
    <row r="24" spans="1:25" s="45" customFormat="1" ht="18.75" customHeight="1" thickBot="1" x14ac:dyDescent="0.3">
      <c r="A24" s="43"/>
      <c r="B24" s="107" t="s">
        <v>197</v>
      </c>
      <c r="C24" s="108" t="s">
        <v>203</v>
      </c>
      <c r="D24" s="965" t="s">
        <v>250</v>
      </c>
      <c r="E24" s="965"/>
      <c r="F24" s="966" t="s">
        <v>251</v>
      </c>
      <c r="G24" s="967"/>
      <c r="H24" s="109"/>
      <c r="J24" s="963"/>
      <c r="K24" s="88"/>
      <c r="L24" s="89"/>
      <c r="M24" s="90"/>
      <c r="N24" s="91"/>
      <c r="O24" s="89"/>
      <c r="P24" s="89"/>
      <c r="Q24" s="89"/>
      <c r="R24" s="89"/>
      <c r="S24" s="92"/>
      <c r="T24" s="93"/>
      <c r="U24" s="48"/>
      <c r="Y24" s="78"/>
    </row>
    <row r="25" spans="1:25" s="45" customFormat="1" ht="18.75" customHeight="1" thickBot="1" x14ac:dyDescent="0.3">
      <c r="A25" s="43"/>
      <c r="B25" s="110"/>
      <c r="C25" s="111"/>
      <c r="D25" s="111"/>
      <c r="E25" s="112"/>
      <c r="F25" s="113"/>
      <c r="G25" s="114"/>
      <c r="H25" s="115"/>
      <c r="J25" s="963"/>
      <c r="K25" s="79"/>
      <c r="L25" s="80"/>
      <c r="M25" s="81"/>
      <c r="N25" s="82"/>
      <c r="O25" s="80"/>
      <c r="P25" s="80"/>
      <c r="Q25" s="80"/>
      <c r="R25" s="80"/>
      <c r="S25" s="83"/>
      <c r="T25" s="84"/>
      <c r="U25" s="48"/>
      <c r="Y25" s="78"/>
    </row>
    <row r="26" spans="1:25" s="45" customFormat="1" ht="18.75" customHeight="1" thickBot="1" x14ac:dyDescent="0.3">
      <c r="A26" s="43"/>
      <c r="B26" s="116"/>
      <c r="C26" s="117"/>
      <c r="D26" s="117"/>
      <c r="E26" s="118"/>
      <c r="F26" s="119"/>
      <c r="G26" s="120"/>
      <c r="H26" s="115"/>
      <c r="J26" s="963"/>
      <c r="K26" s="88"/>
      <c r="L26" s="89"/>
      <c r="M26" s="90"/>
      <c r="N26" s="91"/>
      <c r="O26" s="89"/>
      <c r="P26" s="89"/>
      <c r="Q26" s="89"/>
      <c r="R26" s="89"/>
      <c r="S26" s="92"/>
      <c r="T26" s="93"/>
      <c r="U26" s="48"/>
    </row>
    <row r="27" spans="1:25" s="45" customFormat="1" ht="18.75" customHeight="1" x14ac:dyDescent="0.25">
      <c r="A27" s="43"/>
      <c r="B27" s="121"/>
      <c r="C27" s="122"/>
      <c r="D27" s="122"/>
      <c r="E27" s="123"/>
      <c r="F27" s="124"/>
      <c r="G27" s="125"/>
      <c r="H27" s="115"/>
      <c r="J27" s="963"/>
      <c r="K27" s="79"/>
      <c r="L27" s="80"/>
      <c r="M27" s="81"/>
      <c r="N27" s="82"/>
      <c r="O27" s="80"/>
      <c r="P27" s="80"/>
      <c r="Q27" s="80"/>
      <c r="R27" s="80"/>
      <c r="S27" s="97"/>
      <c r="T27" s="84"/>
      <c r="U27" s="48"/>
    </row>
    <row r="28" spans="1:25" s="45" customFormat="1" ht="18.75" customHeight="1" thickBot="1" x14ac:dyDescent="0.3">
      <c r="A28" s="43"/>
      <c r="B28" s="126"/>
      <c r="C28" s="127"/>
      <c r="D28" s="127"/>
      <c r="E28" s="128"/>
      <c r="F28" s="129"/>
      <c r="G28" s="130"/>
      <c r="H28" s="115"/>
      <c r="J28" s="964"/>
      <c r="K28" s="99"/>
      <c r="L28" s="100"/>
      <c r="M28" s="101"/>
      <c r="N28" s="102"/>
      <c r="O28" s="100"/>
      <c r="P28" s="100"/>
      <c r="Q28" s="100"/>
      <c r="R28" s="100"/>
      <c r="S28" s="103"/>
      <c r="T28" s="104"/>
      <c r="U28" s="48"/>
    </row>
    <row r="29" spans="1:25" s="45" customFormat="1" ht="18.75" customHeight="1" thickBot="1" x14ac:dyDescent="0.3">
      <c r="A29" s="43"/>
      <c r="B29" s="44"/>
      <c r="C29" s="44"/>
      <c r="D29" s="44"/>
      <c r="K29" s="942" t="s">
        <v>245</v>
      </c>
      <c r="L29" s="943"/>
      <c r="M29" s="51"/>
      <c r="N29" s="106"/>
      <c r="O29" s="106"/>
      <c r="P29" s="106"/>
      <c r="Q29" s="106"/>
      <c r="R29" s="106"/>
      <c r="S29" s="106"/>
      <c r="T29" s="106"/>
      <c r="U29" s="48"/>
    </row>
    <row r="30" spans="1:25" s="45" customFormat="1" ht="18.75" customHeight="1" thickBot="1" x14ac:dyDescent="0.3">
      <c r="A30" s="131"/>
      <c r="B30" s="132"/>
      <c r="C30" s="132"/>
      <c r="D30" s="132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133"/>
    </row>
  </sheetData>
  <mergeCells count="33">
    <mergeCell ref="B4:C4"/>
    <mergeCell ref="G4:H4"/>
    <mergeCell ref="K4:L4"/>
    <mergeCell ref="Q4:R4"/>
    <mergeCell ref="S4:T4"/>
    <mergeCell ref="G8:H8"/>
    <mergeCell ref="W5:X5"/>
    <mergeCell ref="B6:C7"/>
    <mergeCell ref="D6:D7"/>
    <mergeCell ref="F6:F7"/>
    <mergeCell ref="G6:H7"/>
    <mergeCell ref="B8:C8"/>
    <mergeCell ref="B5:C5"/>
    <mergeCell ref="G5:H5"/>
    <mergeCell ref="K5:L5"/>
    <mergeCell ref="Q5:R5"/>
    <mergeCell ref="S5:T5"/>
    <mergeCell ref="B9:C9"/>
    <mergeCell ref="J9:J15"/>
    <mergeCell ref="B10:C10"/>
    <mergeCell ref="B11:C11"/>
    <mergeCell ref="B12:C12"/>
    <mergeCell ref="B13:C13"/>
    <mergeCell ref="B15:G15"/>
    <mergeCell ref="K29:L29"/>
    <mergeCell ref="B16:G16"/>
    <mergeCell ref="K16:L16"/>
    <mergeCell ref="B17:G18"/>
    <mergeCell ref="B19:G20"/>
    <mergeCell ref="B21:G22"/>
    <mergeCell ref="J22:J28"/>
    <mergeCell ref="D24:E24"/>
    <mergeCell ref="F24:G24"/>
  </mergeCells>
  <conditionalFormatting sqref="S10 S12">
    <cfRule type="containsErrors" dxfId="3" priority="3">
      <formula>ISERROR(S10)</formula>
    </cfRule>
  </conditionalFormatting>
  <conditionalFormatting sqref="S23 S25">
    <cfRule type="containsErrors" dxfId="2" priority="1">
      <formula>ISERROR(S23)</formula>
    </cfRule>
  </conditionalFormatting>
  <conditionalFormatting sqref="S9:T9 T10:T13 S11 S13 S15:T15">
    <cfRule type="containsErrors" dxfId="1" priority="4">
      <formula>ISERROR(S9)</formula>
    </cfRule>
  </conditionalFormatting>
  <conditionalFormatting sqref="S22:T22 T23:T26 S24 S26 S28:T28">
    <cfRule type="containsErrors" dxfId="0" priority="2">
      <formula>ISERROR(S22)</formula>
    </cfRule>
  </conditionalFormatting>
  <dataValidations count="2">
    <dataValidation type="list" allowBlank="1" showInputMessage="1" showErrorMessage="1" sqref="G6:H7" xr:uid="{7ED0A701-81C7-49A4-8E4D-9BB0C0B8694D}">
      <formula1>"HWDP IN - TROUGH WITH,HWDP IN"</formula1>
    </dataValidation>
    <dataValidation type="list" allowBlank="1" showInputMessage="1" showErrorMessage="1" sqref="G8:H8" xr:uid="{7E62A9B5-4BEE-4DDA-AA95-E88C7FD3839A}">
      <formula1>"DP IN - TROUGH WITH,DP IN"</formula1>
    </dataValidation>
  </dataValidations>
  <printOptions horizontalCentered="1" verticalCentered="1"/>
  <pageMargins left="3.937007874015748E-2" right="3.937007874015748E-2" top="0.74803149606299213" bottom="0.74803149606299213" header="0.31496062992125984" footer="0.31496062992125984"/>
  <pageSetup scale="7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25ED3-6DD6-4EF4-9034-C1DC55A40B75}">
  <sheetPr codeName="Sheet10"/>
  <dimension ref="A1:CS2"/>
  <sheetViews>
    <sheetView workbookViewId="0"/>
  </sheetViews>
  <sheetFormatPr defaultRowHeight="14.4" x14ac:dyDescent="0.3"/>
  <sheetData>
    <row r="1" spans="1:97" x14ac:dyDescent="0.3">
      <c r="A1" t="s">
        <v>268</v>
      </c>
      <c r="B1" t="s">
        <v>269</v>
      </c>
      <c r="C1" t="s">
        <v>270</v>
      </c>
      <c r="D1" t="s">
        <v>0</v>
      </c>
      <c r="E1" t="s">
        <v>271</v>
      </c>
      <c r="F1" t="s">
        <v>272</v>
      </c>
      <c r="G1" t="s">
        <v>273</v>
      </c>
      <c r="H1" t="s">
        <v>274</v>
      </c>
      <c r="I1" t="s">
        <v>275</v>
      </c>
      <c r="J1" t="s">
        <v>276</v>
      </c>
      <c r="K1" t="s">
        <v>277</v>
      </c>
      <c r="L1" t="s">
        <v>278</v>
      </c>
      <c r="M1" t="s">
        <v>279</v>
      </c>
      <c r="N1" t="s">
        <v>280</v>
      </c>
      <c r="O1" t="s">
        <v>281</v>
      </c>
      <c r="P1" t="s">
        <v>3</v>
      </c>
      <c r="Q1" t="s">
        <v>282</v>
      </c>
      <c r="R1" t="s">
        <v>283</v>
      </c>
      <c r="S1" t="s">
        <v>284</v>
      </c>
      <c r="T1" t="s">
        <v>285</v>
      </c>
      <c r="U1" t="s">
        <v>286</v>
      </c>
      <c r="V1" t="s">
        <v>287</v>
      </c>
      <c r="W1" t="s">
        <v>288</v>
      </c>
      <c r="X1" t="s">
        <v>289</v>
      </c>
      <c r="Y1" t="s">
        <v>290</v>
      </c>
      <c r="Z1" t="s">
        <v>291</v>
      </c>
      <c r="AA1" t="s">
        <v>292</v>
      </c>
      <c r="AB1" t="s">
        <v>293</v>
      </c>
      <c r="AC1" t="s">
        <v>882</v>
      </c>
      <c r="AD1" t="s">
        <v>294</v>
      </c>
      <c r="AE1" t="s">
        <v>295</v>
      </c>
      <c r="AF1" t="s">
        <v>296</v>
      </c>
      <c r="AG1" t="s">
        <v>297</v>
      </c>
      <c r="AH1" t="s">
        <v>298</v>
      </c>
      <c r="AI1" t="s">
        <v>299</v>
      </c>
      <c r="AJ1" t="s">
        <v>300</v>
      </c>
      <c r="AK1" t="s">
        <v>815</v>
      </c>
      <c r="AL1" t="s">
        <v>816</v>
      </c>
      <c r="AM1" t="s">
        <v>301</v>
      </c>
      <c r="AN1" t="s">
        <v>302</v>
      </c>
      <c r="AO1" t="s">
        <v>303</v>
      </c>
      <c r="AP1" t="s">
        <v>304</v>
      </c>
      <c r="AQ1" t="s">
        <v>305</v>
      </c>
      <c r="AR1" t="s">
        <v>306</v>
      </c>
      <c r="AS1" t="s">
        <v>307</v>
      </c>
      <c r="AT1" t="s">
        <v>308</v>
      </c>
      <c r="AU1" t="s">
        <v>309</v>
      </c>
      <c r="AV1" t="s">
        <v>310</v>
      </c>
      <c r="AW1" t="s">
        <v>311</v>
      </c>
      <c r="AX1" t="s">
        <v>312</v>
      </c>
      <c r="AY1" t="s">
        <v>313</v>
      </c>
      <c r="AZ1" t="s">
        <v>553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554</v>
      </c>
      <c r="BK1" t="s">
        <v>555</v>
      </c>
      <c r="BL1" t="s">
        <v>1</v>
      </c>
      <c r="BM1" t="s">
        <v>233</v>
      </c>
      <c r="BN1" t="s">
        <v>323</v>
      </c>
      <c r="BO1" t="s">
        <v>324</v>
      </c>
      <c r="BP1" t="s">
        <v>325</v>
      </c>
      <c r="BQ1" t="s">
        <v>5</v>
      </c>
      <c r="BR1" t="s">
        <v>326</v>
      </c>
      <c r="BS1" t="s">
        <v>327</v>
      </c>
      <c r="BT1" t="s">
        <v>328</v>
      </c>
      <c r="BU1" t="s">
        <v>329</v>
      </c>
      <c r="BV1" t="s">
        <v>330</v>
      </c>
      <c r="BW1" t="s">
        <v>331</v>
      </c>
      <c r="BX1" t="s">
        <v>332</v>
      </c>
      <c r="BY1" t="s">
        <v>333</v>
      </c>
      <c r="BZ1" t="s">
        <v>334</v>
      </c>
      <c r="CA1" t="s">
        <v>556</v>
      </c>
      <c r="CB1" t="s">
        <v>557</v>
      </c>
      <c r="CC1" t="s">
        <v>335</v>
      </c>
      <c r="CD1" t="s">
        <v>336</v>
      </c>
      <c r="CE1" t="s">
        <v>337</v>
      </c>
      <c r="CF1" t="s">
        <v>338</v>
      </c>
      <c r="CG1" t="s">
        <v>339</v>
      </c>
      <c r="CH1" t="s">
        <v>340</v>
      </c>
      <c r="CI1" t="s">
        <v>341</v>
      </c>
      <c r="CJ1" t="s">
        <v>181</v>
      </c>
      <c r="CK1" t="s">
        <v>342</v>
      </c>
      <c r="CL1" t="s">
        <v>2</v>
      </c>
      <c r="CM1" t="s">
        <v>343</v>
      </c>
      <c r="CN1" t="s">
        <v>558</v>
      </c>
      <c r="CO1" t="s">
        <v>559</v>
      </c>
      <c r="CP1" t="s">
        <v>560</v>
      </c>
      <c r="CQ1" t="s">
        <v>344</v>
      </c>
      <c r="CR1" t="s">
        <v>561</v>
      </c>
      <c r="CS1" t="s">
        <v>552</v>
      </c>
    </row>
    <row r="2" spans="1:97" x14ac:dyDescent="0.3">
      <c r="A2" s="601" t="s">
        <v>910</v>
      </c>
      <c r="B2" s="601" t="s">
        <v>909</v>
      </c>
      <c r="C2" s="601" t="s">
        <v>910</v>
      </c>
      <c r="D2" s="601" t="s">
        <v>912</v>
      </c>
      <c r="E2" s="601" t="s">
        <v>345</v>
      </c>
      <c r="I2" s="601" t="s">
        <v>925</v>
      </c>
      <c r="S2" s="601" t="s">
        <v>908</v>
      </c>
      <c r="T2" t="s">
        <v>346</v>
      </c>
      <c r="U2" s="601" t="s">
        <v>920</v>
      </c>
      <c r="V2">
        <v>0</v>
      </c>
      <c r="W2" s="601" t="s">
        <v>917</v>
      </c>
      <c r="X2" s="601" t="s">
        <v>911</v>
      </c>
      <c r="Y2" s="601" t="s">
        <v>915</v>
      </c>
      <c r="Z2" s="601" t="s">
        <v>897</v>
      </c>
      <c r="AA2">
        <v>0</v>
      </c>
      <c r="AB2" t="s">
        <v>347</v>
      </c>
      <c r="AC2" t="s">
        <v>883</v>
      </c>
      <c r="AD2" s="601" t="s">
        <v>924</v>
      </c>
      <c r="AE2" s="601" t="s">
        <v>896</v>
      </c>
      <c r="AF2">
        <v>1628</v>
      </c>
      <c r="AG2">
        <v>74.75</v>
      </c>
      <c r="AH2" s="601" t="s">
        <v>919</v>
      </c>
      <c r="AI2" t="s">
        <v>348</v>
      </c>
      <c r="AJ2" t="s">
        <v>346</v>
      </c>
      <c r="AK2" s="601" t="s">
        <v>898</v>
      </c>
      <c r="AL2" s="601" t="s">
        <v>901</v>
      </c>
      <c r="AM2">
        <v>767.11</v>
      </c>
      <c r="AN2" t="s">
        <v>349</v>
      </c>
      <c r="AO2" s="601" t="s">
        <v>907</v>
      </c>
      <c r="AP2" s="601" t="s">
        <v>918</v>
      </c>
      <c r="AQ2" t="s">
        <v>349</v>
      </c>
      <c r="AR2" s="601" t="s">
        <v>894</v>
      </c>
      <c r="AS2" s="601" t="s">
        <v>905</v>
      </c>
      <c r="AT2">
        <v>16.05</v>
      </c>
      <c r="AU2">
        <v>202607160000</v>
      </c>
      <c r="AV2" t="s">
        <v>562</v>
      </c>
      <c r="AW2">
        <v>6</v>
      </c>
      <c r="AX2" t="s">
        <v>349</v>
      </c>
      <c r="AY2" t="s">
        <v>563</v>
      </c>
      <c r="AZ2" t="s">
        <v>461</v>
      </c>
      <c r="BA2" s="601" t="s">
        <v>906</v>
      </c>
      <c r="BB2" s="601" t="s">
        <v>922</v>
      </c>
      <c r="BC2">
        <v>131</v>
      </c>
      <c r="BD2" t="s">
        <v>350</v>
      </c>
      <c r="BE2" t="b">
        <v>1</v>
      </c>
      <c r="BF2" s="601" t="s">
        <v>564</v>
      </c>
      <c r="BG2" s="601" t="s">
        <v>913</v>
      </c>
      <c r="BH2" t="s">
        <v>351</v>
      </c>
      <c r="BI2" t="s">
        <v>346</v>
      </c>
      <c r="BJ2" s="601" t="s">
        <v>900</v>
      </c>
      <c r="BK2" s="601" t="s">
        <v>895</v>
      </c>
      <c r="BL2" s="601" t="s">
        <v>459</v>
      </c>
      <c r="BM2" t="s">
        <v>565</v>
      </c>
      <c r="BN2" t="s">
        <v>346</v>
      </c>
      <c r="BO2" t="s">
        <v>346</v>
      </c>
      <c r="BP2" t="s">
        <v>352</v>
      </c>
      <c r="BQ2">
        <v>5.14</v>
      </c>
      <c r="BR2" s="601" t="s">
        <v>904</v>
      </c>
      <c r="BS2" s="601" t="s">
        <v>899</v>
      </c>
      <c r="BT2">
        <v>376</v>
      </c>
      <c r="BU2" s="601" t="s">
        <v>916</v>
      </c>
      <c r="BV2" t="s">
        <v>566</v>
      </c>
      <c r="BW2">
        <v>202607220000</v>
      </c>
      <c r="BX2" s="601" t="s">
        <v>902</v>
      </c>
      <c r="BY2" t="s">
        <v>346</v>
      </c>
      <c r="BZ2">
        <v>1.0015499999999999</v>
      </c>
      <c r="CA2" t="s">
        <v>567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349</v>
      </c>
      <c r="CH2">
        <v>16.05</v>
      </c>
      <c r="CI2">
        <v>772.25</v>
      </c>
      <c r="CJ2">
        <v>0</v>
      </c>
      <c r="CK2" s="601" t="s">
        <v>914</v>
      </c>
      <c r="CL2">
        <v>2.5</v>
      </c>
      <c r="CM2" s="601" t="s">
        <v>921</v>
      </c>
      <c r="CN2" s="601" t="s">
        <v>903</v>
      </c>
      <c r="CO2" s="601" t="s">
        <v>923</v>
      </c>
      <c r="CP2">
        <v>305</v>
      </c>
      <c r="CQ2" s="601" t="s">
        <v>353</v>
      </c>
      <c r="CR2" s="601" t="s">
        <v>568</v>
      </c>
      <c r="CS2" s="601" t="s">
        <v>926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174A-3754-46B4-B9E6-8FD97FBAEFC5}">
  <sheetPr codeName="Sheet12"/>
  <dimension ref="A1:J4"/>
  <sheetViews>
    <sheetView workbookViewId="0"/>
  </sheetViews>
  <sheetFormatPr defaultRowHeight="14.4" x14ac:dyDescent="0.3"/>
  <sheetData>
    <row r="1" spans="1:10" x14ac:dyDescent="0.3">
      <c r="A1" t="s">
        <v>268</v>
      </c>
      <c r="B1" t="s">
        <v>156</v>
      </c>
      <c r="C1" t="s">
        <v>354</v>
      </c>
      <c r="D1" t="s">
        <v>4</v>
      </c>
      <c r="E1" t="s">
        <v>355</v>
      </c>
      <c r="F1" t="s">
        <v>356</v>
      </c>
      <c r="G1" t="s">
        <v>357</v>
      </c>
      <c r="H1" t="s">
        <v>281</v>
      </c>
      <c r="I1" t="s">
        <v>3</v>
      </c>
      <c r="J1" t="s">
        <v>358</v>
      </c>
    </row>
    <row r="2" spans="1:10" x14ac:dyDescent="0.3">
      <c r="A2" s="601" t="s">
        <v>910</v>
      </c>
      <c r="B2" s="601" t="s">
        <v>927</v>
      </c>
      <c r="D2" s="601" t="s">
        <v>928</v>
      </c>
      <c r="E2" s="601" t="s">
        <v>929</v>
      </c>
      <c r="F2" s="601" t="s">
        <v>629</v>
      </c>
      <c r="J2" s="601" t="s">
        <v>406</v>
      </c>
    </row>
    <row r="3" spans="1:10" x14ac:dyDescent="0.3">
      <c r="A3" s="601" t="s">
        <v>910</v>
      </c>
      <c r="B3" s="601" t="s">
        <v>930</v>
      </c>
      <c r="D3" s="601" t="s">
        <v>931</v>
      </c>
      <c r="E3" s="601" t="s">
        <v>932</v>
      </c>
      <c r="F3" s="601" t="s">
        <v>643</v>
      </c>
      <c r="J3" s="601" t="s">
        <v>407</v>
      </c>
    </row>
    <row r="4" spans="1:10" x14ac:dyDescent="0.3">
      <c r="A4" s="601" t="s">
        <v>910</v>
      </c>
      <c r="B4" s="601" t="s">
        <v>933</v>
      </c>
      <c r="D4" s="601" t="s">
        <v>934</v>
      </c>
      <c r="E4" s="601" t="s">
        <v>935</v>
      </c>
      <c r="F4" s="601" t="s">
        <v>629</v>
      </c>
      <c r="J4" s="601" t="s">
        <v>409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3E82C-7511-4D51-AFA3-2F192B3CBD3D}">
  <sheetPr codeName="Sheet13"/>
  <dimension ref="A1:AF111"/>
  <sheetViews>
    <sheetView workbookViewId="0"/>
  </sheetViews>
  <sheetFormatPr defaultRowHeight="14.4" x14ac:dyDescent="0.3"/>
  <sheetData>
    <row r="1" spans="1:32" x14ac:dyDescent="0.3">
      <c r="A1" t="s">
        <v>268</v>
      </c>
      <c r="B1" t="s">
        <v>359</v>
      </c>
      <c r="C1" t="s">
        <v>330</v>
      </c>
      <c r="D1" t="s">
        <v>360</v>
      </c>
      <c r="E1" t="s">
        <v>361</v>
      </c>
      <c r="F1" t="s">
        <v>362</v>
      </c>
      <c r="G1" t="s">
        <v>363</v>
      </c>
      <c r="H1" t="s">
        <v>456</v>
      </c>
      <c r="I1" t="s">
        <v>457</v>
      </c>
      <c r="J1" t="s">
        <v>364</v>
      </c>
      <c r="K1" t="s">
        <v>365</v>
      </c>
      <c r="L1" t="s">
        <v>366</v>
      </c>
      <c r="M1" t="s">
        <v>367</v>
      </c>
      <c r="N1" t="s">
        <v>368</v>
      </c>
      <c r="O1" t="s">
        <v>369</v>
      </c>
      <c r="P1" t="s">
        <v>370</v>
      </c>
      <c r="Q1" t="s">
        <v>152</v>
      </c>
      <c r="R1" t="s">
        <v>371</v>
      </c>
      <c r="S1" t="s">
        <v>275</v>
      </c>
      <c r="T1" t="s">
        <v>372</v>
      </c>
      <c r="U1" t="s">
        <v>373</v>
      </c>
      <c r="V1" t="s">
        <v>374</v>
      </c>
      <c r="W1" t="s">
        <v>375</v>
      </c>
      <c r="X1" t="s">
        <v>376</v>
      </c>
      <c r="Y1" t="s">
        <v>377</v>
      </c>
      <c r="Z1" t="s">
        <v>378</v>
      </c>
      <c r="AA1" t="s">
        <v>379</v>
      </c>
      <c r="AB1" t="s">
        <v>380</v>
      </c>
      <c r="AC1" t="s">
        <v>381</v>
      </c>
      <c r="AD1" t="s">
        <v>382</v>
      </c>
      <c r="AE1" t="s">
        <v>383</v>
      </c>
      <c r="AF1" t="s">
        <v>384</v>
      </c>
    </row>
    <row r="2" spans="1:32" x14ac:dyDescent="0.3">
      <c r="A2">
        <v>20803</v>
      </c>
      <c r="B2">
        <v>6</v>
      </c>
      <c r="F2" t="s">
        <v>350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350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350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668</v>
      </c>
      <c r="R4">
        <v>111244</v>
      </c>
      <c r="S4" t="s">
        <v>391</v>
      </c>
    </row>
    <row r="5" spans="1:32" x14ac:dyDescent="0.3">
      <c r="A5">
        <v>20803</v>
      </c>
      <c r="B5">
        <v>6</v>
      </c>
      <c r="F5" t="s">
        <v>350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833</v>
      </c>
      <c r="R5">
        <v>105935</v>
      </c>
      <c r="S5" t="s">
        <v>385</v>
      </c>
    </row>
    <row r="6" spans="1:32" x14ac:dyDescent="0.3">
      <c r="A6">
        <v>20803</v>
      </c>
      <c r="B6">
        <v>6</v>
      </c>
      <c r="F6" t="s">
        <v>350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818</v>
      </c>
      <c r="R6">
        <v>108526</v>
      </c>
      <c r="S6" t="s">
        <v>390</v>
      </c>
    </row>
    <row r="7" spans="1:32" x14ac:dyDescent="0.3">
      <c r="A7">
        <v>20803</v>
      </c>
      <c r="B7">
        <v>6</v>
      </c>
      <c r="F7" t="s">
        <v>350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350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827</v>
      </c>
      <c r="R8">
        <v>105519</v>
      </c>
      <c r="S8" t="s">
        <v>386</v>
      </c>
    </row>
    <row r="9" spans="1:32" x14ac:dyDescent="0.3">
      <c r="A9">
        <v>20803</v>
      </c>
      <c r="B9">
        <v>6</v>
      </c>
      <c r="F9" t="s">
        <v>350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724</v>
      </c>
      <c r="R9">
        <v>114706</v>
      </c>
      <c r="S9" t="s">
        <v>722</v>
      </c>
    </row>
    <row r="10" spans="1:32" x14ac:dyDescent="0.3">
      <c r="A10">
        <v>20803</v>
      </c>
      <c r="B10">
        <v>6</v>
      </c>
      <c r="F10" t="s">
        <v>350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723</v>
      </c>
      <c r="R10">
        <v>114706</v>
      </c>
      <c r="S10" t="s">
        <v>722</v>
      </c>
    </row>
    <row r="11" spans="1:32" x14ac:dyDescent="0.3">
      <c r="A11">
        <v>20803</v>
      </c>
      <c r="B11">
        <v>6</v>
      </c>
      <c r="F11" t="s">
        <v>350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350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350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820</v>
      </c>
      <c r="R13">
        <v>110760</v>
      </c>
      <c r="S13" t="s">
        <v>392</v>
      </c>
    </row>
    <row r="14" spans="1:32" x14ac:dyDescent="0.3">
      <c r="A14">
        <v>20803</v>
      </c>
      <c r="B14">
        <v>6</v>
      </c>
      <c r="F14" t="s">
        <v>350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829</v>
      </c>
      <c r="R14">
        <v>108623</v>
      </c>
      <c r="S14" t="s">
        <v>394</v>
      </c>
    </row>
    <row r="15" spans="1:32" x14ac:dyDescent="0.3">
      <c r="A15">
        <v>20803</v>
      </c>
      <c r="B15">
        <v>6</v>
      </c>
      <c r="F15" t="s">
        <v>350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350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721</v>
      </c>
      <c r="R16">
        <v>104499</v>
      </c>
      <c r="S16" t="s">
        <v>393</v>
      </c>
    </row>
    <row r="17" spans="1:19" x14ac:dyDescent="0.3">
      <c r="A17">
        <v>20803</v>
      </c>
      <c r="B17">
        <v>6</v>
      </c>
      <c r="F17" t="s">
        <v>350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822</v>
      </c>
      <c r="R17">
        <v>110200</v>
      </c>
      <c r="S17" t="s">
        <v>636</v>
      </c>
    </row>
    <row r="18" spans="1:19" x14ac:dyDescent="0.3">
      <c r="A18">
        <v>20803</v>
      </c>
      <c r="B18">
        <v>6</v>
      </c>
      <c r="F18" t="s">
        <v>350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350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350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350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679</v>
      </c>
      <c r="R21">
        <v>109375</v>
      </c>
      <c r="S21" t="s">
        <v>678</v>
      </c>
    </row>
    <row r="22" spans="1:19" x14ac:dyDescent="0.3">
      <c r="A22">
        <v>20803</v>
      </c>
      <c r="B22">
        <v>6</v>
      </c>
      <c r="F22" t="s">
        <v>350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828</v>
      </c>
      <c r="R22">
        <v>108809</v>
      </c>
      <c r="S22" t="s">
        <v>389</v>
      </c>
    </row>
    <row r="23" spans="1:19" x14ac:dyDescent="0.3">
      <c r="A23">
        <v>20803</v>
      </c>
      <c r="B23">
        <v>6</v>
      </c>
      <c r="F23" t="s">
        <v>350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350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665</v>
      </c>
      <c r="R24">
        <v>111244</v>
      </c>
      <c r="S24" t="s">
        <v>391</v>
      </c>
    </row>
    <row r="25" spans="1:19" x14ac:dyDescent="0.3">
      <c r="A25">
        <v>20803</v>
      </c>
      <c r="B25">
        <v>5</v>
      </c>
      <c r="F25" t="s">
        <v>350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724</v>
      </c>
      <c r="R25">
        <v>114706</v>
      </c>
      <c r="S25" t="s">
        <v>722</v>
      </c>
    </row>
    <row r="26" spans="1:19" x14ac:dyDescent="0.3">
      <c r="A26">
        <v>20803</v>
      </c>
      <c r="B26">
        <v>5</v>
      </c>
      <c r="F26" t="s">
        <v>350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350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350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350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388</v>
      </c>
      <c r="R29">
        <v>108809</v>
      </c>
      <c r="S29" t="s">
        <v>389</v>
      </c>
    </row>
    <row r="30" spans="1:19" x14ac:dyDescent="0.3">
      <c r="A30">
        <v>20803</v>
      </c>
      <c r="B30">
        <v>5</v>
      </c>
      <c r="F30" t="s">
        <v>350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350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679</v>
      </c>
      <c r="R31">
        <v>109375</v>
      </c>
      <c r="S31" t="s">
        <v>678</v>
      </c>
    </row>
    <row r="32" spans="1:19" x14ac:dyDescent="0.3">
      <c r="A32">
        <v>20803</v>
      </c>
      <c r="B32">
        <v>5</v>
      </c>
      <c r="F32" t="s">
        <v>350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350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350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350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687</v>
      </c>
      <c r="R35">
        <v>105935</v>
      </c>
      <c r="S35" t="s">
        <v>385</v>
      </c>
    </row>
    <row r="36" spans="1:19" x14ac:dyDescent="0.3">
      <c r="A36">
        <v>20803</v>
      </c>
      <c r="B36">
        <v>5</v>
      </c>
      <c r="F36" t="s">
        <v>350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350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350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632</v>
      </c>
      <c r="R38">
        <v>108526</v>
      </c>
      <c r="S38" t="s">
        <v>390</v>
      </c>
    </row>
    <row r="39" spans="1:19" x14ac:dyDescent="0.3">
      <c r="A39">
        <v>20803</v>
      </c>
      <c r="B39">
        <v>5</v>
      </c>
      <c r="F39" t="s">
        <v>350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628</v>
      </c>
      <c r="R39">
        <v>105619</v>
      </c>
      <c r="S39" t="s">
        <v>387</v>
      </c>
    </row>
    <row r="40" spans="1:19" x14ac:dyDescent="0.3">
      <c r="A40">
        <v>20803</v>
      </c>
      <c r="B40">
        <v>5</v>
      </c>
      <c r="F40" t="s">
        <v>350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723</v>
      </c>
      <c r="R40">
        <v>114706</v>
      </c>
      <c r="S40" t="s">
        <v>722</v>
      </c>
    </row>
    <row r="41" spans="1:19" x14ac:dyDescent="0.3">
      <c r="A41">
        <v>20803</v>
      </c>
      <c r="B41">
        <v>5</v>
      </c>
      <c r="F41" t="s">
        <v>350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721</v>
      </c>
      <c r="R41">
        <v>104499</v>
      </c>
      <c r="S41" t="s">
        <v>393</v>
      </c>
    </row>
    <row r="42" spans="1:19" x14ac:dyDescent="0.3">
      <c r="A42">
        <v>20803</v>
      </c>
      <c r="B42">
        <v>5</v>
      </c>
      <c r="F42" t="s">
        <v>350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635</v>
      </c>
      <c r="R42">
        <v>105738</v>
      </c>
      <c r="S42" t="s">
        <v>634</v>
      </c>
    </row>
    <row r="43" spans="1:19" x14ac:dyDescent="0.3">
      <c r="A43">
        <v>20803</v>
      </c>
      <c r="B43">
        <v>5</v>
      </c>
      <c r="F43" t="s">
        <v>350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646</v>
      </c>
      <c r="R43">
        <v>108623</v>
      </c>
      <c r="S43" t="s">
        <v>394</v>
      </c>
    </row>
    <row r="44" spans="1:19" x14ac:dyDescent="0.3">
      <c r="A44">
        <v>20803</v>
      </c>
      <c r="B44">
        <v>5</v>
      </c>
      <c r="F44" t="s">
        <v>350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350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644</v>
      </c>
      <c r="R45">
        <v>105519</v>
      </c>
      <c r="S45" t="s">
        <v>386</v>
      </c>
    </row>
    <row r="46" spans="1:19" x14ac:dyDescent="0.3">
      <c r="A46">
        <v>20803</v>
      </c>
      <c r="B46">
        <v>4</v>
      </c>
      <c r="F46" t="s">
        <v>350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576</v>
      </c>
      <c r="R46">
        <v>108623</v>
      </c>
      <c r="S46" t="s">
        <v>394</v>
      </c>
    </row>
    <row r="47" spans="1:19" x14ac:dyDescent="0.3">
      <c r="A47">
        <v>20803</v>
      </c>
      <c r="B47">
        <v>4</v>
      </c>
      <c r="F47" t="s">
        <v>350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466</v>
      </c>
      <c r="R47">
        <v>108599</v>
      </c>
      <c r="S47" t="s">
        <v>585</v>
      </c>
    </row>
    <row r="48" spans="1:19" x14ac:dyDescent="0.3">
      <c r="A48">
        <v>20803</v>
      </c>
      <c r="B48">
        <v>4</v>
      </c>
      <c r="F48" t="s">
        <v>350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574</v>
      </c>
      <c r="R48">
        <v>114720</v>
      </c>
      <c r="S48" t="s">
        <v>575</v>
      </c>
    </row>
    <row r="49" spans="1:19" x14ac:dyDescent="0.3">
      <c r="A49">
        <v>20803</v>
      </c>
      <c r="B49">
        <v>4</v>
      </c>
      <c r="F49" t="s">
        <v>350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350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572</v>
      </c>
      <c r="R50">
        <v>103552</v>
      </c>
      <c r="S50" t="s">
        <v>573</v>
      </c>
    </row>
    <row r="51" spans="1:19" x14ac:dyDescent="0.3">
      <c r="A51">
        <v>20803</v>
      </c>
      <c r="B51">
        <v>4</v>
      </c>
      <c r="F51" t="s">
        <v>350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580</v>
      </c>
      <c r="R51">
        <v>105935</v>
      </c>
      <c r="S51" t="s">
        <v>385</v>
      </c>
    </row>
    <row r="52" spans="1:19" x14ac:dyDescent="0.3">
      <c r="A52">
        <v>20803</v>
      </c>
      <c r="B52">
        <v>4</v>
      </c>
      <c r="F52" t="s">
        <v>350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350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350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809</v>
      </c>
      <c r="R54">
        <v>108636</v>
      </c>
      <c r="S54" t="s">
        <v>579</v>
      </c>
    </row>
    <row r="55" spans="1:19" x14ac:dyDescent="0.3">
      <c r="A55">
        <v>20803</v>
      </c>
      <c r="B55">
        <v>4</v>
      </c>
      <c r="F55" t="s">
        <v>350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810</v>
      </c>
      <c r="R55">
        <v>105579</v>
      </c>
      <c r="S55" t="s">
        <v>570</v>
      </c>
    </row>
    <row r="56" spans="1:19" x14ac:dyDescent="0.3">
      <c r="A56">
        <v>20803</v>
      </c>
      <c r="B56">
        <v>4</v>
      </c>
      <c r="F56" t="s">
        <v>350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577</v>
      </c>
      <c r="R56">
        <v>103552</v>
      </c>
      <c r="S56" t="s">
        <v>573</v>
      </c>
    </row>
    <row r="57" spans="1:19" x14ac:dyDescent="0.3">
      <c r="A57">
        <v>20803</v>
      </c>
      <c r="B57">
        <v>4</v>
      </c>
      <c r="F57" t="s">
        <v>350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350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811</v>
      </c>
      <c r="R58">
        <v>106587</v>
      </c>
      <c r="S58" t="s">
        <v>584</v>
      </c>
    </row>
    <row r="59" spans="1:19" x14ac:dyDescent="0.3">
      <c r="A59">
        <v>20803</v>
      </c>
      <c r="B59">
        <v>4</v>
      </c>
      <c r="F59" t="s">
        <v>350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812</v>
      </c>
      <c r="R59">
        <v>110762</v>
      </c>
      <c r="S59" t="s">
        <v>639</v>
      </c>
    </row>
    <row r="60" spans="1:19" x14ac:dyDescent="0.3">
      <c r="A60">
        <v>20803</v>
      </c>
      <c r="B60">
        <v>4</v>
      </c>
      <c r="F60" t="s">
        <v>350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581</v>
      </c>
      <c r="R60">
        <v>104705</v>
      </c>
      <c r="S60" t="s">
        <v>582</v>
      </c>
    </row>
    <row r="61" spans="1:19" x14ac:dyDescent="0.3">
      <c r="A61">
        <v>20803</v>
      </c>
      <c r="B61">
        <v>4</v>
      </c>
      <c r="F61" t="s">
        <v>350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571</v>
      </c>
      <c r="R61">
        <v>105519</v>
      </c>
      <c r="S61" t="s">
        <v>386</v>
      </c>
    </row>
    <row r="62" spans="1:19" x14ac:dyDescent="0.3">
      <c r="A62">
        <v>20803</v>
      </c>
      <c r="B62">
        <v>3</v>
      </c>
      <c r="F62" t="s">
        <v>350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350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646</v>
      </c>
      <c r="R63">
        <v>108623</v>
      </c>
      <c r="S63" t="s">
        <v>394</v>
      </c>
    </row>
    <row r="64" spans="1:19" x14ac:dyDescent="0.3">
      <c r="A64">
        <v>20803</v>
      </c>
      <c r="B64">
        <v>3</v>
      </c>
      <c r="F64" t="s">
        <v>350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574</v>
      </c>
      <c r="R64">
        <v>114720</v>
      </c>
      <c r="S64" t="s">
        <v>575</v>
      </c>
    </row>
    <row r="65" spans="1:19" x14ac:dyDescent="0.3">
      <c r="A65">
        <v>20803</v>
      </c>
      <c r="B65">
        <v>3</v>
      </c>
      <c r="F65" t="s">
        <v>350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569</v>
      </c>
      <c r="R65">
        <v>105579</v>
      </c>
      <c r="S65" t="s">
        <v>570</v>
      </c>
    </row>
    <row r="66" spans="1:19" x14ac:dyDescent="0.3">
      <c r="A66">
        <v>20803</v>
      </c>
      <c r="B66">
        <v>3</v>
      </c>
      <c r="F66" t="s">
        <v>350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578</v>
      </c>
      <c r="R66">
        <v>108636</v>
      </c>
      <c r="S66" t="s">
        <v>579</v>
      </c>
    </row>
    <row r="67" spans="1:19" x14ac:dyDescent="0.3">
      <c r="A67">
        <v>20803</v>
      </c>
      <c r="B67">
        <v>3</v>
      </c>
      <c r="F67" t="s">
        <v>350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572</v>
      </c>
      <c r="R67">
        <v>103552</v>
      </c>
      <c r="S67" t="s">
        <v>573</v>
      </c>
    </row>
    <row r="68" spans="1:19" x14ac:dyDescent="0.3">
      <c r="A68">
        <v>20803</v>
      </c>
      <c r="B68">
        <v>3</v>
      </c>
      <c r="F68" t="s">
        <v>350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687</v>
      </c>
      <c r="R68">
        <v>105935</v>
      </c>
      <c r="S68" t="s">
        <v>385</v>
      </c>
    </row>
    <row r="69" spans="1:19" x14ac:dyDescent="0.3">
      <c r="A69">
        <v>20803</v>
      </c>
      <c r="B69">
        <v>3</v>
      </c>
      <c r="F69" t="s">
        <v>350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586</v>
      </c>
      <c r="R69">
        <v>105750</v>
      </c>
      <c r="S69" t="s">
        <v>587</v>
      </c>
    </row>
    <row r="70" spans="1:19" x14ac:dyDescent="0.3">
      <c r="A70">
        <v>20803</v>
      </c>
      <c r="B70">
        <v>3</v>
      </c>
      <c r="F70" t="s">
        <v>350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350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350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583</v>
      </c>
      <c r="R72">
        <v>106587</v>
      </c>
      <c r="S72" t="s">
        <v>584</v>
      </c>
    </row>
    <row r="73" spans="1:19" x14ac:dyDescent="0.3">
      <c r="A73">
        <v>20803</v>
      </c>
      <c r="B73">
        <v>3</v>
      </c>
      <c r="F73" t="s">
        <v>350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581</v>
      </c>
      <c r="R73">
        <v>104705</v>
      </c>
      <c r="S73" t="s">
        <v>582</v>
      </c>
    </row>
    <row r="74" spans="1:19" x14ac:dyDescent="0.3">
      <c r="A74">
        <v>20803</v>
      </c>
      <c r="B74">
        <v>3</v>
      </c>
      <c r="F74" t="s">
        <v>350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350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577</v>
      </c>
      <c r="R75">
        <v>103552</v>
      </c>
      <c r="S75" t="s">
        <v>573</v>
      </c>
    </row>
    <row r="76" spans="1:19" x14ac:dyDescent="0.3">
      <c r="A76">
        <v>20803</v>
      </c>
      <c r="B76">
        <v>3</v>
      </c>
      <c r="F76" t="s">
        <v>350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644</v>
      </c>
      <c r="R76">
        <v>105519</v>
      </c>
      <c r="S76" t="s">
        <v>386</v>
      </c>
    </row>
    <row r="77" spans="1:19" x14ac:dyDescent="0.3">
      <c r="A77">
        <v>20803</v>
      </c>
      <c r="B77">
        <v>3</v>
      </c>
      <c r="F77" t="s">
        <v>350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469</v>
      </c>
      <c r="R77">
        <v>108599</v>
      </c>
      <c r="S77" t="s">
        <v>585</v>
      </c>
    </row>
    <row r="78" spans="1:19" x14ac:dyDescent="0.3">
      <c r="A78">
        <v>20803</v>
      </c>
      <c r="B78">
        <v>2</v>
      </c>
      <c r="F78" t="s">
        <v>350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569</v>
      </c>
      <c r="R78">
        <v>105579</v>
      </c>
      <c r="S78" t="s">
        <v>570</v>
      </c>
    </row>
    <row r="79" spans="1:19" x14ac:dyDescent="0.3">
      <c r="A79">
        <v>20803</v>
      </c>
      <c r="B79">
        <v>2</v>
      </c>
      <c r="F79" t="s">
        <v>350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571</v>
      </c>
      <c r="R79">
        <v>105519</v>
      </c>
      <c r="S79" t="s">
        <v>386</v>
      </c>
    </row>
    <row r="80" spans="1:19" x14ac:dyDescent="0.3">
      <c r="A80">
        <v>20803</v>
      </c>
      <c r="B80">
        <v>2</v>
      </c>
      <c r="F80" t="s">
        <v>350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572</v>
      </c>
      <c r="R80">
        <v>103552</v>
      </c>
      <c r="S80" t="s">
        <v>573</v>
      </c>
    </row>
    <row r="81" spans="1:19" x14ac:dyDescent="0.3">
      <c r="A81">
        <v>20803</v>
      </c>
      <c r="B81">
        <v>2</v>
      </c>
      <c r="F81" t="s">
        <v>350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574</v>
      </c>
      <c r="R81">
        <v>114720</v>
      </c>
      <c r="S81" t="s">
        <v>575</v>
      </c>
    </row>
    <row r="82" spans="1:19" x14ac:dyDescent="0.3">
      <c r="A82">
        <v>20803</v>
      </c>
      <c r="B82">
        <v>2</v>
      </c>
      <c r="F82" t="s">
        <v>350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350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576</v>
      </c>
      <c r="R83">
        <v>108623</v>
      </c>
      <c r="S83" t="s">
        <v>394</v>
      </c>
    </row>
    <row r="84" spans="1:19" x14ac:dyDescent="0.3">
      <c r="A84">
        <v>20803</v>
      </c>
      <c r="B84">
        <v>2</v>
      </c>
      <c r="F84" t="s">
        <v>350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350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577</v>
      </c>
      <c r="R85">
        <v>103552</v>
      </c>
      <c r="S85" t="s">
        <v>573</v>
      </c>
    </row>
    <row r="86" spans="1:19" x14ac:dyDescent="0.3">
      <c r="A86">
        <v>20803</v>
      </c>
      <c r="B86">
        <v>2</v>
      </c>
      <c r="F86" t="s">
        <v>350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578</v>
      </c>
      <c r="R86">
        <v>108636</v>
      </c>
      <c r="S86" t="s">
        <v>579</v>
      </c>
    </row>
    <row r="87" spans="1:19" x14ac:dyDescent="0.3">
      <c r="A87">
        <v>20803</v>
      </c>
      <c r="B87">
        <v>2</v>
      </c>
      <c r="F87" t="s">
        <v>350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580</v>
      </c>
      <c r="R87">
        <v>105935</v>
      </c>
      <c r="S87" t="s">
        <v>385</v>
      </c>
    </row>
    <row r="88" spans="1:19" x14ac:dyDescent="0.3">
      <c r="A88">
        <v>20803</v>
      </c>
      <c r="B88">
        <v>2</v>
      </c>
      <c r="F88" t="s">
        <v>350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581</v>
      </c>
      <c r="R88">
        <v>104705</v>
      </c>
      <c r="S88" t="s">
        <v>582</v>
      </c>
    </row>
    <row r="89" spans="1:19" x14ac:dyDescent="0.3">
      <c r="A89">
        <v>20803</v>
      </c>
      <c r="B89">
        <v>2</v>
      </c>
      <c r="F89" t="s">
        <v>350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583</v>
      </c>
      <c r="R89">
        <v>106587</v>
      </c>
      <c r="S89" t="s">
        <v>584</v>
      </c>
    </row>
    <row r="90" spans="1:19" x14ac:dyDescent="0.3">
      <c r="A90">
        <v>20803</v>
      </c>
      <c r="B90">
        <v>2</v>
      </c>
      <c r="F90" t="s">
        <v>350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468</v>
      </c>
      <c r="R90">
        <v>108599</v>
      </c>
      <c r="S90" t="s">
        <v>585</v>
      </c>
    </row>
    <row r="91" spans="1:19" x14ac:dyDescent="0.3">
      <c r="A91">
        <v>20803</v>
      </c>
      <c r="B91">
        <v>2</v>
      </c>
      <c r="F91" t="s">
        <v>350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350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586</v>
      </c>
      <c r="R92">
        <v>105750</v>
      </c>
      <c r="S92" t="s">
        <v>587</v>
      </c>
    </row>
    <row r="93" spans="1:19" x14ac:dyDescent="0.3">
      <c r="A93">
        <v>20803</v>
      </c>
      <c r="B93">
        <v>2</v>
      </c>
      <c r="F93" t="s">
        <v>350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588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580</v>
      </c>
      <c r="R94">
        <v>105935</v>
      </c>
      <c r="S94" t="s">
        <v>385</v>
      </c>
    </row>
    <row r="95" spans="1:19" x14ac:dyDescent="0.3">
      <c r="A95">
        <v>20803</v>
      </c>
      <c r="B95">
        <v>1</v>
      </c>
      <c r="F95" t="s">
        <v>588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588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589</v>
      </c>
      <c r="R96">
        <v>110763</v>
      </c>
      <c r="S96" t="s">
        <v>396</v>
      </c>
    </row>
    <row r="97" spans="1:19" x14ac:dyDescent="0.3">
      <c r="A97">
        <v>20803</v>
      </c>
      <c r="B97">
        <v>1</v>
      </c>
      <c r="F97" t="s">
        <v>588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590</v>
      </c>
      <c r="R97">
        <v>105050</v>
      </c>
      <c r="S97" t="s">
        <v>591</v>
      </c>
    </row>
    <row r="98" spans="1:19" x14ac:dyDescent="0.3">
      <c r="A98">
        <v>20803</v>
      </c>
      <c r="B98">
        <v>1</v>
      </c>
      <c r="F98" t="s">
        <v>588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576</v>
      </c>
      <c r="R98">
        <v>108623</v>
      </c>
      <c r="S98" t="s">
        <v>394</v>
      </c>
    </row>
    <row r="99" spans="1:19" x14ac:dyDescent="0.3">
      <c r="A99">
        <v>20803</v>
      </c>
      <c r="B99">
        <v>1</v>
      </c>
      <c r="F99" t="s">
        <v>588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592</v>
      </c>
      <c r="R99">
        <v>104705</v>
      </c>
      <c r="S99" t="s">
        <v>582</v>
      </c>
    </row>
    <row r="100" spans="1:19" x14ac:dyDescent="0.3">
      <c r="A100">
        <v>20803</v>
      </c>
      <c r="B100">
        <v>1</v>
      </c>
      <c r="F100" t="s">
        <v>588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593</v>
      </c>
      <c r="R100">
        <v>103586</v>
      </c>
      <c r="S100" t="s">
        <v>398</v>
      </c>
    </row>
    <row r="101" spans="1:19" x14ac:dyDescent="0.3">
      <c r="A101">
        <v>20803</v>
      </c>
      <c r="B101">
        <v>1</v>
      </c>
      <c r="F101" t="s">
        <v>588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594</v>
      </c>
      <c r="R101">
        <v>103586</v>
      </c>
      <c r="S101" t="s">
        <v>398</v>
      </c>
    </row>
    <row r="102" spans="1:19" x14ac:dyDescent="0.3">
      <c r="A102">
        <v>20803</v>
      </c>
      <c r="B102">
        <v>1</v>
      </c>
      <c r="F102" t="s">
        <v>588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588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588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588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571</v>
      </c>
      <c r="R105">
        <v>105519</v>
      </c>
      <c r="S105" t="s">
        <v>386</v>
      </c>
    </row>
    <row r="106" spans="1:19" x14ac:dyDescent="0.3">
      <c r="A106">
        <v>20803</v>
      </c>
      <c r="B106">
        <v>1</v>
      </c>
      <c r="F106" t="s">
        <v>588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588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595</v>
      </c>
      <c r="R107">
        <v>103619</v>
      </c>
      <c r="S107" t="s">
        <v>596</v>
      </c>
    </row>
    <row r="108" spans="1:19" x14ac:dyDescent="0.3">
      <c r="A108">
        <v>20803</v>
      </c>
      <c r="B108">
        <v>1</v>
      </c>
      <c r="F108" t="s">
        <v>588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597</v>
      </c>
      <c r="R108">
        <v>106214</v>
      </c>
      <c r="S108" t="s">
        <v>395</v>
      </c>
    </row>
    <row r="109" spans="1:19" x14ac:dyDescent="0.3">
      <c r="A109">
        <v>20803</v>
      </c>
      <c r="B109">
        <v>1</v>
      </c>
      <c r="F109" t="s">
        <v>588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598</v>
      </c>
      <c r="R109">
        <v>107030</v>
      </c>
      <c r="S109" t="s">
        <v>599</v>
      </c>
    </row>
    <row r="110" spans="1:19" x14ac:dyDescent="0.3">
      <c r="A110">
        <v>20803</v>
      </c>
      <c r="B110">
        <v>1</v>
      </c>
      <c r="F110" t="s">
        <v>588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600</v>
      </c>
      <c r="R110">
        <v>108513</v>
      </c>
      <c r="S110" t="s">
        <v>397</v>
      </c>
    </row>
    <row r="111" spans="1:19" x14ac:dyDescent="0.3">
      <c r="A111">
        <v>20803</v>
      </c>
      <c r="B111">
        <v>1</v>
      </c>
      <c r="F111" t="s">
        <v>588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601</v>
      </c>
      <c r="R111">
        <v>110251</v>
      </c>
      <c r="S111" t="s">
        <v>602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B7C74-960D-450A-BC41-6ABB67183FD7}">
  <sheetPr codeName="Sheet14"/>
  <dimension ref="A1:CS2"/>
  <sheetViews>
    <sheetView workbookViewId="0"/>
  </sheetViews>
  <sheetFormatPr defaultRowHeight="14.4" x14ac:dyDescent="0.3"/>
  <sheetData>
    <row r="1" spans="1:97" x14ac:dyDescent="0.3">
      <c r="A1" t="s">
        <v>268</v>
      </c>
      <c r="B1" t="s">
        <v>269</v>
      </c>
      <c r="C1" t="s">
        <v>270</v>
      </c>
      <c r="D1" t="s">
        <v>0</v>
      </c>
      <c r="E1" t="s">
        <v>271</v>
      </c>
      <c r="F1" t="s">
        <v>272</v>
      </c>
      <c r="G1" t="s">
        <v>273</v>
      </c>
      <c r="H1" t="s">
        <v>274</v>
      </c>
      <c r="I1" t="s">
        <v>275</v>
      </c>
      <c r="J1" t="s">
        <v>276</v>
      </c>
      <c r="K1" t="s">
        <v>277</v>
      </c>
      <c r="L1" t="s">
        <v>278</v>
      </c>
      <c r="M1" t="s">
        <v>279</v>
      </c>
      <c r="N1" t="s">
        <v>280</v>
      </c>
      <c r="O1" t="s">
        <v>281</v>
      </c>
      <c r="P1" t="s">
        <v>3</v>
      </c>
      <c r="Q1" t="s">
        <v>282</v>
      </c>
      <c r="R1" t="s">
        <v>283</v>
      </c>
      <c r="S1" t="s">
        <v>284</v>
      </c>
      <c r="T1" t="s">
        <v>285</v>
      </c>
      <c r="U1" t="s">
        <v>286</v>
      </c>
      <c r="V1" t="s">
        <v>287</v>
      </c>
      <c r="W1" t="s">
        <v>288</v>
      </c>
      <c r="X1" t="s">
        <v>289</v>
      </c>
      <c r="Y1" t="s">
        <v>290</v>
      </c>
      <c r="Z1" t="s">
        <v>291</v>
      </c>
      <c r="AA1" t="s">
        <v>292</v>
      </c>
      <c r="AB1" t="s">
        <v>293</v>
      </c>
      <c r="AC1" t="s">
        <v>882</v>
      </c>
      <c r="AD1" t="s">
        <v>294</v>
      </c>
      <c r="AE1" t="s">
        <v>295</v>
      </c>
      <c r="AF1" t="s">
        <v>296</v>
      </c>
      <c r="AG1" t="s">
        <v>297</v>
      </c>
      <c r="AH1" t="s">
        <v>298</v>
      </c>
      <c r="AI1" t="s">
        <v>299</v>
      </c>
      <c r="AJ1" t="s">
        <v>300</v>
      </c>
      <c r="AK1" t="s">
        <v>815</v>
      </c>
      <c r="AL1" t="s">
        <v>816</v>
      </c>
      <c r="AM1" t="s">
        <v>301</v>
      </c>
      <c r="AN1" t="s">
        <v>302</v>
      </c>
      <c r="AO1" t="s">
        <v>303</v>
      </c>
      <c r="AP1" t="s">
        <v>304</v>
      </c>
      <c r="AQ1" t="s">
        <v>305</v>
      </c>
      <c r="AR1" t="s">
        <v>306</v>
      </c>
      <c r="AS1" t="s">
        <v>307</v>
      </c>
      <c r="AT1" t="s">
        <v>308</v>
      </c>
      <c r="AU1" t="s">
        <v>309</v>
      </c>
      <c r="AV1" t="s">
        <v>310</v>
      </c>
      <c r="AW1" t="s">
        <v>311</v>
      </c>
      <c r="AX1" t="s">
        <v>312</v>
      </c>
      <c r="AY1" t="s">
        <v>313</v>
      </c>
      <c r="AZ1" t="s">
        <v>553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554</v>
      </c>
      <c r="BK1" t="s">
        <v>555</v>
      </c>
      <c r="BL1" t="s">
        <v>1</v>
      </c>
      <c r="BM1" t="s">
        <v>233</v>
      </c>
      <c r="BN1" t="s">
        <v>323</v>
      </c>
      <c r="BO1" t="s">
        <v>324</v>
      </c>
      <c r="BP1" t="s">
        <v>325</v>
      </c>
      <c r="BQ1" t="s">
        <v>5</v>
      </c>
      <c r="BR1" t="s">
        <v>326</v>
      </c>
      <c r="BS1" t="s">
        <v>327</v>
      </c>
      <c r="BT1" t="s">
        <v>328</v>
      </c>
      <c r="BU1" t="s">
        <v>329</v>
      </c>
      <c r="BV1" t="s">
        <v>330</v>
      </c>
      <c r="BW1" t="s">
        <v>331</v>
      </c>
      <c r="BX1" t="s">
        <v>332</v>
      </c>
      <c r="BY1" t="s">
        <v>333</v>
      </c>
      <c r="BZ1" t="s">
        <v>334</v>
      </c>
      <c r="CA1" t="s">
        <v>556</v>
      </c>
      <c r="CB1" t="s">
        <v>557</v>
      </c>
      <c r="CC1" t="s">
        <v>335</v>
      </c>
      <c r="CD1" t="s">
        <v>336</v>
      </c>
      <c r="CE1" t="s">
        <v>337</v>
      </c>
      <c r="CF1" t="s">
        <v>338</v>
      </c>
      <c r="CG1" t="s">
        <v>339</v>
      </c>
      <c r="CH1" t="s">
        <v>340</v>
      </c>
      <c r="CI1" t="s">
        <v>341</v>
      </c>
      <c r="CJ1" t="s">
        <v>181</v>
      </c>
      <c r="CK1" t="s">
        <v>342</v>
      </c>
      <c r="CL1" t="s">
        <v>2</v>
      </c>
      <c r="CM1" t="s">
        <v>343</v>
      </c>
      <c r="CN1" t="s">
        <v>558</v>
      </c>
      <c r="CO1" t="s">
        <v>559</v>
      </c>
      <c r="CP1" t="s">
        <v>560</v>
      </c>
      <c r="CQ1" t="s">
        <v>344</v>
      </c>
      <c r="CR1" t="s">
        <v>561</v>
      </c>
      <c r="CS1" t="s">
        <v>552</v>
      </c>
    </row>
    <row r="2" spans="1:97" x14ac:dyDescent="0.3">
      <c r="A2" s="601" t="s">
        <v>910</v>
      </c>
      <c r="B2" s="601" t="s">
        <v>909</v>
      </c>
      <c r="C2" s="601" t="s">
        <v>910</v>
      </c>
      <c r="D2" s="601" t="s">
        <v>912</v>
      </c>
      <c r="E2" s="601" t="s">
        <v>345</v>
      </c>
      <c r="I2" s="601" t="s">
        <v>925</v>
      </c>
      <c r="S2" s="601" t="s">
        <v>908</v>
      </c>
      <c r="T2" t="s">
        <v>346</v>
      </c>
      <c r="U2" s="601" t="s">
        <v>920</v>
      </c>
      <c r="V2">
        <v>0</v>
      </c>
      <c r="W2" s="601" t="s">
        <v>917</v>
      </c>
      <c r="X2" s="601" t="s">
        <v>911</v>
      </c>
      <c r="Y2" s="601" t="s">
        <v>915</v>
      </c>
      <c r="Z2" s="601" t="s">
        <v>897</v>
      </c>
      <c r="AA2">
        <v>0</v>
      </c>
      <c r="AB2" t="s">
        <v>347</v>
      </c>
      <c r="AC2" t="s">
        <v>883</v>
      </c>
      <c r="AD2" s="601" t="s">
        <v>924</v>
      </c>
      <c r="AE2" s="601" t="s">
        <v>896</v>
      </c>
      <c r="AF2">
        <v>1628</v>
      </c>
      <c r="AG2">
        <v>74.75</v>
      </c>
      <c r="AH2" s="601" t="s">
        <v>919</v>
      </c>
      <c r="AI2" t="s">
        <v>348</v>
      </c>
      <c r="AJ2" t="s">
        <v>346</v>
      </c>
      <c r="AK2" s="601" t="s">
        <v>898</v>
      </c>
      <c r="AL2" s="601" t="s">
        <v>901</v>
      </c>
      <c r="AM2">
        <v>767.11</v>
      </c>
      <c r="AN2" t="s">
        <v>349</v>
      </c>
      <c r="AO2" s="601" t="s">
        <v>907</v>
      </c>
      <c r="AP2" s="601" t="s">
        <v>918</v>
      </c>
      <c r="AQ2" t="s">
        <v>349</v>
      </c>
      <c r="AR2" s="601" t="s">
        <v>894</v>
      </c>
      <c r="AS2" s="601" t="s">
        <v>905</v>
      </c>
      <c r="AT2">
        <v>16.05</v>
      </c>
      <c r="AU2">
        <v>202607160000</v>
      </c>
      <c r="AV2" t="s">
        <v>562</v>
      </c>
      <c r="AW2">
        <v>6</v>
      </c>
      <c r="AX2" t="s">
        <v>349</v>
      </c>
      <c r="AY2" t="s">
        <v>563</v>
      </c>
      <c r="AZ2" t="s">
        <v>461</v>
      </c>
      <c r="BA2" s="601" t="s">
        <v>906</v>
      </c>
      <c r="BB2" s="601" t="s">
        <v>922</v>
      </c>
      <c r="BC2">
        <v>131</v>
      </c>
      <c r="BD2" t="s">
        <v>350</v>
      </c>
      <c r="BE2" t="b">
        <v>1</v>
      </c>
      <c r="BF2" s="601" t="s">
        <v>564</v>
      </c>
      <c r="BG2" s="601" t="s">
        <v>913</v>
      </c>
      <c r="BH2" t="s">
        <v>351</v>
      </c>
      <c r="BI2" t="s">
        <v>346</v>
      </c>
      <c r="BJ2" s="601" t="s">
        <v>900</v>
      </c>
      <c r="BK2" s="601" t="s">
        <v>895</v>
      </c>
      <c r="BL2" s="601" t="s">
        <v>459</v>
      </c>
      <c r="BM2" t="s">
        <v>565</v>
      </c>
      <c r="BN2" t="s">
        <v>346</v>
      </c>
      <c r="BO2" t="s">
        <v>346</v>
      </c>
      <c r="BP2" t="s">
        <v>352</v>
      </c>
      <c r="BQ2">
        <v>5.14</v>
      </c>
      <c r="BR2" s="601" t="s">
        <v>904</v>
      </c>
      <c r="BS2" s="601" t="s">
        <v>899</v>
      </c>
      <c r="BT2">
        <v>376</v>
      </c>
      <c r="BU2" s="601" t="s">
        <v>916</v>
      </c>
      <c r="BV2" t="s">
        <v>566</v>
      </c>
      <c r="BW2">
        <v>202607220000</v>
      </c>
      <c r="BX2" s="601" t="s">
        <v>902</v>
      </c>
      <c r="BY2" t="s">
        <v>346</v>
      </c>
      <c r="BZ2">
        <v>1.0015499999999999</v>
      </c>
      <c r="CA2" t="s">
        <v>567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349</v>
      </c>
      <c r="CH2">
        <v>16.05</v>
      </c>
      <c r="CI2">
        <v>772.25</v>
      </c>
      <c r="CJ2">
        <v>0</v>
      </c>
      <c r="CK2" s="601" t="s">
        <v>914</v>
      </c>
      <c r="CL2">
        <v>2.5</v>
      </c>
      <c r="CM2" s="601" t="s">
        <v>921</v>
      </c>
      <c r="CN2" s="601" t="s">
        <v>903</v>
      </c>
      <c r="CO2" s="601" t="s">
        <v>923</v>
      </c>
      <c r="CP2">
        <v>305</v>
      </c>
      <c r="CQ2" s="601" t="s">
        <v>353</v>
      </c>
      <c r="CR2" s="601" t="s">
        <v>568</v>
      </c>
      <c r="CS2" s="601" t="s">
        <v>926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9BCB9-5103-40C4-A09C-6A00E6D3D4A0}">
  <sheetPr codeName="Sheet15"/>
  <dimension ref="A1:J4"/>
  <sheetViews>
    <sheetView workbookViewId="0"/>
  </sheetViews>
  <sheetFormatPr defaultRowHeight="14.4" x14ac:dyDescent="0.3"/>
  <sheetData>
    <row r="1" spans="1:10" x14ac:dyDescent="0.3">
      <c r="A1" t="s">
        <v>268</v>
      </c>
      <c r="B1" t="s">
        <v>156</v>
      </c>
      <c r="C1" t="s">
        <v>354</v>
      </c>
      <c r="D1" t="s">
        <v>4</v>
      </c>
      <c r="E1" t="s">
        <v>355</v>
      </c>
      <c r="F1" t="s">
        <v>356</v>
      </c>
      <c r="G1" t="s">
        <v>357</v>
      </c>
      <c r="H1" t="s">
        <v>281</v>
      </c>
      <c r="I1" t="s">
        <v>3</v>
      </c>
      <c r="J1" t="s">
        <v>358</v>
      </c>
    </row>
    <row r="2" spans="1:10" x14ac:dyDescent="0.3">
      <c r="A2" s="601" t="s">
        <v>910</v>
      </c>
      <c r="B2" s="601" t="s">
        <v>927</v>
      </c>
      <c r="D2" s="601" t="s">
        <v>928</v>
      </c>
      <c r="E2" s="601" t="s">
        <v>929</v>
      </c>
      <c r="F2" s="601" t="s">
        <v>629</v>
      </c>
      <c r="J2" s="601" t="s">
        <v>406</v>
      </c>
    </row>
    <row r="3" spans="1:10" x14ac:dyDescent="0.3">
      <c r="A3" s="601" t="s">
        <v>910</v>
      </c>
      <c r="B3" s="601" t="s">
        <v>930</v>
      </c>
      <c r="D3" s="601" t="s">
        <v>931</v>
      </c>
      <c r="E3" s="601" t="s">
        <v>932</v>
      </c>
      <c r="F3" s="601" t="s">
        <v>643</v>
      </c>
      <c r="J3" s="601" t="s">
        <v>407</v>
      </c>
    </row>
    <row r="4" spans="1:10" x14ac:dyDescent="0.3">
      <c r="A4" s="601" t="s">
        <v>910</v>
      </c>
      <c r="B4" s="601" t="s">
        <v>933</v>
      </c>
      <c r="D4" s="601" t="s">
        <v>934</v>
      </c>
      <c r="E4" s="601" t="s">
        <v>935</v>
      </c>
      <c r="F4" s="601" t="s">
        <v>629</v>
      </c>
      <c r="J4" s="601" t="s">
        <v>409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5AC25-6D8B-4DD1-BF14-0705D204448A}">
  <sheetPr codeName="Sheet16"/>
  <dimension ref="A1:AF111"/>
  <sheetViews>
    <sheetView workbookViewId="0"/>
  </sheetViews>
  <sheetFormatPr defaultRowHeight="14.4" x14ac:dyDescent="0.3"/>
  <sheetData>
    <row r="1" spans="1:32" x14ac:dyDescent="0.3">
      <c r="A1" t="s">
        <v>268</v>
      </c>
      <c r="B1" t="s">
        <v>359</v>
      </c>
      <c r="C1" t="s">
        <v>330</v>
      </c>
      <c r="D1" t="s">
        <v>360</v>
      </c>
      <c r="E1" t="s">
        <v>361</v>
      </c>
      <c r="F1" t="s">
        <v>362</v>
      </c>
      <c r="G1" t="s">
        <v>363</v>
      </c>
      <c r="H1" t="s">
        <v>456</v>
      </c>
      <c r="I1" t="s">
        <v>457</v>
      </c>
      <c r="J1" t="s">
        <v>364</v>
      </c>
      <c r="K1" t="s">
        <v>365</v>
      </c>
      <c r="L1" t="s">
        <v>366</v>
      </c>
      <c r="M1" t="s">
        <v>367</v>
      </c>
      <c r="N1" t="s">
        <v>368</v>
      </c>
      <c r="O1" t="s">
        <v>369</v>
      </c>
      <c r="P1" t="s">
        <v>370</v>
      </c>
      <c r="Q1" t="s">
        <v>152</v>
      </c>
      <c r="R1" t="s">
        <v>371</v>
      </c>
      <c r="S1" t="s">
        <v>275</v>
      </c>
      <c r="T1" t="s">
        <v>372</v>
      </c>
      <c r="U1" t="s">
        <v>373</v>
      </c>
      <c r="V1" t="s">
        <v>374</v>
      </c>
      <c r="W1" t="s">
        <v>375</v>
      </c>
      <c r="X1" t="s">
        <v>376</v>
      </c>
      <c r="Y1" t="s">
        <v>377</v>
      </c>
      <c r="Z1" t="s">
        <v>378</v>
      </c>
      <c r="AA1" t="s">
        <v>379</v>
      </c>
      <c r="AB1" t="s">
        <v>380</v>
      </c>
      <c r="AC1" t="s">
        <v>381</v>
      </c>
      <c r="AD1" t="s">
        <v>382</v>
      </c>
      <c r="AE1" t="s">
        <v>383</v>
      </c>
      <c r="AF1" t="s">
        <v>384</v>
      </c>
    </row>
    <row r="2" spans="1:32" x14ac:dyDescent="0.3">
      <c r="A2">
        <v>20803</v>
      </c>
      <c r="B2">
        <v>6</v>
      </c>
      <c r="F2" t="s">
        <v>350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350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350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668</v>
      </c>
      <c r="R4">
        <v>111244</v>
      </c>
      <c r="S4" t="s">
        <v>391</v>
      </c>
    </row>
    <row r="5" spans="1:32" x14ac:dyDescent="0.3">
      <c r="A5">
        <v>20803</v>
      </c>
      <c r="B5">
        <v>6</v>
      </c>
      <c r="F5" t="s">
        <v>350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833</v>
      </c>
      <c r="R5">
        <v>105935</v>
      </c>
      <c r="S5" t="s">
        <v>385</v>
      </c>
    </row>
    <row r="6" spans="1:32" x14ac:dyDescent="0.3">
      <c r="A6">
        <v>20803</v>
      </c>
      <c r="B6">
        <v>6</v>
      </c>
      <c r="F6" t="s">
        <v>350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818</v>
      </c>
      <c r="R6">
        <v>108526</v>
      </c>
      <c r="S6" t="s">
        <v>390</v>
      </c>
    </row>
    <row r="7" spans="1:32" x14ac:dyDescent="0.3">
      <c r="A7">
        <v>20803</v>
      </c>
      <c r="B7">
        <v>6</v>
      </c>
      <c r="F7" t="s">
        <v>350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350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827</v>
      </c>
      <c r="R8">
        <v>105519</v>
      </c>
      <c r="S8" t="s">
        <v>386</v>
      </c>
    </row>
    <row r="9" spans="1:32" x14ac:dyDescent="0.3">
      <c r="A9">
        <v>20803</v>
      </c>
      <c r="B9">
        <v>6</v>
      </c>
      <c r="F9" t="s">
        <v>350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724</v>
      </c>
      <c r="R9">
        <v>114706</v>
      </c>
      <c r="S9" t="s">
        <v>722</v>
      </c>
    </row>
    <row r="10" spans="1:32" x14ac:dyDescent="0.3">
      <c r="A10">
        <v>20803</v>
      </c>
      <c r="B10">
        <v>6</v>
      </c>
      <c r="F10" t="s">
        <v>350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723</v>
      </c>
      <c r="R10">
        <v>114706</v>
      </c>
      <c r="S10" t="s">
        <v>722</v>
      </c>
    </row>
    <row r="11" spans="1:32" x14ac:dyDescent="0.3">
      <c r="A11">
        <v>20803</v>
      </c>
      <c r="B11">
        <v>6</v>
      </c>
      <c r="F11" t="s">
        <v>350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350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350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820</v>
      </c>
      <c r="R13">
        <v>110760</v>
      </c>
      <c r="S13" t="s">
        <v>392</v>
      </c>
    </row>
    <row r="14" spans="1:32" x14ac:dyDescent="0.3">
      <c r="A14">
        <v>20803</v>
      </c>
      <c r="B14">
        <v>6</v>
      </c>
      <c r="F14" t="s">
        <v>350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829</v>
      </c>
      <c r="R14">
        <v>108623</v>
      </c>
      <c r="S14" t="s">
        <v>394</v>
      </c>
    </row>
    <row r="15" spans="1:32" x14ac:dyDescent="0.3">
      <c r="A15">
        <v>20803</v>
      </c>
      <c r="B15">
        <v>6</v>
      </c>
      <c r="F15" t="s">
        <v>350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350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721</v>
      </c>
      <c r="R16">
        <v>104499</v>
      </c>
      <c r="S16" t="s">
        <v>393</v>
      </c>
    </row>
    <row r="17" spans="1:19" x14ac:dyDescent="0.3">
      <c r="A17">
        <v>20803</v>
      </c>
      <c r="B17">
        <v>6</v>
      </c>
      <c r="F17" t="s">
        <v>350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822</v>
      </c>
      <c r="R17">
        <v>110200</v>
      </c>
      <c r="S17" t="s">
        <v>636</v>
      </c>
    </row>
    <row r="18" spans="1:19" x14ac:dyDescent="0.3">
      <c r="A18">
        <v>20803</v>
      </c>
      <c r="B18">
        <v>6</v>
      </c>
      <c r="F18" t="s">
        <v>350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350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350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350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679</v>
      </c>
      <c r="R21">
        <v>109375</v>
      </c>
      <c r="S21" t="s">
        <v>678</v>
      </c>
    </row>
    <row r="22" spans="1:19" x14ac:dyDescent="0.3">
      <c r="A22">
        <v>20803</v>
      </c>
      <c r="B22">
        <v>6</v>
      </c>
      <c r="F22" t="s">
        <v>350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828</v>
      </c>
      <c r="R22">
        <v>108809</v>
      </c>
      <c r="S22" t="s">
        <v>389</v>
      </c>
    </row>
    <row r="23" spans="1:19" x14ac:dyDescent="0.3">
      <c r="A23">
        <v>20803</v>
      </c>
      <c r="B23">
        <v>6</v>
      </c>
      <c r="F23" t="s">
        <v>350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350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665</v>
      </c>
      <c r="R24">
        <v>111244</v>
      </c>
      <c r="S24" t="s">
        <v>391</v>
      </c>
    </row>
    <row r="25" spans="1:19" x14ac:dyDescent="0.3">
      <c r="A25">
        <v>20803</v>
      </c>
      <c r="B25">
        <v>5</v>
      </c>
      <c r="F25" t="s">
        <v>350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724</v>
      </c>
      <c r="R25">
        <v>114706</v>
      </c>
      <c r="S25" t="s">
        <v>722</v>
      </c>
    </row>
    <row r="26" spans="1:19" x14ac:dyDescent="0.3">
      <c r="A26">
        <v>20803</v>
      </c>
      <c r="B26">
        <v>5</v>
      </c>
      <c r="F26" t="s">
        <v>350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350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350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350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388</v>
      </c>
      <c r="R29">
        <v>108809</v>
      </c>
      <c r="S29" t="s">
        <v>389</v>
      </c>
    </row>
    <row r="30" spans="1:19" x14ac:dyDescent="0.3">
      <c r="A30">
        <v>20803</v>
      </c>
      <c r="B30">
        <v>5</v>
      </c>
      <c r="F30" t="s">
        <v>350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350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679</v>
      </c>
      <c r="R31">
        <v>109375</v>
      </c>
      <c r="S31" t="s">
        <v>678</v>
      </c>
    </row>
    <row r="32" spans="1:19" x14ac:dyDescent="0.3">
      <c r="A32">
        <v>20803</v>
      </c>
      <c r="B32">
        <v>5</v>
      </c>
      <c r="F32" t="s">
        <v>350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350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350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350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687</v>
      </c>
      <c r="R35">
        <v>105935</v>
      </c>
      <c r="S35" t="s">
        <v>385</v>
      </c>
    </row>
    <row r="36" spans="1:19" x14ac:dyDescent="0.3">
      <c r="A36">
        <v>20803</v>
      </c>
      <c r="B36">
        <v>5</v>
      </c>
      <c r="F36" t="s">
        <v>350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350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350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632</v>
      </c>
      <c r="R38">
        <v>108526</v>
      </c>
      <c r="S38" t="s">
        <v>390</v>
      </c>
    </row>
    <row r="39" spans="1:19" x14ac:dyDescent="0.3">
      <c r="A39">
        <v>20803</v>
      </c>
      <c r="B39">
        <v>5</v>
      </c>
      <c r="F39" t="s">
        <v>350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628</v>
      </c>
      <c r="R39">
        <v>105619</v>
      </c>
      <c r="S39" t="s">
        <v>387</v>
      </c>
    </row>
    <row r="40" spans="1:19" x14ac:dyDescent="0.3">
      <c r="A40">
        <v>20803</v>
      </c>
      <c r="B40">
        <v>5</v>
      </c>
      <c r="F40" t="s">
        <v>350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723</v>
      </c>
      <c r="R40">
        <v>114706</v>
      </c>
      <c r="S40" t="s">
        <v>722</v>
      </c>
    </row>
    <row r="41" spans="1:19" x14ac:dyDescent="0.3">
      <c r="A41">
        <v>20803</v>
      </c>
      <c r="B41">
        <v>5</v>
      </c>
      <c r="F41" t="s">
        <v>350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721</v>
      </c>
      <c r="R41">
        <v>104499</v>
      </c>
      <c r="S41" t="s">
        <v>393</v>
      </c>
    </row>
    <row r="42" spans="1:19" x14ac:dyDescent="0.3">
      <c r="A42">
        <v>20803</v>
      </c>
      <c r="B42">
        <v>5</v>
      </c>
      <c r="F42" t="s">
        <v>350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635</v>
      </c>
      <c r="R42">
        <v>105738</v>
      </c>
      <c r="S42" t="s">
        <v>634</v>
      </c>
    </row>
    <row r="43" spans="1:19" x14ac:dyDescent="0.3">
      <c r="A43">
        <v>20803</v>
      </c>
      <c r="B43">
        <v>5</v>
      </c>
      <c r="F43" t="s">
        <v>350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646</v>
      </c>
      <c r="R43">
        <v>108623</v>
      </c>
      <c r="S43" t="s">
        <v>394</v>
      </c>
    </row>
    <row r="44" spans="1:19" x14ac:dyDescent="0.3">
      <c r="A44">
        <v>20803</v>
      </c>
      <c r="B44">
        <v>5</v>
      </c>
      <c r="F44" t="s">
        <v>350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350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644</v>
      </c>
      <c r="R45">
        <v>105519</v>
      </c>
      <c r="S45" t="s">
        <v>386</v>
      </c>
    </row>
    <row r="46" spans="1:19" x14ac:dyDescent="0.3">
      <c r="A46">
        <v>20803</v>
      </c>
      <c r="B46">
        <v>4</v>
      </c>
      <c r="F46" t="s">
        <v>350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576</v>
      </c>
      <c r="R46">
        <v>108623</v>
      </c>
      <c r="S46" t="s">
        <v>394</v>
      </c>
    </row>
    <row r="47" spans="1:19" x14ac:dyDescent="0.3">
      <c r="A47">
        <v>20803</v>
      </c>
      <c r="B47">
        <v>4</v>
      </c>
      <c r="F47" t="s">
        <v>350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466</v>
      </c>
      <c r="R47">
        <v>108599</v>
      </c>
      <c r="S47" t="s">
        <v>585</v>
      </c>
    </row>
    <row r="48" spans="1:19" x14ac:dyDescent="0.3">
      <c r="A48">
        <v>20803</v>
      </c>
      <c r="B48">
        <v>4</v>
      </c>
      <c r="F48" t="s">
        <v>350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574</v>
      </c>
      <c r="R48">
        <v>114720</v>
      </c>
      <c r="S48" t="s">
        <v>575</v>
      </c>
    </row>
    <row r="49" spans="1:19" x14ac:dyDescent="0.3">
      <c r="A49">
        <v>20803</v>
      </c>
      <c r="B49">
        <v>4</v>
      </c>
      <c r="F49" t="s">
        <v>350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350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572</v>
      </c>
      <c r="R50">
        <v>103552</v>
      </c>
      <c r="S50" t="s">
        <v>573</v>
      </c>
    </row>
    <row r="51" spans="1:19" x14ac:dyDescent="0.3">
      <c r="A51">
        <v>20803</v>
      </c>
      <c r="B51">
        <v>4</v>
      </c>
      <c r="F51" t="s">
        <v>350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580</v>
      </c>
      <c r="R51">
        <v>105935</v>
      </c>
      <c r="S51" t="s">
        <v>385</v>
      </c>
    </row>
    <row r="52" spans="1:19" x14ac:dyDescent="0.3">
      <c r="A52">
        <v>20803</v>
      </c>
      <c r="B52">
        <v>4</v>
      </c>
      <c r="F52" t="s">
        <v>350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350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350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809</v>
      </c>
      <c r="R54">
        <v>108636</v>
      </c>
      <c r="S54" t="s">
        <v>579</v>
      </c>
    </row>
    <row r="55" spans="1:19" x14ac:dyDescent="0.3">
      <c r="A55">
        <v>20803</v>
      </c>
      <c r="B55">
        <v>4</v>
      </c>
      <c r="F55" t="s">
        <v>350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810</v>
      </c>
      <c r="R55">
        <v>105579</v>
      </c>
      <c r="S55" t="s">
        <v>570</v>
      </c>
    </row>
    <row r="56" spans="1:19" x14ac:dyDescent="0.3">
      <c r="A56">
        <v>20803</v>
      </c>
      <c r="B56">
        <v>4</v>
      </c>
      <c r="F56" t="s">
        <v>350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577</v>
      </c>
      <c r="R56">
        <v>103552</v>
      </c>
      <c r="S56" t="s">
        <v>573</v>
      </c>
    </row>
    <row r="57" spans="1:19" x14ac:dyDescent="0.3">
      <c r="A57">
        <v>20803</v>
      </c>
      <c r="B57">
        <v>4</v>
      </c>
      <c r="F57" t="s">
        <v>350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350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811</v>
      </c>
      <c r="R58">
        <v>106587</v>
      </c>
      <c r="S58" t="s">
        <v>584</v>
      </c>
    </row>
    <row r="59" spans="1:19" x14ac:dyDescent="0.3">
      <c r="A59">
        <v>20803</v>
      </c>
      <c r="B59">
        <v>4</v>
      </c>
      <c r="F59" t="s">
        <v>350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812</v>
      </c>
      <c r="R59">
        <v>110762</v>
      </c>
      <c r="S59" t="s">
        <v>639</v>
      </c>
    </row>
    <row r="60" spans="1:19" x14ac:dyDescent="0.3">
      <c r="A60">
        <v>20803</v>
      </c>
      <c r="B60">
        <v>4</v>
      </c>
      <c r="F60" t="s">
        <v>350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581</v>
      </c>
      <c r="R60">
        <v>104705</v>
      </c>
      <c r="S60" t="s">
        <v>582</v>
      </c>
    </row>
    <row r="61" spans="1:19" x14ac:dyDescent="0.3">
      <c r="A61">
        <v>20803</v>
      </c>
      <c r="B61">
        <v>4</v>
      </c>
      <c r="F61" t="s">
        <v>350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571</v>
      </c>
      <c r="R61">
        <v>105519</v>
      </c>
      <c r="S61" t="s">
        <v>386</v>
      </c>
    </row>
    <row r="62" spans="1:19" x14ac:dyDescent="0.3">
      <c r="A62">
        <v>20803</v>
      </c>
      <c r="B62">
        <v>3</v>
      </c>
      <c r="F62" t="s">
        <v>350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350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646</v>
      </c>
      <c r="R63">
        <v>108623</v>
      </c>
      <c r="S63" t="s">
        <v>394</v>
      </c>
    </row>
    <row r="64" spans="1:19" x14ac:dyDescent="0.3">
      <c r="A64">
        <v>20803</v>
      </c>
      <c r="B64">
        <v>3</v>
      </c>
      <c r="F64" t="s">
        <v>350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574</v>
      </c>
      <c r="R64">
        <v>114720</v>
      </c>
      <c r="S64" t="s">
        <v>575</v>
      </c>
    </row>
    <row r="65" spans="1:19" x14ac:dyDescent="0.3">
      <c r="A65">
        <v>20803</v>
      </c>
      <c r="B65">
        <v>3</v>
      </c>
      <c r="F65" t="s">
        <v>350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569</v>
      </c>
      <c r="R65">
        <v>105579</v>
      </c>
      <c r="S65" t="s">
        <v>570</v>
      </c>
    </row>
    <row r="66" spans="1:19" x14ac:dyDescent="0.3">
      <c r="A66">
        <v>20803</v>
      </c>
      <c r="B66">
        <v>3</v>
      </c>
      <c r="F66" t="s">
        <v>350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578</v>
      </c>
      <c r="R66">
        <v>108636</v>
      </c>
      <c r="S66" t="s">
        <v>579</v>
      </c>
    </row>
    <row r="67" spans="1:19" x14ac:dyDescent="0.3">
      <c r="A67">
        <v>20803</v>
      </c>
      <c r="B67">
        <v>3</v>
      </c>
      <c r="F67" t="s">
        <v>350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572</v>
      </c>
      <c r="R67">
        <v>103552</v>
      </c>
      <c r="S67" t="s">
        <v>573</v>
      </c>
    </row>
    <row r="68" spans="1:19" x14ac:dyDescent="0.3">
      <c r="A68">
        <v>20803</v>
      </c>
      <c r="B68">
        <v>3</v>
      </c>
      <c r="F68" t="s">
        <v>350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687</v>
      </c>
      <c r="R68">
        <v>105935</v>
      </c>
      <c r="S68" t="s">
        <v>385</v>
      </c>
    </row>
    <row r="69" spans="1:19" x14ac:dyDescent="0.3">
      <c r="A69">
        <v>20803</v>
      </c>
      <c r="B69">
        <v>3</v>
      </c>
      <c r="F69" t="s">
        <v>350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586</v>
      </c>
      <c r="R69">
        <v>105750</v>
      </c>
      <c r="S69" t="s">
        <v>587</v>
      </c>
    </row>
    <row r="70" spans="1:19" x14ac:dyDescent="0.3">
      <c r="A70">
        <v>20803</v>
      </c>
      <c r="B70">
        <v>3</v>
      </c>
      <c r="F70" t="s">
        <v>350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350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350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583</v>
      </c>
      <c r="R72">
        <v>106587</v>
      </c>
      <c r="S72" t="s">
        <v>584</v>
      </c>
    </row>
    <row r="73" spans="1:19" x14ac:dyDescent="0.3">
      <c r="A73">
        <v>20803</v>
      </c>
      <c r="B73">
        <v>3</v>
      </c>
      <c r="F73" t="s">
        <v>350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581</v>
      </c>
      <c r="R73">
        <v>104705</v>
      </c>
      <c r="S73" t="s">
        <v>582</v>
      </c>
    </row>
    <row r="74" spans="1:19" x14ac:dyDescent="0.3">
      <c r="A74">
        <v>20803</v>
      </c>
      <c r="B74">
        <v>3</v>
      </c>
      <c r="F74" t="s">
        <v>350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350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577</v>
      </c>
      <c r="R75">
        <v>103552</v>
      </c>
      <c r="S75" t="s">
        <v>573</v>
      </c>
    </row>
    <row r="76" spans="1:19" x14ac:dyDescent="0.3">
      <c r="A76">
        <v>20803</v>
      </c>
      <c r="B76">
        <v>3</v>
      </c>
      <c r="F76" t="s">
        <v>350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644</v>
      </c>
      <c r="R76">
        <v>105519</v>
      </c>
      <c r="S76" t="s">
        <v>386</v>
      </c>
    </row>
    <row r="77" spans="1:19" x14ac:dyDescent="0.3">
      <c r="A77">
        <v>20803</v>
      </c>
      <c r="B77">
        <v>3</v>
      </c>
      <c r="F77" t="s">
        <v>350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469</v>
      </c>
      <c r="R77">
        <v>108599</v>
      </c>
      <c r="S77" t="s">
        <v>585</v>
      </c>
    </row>
    <row r="78" spans="1:19" x14ac:dyDescent="0.3">
      <c r="A78">
        <v>20803</v>
      </c>
      <c r="B78">
        <v>2</v>
      </c>
      <c r="F78" t="s">
        <v>350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569</v>
      </c>
      <c r="R78">
        <v>105579</v>
      </c>
      <c r="S78" t="s">
        <v>570</v>
      </c>
    </row>
    <row r="79" spans="1:19" x14ac:dyDescent="0.3">
      <c r="A79">
        <v>20803</v>
      </c>
      <c r="B79">
        <v>2</v>
      </c>
      <c r="F79" t="s">
        <v>350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571</v>
      </c>
      <c r="R79">
        <v>105519</v>
      </c>
      <c r="S79" t="s">
        <v>386</v>
      </c>
    </row>
    <row r="80" spans="1:19" x14ac:dyDescent="0.3">
      <c r="A80">
        <v>20803</v>
      </c>
      <c r="B80">
        <v>2</v>
      </c>
      <c r="F80" t="s">
        <v>350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572</v>
      </c>
      <c r="R80">
        <v>103552</v>
      </c>
      <c r="S80" t="s">
        <v>573</v>
      </c>
    </row>
    <row r="81" spans="1:19" x14ac:dyDescent="0.3">
      <c r="A81">
        <v>20803</v>
      </c>
      <c r="B81">
        <v>2</v>
      </c>
      <c r="F81" t="s">
        <v>350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574</v>
      </c>
      <c r="R81">
        <v>114720</v>
      </c>
      <c r="S81" t="s">
        <v>575</v>
      </c>
    </row>
    <row r="82" spans="1:19" x14ac:dyDescent="0.3">
      <c r="A82">
        <v>20803</v>
      </c>
      <c r="B82">
        <v>2</v>
      </c>
      <c r="F82" t="s">
        <v>350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350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576</v>
      </c>
      <c r="R83">
        <v>108623</v>
      </c>
      <c r="S83" t="s">
        <v>394</v>
      </c>
    </row>
    <row r="84" spans="1:19" x14ac:dyDescent="0.3">
      <c r="A84">
        <v>20803</v>
      </c>
      <c r="B84">
        <v>2</v>
      </c>
      <c r="F84" t="s">
        <v>350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350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577</v>
      </c>
      <c r="R85">
        <v>103552</v>
      </c>
      <c r="S85" t="s">
        <v>573</v>
      </c>
    </row>
    <row r="86" spans="1:19" x14ac:dyDescent="0.3">
      <c r="A86">
        <v>20803</v>
      </c>
      <c r="B86">
        <v>2</v>
      </c>
      <c r="F86" t="s">
        <v>350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578</v>
      </c>
      <c r="R86">
        <v>108636</v>
      </c>
      <c r="S86" t="s">
        <v>579</v>
      </c>
    </row>
    <row r="87" spans="1:19" x14ac:dyDescent="0.3">
      <c r="A87">
        <v>20803</v>
      </c>
      <c r="B87">
        <v>2</v>
      </c>
      <c r="F87" t="s">
        <v>350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580</v>
      </c>
      <c r="R87">
        <v>105935</v>
      </c>
      <c r="S87" t="s">
        <v>385</v>
      </c>
    </row>
    <row r="88" spans="1:19" x14ac:dyDescent="0.3">
      <c r="A88">
        <v>20803</v>
      </c>
      <c r="B88">
        <v>2</v>
      </c>
      <c r="F88" t="s">
        <v>350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581</v>
      </c>
      <c r="R88">
        <v>104705</v>
      </c>
      <c r="S88" t="s">
        <v>582</v>
      </c>
    </row>
    <row r="89" spans="1:19" x14ac:dyDescent="0.3">
      <c r="A89">
        <v>20803</v>
      </c>
      <c r="B89">
        <v>2</v>
      </c>
      <c r="F89" t="s">
        <v>350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583</v>
      </c>
      <c r="R89">
        <v>106587</v>
      </c>
      <c r="S89" t="s">
        <v>584</v>
      </c>
    </row>
    <row r="90" spans="1:19" x14ac:dyDescent="0.3">
      <c r="A90">
        <v>20803</v>
      </c>
      <c r="B90">
        <v>2</v>
      </c>
      <c r="F90" t="s">
        <v>350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468</v>
      </c>
      <c r="R90">
        <v>108599</v>
      </c>
      <c r="S90" t="s">
        <v>585</v>
      </c>
    </row>
    <row r="91" spans="1:19" x14ac:dyDescent="0.3">
      <c r="A91">
        <v>20803</v>
      </c>
      <c r="B91">
        <v>2</v>
      </c>
      <c r="F91" t="s">
        <v>350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350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586</v>
      </c>
      <c r="R92">
        <v>105750</v>
      </c>
      <c r="S92" t="s">
        <v>587</v>
      </c>
    </row>
    <row r="93" spans="1:19" x14ac:dyDescent="0.3">
      <c r="A93">
        <v>20803</v>
      </c>
      <c r="B93">
        <v>2</v>
      </c>
      <c r="F93" t="s">
        <v>350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588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580</v>
      </c>
      <c r="R94">
        <v>105935</v>
      </c>
      <c r="S94" t="s">
        <v>385</v>
      </c>
    </row>
    <row r="95" spans="1:19" x14ac:dyDescent="0.3">
      <c r="A95">
        <v>20803</v>
      </c>
      <c r="B95">
        <v>1</v>
      </c>
      <c r="F95" t="s">
        <v>588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588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589</v>
      </c>
      <c r="R96">
        <v>110763</v>
      </c>
      <c r="S96" t="s">
        <v>396</v>
      </c>
    </row>
    <row r="97" spans="1:19" x14ac:dyDescent="0.3">
      <c r="A97">
        <v>20803</v>
      </c>
      <c r="B97">
        <v>1</v>
      </c>
      <c r="F97" t="s">
        <v>588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590</v>
      </c>
      <c r="R97">
        <v>105050</v>
      </c>
      <c r="S97" t="s">
        <v>591</v>
      </c>
    </row>
    <row r="98" spans="1:19" x14ac:dyDescent="0.3">
      <c r="A98">
        <v>20803</v>
      </c>
      <c r="B98">
        <v>1</v>
      </c>
      <c r="F98" t="s">
        <v>588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576</v>
      </c>
      <c r="R98">
        <v>108623</v>
      </c>
      <c r="S98" t="s">
        <v>394</v>
      </c>
    </row>
    <row r="99" spans="1:19" x14ac:dyDescent="0.3">
      <c r="A99">
        <v>20803</v>
      </c>
      <c r="B99">
        <v>1</v>
      </c>
      <c r="F99" t="s">
        <v>588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592</v>
      </c>
      <c r="R99">
        <v>104705</v>
      </c>
      <c r="S99" t="s">
        <v>582</v>
      </c>
    </row>
    <row r="100" spans="1:19" x14ac:dyDescent="0.3">
      <c r="A100">
        <v>20803</v>
      </c>
      <c r="B100">
        <v>1</v>
      </c>
      <c r="F100" t="s">
        <v>588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593</v>
      </c>
      <c r="R100">
        <v>103586</v>
      </c>
      <c r="S100" t="s">
        <v>398</v>
      </c>
    </row>
    <row r="101" spans="1:19" x14ac:dyDescent="0.3">
      <c r="A101">
        <v>20803</v>
      </c>
      <c r="B101">
        <v>1</v>
      </c>
      <c r="F101" t="s">
        <v>588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594</v>
      </c>
      <c r="R101">
        <v>103586</v>
      </c>
      <c r="S101" t="s">
        <v>398</v>
      </c>
    </row>
    <row r="102" spans="1:19" x14ac:dyDescent="0.3">
      <c r="A102">
        <v>20803</v>
      </c>
      <c r="B102">
        <v>1</v>
      </c>
      <c r="F102" t="s">
        <v>588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588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588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588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571</v>
      </c>
      <c r="R105">
        <v>105519</v>
      </c>
      <c r="S105" t="s">
        <v>386</v>
      </c>
    </row>
    <row r="106" spans="1:19" x14ac:dyDescent="0.3">
      <c r="A106">
        <v>20803</v>
      </c>
      <c r="B106">
        <v>1</v>
      </c>
      <c r="F106" t="s">
        <v>588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588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595</v>
      </c>
      <c r="R107">
        <v>103619</v>
      </c>
      <c r="S107" t="s">
        <v>596</v>
      </c>
    </row>
    <row r="108" spans="1:19" x14ac:dyDescent="0.3">
      <c r="A108">
        <v>20803</v>
      </c>
      <c r="B108">
        <v>1</v>
      </c>
      <c r="F108" t="s">
        <v>588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597</v>
      </c>
      <c r="R108">
        <v>106214</v>
      </c>
      <c r="S108" t="s">
        <v>395</v>
      </c>
    </row>
    <row r="109" spans="1:19" x14ac:dyDescent="0.3">
      <c r="A109">
        <v>20803</v>
      </c>
      <c r="B109">
        <v>1</v>
      </c>
      <c r="F109" t="s">
        <v>588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598</v>
      </c>
      <c r="R109">
        <v>107030</v>
      </c>
      <c r="S109" t="s">
        <v>599</v>
      </c>
    </row>
    <row r="110" spans="1:19" x14ac:dyDescent="0.3">
      <c r="A110">
        <v>20803</v>
      </c>
      <c r="B110">
        <v>1</v>
      </c>
      <c r="F110" t="s">
        <v>588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600</v>
      </c>
      <c r="R110">
        <v>108513</v>
      </c>
      <c r="S110" t="s">
        <v>397</v>
      </c>
    </row>
    <row r="111" spans="1:19" x14ac:dyDescent="0.3">
      <c r="A111">
        <v>20803</v>
      </c>
      <c r="B111">
        <v>1</v>
      </c>
      <c r="F111" t="s">
        <v>588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601</v>
      </c>
      <c r="R111">
        <v>110251</v>
      </c>
      <c r="S111" t="s">
        <v>602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6368-3B1E-4C57-BB51-DE750F89FA62}">
  <sheetPr codeName="Sheet17"/>
  <dimension ref="A1:F19"/>
  <sheetViews>
    <sheetView workbookViewId="0"/>
  </sheetViews>
  <sheetFormatPr defaultRowHeight="14.4" x14ac:dyDescent="0.3"/>
  <sheetData>
    <row r="1" spans="1:6" x14ac:dyDescent="0.3">
      <c r="A1" t="s">
        <v>268</v>
      </c>
      <c r="B1" t="s">
        <v>6</v>
      </c>
      <c r="C1" t="s">
        <v>359</v>
      </c>
      <c r="D1" t="s">
        <v>603</v>
      </c>
      <c r="E1" t="s">
        <v>604</v>
      </c>
      <c r="F1" t="s">
        <v>605</v>
      </c>
    </row>
    <row r="2" spans="1:6" x14ac:dyDescent="0.3">
      <c r="A2">
        <v>20803</v>
      </c>
      <c r="B2" s="325">
        <v>46225</v>
      </c>
      <c r="C2">
        <v>1</v>
      </c>
      <c r="D2">
        <v>32</v>
      </c>
      <c r="E2">
        <v>573.01</v>
      </c>
      <c r="F2">
        <v>605.01</v>
      </c>
    </row>
    <row r="3" spans="1:6" x14ac:dyDescent="0.3">
      <c r="A3">
        <v>20803</v>
      </c>
      <c r="B3" s="325">
        <v>46226</v>
      </c>
      <c r="C3">
        <v>1</v>
      </c>
      <c r="E3">
        <v>7.99</v>
      </c>
      <c r="F3">
        <v>7.99</v>
      </c>
    </row>
    <row r="4" spans="1:6" x14ac:dyDescent="0.3">
      <c r="A4">
        <v>20803</v>
      </c>
      <c r="B4" s="325">
        <v>46227</v>
      </c>
      <c r="C4">
        <v>2</v>
      </c>
      <c r="D4">
        <v>7</v>
      </c>
      <c r="E4">
        <v>325.02999999999997</v>
      </c>
      <c r="F4">
        <v>332.03</v>
      </c>
    </row>
    <row r="5" spans="1:6" x14ac:dyDescent="0.3">
      <c r="A5">
        <v>20803</v>
      </c>
      <c r="B5" s="325">
        <v>46228</v>
      </c>
      <c r="C5">
        <v>2</v>
      </c>
      <c r="D5">
        <v>25</v>
      </c>
      <c r="E5">
        <v>838.45</v>
      </c>
      <c r="F5">
        <v>863.45</v>
      </c>
    </row>
    <row r="6" spans="1:6" x14ac:dyDescent="0.3">
      <c r="A6">
        <v>20803</v>
      </c>
      <c r="B6" s="325">
        <v>46229</v>
      </c>
      <c r="C6">
        <v>2</v>
      </c>
      <c r="D6">
        <v>12</v>
      </c>
      <c r="E6">
        <v>304.39</v>
      </c>
      <c r="F6">
        <v>316.39</v>
      </c>
    </row>
    <row r="7" spans="1:6" x14ac:dyDescent="0.3">
      <c r="A7">
        <v>20803</v>
      </c>
      <c r="B7" s="325">
        <v>46230</v>
      </c>
      <c r="C7">
        <v>2</v>
      </c>
      <c r="D7">
        <v>9</v>
      </c>
      <c r="E7">
        <v>144.25</v>
      </c>
      <c r="F7">
        <v>153.25</v>
      </c>
    </row>
    <row r="8" spans="1:6" x14ac:dyDescent="0.3">
      <c r="A8">
        <v>20803</v>
      </c>
      <c r="B8" s="325">
        <v>46231</v>
      </c>
      <c r="C8">
        <v>3</v>
      </c>
      <c r="D8">
        <v>8</v>
      </c>
      <c r="E8">
        <v>241.04</v>
      </c>
      <c r="F8">
        <v>249.04</v>
      </c>
    </row>
    <row r="9" spans="1:6" x14ac:dyDescent="0.3">
      <c r="A9">
        <v>20803</v>
      </c>
      <c r="B9" s="325">
        <v>46232</v>
      </c>
      <c r="C9">
        <v>3</v>
      </c>
      <c r="D9">
        <v>38.020000000000003</v>
      </c>
      <c r="E9">
        <v>220.88</v>
      </c>
      <c r="F9">
        <v>258.89999999999998</v>
      </c>
    </row>
    <row r="10" spans="1:6" x14ac:dyDescent="0.3">
      <c r="A10">
        <v>20803</v>
      </c>
      <c r="B10" s="325">
        <v>46233</v>
      </c>
      <c r="C10">
        <v>4</v>
      </c>
      <c r="D10">
        <v>38.32</v>
      </c>
      <c r="E10">
        <v>18.61</v>
      </c>
      <c r="F10">
        <v>56.93</v>
      </c>
    </row>
    <row r="11" spans="1:6" x14ac:dyDescent="0.3">
      <c r="A11">
        <v>20803</v>
      </c>
      <c r="B11" s="325">
        <v>46234</v>
      </c>
      <c r="C11">
        <v>4</v>
      </c>
      <c r="D11">
        <v>101.27</v>
      </c>
      <c r="E11">
        <v>13.69</v>
      </c>
      <c r="F11">
        <v>114.96</v>
      </c>
    </row>
    <row r="12" spans="1:6" x14ac:dyDescent="0.3">
      <c r="A12">
        <v>20803</v>
      </c>
      <c r="B12" s="325">
        <v>46235</v>
      </c>
      <c r="C12">
        <v>4</v>
      </c>
      <c r="D12">
        <v>28.05</v>
      </c>
      <c r="F12">
        <v>28.05</v>
      </c>
    </row>
    <row r="13" spans="1:6" x14ac:dyDescent="0.3">
      <c r="A13">
        <v>20803</v>
      </c>
      <c r="B13" s="325">
        <v>46237</v>
      </c>
      <c r="C13">
        <v>5</v>
      </c>
      <c r="D13">
        <v>161.47</v>
      </c>
      <c r="E13">
        <v>31.77</v>
      </c>
      <c r="F13">
        <v>193.24</v>
      </c>
    </row>
    <row r="14" spans="1:6" x14ac:dyDescent="0.3">
      <c r="A14">
        <v>20803</v>
      </c>
      <c r="B14" s="325">
        <v>46238</v>
      </c>
      <c r="C14">
        <v>5</v>
      </c>
      <c r="D14">
        <v>88.64</v>
      </c>
      <c r="E14">
        <v>261.69</v>
      </c>
      <c r="F14">
        <v>350.33</v>
      </c>
    </row>
    <row r="15" spans="1:6" x14ac:dyDescent="0.3">
      <c r="A15">
        <v>20803</v>
      </c>
      <c r="B15" s="325">
        <v>46239</v>
      </c>
      <c r="C15">
        <v>5</v>
      </c>
      <c r="D15">
        <v>43</v>
      </c>
      <c r="E15">
        <v>584.98</v>
      </c>
      <c r="F15">
        <v>627.98</v>
      </c>
    </row>
    <row r="16" spans="1:6" x14ac:dyDescent="0.3">
      <c r="A16">
        <v>20803</v>
      </c>
      <c r="B16" s="325">
        <v>46240</v>
      </c>
      <c r="C16">
        <v>5</v>
      </c>
      <c r="D16">
        <v>46.5</v>
      </c>
      <c r="E16">
        <v>359.95</v>
      </c>
      <c r="F16">
        <v>406.45</v>
      </c>
    </row>
    <row r="17" spans="1:6" x14ac:dyDescent="0.3">
      <c r="A17">
        <v>20803</v>
      </c>
      <c r="B17" s="325">
        <v>46241</v>
      </c>
      <c r="C17">
        <v>6</v>
      </c>
      <c r="D17">
        <v>18</v>
      </c>
      <c r="E17">
        <v>184.34</v>
      </c>
      <c r="F17">
        <v>202.34</v>
      </c>
    </row>
    <row r="18" spans="1:6" x14ac:dyDescent="0.3">
      <c r="A18">
        <v>20803</v>
      </c>
      <c r="B18" s="325">
        <v>46242</v>
      </c>
      <c r="C18">
        <v>6</v>
      </c>
      <c r="D18">
        <v>28</v>
      </c>
      <c r="E18">
        <v>633.09</v>
      </c>
      <c r="F18">
        <v>661.09</v>
      </c>
    </row>
    <row r="19" spans="1:6" x14ac:dyDescent="0.3">
      <c r="A19">
        <v>20803</v>
      </c>
      <c r="B19" s="325">
        <v>46243</v>
      </c>
      <c r="C19">
        <v>6</v>
      </c>
      <c r="D19">
        <v>48</v>
      </c>
      <c r="E19">
        <v>322.99</v>
      </c>
      <c r="F19">
        <v>370.99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9AC35-6A07-4BAC-883C-F33F6E835B69}">
  <sheetPr codeName="Sheet19"/>
  <dimension ref="A1:V146"/>
  <sheetViews>
    <sheetView workbookViewId="0"/>
  </sheetViews>
  <sheetFormatPr defaultRowHeight="14.4" x14ac:dyDescent="0.3"/>
  <sheetData>
    <row r="1" spans="1:22" x14ac:dyDescent="0.3">
      <c r="A1" t="s">
        <v>606</v>
      </c>
      <c r="B1" t="s">
        <v>607</v>
      </c>
      <c r="C1" t="s">
        <v>608</v>
      </c>
      <c r="D1" t="s">
        <v>609</v>
      </c>
      <c r="E1" t="s">
        <v>610</v>
      </c>
      <c r="F1" t="s">
        <v>611</v>
      </c>
      <c r="G1" t="s">
        <v>612</v>
      </c>
      <c r="H1" t="s">
        <v>613</v>
      </c>
      <c r="I1" t="s">
        <v>614</v>
      </c>
      <c r="J1" t="s">
        <v>615</v>
      </c>
      <c r="K1" t="s">
        <v>616</v>
      </c>
      <c r="L1" t="s">
        <v>617</v>
      </c>
      <c r="M1" t="s">
        <v>618</v>
      </c>
      <c r="N1" t="s">
        <v>619</v>
      </c>
      <c r="O1" t="s">
        <v>620</v>
      </c>
      <c r="P1" t="s">
        <v>621</v>
      </c>
      <c r="Q1" t="s">
        <v>622</v>
      </c>
      <c r="R1" t="s">
        <v>623</v>
      </c>
      <c r="S1" t="s">
        <v>624</v>
      </c>
      <c r="T1" t="s">
        <v>625</v>
      </c>
      <c r="U1" t="s">
        <v>626</v>
      </c>
      <c r="V1" t="s">
        <v>627</v>
      </c>
    </row>
    <row r="2" spans="1:22" x14ac:dyDescent="0.3">
      <c r="A2">
        <v>105619</v>
      </c>
      <c r="B2" t="s">
        <v>387</v>
      </c>
      <c r="C2" t="s">
        <v>628</v>
      </c>
      <c r="E2" t="s">
        <v>629</v>
      </c>
      <c r="G2" t="s">
        <v>630</v>
      </c>
      <c r="K2">
        <v>92.17</v>
      </c>
      <c r="L2">
        <v>2309</v>
      </c>
      <c r="M2">
        <v>2325</v>
      </c>
      <c r="N2">
        <v>896</v>
      </c>
      <c r="O2">
        <v>6655</v>
      </c>
      <c r="P2">
        <v>28405</v>
      </c>
      <c r="Q2">
        <v>28405</v>
      </c>
      <c r="R2">
        <v>119242</v>
      </c>
      <c r="S2">
        <v>61357</v>
      </c>
      <c r="T2">
        <v>70503</v>
      </c>
      <c r="U2">
        <v>343443</v>
      </c>
      <c r="V2" t="b">
        <v>1</v>
      </c>
    </row>
    <row r="3" spans="1:22" x14ac:dyDescent="0.3">
      <c r="A3">
        <v>108526</v>
      </c>
      <c r="B3" t="s">
        <v>390</v>
      </c>
      <c r="C3" t="s">
        <v>632</v>
      </c>
      <c r="D3" t="s">
        <v>633</v>
      </c>
      <c r="E3" t="s">
        <v>629</v>
      </c>
      <c r="G3" t="s">
        <v>630</v>
      </c>
      <c r="K3">
        <v>92.17</v>
      </c>
      <c r="L3">
        <v>2309</v>
      </c>
      <c r="M3">
        <v>2325</v>
      </c>
      <c r="N3">
        <v>896</v>
      </c>
      <c r="O3">
        <v>6655</v>
      </c>
      <c r="P3">
        <v>54781</v>
      </c>
      <c r="Q3">
        <v>54781</v>
      </c>
      <c r="R3">
        <v>24978</v>
      </c>
      <c r="S3">
        <v>13977</v>
      </c>
      <c r="T3">
        <v>15826</v>
      </c>
      <c r="U3">
        <v>75901</v>
      </c>
      <c r="V3" t="b">
        <v>1</v>
      </c>
    </row>
    <row r="4" spans="1:22" x14ac:dyDescent="0.3">
      <c r="A4">
        <v>108526</v>
      </c>
      <c r="B4" t="s">
        <v>390</v>
      </c>
      <c r="G4" t="s">
        <v>631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2" x14ac:dyDescent="0.3">
      <c r="A5">
        <v>108526</v>
      </c>
      <c r="B5" t="s">
        <v>390</v>
      </c>
      <c r="G5" t="s">
        <v>631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2" x14ac:dyDescent="0.3">
      <c r="A6">
        <v>108526</v>
      </c>
      <c r="B6" t="s">
        <v>390</v>
      </c>
      <c r="G6" t="s">
        <v>631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2" x14ac:dyDescent="0.3">
      <c r="A7">
        <v>108526</v>
      </c>
      <c r="B7" t="s">
        <v>390</v>
      </c>
      <c r="C7" t="s">
        <v>818</v>
      </c>
      <c r="D7" t="s">
        <v>819</v>
      </c>
      <c r="E7" t="s">
        <v>629</v>
      </c>
      <c r="G7" t="s">
        <v>630</v>
      </c>
      <c r="K7">
        <v>51.08</v>
      </c>
      <c r="L7">
        <v>1655</v>
      </c>
      <c r="M7">
        <v>655</v>
      </c>
      <c r="N7">
        <v>755</v>
      </c>
      <c r="O7">
        <v>3770</v>
      </c>
      <c r="P7">
        <v>91588</v>
      </c>
      <c r="Q7">
        <v>91588</v>
      </c>
      <c r="R7">
        <v>38514</v>
      </c>
      <c r="S7">
        <v>26267</v>
      </c>
      <c r="T7">
        <v>26807</v>
      </c>
      <c r="U7">
        <v>122726</v>
      </c>
      <c r="V7" t="b">
        <v>1</v>
      </c>
    </row>
    <row r="8" spans="1:22" x14ac:dyDescent="0.3">
      <c r="A8">
        <v>108526</v>
      </c>
      <c r="B8" t="s">
        <v>390</v>
      </c>
      <c r="G8" t="s">
        <v>631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2" x14ac:dyDescent="0.3">
      <c r="A9">
        <v>110760</v>
      </c>
      <c r="B9" t="s">
        <v>392</v>
      </c>
      <c r="C9" t="s">
        <v>820</v>
      </c>
      <c r="D9" t="s">
        <v>821</v>
      </c>
      <c r="E9" t="s">
        <v>629</v>
      </c>
      <c r="G9" t="s">
        <v>630</v>
      </c>
      <c r="K9">
        <v>51.08</v>
      </c>
      <c r="L9">
        <v>1655</v>
      </c>
      <c r="M9">
        <v>655</v>
      </c>
      <c r="N9">
        <v>755</v>
      </c>
      <c r="O9">
        <v>3770</v>
      </c>
      <c r="P9">
        <v>120256</v>
      </c>
      <c r="Q9">
        <v>120256</v>
      </c>
      <c r="R9">
        <v>61948</v>
      </c>
      <c r="S9">
        <v>30565</v>
      </c>
      <c r="T9">
        <v>27743</v>
      </c>
      <c r="U9">
        <v>149616</v>
      </c>
      <c r="V9" t="b">
        <v>1</v>
      </c>
    </row>
    <row r="10" spans="1:22" x14ac:dyDescent="0.3">
      <c r="A10">
        <v>110760</v>
      </c>
      <c r="B10" t="s">
        <v>392</v>
      </c>
      <c r="G10" t="s">
        <v>631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2" x14ac:dyDescent="0.3">
      <c r="A11">
        <v>110760</v>
      </c>
      <c r="B11" t="s">
        <v>392</v>
      </c>
      <c r="G11" t="s">
        <v>631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2" x14ac:dyDescent="0.3">
      <c r="A12">
        <v>110760</v>
      </c>
      <c r="B12" t="s">
        <v>392</v>
      </c>
      <c r="G12" t="s">
        <v>631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2" x14ac:dyDescent="0.3">
      <c r="A13">
        <v>110760</v>
      </c>
      <c r="B13" t="s">
        <v>392</v>
      </c>
      <c r="G13" t="s">
        <v>631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2" x14ac:dyDescent="0.3">
      <c r="A14">
        <v>105738</v>
      </c>
      <c r="B14" t="s">
        <v>634</v>
      </c>
      <c r="C14" t="s">
        <v>635</v>
      </c>
      <c r="E14" t="s">
        <v>629</v>
      </c>
      <c r="G14" t="s">
        <v>630</v>
      </c>
      <c r="K14">
        <v>92.17</v>
      </c>
      <c r="L14">
        <v>2309</v>
      </c>
      <c r="M14">
        <v>2325</v>
      </c>
      <c r="N14">
        <v>896</v>
      </c>
      <c r="O14">
        <v>6655</v>
      </c>
      <c r="P14">
        <v>386277</v>
      </c>
      <c r="Q14">
        <v>386277</v>
      </c>
      <c r="R14">
        <v>187926</v>
      </c>
      <c r="S14">
        <v>91484</v>
      </c>
      <c r="T14">
        <v>106867</v>
      </c>
      <c r="U14">
        <v>507801</v>
      </c>
      <c r="V14" t="b">
        <v>1</v>
      </c>
    </row>
    <row r="15" spans="1:22" x14ac:dyDescent="0.3">
      <c r="A15">
        <v>110200</v>
      </c>
      <c r="B15" t="s">
        <v>636</v>
      </c>
      <c r="C15" t="s">
        <v>822</v>
      </c>
      <c r="D15" t="s">
        <v>823</v>
      </c>
      <c r="E15" t="s">
        <v>629</v>
      </c>
      <c r="G15" t="s">
        <v>630</v>
      </c>
      <c r="K15">
        <v>51.08</v>
      </c>
      <c r="L15">
        <v>1655</v>
      </c>
      <c r="M15">
        <v>655</v>
      </c>
      <c r="N15">
        <v>755</v>
      </c>
      <c r="O15">
        <v>3770</v>
      </c>
      <c r="P15">
        <v>62223</v>
      </c>
      <c r="Q15">
        <v>62223</v>
      </c>
      <c r="R15">
        <v>31885</v>
      </c>
      <c r="S15">
        <v>14733</v>
      </c>
      <c r="T15">
        <v>15605</v>
      </c>
      <c r="U15">
        <v>79927</v>
      </c>
      <c r="V15" t="b">
        <v>1</v>
      </c>
    </row>
    <row r="16" spans="1:22" x14ac:dyDescent="0.3">
      <c r="A16">
        <v>110200</v>
      </c>
      <c r="B16" t="s">
        <v>636</v>
      </c>
      <c r="G16" t="s">
        <v>631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2" x14ac:dyDescent="0.3">
      <c r="A17">
        <v>110200</v>
      </c>
      <c r="B17" t="s">
        <v>636</v>
      </c>
      <c r="G17" t="s">
        <v>631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2" x14ac:dyDescent="0.3">
      <c r="A18">
        <v>110200</v>
      </c>
      <c r="B18" t="s">
        <v>636</v>
      </c>
      <c r="G18" t="s">
        <v>631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2" x14ac:dyDescent="0.3">
      <c r="A19">
        <v>110200</v>
      </c>
      <c r="B19" t="s">
        <v>636</v>
      </c>
      <c r="G19" t="s">
        <v>631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2" x14ac:dyDescent="0.3">
      <c r="A20">
        <v>105579</v>
      </c>
      <c r="B20" t="s">
        <v>570</v>
      </c>
      <c r="G20" t="s">
        <v>631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2" x14ac:dyDescent="0.3">
      <c r="A21">
        <v>105579</v>
      </c>
      <c r="B21" t="s">
        <v>570</v>
      </c>
      <c r="C21" t="s">
        <v>810</v>
      </c>
      <c r="D21" t="s">
        <v>824</v>
      </c>
      <c r="E21" t="s">
        <v>629</v>
      </c>
      <c r="G21" t="s">
        <v>630</v>
      </c>
      <c r="K21">
        <v>44.92</v>
      </c>
      <c r="L21">
        <v>145</v>
      </c>
      <c r="M21">
        <v>2015</v>
      </c>
      <c r="N21">
        <v>535</v>
      </c>
      <c r="O21">
        <v>3765</v>
      </c>
      <c r="P21">
        <v>67473</v>
      </c>
      <c r="Q21">
        <v>67473</v>
      </c>
      <c r="R21">
        <v>32812</v>
      </c>
      <c r="S21">
        <v>14497</v>
      </c>
      <c r="T21">
        <v>20164</v>
      </c>
      <c r="U21">
        <v>96393</v>
      </c>
      <c r="V21" t="b">
        <v>1</v>
      </c>
    </row>
    <row r="22" spans="1:22" x14ac:dyDescent="0.3">
      <c r="A22">
        <v>105579</v>
      </c>
      <c r="B22" t="s">
        <v>570</v>
      </c>
      <c r="G22" t="s">
        <v>631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2" x14ac:dyDescent="0.3">
      <c r="A23">
        <v>105579</v>
      </c>
      <c r="B23" t="s">
        <v>570</v>
      </c>
      <c r="G23" t="s">
        <v>631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2" x14ac:dyDescent="0.3">
      <c r="A24">
        <v>105579</v>
      </c>
      <c r="B24" t="s">
        <v>570</v>
      </c>
      <c r="C24" t="s">
        <v>569</v>
      </c>
      <c r="D24" t="s">
        <v>637</v>
      </c>
      <c r="E24" t="s">
        <v>629</v>
      </c>
      <c r="G24" t="s">
        <v>630</v>
      </c>
      <c r="K24">
        <v>116.22</v>
      </c>
      <c r="L24">
        <v>4820</v>
      </c>
      <c r="M24">
        <v>992</v>
      </c>
      <c r="N24">
        <v>1161</v>
      </c>
      <c r="O24">
        <v>8515</v>
      </c>
      <c r="P24">
        <v>28507</v>
      </c>
      <c r="Q24">
        <v>28507</v>
      </c>
      <c r="R24">
        <v>14809</v>
      </c>
      <c r="S24">
        <v>6096</v>
      </c>
      <c r="T24">
        <v>7602</v>
      </c>
      <c r="U24">
        <v>43065</v>
      </c>
      <c r="V24" t="b">
        <v>1</v>
      </c>
    </row>
    <row r="25" spans="1:22" x14ac:dyDescent="0.3">
      <c r="A25">
        <v>108636</v>
      </c>
      <c r="B25" t="s">
        <v>579</v>
      </c>
      <c r="G25" t="s">
        <v>631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2" x14ac:dyDescent="0.3">
      <c r="A26">
        <v>108636</v>
      </c>
      <c r="B26" t="s">
        <v>579</v>
      </c>
      <c r="C26" t="s">
        <v>809</v>
      </c>
      <c r="D26" t="s">
        <v>825</v>
      </c>
      <c r="E26" t="s">
        <v>629</v>
      </c>
      <c r="G26" t="s">
        <v>630</v>
      </c>
      <c r="K26">
        <v>44.92</v>
      </c>
      <c r="L26">
        <v>145</v>
      </c>
      <c r="M26">
        <v>2015</v>
      </c>
      <c r="N26">
        <v>535</v>
      </c>
      <c r="O26">
        <v>3765</v>
      </c>
      <c r="P26">
        <v>2695</v>
      </c>
      <c r="Q26">
        <v>2695</v>
      </c>
      <c r="R26">
        <v>145</v>
      </c>
      <c r="S26">
        <v>2015</v>
      </c>
      <c r="T26">
        <v>535</v>
      </c>
      <c r="U26">
        <v>3765</v>
      </c>
      <c r="V26" t="b">
        <v>1</v>
      </c>
    </row>
    <row r="27" spans="1:22" x14ac:dyDescent="0.3">
      <c r="A27">
        <v>108636</v>
      </c>
      <c r="B27" t="s">
        <v>579</v>
      </c>
      <c r="G27" t="s">
        <v>631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2" x14ac:dyDescent="0.3">
      <c r="A28">
        <v>108636</v>
      </c>
      <c r="B28" t="s">
        <v>579</v>
      </c>
      <c r="G28" t="s">
        <v>631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2" x14ac:dyDescent="0.3">
      <c r="A29">
        <v>108636</v>
      </c>
      <c r="B29" t="s">
        <v>579</v>
      </c>
      <c r="C29" t="s">
        <v>578</v>
      </c>
      <c r="D29" t="s">
        <v>638</v>
      </c>
      <c r="E29" t="s">
        <v>629</v>
      </c>
      <c r="G29" t="s">
        <v>630</v>
      </c>
      <c r="K29">
        <v>116.22</v>
      </c>
      <c r="L29">
        <v>4820</v>
      </c>
      <c r="M29">
        <v>992</v>
      </c>
      <c r="N29">
        <v>1161</v>
      </c>
      <c r="O29">
        <v>8515</v>
      </c>
      <c r="P29">
        <v>24147</v>
      </c>
      <c r="Q29">
        <v>24147</v>
      </c>
      <c r="R29">
        <v>10132</v>
      </c>
      <c r="S29">
        <v>6760</v>
      </c>
      <c r="T29">
        <v>7255</v>
      </c>
      <c r="U29">
        <v>35370</v>
      </c>
      <c r="V29" t="b">
        <v>1</v>
      </c>
    </row>
    <row r="30" spans="1:22" x14ac:dyDescent="0.3">
      <c r="A30">
        <v>110762</v>
      </c>
      <c r="B30" t="s">
        <v>639</v>
      </c>
      <c r="G30" t="s">
        <v>631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2" x14ac:dyDescent="0.3">
      <c r="A31">
        <v>110762</v>
      </c>
      <c r="B31" t="s">
        <v>639</v>
      </c>
      <c r="G31" t="s">
        <v>631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2" x14ac:dyDescent="0.3">
      <c r="A32">
        <v>110762</v>
      </c>
      <c r="B32" t="s">
        <v>639</v>
      </c>
      <c r="C32" t="s">
        <v>812</v>
      </c>
      <c r="D32" t="s">
        <v>826</v>
      </c>
      <c r="E32" t="s">
        <v>629</v>
      </c>
      <c r="G32" t="s">
        <v>630</v>
      </c>
      <c r="K32">
        <v>44.92</v>
      </c>
      <c r="L32">
        <v>145</v>
      </c>
      <c r="M32">
        <v>2015</v>
      </c>
      <c r="N32">
        <v>535</v>
      </c>
      <c r="O32">
        <v>3765</v>
      </c>
      <c r="P32">
        <v>71107</v>
      </c>
      <c r="Q32">
        <v>71107</v>
      </c>
      <c r="R32">
        <v>29654</v>
      </c>
      <c r="S32">
        <v>17941</v>
      </c>
      <c r="T32">
        <v>23512</v>
      </c>
      <c r="U32">
        <v>102811</v>
      </c>
      <c r="V32" t="b">
        <v>1</v>
      </c>
    </row>
    <row r="33" spans="1:22" x14ac:dyDescent="0.3">
      <c r="A33">
        <v>110762</v>
      </c>
      <c r="B33" t="s">
        <v>639</v>
      </c>
      <c r="G33" t="s">
        <v>631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2" x14ac:dyDescent="0.3">
      <c r="A34">
        <v>105750</v>
      </c>
      <c r="B34" t="s">
        <v>587</v>
      </c>
      <c r="C34" t="s">
        <v>586</v>
      </c>
      <c r="E34" t="s">
        <v>629</v>
      </c>
      <c r="G34" t="s">
        <v>630</v>
      </c>
      <c r="K34">
        <v>116.22</v>
      </c>
      <c r="L34">
        <v>4820</v>
      </c>
      <c r="M34">
        <v>992</v>
      </c>
      <c r="N34">
        <v>1161</v>
      </c>
      <c r="O34">
        <v>8515</v>
      </c>
      <c r="P34">
        <v>23639</v>
      </c>
      <c r="Q34">
        <v>181349</v>
      </c>
      <c r="R34">
        <v>82326</v>
      </c>
      <c r="S34">
        <v>37507</v>
      </c>
      <c r="T34">
        <v>61516</v>
      </c>
      <c r="U34">
        <v>250554</v>
      </c>
      <c r="V34" t="b">
        <v>1</v>
      </c>
    </row>
    <row r="35" spans="1:22" x14ac:dyDescent="0.3">
      <c r="A35">
        <v>106214</v>
      </c>
      <c r="B35" t="s">
        <v>395</v>
      </c>
      <c r="G35" t="s">
        <v>631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2" x14ac:dyDescent="0.3">
      <c r="A36">
        <v>106214</v>
      </c>
      <c r="B36" t="s">
        <v>395</v>
      </c>
      <c r="C36" t="s">
        <v>597</v>
      </c>
      <c r="D36" t="s">
        <v>640</v>
      </c>
      <c r="E36" t="s">
        <v>629</v>
      </c>
      <c r="G36" t="s">
        <v>630</v>
      </c>
      <c r="K36">
        <v>16.13</v>
      </c>
      <c r="L36">
        <v>594</v>
      </c>
      <c r="M36">
        <v>60</v>
      </c>
      <c r="N36">
        <v>314</v>
      </c>
      <c r="O36">
        <v>1965</v>
      </c>
      <c r="P36">
        <v>198757</v>
      </c>
      <c r="Q36">
        <v>198757</v>
      </c>
      <c r="R36">
        <v>95102</v>
      </c>
      <c r="S36">
        <v>21746</v>
      </c>
      <c r="T36">
        <v>81909</v>
      </c>
      <c r="U36">
        <v>316536</v>
      </c>
      <c r="V36" t="b">
        <v>1</v>
      </c>
    </row>
    <row r="37" spans="1:22" x14ac:dyDescent="0.3">
      <c r="A37">
        <v>106214</v>
      </c>
      <c r="B37" t="s">
        <v>395</v>
      </c>
      <c r="G37" t="s">
        <v>631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2" x14ac:dyDescent="0.3">
      <c r="A38">
        <v>108513</v>
      </c>
      <c r="B38" t="s">
        <v>397</v>
      </c>
      <c r="G38" t="s">
        <v>631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2" x14ac:dyDescent="0.3">
      <c r="A39">
        <v>108513</v>
      </c>
      <c r="B39" t="s">
        <v>397</v>
      </c>
      <c r="C39" t="s">
        <v>600</v>
      </c>
      <c r="D39" t="s">
        <v>641</v>
      </c>
      <c r="E39" t="s">
        <v>629</v>
      </c>
      <c r="G39" t="s">
        <v>630</v>
      </c>
      <c r="K39">
        <v>16.13</v>
      </c>
      <c r="L39">
        <v>594</v>
      </c>
      <c r="M39">
        <v>60</v>
      </c>
      <c r="N39">
        <v>314</v>
      </c>
      <c r="O39">
        <v>1965</v>
      </c>
      <c r="P39">
        <v>2989</v>
      </c>
      <c r="Q39">
        <v>2989</v>
      </c>
      <c r="R39">
        <v>1523</v>
      </c>
      <c r="S39">
        <v>156</v>
      </c>
      <c r="T39">
        <v>1310</v>
      </c>
      <c r="U39">
        <v>6702</v>
      </c>
      <c r="V39" t="b">
        <v>1</v>
      </c>
    </row>
    <row r="40" spans="1:22" x14ac:dyDescent="0.3">
      <c r="A40">
        <v>108513</v>
      </c>
      <c r="B40" t="s">
        <v>397</v>
      </c>
      <c r="G40" t="s">
        <v>631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2" x14ac:dyDescent="0.3">
      <c r="A41">
        <v>110763</v>
      </c>
      <c r="B41" t="s">
        <v>396</v>
      </c>
      <c r="G41" t="s">
        <v>631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2" x14ac:dyDescent="0.3">
      <c r="A42">
        <v>110763</v>
      </c>
      <c r="B42" t="s">
        <v>396</v>
      </c>
      <c r="G42" t="s">
        <v>631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2" x14ac:dyDescent="0.3">
      <c r="A43">
        <v>110763</v>
      </c>
      <c r="B43" t="s">
        <v>396</v>
      </c>
      <c r="C43" t="s">
        <v>589</v>
      </c>
      <c r="E43" t="s">
        <v>629</v>
      </c>
      <c r="G43" t="s">
        <v>630</v>
      </c>
      <c r="K43">
        <v>16.13</v>
      </c>
      <c r="L43">
        <v>594</v>
      </c>
      <c r="M43">
        <v>60</v>
      </c>
      <c r="N43">
        <v>314</v>
      </c>
      <c r="O43">
        <v>1965</v>
      </c>
      <c r="P43">
        <v>63101</v>
      </c>
      <c r="Q43">
        <v>63101</v>
      </c>
      <c r="R43">
        <v>32335</v>
      </c>
      <c r="S43">
        <v>4359</v>
      </c>
      <c r="T43">
        <v>26407</v>
      </c>
      <c r="U43">
        <v>108616</v>
      </c>
      <c r="V43" t="b">
        <v>1</v>
      </c>
    </row>
    <row r="44" spans="1:22" x14ac:dyDescent="0.3">
      <c r="A44">
        <v>105519</v>
      </c>
      <c r="B44" t="s">
        <v>386</v>
      </c>
      <c r="C44" t="s">
        <v>571</v>
      </c>
      <c r="D44" t="s">
        <v>642</v>
      </c>
      <c r="E44" t="s">
        <v>643</v>
      </c>
      <c r="G44" t="s">
        <v>630</v>
      </c>
      <c r="K44">
        <v>136.77000000000001</v>
      </c>
      <c r="L44">
        <v>4029</v>
      </c>
      <c r="M44">
        <v>2442</v>
      </c>
      <c r="N44">
        <v>1735</v>
      </c>
      <c r="O44">
        <v>11100</v>
      </c>
      <c r="P44">
        <v>41042</v>
      </c>
      <c r="Q44">
        <v>41042</v>
      </c>
      <c r="R44">
        <v>20722</v>
      </c>
      <c r="S44">
        <v>9923</v>
      </c>
      <c r="T44">
        <v>10397</v>
      </c>
      <c r="U44">
        <v>55025</v>
      </c>
      <c r="V44" t="b">
        <v>1</v>
      </c>
    </row>
    <row r="45" spans="1:22" x14ac:dyDescent="0.3">
      <c r="A45">
        <v>105519</v>
      </c>
      <c r="B45" t="s">
        <v>386</v>
      </c>
      <c r="C45" t="s">
        <v>827</v>
      </c>
      <c r="D45" t="s">
        <v>642</v>
      </c>
      <c r="E45" t="s">
        <v>643</v>
      </c>
      <c r="G45" t="s">
        <v>630</v>
      </c>
      <c r="K45">
        <v>51.08</v>
      </c>
      <c r="L45">
        <v>1655</v>
      </c>
      <c r="M45">
        <v>655</v>
      </c>
      <c r="N45">
        <v>755</v>
      </c>
      <c r="O45">
        <v>3770</v>
      </c>
      <c r="P45">
        <v>74184</v>
      </c>
      <c r="Q45">
        <v>74184</v>
      </c>
      <c r="R45">
        <v>38304</v>
      </c>
      <c r="S45">
        <v>18348</v>
      </c>
      <c r="T45">
        <v>17532</v>
      </c>
      <c r="U45">
        <v>96873</v>
      </c>
      <c r="V45" t="b">
        <v>1</v>
      </c>
    </row>
    <row r="46" spans="1:22" x14ac:dyDescent="0.3">
      <c r="A46">
        <v>105519</v>
      </c>
      <c r="B46" t="s">
        <v>386</v>
      </c>
      <c r="C46" t="s">
        <v>644</v>
      </c>
      <c r="E46" t="s">
        <v>643</v>
      </c>
      <c r="G46" t="s">
        <v>630</v>
      </c>
      <c r="K46">
        <v>132.66999999999999</v>
      </c>
      <c r="L46">
        <v>3839</v>
      </c>
      <c r="M46">
        <v>2950</v>
      </c>
      <c r="N46">
        <v>1171</v>
      </c>
      <c r="O46">
        <v>9800</v>
      </c>
      <c r="P46">
        <v>826550</v>
      </c>
      <c r="Q46">
        <v>826550</v>
      </c>
      <c r="R46">
        <v>390871</v>
      </c>
      <c r="S46">
        <v>205357</v>
      </c>
      <c r="T46">
        <v>230322</v>
      </c>
      <c r="U46">
        <v>1128155</v>
      </c>
      <c r="V46" t="b">
        <v>1</v>
      </c>
    </row>
    <row r="47" spans="1:22" x14ac:dyDescent="0.3">
      <c r="A47">
        <v>106587</v>
      </c>
      <c r="B47" t="s">
        <v>584</v>
      </c>
      <c r="C47" t="s">
        <v>811</v>
      </c>
      <c r="E47" t="s">
        <v>629</v>
      </c>
      <c r="G47" t="s">
        <v>630</v>
      </c>
      <c r="K47">
        <v>44.92</v>
      </c>
      <c r="L47">
        <v>145</v>
      </c>
      <c r="M47">
        <v>2015</v>
      </c>
      <c r="N47">
        <v>535</v>
      </c>
      <c r="O47">
        <v>3765</v>
      </c>
      <c r="P47">
        <v>288327</v>
      </c>
      <c r="Q47">
        <v>288327</v>
      </c>
      <c r="R47">
        <v>128576</v>
      </c>
      <c r="S47">
        <v>85316</v>
      </c>
      <c r="T47">
        <v>74435</v>
      </c>
      <c r="U47">
        <v>381641</v>
      </c>
      <c r="V47" t="b">
        <v>1</v>
      </c>
    </row>
    <row r="48" spans="1:22" x14ac:dyDescent="0.3">
      <c r="A48">
        <v>106587</v>
      </c>
      <c r="B48" t="s">
        <v>584</v>
      </c>
      <c r="G48" t="s">
        <v>631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2" x14ac:dyDescent="0.3">
      <c r="A49">
        <v>106587</v>
      </c>
      <c r="B49" t="s">
        <v>584</v>
      </c>
      <c r="C49" t="s">
        <v>583</v>
      </c>
      <c r="E49" t="s">
        <v>629</v>
      </c>
      <c r="G49" t="s">
        <v>630</v>
      </c>
      <c r="K49">
        <v>116.22</v>
      </c>
      <c r="L49">
        <v>4820</v>
      </c>
      <c r="M49">
        <v>992</v>
      </c>
      <c r="N49">
        <v>1161</v>
      </c>
      <c r="O49">
        <v>8515</v>
      </c>
      <c r="P49">
        <v>28808</v>
      </c>
      <c r="Q49">
        <v>28808</v>
      </c>
      <c r="R49">
        <v>17757</v>
      </c>
      <c r="S49">
        <v>2929</v>
      </c>
      <c r="T49">
        <v>8122</v>
      </c>
      <c r="U49">
        <v>44560</v>
      </c>
      <c r="V49" t="b">
        <v>1</v>
      </c>
    </row>
    <row r="50" spans="1:22" x14ac:dyDescent="0.3">
      <c r="A50">
        <v>106587</v>
      </c>
      <c r="B50" t="s">
        <v>584</v>
      </c>
      <c r="G50" t="s">
        <v>631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2" x14ac:dyDescent="0.3">
      <c r="A51">
        <v>106587</v>
      </c>
      <c r="B51" t="s">
        <v>584</v>
      </c>
      <c r="G51" t="s">
        <v>631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2" x14ac:dyDescent="0.3">
      <c r="A52">
        <v>107030</v>
      </c>
      <c r="B52" t="s">
        <v>599</v>
      </c>
      <c r="G52" t="s">
        <v>631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2" x14ac:dyDescent="0.3">
      <c r="A53">
        <v>107030</v>
      </c>
      <c r="B53" t="s">
        <v>599</v>
      </c>
      <c r="G53" t="s">
        <v>631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2" x14ac:dyDescent="0.3">
      <c r="A54">
        <v>107030</v>
      </c>
      <c r="B54" t="s">
        <v>599</v>
      </c>
      <c r="C54" t="s">
        <v>598</v>
      </c>
      <c r="D54" t="s">
        <v>645</v>
      </c>
      <c r="E54" t="s">
        <v>629</v>
      </c>
      <c r="G54" t="s">
        <v>630</v>
      </c>
      <c r="K54">
        <v>16.13</v>
      </c>
      <c r="L54">
        <v>594</v>
      </c>
      <c r="M54">
        <v>60</v>
      </c>
      <c r="N54">
        <v>314</v>
      </c>
      <c r="O54">
        <v>1965</v>
      </c>
      <c r="P54">
        <v>58190</v>
      </c>
      <c r="Q54">
        <v>58190</v>
      </c>
      <c r="R54">
        <v>29300</v>
      </c>
      <c r="S54">
        <v>3482</v>
      </c>
      <c r="T54">
        <v>25408</v>
      </c>
      <c r="U54">
        <v>94959</v>
      </c>
      <c r="V54" t="b">
        <v>1</v>
      </c>
    </row>
    <row r="55" spans="1:22" x14ac:dyDescent="0.3">
      <c r="A55">
        <v>103619</v>
      </c>
      <c r="B55" t="s">
        <v>596</v>
      </c>
      <c r="C55" t="s">
        <v>595</v>
      </c>
      <c r="E55" t="s">
        <v>629</v>
      </c>
      <c r="G55" t="s">
        <v>630</v>
      </c>
      <c r="K55">
        <v>16.13</v>
      </c>
      <c r="L55">
        <v>594</v>
      </c>
      <c r="M55">
        <v>60</v>
      </c>
      <c r="N55">
        <v>314</v>
      </c>
      <c r="O55">
        <v>1965</v>
      </c>
      <c r="P55">
        <v>3624</v>
      </c>
      <c r="Q55">
        <v>77682</v>
      </c>
      <c r="R55">
        <v>36643</v>
      </c>
      <c r="S55">
        <v>4041</v>
      </c>
      <c r="T55">
        <v>36998</v>
      </c>
      <c r="U55">
        <v>134012</v>
      </c>
      <c r="V55" t="b">
        <v>1</v>
      </c>
    </row>
    <row r="56" spans="1:22" x14ac:dyDescent="0.3">
      <c r="A56">
        <v>103619</v>
      </c>
      <c r="B56" t="s">
        <v>596</v>
      </c>
      <c r="G56" t="s">
        <v>631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2" x14ac:dyDescent="0.3">
      <c r="A57">
        <v>103619</v>
      </c>
      <c r="B57" t="s">
        <v>596</v>
      </c>
      <c r="G57" t="s">
        <v>631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2" x14ac:dyDescent="0.3">
      <c r="A58">
        <v>108809</v>
      </c>
      <c r="B58" t="s">
        <v>389</v>
      </c>
      <c r="G58" t="s">
        <v>631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2" x14ac:dyDescent="0.3">
      <c r="A59">
        <v>108809</v>
      </c>
      <c r="B59" t="s">
        <v>389</v>
      </c>
      <c r="C59" t="s">
        <v>388</v>
      </c>
      <c r="E59" t="s">
        <v>629</v>
      </c>
      <c r="G59" t="s">
        <v>630</v>
      </c>
      <c r="K59">
        <v>92.17</v>
      </c>
      <c r="L59">
        <v>2309</v>
      </c>
      <c r="M59">
        <v>2325</v>
      </c>
      <c r="N59">
        <v>896</v>
      </c>
      <c r="O59">
        <v>6655</v>
      </c>
      <c r="P59">
        <v>128475</v>
      </c>
      <c r="Q59">
        <v>128475</v>
      </c>
      <c r="R59">
        <v>69870</v>
      </c>
      <c r="S59">
        <v>30428</v>
      </c>
      <c r="T59">
        <v>28177</v>
      </c>
      <c r="U59">
        <v>165487</v>
      </c>
      <c r="V59" t="b">
        <v>1</v>
      </c>
    </row>
    <row r="60" spans="1:22" x14ac:dyDescent="0.3">
      <c r="A60">
        <v>108809</v>
      </c>
      <c r="B60" t="s">
        <v>389</v>
      </c>
      <c r="G60" t="s">
        <v>631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2" x14ac:dyDescent="0.3">
      <c r="A61">
        <v>108809</v>
      </c>
      <c r="B61" t="s">
        <v>389</v>
      </c>
      <c r="C61" t="s">
        <v>828</v>
      </c>
      <c r="E61" t="s">
        <v>629</v>
      </c>
      <c r="G61" t="s">
        <v>630</v>
      </c>
      <c r="K61">
        <v>51.08</v>
      </c>
      <c r="L61">
        <v>1655</v>
      </c>
      <c r="M61">
        <v>655</v>
      </c>
      <c r="N61">
        <v>755</v>
      </c>
      <c r="O61">
        <v>3770</v>
      </c>
      <c r="P61">
        <v>29905</v>
      </c>
      <c r="Q61">
        <v>29905</v>
      </c>
      <c r="R61">
        <v>17783</v>
      </c>
      <c r="S61">
        <v>5753</v>
      </c>
      <c r="T61">
        <v>6369</v>
      </c>
      <c r="U61">
        <v>39865</v>
      </c>
      <c r="V61" t="b">
        <v>1</v>
      </c>
    </row>
    <row r="62" spans="1:22" x14ac:dyDescent="0.3">
      <c r="A62">
        <v>108809</v>
      </c>
      <c r="B62" t="s">
        <v>389</v>
      </c>
      <c r="G62" t="s">
        <v>631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2" x14ac:dyDescent="0.3">
      <c r="A63">
        <v>108809</v>
      </c>
      <c r="B63" t="s">
        <v>389</v>
      </c>
      <c r="G63" t="s">
        <v>631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2" x14ac:dyDescent="0.3">
      <c r="A64">
        <v>108623</v>
      </c>
      <c r="B64" t="s">
        <v>394</v>
      </c>
      <c r="C64" t="s">
        <v>576</v>
      </c>
      <c r="E64" t="s">
        <v>643</v>
      </c>
      <c r="G64" t="s">
        <v>630</v>
      </c>
      <c r="K64">
        <v>136.77000000000001</v>
      </c>
      <c r="L64">
        <v>4029</v>
      </c>
      <c r="M64">
        <v>2442</v>
      </c>
      <c r="N64">
        <v>1735</v>
      </c>
      <c r="O64">
        <v>11100</v>
      </c>
      <c r="P64">
        <v>64286</v>
      </c>
      <c r="Q64">
        <v>64286</v>
      </c>
      <c r="R64">
        <v>36366</v>
      </c>
      <c r="S64">
        <v>12191</v>
      </c>
      <c r="T64">
        <v>15729</v>
      </c>
      <c r="U64">
        <v>85862</v>
      </c>
      <c r="V64" t="b">
        <v>1</v>
      </c>
    </row>
    <row r="65" spans="1:22" x14ac:dyDescent="0.3">
      <c r="A65">
        <v>108623</v>
      </c>
      <c r="B65" t="s">
        <v>394</v>
      </c>
      <c r="C65" t="s">
        <v>829</v>
      </c>
      <c r="E65" t="s">
        <v>643</v>
      </c>
      <c r="G65" t="s">
        <v>630</v>
      </c>
      <c r="K65">
        <v>51.08</v>
      </c>
      <c r="L65">
        <v>1655</v>
      </c>
      <c r="M65">
        <v>655</v>
      </c>
      <c r="N65">
        <v>755</v>
      </c>
      <c r="O65">
        <v>3770</v>
      </c>
      <c r="P65">
        <v>55957</v>
      </c>
      <c r="Q65">
        <v>55957</v>
      </c>
      <c r="R65">
        <v>30549</v>
      </c>
      <c r="S65">
        <v>11058</v>
      </c>
      <c r="T65">
        <v>14350</v>
      </c>
      <c r="U65">
        <v>73628</v>
      </c>
      <c r="V65" t="b">
        <v>1</v>
      </c>
    </row>
    <row r="66" spans="1:22" x14ac:dyDescent="0.3">
      <c r="A66">
        <v>108623</v>
      </c>
      <c r="B66" t="s">
        <v>394</v>
      </c>
      <c r="C66" t="s">
        <v>646</v>
      </c>
      <c r="E66" t="s">
        <v>643</v>
      </c>
      <c r="G66" t="s">
        <v>630</v>
      </c>
      <c r="K66">
        <v>132.66999999999999</v>
      </c>
      <c r="L66">
        <v>3839</v>
      </c>
      <c r="M66">
        <v>2950</v>
      </c>
      <c r="N66">
        <v>1171</v>
      </c>
      <c r="O66">
        <v>9800</v>
      </c>
      <c r="P66">
        <v>106452</v>
      </c>
      <c r="Q66">
        <v>106452</v>
      </c>
      <c r="R66">
        <v>60500</v>
      </c>
      <c r="S66">
        <v>19441</v>
      </c>
      <c r="T66">
        <v>26511</v>
      </c>
      <c r="U66">
        <v>136598</v>
      </c>
      <c r="V66" t="b">
        <v>1</v>
      </c>
    </row>
    <row r="67" spans="1:22" x14ac:dyDescent="0.3">
      <c r="A67">
        <v>103552</v>
      </c>
      <c r="B67" t="s">
        <v>573</v>
      </c>
      <c r="C67" t="s">
        <v>572</v>
      </c>
      <c r="E67" t="s">
        <v>629</v>
      </c>
      <c r="G67" t="s">
        <v>630</v>
      </c>
      <c r="K67">
        <v>161.13</v>
      </c>
      <c r="L67">
        <v>4965</v>
      </c>
      <c r="M67">
        <v>3007</v>
      </c>
      <c r="N67">
        <v>1696</v>
      </c>
      <c r="O67">
        <v>12280</v>
      </c>
      <c r="P67">
        <v>9668</v>
      </c>
      <c r="Q67">
        <v>9668</v>
      </c>
      <c r="R67">
        <v>227807</v>
      </c>
      <c r="S67">
        <v>158334</v>
      </c>
      <c r="T67">
        <v>149025</v>
      </c>
      <c r="U67">
        <v>711129</v>
      </c>
      <c r="V67" t="b">
        <v>1</v>
      </c>
    </row>
    <row r="68" spans="1:22" x14ac:dyDescent="0.3">
      <c r="A68">
        <v>103552</v>
      </c>
      <c r="B68" t="s">
        <v>573</v>
      </c>
      <c r="G68" t="s">
        <v>631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2" x14ac:dyDescent="0.3">
      <c r="A69">
        <v>103552</v>
      </c>
      <c r="B69" t="s">
        <v>573</v>
      </c>
      <c r="G69" t="s">
        <v>631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2" x14ac:dyDescent="0.3">
      <c r="A70">
        <v>103552</v>
      </c>
      <c r="B70" t="s">
        <v>573</v>
      </c>
      <c r="C70" t="s">
        <v>577</v>
      </c>
      <c r="E70" t="s">
        <v>629</v>
      </c>
      <c r="G70" t="s">
        <v>630</v>
      </c>
      <c r="K70">
        <v>161.13</v>
      </c>
      <c r="L70">
        <v>4965</v>
      </c>
      <c r="M70">
        <v>3007</v>
      </c>
      <c r="N70">
        <v>1696</v>
      </c>
      <c r="O70">
        <v>12280</v>
      </c>
      <c r="P70">
        <v>368790</v>
      </c>
      <c r="Q70">
        <v>9668</v>
      </c>
      <c r="R70">
        <v>177912</v>
      </c>
      <c r="S70">
        <v>106298</v>
      </c>
      <c r="T70">
        <v>84580</v>
      </c>
      <c r="U70">
        <v>487550</v>
      </c>
      <c r="V70" t="b">
        <v>1</v>
      </c>
    </row>
    <row r="71" spans="1:22" x14ac:dyDescent="0.3">
      <c r="A71">
        <v>103552</v>
      </c>
      <c r="B71" t="s">
        <v>573</v>
      </c>
      <c r="G71" t="s">
        <v>631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2" x14ac:dyDescent="0.3">
      <c r="A72">
        <v>103552</v>
      </c>
      <c r="B72" t="s">
        <v>573</v>
      </c>
      <c r="C72" t="s">
        <v>647</v>
      </c>
      <c r="E72" t="s">
        <v>629</v>
      </c>
      <c r="G72" t="s">
        <v>630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62168</v>
      </c>
      <c r="S72">
        <v>54126</v>
      </c>
      <c r="T72">
        <v>44901</v>
      </c>
      <c r="U72">
        <v>222981</v>
      </c>
      <c r="V72" t="b">
        <v>1</v>
      </c>
    </row>
    <row r="73" spans="1:22" x14ac:dyDescent="0.3">
      <c r="A73">
        <v>109507</v>
      </c>
      <c r="B73" t="s">
        <v>648</v>
      </c>
      <c r="G73" t="s">
        <v>631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2" x14ac:dyDescent="0.3">
      <c r="A74">
        <v>109507</v>
      </c>
      <c r="B74" t="s">
        <v>648</v>
      </c>
      <c r="G74" t="s">
        <v>631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2" x14ac:dyDescent="0.3">
      <c r="A75">
        <v>109507</v>
      </c>
      <c r="B75" t="s">
        <v>648</v>
      </c>
      <c r="G75" t="s">
        <v>631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2" x14ac:dyDescent="0.3">
      <c r="A76">
        <v>104054</v>
      </c>
      <c r="B76" t="s">
        <v>649</v>
      </c>
      <c r="C76" t="s">
        <v>650</v>
      </c>
      <c r="E76" t="s">
        <v>643</v>
      </c>
      <c r="G76" t="s">
        <v>630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b">
        <v>1</v>
      </c>
    </row>
    <row r="77" spans="1:22" x14ac:dyDescent="0.3">
      <c r="A77">
        <v>104054</v>
      </c>
      <c r="B77" t="s">
        <v>649</v>
      </c>
      <c r="C77" t="s">
        <v>651</v>
      </c>
      <c r="E77" t="s">
        <v>643</v>
      </c>
      <c r="G77" t="s">
        <v>630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b">
        <v>1</v>
      </c>
    </row>
    <row r="78" spans="1:22" x14ac:dyDescent="0.3">
      <c r="A78">
        <v>104054</v>
      </c>
      <c r="B78" t="s">
        <v>649</v>
      </c>
      <c r="C78" t="s">
        <v>653</v>
      </c>
      <c r="E78" t="s">
        <v>643</v>
      </c>
      <c r="G78" t="s">
        <v>630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b">
        <v>1</v>
      </c>
    </row>
    <row r="79" spans="1:22" x14ac:dyDescent="0.3">
      <c r="A79">
        <v>104054</v>
      </c>
      <c r="B79" t="s">
        <v>649</v>
      </c>
      <c r="C79" t="s">
        <v>652</v>
      </c>
      <c r="E79" t="s">
        <v>643</v>
      </c>
      <c r="G79" t="s">
        <v>630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 t="b">
        <v>1</v>
      </c>
    </row>
    <row r="80" spans="1:22" x14ac:dyDescent="0.3">
      <c r="A80">
        <v>104054</v>
      </c>
      <c r="B80" t="s">
        <v>649</v>
      </c>
      <c r="C80" t="s">
        <v>654</v>
      </c>
      <c r="E80" t="s">
        <v>643</v>
      </c>
      <c r="G80" t="s">
        <v>630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 t="b">
        <v>1</v>
      </c>
    </row>
    <row r="81" spans="1:22" x14ac:dyDescent="0.3">
      <c r="A81">
        <v>108470</v>
      </c>
      <c r="B81" t="s">
        <v>655</v>
      </c>
      <c r="G81" t="s">
        <v>631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2" x14ac:dyDescent="0.3">
      <c r="A82">
        <v>108470</v>
      </c>
      <c r="B82" t="s">
        <v>655</v>
      </c>
      <c r="G82" t="s">
        <v>631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2" x14ac:dyDescent="0.3">
      <c r="A83">
        <v>108470</v>
      </c>
      <c r="B83" t="s">
        <v>655</v>
      </c>
      <c r="C83" t="s">
        <v>657</v>
      </c>
      <c r="E83" t="s">
        <v>629</v>
      </c>
      <c r="G83" t="s">
        <v>630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 t="b">
        <v>1</v>
      </c>
    </row>
    <row r="84" spans="1:22" x14ac:dyDescent="0.3">
      <c r="A84">
        <v>108470</v>
      </c>
      <c r="B84" t="s">
        <v>655</v>
      </c>
      <c r="C84" t="s">
        <v>656</v>
      </c>
      <c r="E84" t="s">
        <v>629</v>
      </c>
      <c r="G84" t="s">
        <v>630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 t="b">
        <v>1</v>
      </c>
    </row>
    <row r="85" spans="1:22" x14ac:dyDescent="0.3">
      <c r="A85">
        <v>104012</v>
      </c>
      <c r="B85" t="s">
        <v>658</v>
      </c>
      <c r="G85" t="s">
        <v>631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2" x14ac:dyDescent="0.3">
      <c r="A86">
        <v>104012</v>
      </c>
      <c r="B86" t="s">
        <v>658</v>
      </c>
      <c r="C86" t="s">
        <v>659</v>
      </c>
      <c r="E86" t="s">
        <v>629</v>
      </c>
      <c r="G86" t="s">
        <v>630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 t="b">
        <v>1</v>
      </c>
    </row>
    <row r="87" spans="1:22" x14ac:dyDescent="0.3">
      <c r="A87">
        <v>104012</v>
      </c>
      <c r="B87" t="s">
        <v>658</v>
      </c>
      <c r="G87" t="s">
        <v>631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2" x14ac:dyDescent="0.3">
      <c r="A88">
        <v>104012</v>
      </c>
      <c r="B88" t="s">
        <v>658</v>
      </c>
      <c r="C88" t="s">
        <v>660</v>
      </c>
      <c r="E88" t="s">
        <v>629</v>
      </c>
      <c r="G88" t="s">
        <v>630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 t="b">
        <v>1</v>
      </c>
    </row>
    <row r="89" spans="1:22" x14ac:dyDescent="0.3">
      <c r="A89">
        <v>103689</v>
      </c>
      <c r="B89" t="s">
        <v>661</v>
      </c>
      <c r="C89" t="s">
        <v>662</v>
      </c>
      <c r="D89" t="s">
        <v>663</v>
      </c>
      <c r="E89" t="s">
        <v>629</v>
      </c>
      <c r="G89" t="s">
        <v>630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 t="b">
        <v>1</v>
      </c>
    </row>
    <row r="90" spans="1:22" x14ac:dyDescent="0.3">
      <c r="A90">
        <v>103689</v>
      </c>
      <c r="B90" t="s">
        <v>661</v>
      </c>
      <c r="C90" t="s">
        <v>664</v>
      </c>
      <c r="E90" t="s">
        <v>629</v>
      </c>
      <c r="G90" t="s">
        <v>630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 t="b">
        <v>1</v>
      </c>
    </row>
    <row r="91" spans="1:22" x14ac:dyDescent="0.3">
      <c r="A91">
        <v>111244</v>
      </c>
      <c r="B91" t="s">
        <v>391</v>
      </c>
      <c r="C91" t="s">
        <v>665</v>
      </c>
      <c r="D91" t="s">
        <v>666</v>
      </c>
      <c r="E91" t="s">
        <v>629</v>
      </c>
      <c r="F91" t="s">
        <v>667</v>
      </c>
      <c r="G91" t="s">
        <v>630</v>
      </c>
      <c r="K91">
        <v>92.17</v>
      </c>
      <c r="L91">
        <v>2309</v>
      </c>
      <c r="M91">
        <v>2325</v>
      </c>
      <c r="N91">
        <v>896</v>
      </c>
      <c r="O91">
        <v>6655</v>
      </c>
      <c r="P91">
        <v>215504</v>
      </c>
      <c r="Q91">
        <v>215504</v>
      </c>
      <c r="R91">
        <v>103063</v>
      </c>
      <c r="S91">
        <v>50851</v>
      </c>
      <c r="T91">
        <v>61590</v>
      </c>
      <c r="U91">
        <v>286191</v>
      </c>
      <c r="V91" t="b">
        <v>1</v>
      </c>
    </row>
    <row r="92" spans="1:22" x14ac:dyDescent="0.3">
      <c r="A92">
        <v>111244</v>
      </c>
      <c r="B92" t="s">
        <v>391</v>
      </c>
      <c r="C92" t="s">
        <v>668</v>
      </c>
      <c r="D92" t="s">
        <v>669</v>
      </c>
      <c r="E92" t="s">
        <v>629</v>
      </c>
      <c r="F92" t="s">
        <v>667</v>
      </c>
      <c r="G92" t="s">
        <v>630</v>
      </c>
      <c r="K92">
        <v>51.08</v>
      </c>
      <c r="L92">
        <v>1655</v>
      </c>
      <c r="M92">
        <v>655</v>
      </c>
      <c r="N92">
        <v>755</v>
      </c>
      <c r="O92">
        <v>3770</v>
      </c>
      <c r="P92">
        <v>63402</v>
      </c>
      <c r="Q92">
        <v>63402</v>
      </c>
      <c r="R92">
        <v>35805</v>
      </c>
      <c r="S92">
        <v>10273</v>
      </c>
      <c r="T92">
        <v>17324</v>
      </c>
      <c r="U92">
        <v>84202</v>
      </c>
      <c r="V92" t="b">
        <v>1</v>
      </c>
    </row>
    <row r="93" spans="1:22" x14ac:dyDescent="0.3">
      <c r="A93">
        <v>111244</v>
      </c>
      <c r="B93" t="s">
        <v>391</v>
      </c>
      <c r="G93" t="s">
        <v>631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2" x14ac:dyDescent="0.3">
      <c r="A94">
        <v>111244</v>
      </c>
      <c r="B94" t="s">
        <v>391</v>
      </c>
      <c r="G94" t="s">
        <v>631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2" x14ac:dyDescent="0.3">
      <c r="A95">
        <v>111244</v>
      </c>
      <c r="B95" t="s">
        <v>391</v>
      </c>
      <c r="C95" t="s">
        <v>884</v>
      </c>
      <c r="D95" t="s">
        <v>885</v>
      </c>
      <c r="E95" t="s">
        <v>629</v>
      </c>
      <c r="F95" t="s">
        <v>667</v>
      </c>
      <c r="G95" t="s">
        <v>630</v>
      </c>
      <c r="K95">
        <v>0</v>
      </c>
      <c r="L95">
        <v>0</v>
      </c>
      <c r="M95">
        <v>0</v>
      </c>
      <c r="N95">
        <v>0</v>
      </c>
      <c r="O95">
        <v>0</v>
      </c>
      <c r="P95">
        <v>150640</v>
      </c>
      <c r="Q95">
        <v>150640</v>
      </c>
      <c r="R95">
        <v>80646</v>
      </c>
      <c r="S95">
        <v>30230</v>
      </c>
      <c r="T95">
        <v>39764</v>
      </c>
      <c r="U95">
        <v>193315</v>
      </c>
      <c r="V95" t="b">
        <v>1</v>
      </c>
    </row>
    <row r="96" spans="1:22" x14ac:dyDescent="0.3">
      <c r="A96">
        <v>108599</v>
      </c>
      <c r="B96" t="s">
        <v>585</v>
      </c>
      <c r="C96" t="s">
        <v>469</v>
      </c>
      <c r="D96" t="s">
        <v>670</v>
      </c>
      <c r="E96" t="s">
        <v>629</v>
      </c>
      <c r="F96" t="s">
        <v>667</v>
      </c>
      <c r="G96" t="s">
        <v>630</v>
      </c>
      <c r="K96">
        <v>0</v>
      </c>
      <c r="L96">
        <v>0</v>
      </c>
      <c r="M96">
        <v>0</v>
      </c>
      <c r="N96">
        <v>0</v>
      </c>
      <c r="O96">
        <v>0</v>
      </c>
      <c r="P96">
        <v>57560</v>
      </c>
      <c r="Q96">
        <v>57560</v>
      </c>
      <c r="R96">
        <v>29337</v>
      </c>
      <c r="S96">
        <v>11820</v>
      </c>
      <c r="T96">
        <v>16403</v>
      </c>
      <c r="U96">
        <v>80057</v>
      </c>
      <c r="V96" t="b">
        <v>1</v>
      </c>
    </row>
    <row r="97" spans="1:22" x14ac:dyDescent="0.3">
      <c r="A97">
        <v>108599</v>
      </c>
      <c r="B97" t="s">
        <v>585</v>
      </c>
      <c r="C97" t="s">
        <v>830</v>
      </c>
      <c r="D97" t="s">
        <v>831</v>
      </c>
      <c r="E97" t="s">
        <v>629</v>
      </c>
      <c r="F97" t="s">
        <v>667</v>
      </c>
      <c r="G97" t="s">
        <v>630</v>
      </c>
      <c r="K97">
        <v>0</v>
      </c>
      <c r="L97">
        <v>0</v>
      </c>
      <c r="M97">
        <v>0</v>
      </c>
      <c r="N97">
        <v>0</v>
      </c>
      <c r="O97">
        <v>0</v>
      </c>
      <c r="P97">
        <v>7424</v>
      </c>
      <c r="Q97">
        <v>7424</v>
      </c>
      <c r="R97">
        <v>3391</v>
      </c>
      <c r="S97">
        <v>1964</v>
      </c>
      <c r="T97">
        <v>2069</v>
      </c>
      <c r="U97">
        <v>12495</v>
      </c>
      <c r="V97" t="b">
        <v>1</v>
      </c>
    </row>
    <row r="98" spans="1:22" x14ac:dyDescent="0.3">
      <c r="A98">
        <v>108599</v>
      </c>
      <c r="B98" t="s">
        <v>585</v>
      </c>
      <c r="C98" t="s">
        <v>467</v>
      </c>
      <c r="E98" t="s">
        <v>629</v>
      </c>
      <c r="F98" t="s">
        <v>667</v>
      </c>
      <c r="G98" t="s">
        <v>630</v>
      </c>
      <c r="K98">
        <v>0</v>
      </c>
      <c r="L98">
        <v>0</v>
      </c>
      <c r="M98">
        <v>0</v>
      </c>
      <c r="N98">
        <v>0</v>
      </c>
      <c r="O98">
        <v>0</v>
      </c>
      <c r="P98">
        <v>70850</v>
      </c>
      <c r="Q98">
        <v>70850</v>
      </c>
      <c r="R98">
        <v>34088</v>
      </c>
      <c r="S98">
        <v>15060</v>
      </c>
      <c r="T98">
        <v>21702</v>
      </c>
      <c r="U98">
        <v>99298</v>
      </c>
      <c r="V98" t="b">
        <v>1</v>
      </c>
    </row>
    <row r="99" spans="1:22" x14ac:dyDescent="0.3">
      <c r="A99">
        <v>108599</v>
      </c>
      <c r="B99" t="s">
        <v>585</v>
      </c>
      <c r="C99" t="s">
        <v>466</v>
      </c>
      <c r="E99" t="s">
        <v>629</v>
      </c>
      <c r="F99" t="s">
        <v>667</v>
      </c>
      <c r="G99" t="s">
        <v>630</v>
      </c>
      <c r="K99">
        <v>44.92</v>
      </c>
      <c r="L99">
        <v>145</v>
      </c>
      <c r="M99">
        <v>2015</v>
      </c>
      <c r="N99">
        <v>535</v>
      </c>
      <c r="O99">
        <v>3765</v>
      </c>
      <c r="P99">
        <v>55143</v>
      </c>
      <c r="Q99">
        <v>55143</v>
      </c>
      <c r="R99">
        <v>25740</v>
      </c>
      <c r="S99">
        <v>14930</v>
      </c>
      <c r="T99">
        <v>14473</v>
      </c>
      <c r="U99">
        <v>71574</v>
      </c>
      <c r="V99" t="b">
        <v>1</v>
      </c>
    </row>
    <row r="100" spans="1:22" x14ac:dyDescent="0.3">
      <c r="A100">
        <v>108599</v>
      </c>
      <c r="B100" t="s">
        <v>585</v>
      </c>
      <c r="C100" t="s">
        <v>468</v>
      </c>
      <c r="E100" t="s">
        <v>629</v>
      </c>
      <c r="F100" t="s">
        <v>667</v>
      </c>
      <c r="G100" t="s">
        <v>630</v>
      </c>
      <c r="K100">
        <v>75.72</v>
      </c>
      <c r="L100">
        <v>3290</v>
      </c>
      <c r="M100">
        <v>367</v>
      </c>
      <c r="N100">
        <v>886</v>
      </c>
      <c r="O100">
        <v>5370</v>
      </c>
      <c r="P100">
        <v>90997</v>
      </c>
      <c r="Q100">
        <v>90997</v>
      </c>
      <c r="R100">
        <v>53843</v>
      </c>
      <c r="S100">
        <v>16624</v>
      </c>
      <c r="T100">
        <v>20530</v>
      </c>
      <c r="U100">
        <v>108318</v>
      </c>
      <c r="V100" t="b">
        <v>1</v>
      </c>
    </row>
    <row r="101" spans="1:22" x14ac:dyDescent="0.3">
      <c r="A101">
        <v>110251</v>
      </c>
      <c r="B101" t="s">
        <v>602</v>
      </c>
      <c r="C101" t="s">
        <v>601</v>
      </c>
      <c r="D101" t="s">
        <v>673</v>
      </c>
      <c r="E101" t="s">
        <v>629</v>
      </c>
      <c r="F101" t="s">
        <v>667</v>
      </c>
      <c r="G101" t="s">
        <v>630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19333</v>
      </c>
      <c r="Q101">
        <v>19333</v>
      </c>
      <c r="R101">
        <v>7609</v>
      </c>
      <c r="S101">
        <v>1529</v>
      </c>
      <c r="T101">
        <v>10195</v>
      </c>
      <c r="U101">
        <v>28535</v>
      </c>
      <c r="V101" t="b">
        <v>1</v>
      </c>
    </row>
    <row r="102" spans="1:22" x14ac:dyDescent="0.3">
      <c r="A102">
        <v>110251</v>
      </c>
      <c r="B102" t="s">
        <v>602</v>
      </c>
      <c r="C102" t="s">
        <v>671</v>
      </c>
      <c r="D102" t="s">
        <v>672</v>
      </c>
      <c r="E102" t="s">
        <v>629</v>
      </c>
      <c r="F102" t="s">
        <v>667</v>
      </c>
      <c r="G102" t="s">
        <v>630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6704</v>
      </c>
      <c r="Q102">
        <v>6704</v>
      </c>
      <c r="R102">
        <v>3102</v>
      </c>
      <c r="S102">
        <v>415</v>
      </c>
      <c r="T102">
        <v>3187</v>
      </c>
      <c r="U102">
        <v>15144</v>
      </c>
      <c r="V102" t="b">
        <v>1</v>
      </c>
    </row>
    <row r="103" spans="1:22" x14ac:dyDescent="0.3">
      <c r="A103">
        <v>104508</v>
      </c>
      <c r="B103" t="s">
        <v>674</v>
      </c>
      <c r="C103">
        <v>976</v>
      </c>
      <c r="E103" t="s">
        <v>643</v>
      </c>
      <c r="G103" t="s">
        <v>630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1109</v>
      </c>
      <c r="Q103">
        <v>1109</v>
      </c>
      <c r="R103">
        <v>505</v>
      </c>
      <c r="S103">
        <v>243</v>
      </c>
      <c r="T103">
        <v>361</v>
      </c>
      <c r="U103">
        <v>2445</v>
      </c>
      <c r="V103" t="b">
        <v>1</v>
      </c>
    </row>
    <row r="104" spans="1:22" x14ac:dyDescent="0.3">
      <c r="A104">
        <v>103562</v>
      </c>
      <c r="B104" t="s">
        <v>675</v>
      </c>
      <c r="G104" t="s">
        <v>631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2" x14ac:dyDescent="0.3">
      <c r="A105">
        <v>103562</v>
      </c>
      <c r="B105" t="s">
        <v>675</v>
      </c>
      <c r="G105" t="s">
        <v>631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2" x14ac:dyDescent="0.3">
      <c r="A106">
        <v>105050</v>
      </c>
      <c r="B106" t="s">
        <v>591</v>
      </c>
      <c r="G106" t="s">
        <v>631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2" x14ac:dyDescent="0.3">
      <c r="A107">
        <v>105050</v>
      </c>
      <c r="B107" t="s">
        <v>591</v>
      </c>
      <c r="G107" t="s">
        <v>631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2" x14ac:dyDescent="0.3">
      <c r="A108">
        <v>105050</v>
      </c>
      <c r="B108" t="s">
        <v>591</v>
      </c>
      <c r="C108" t="s">
        <v>676</v>
      </c>
      <c r="E108" t="s">
        <v>629</v>
      </c>
      <c r="G108" t="s">
        <v>630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72410</v>
      </c>
      <c r="Q108">
        <v>72410</v>
      </c>
      <c r="R108">
        <v>33882</v>
      </c>
      <c r="S108">
        <v>7204</v>
      </c>
      <c r="T108">
        <v>31324</v>
      </c>
      <c r="U108">
        <v>118850</v>
      </c>
      <c r="V108" t="b">
        <v>1</v>
      </c>
    </row>
    <row r="109" spans="1:22" x14ac:dyDescent="0.3">
      <c r="A109">
        <v>105050</v>
      </c>
      <c r="B109" t="s">
        <v>591</v>
      </c>
      <c r="C109" t="s">
        <v>590</v>
      </c>
      <c r="E109" t="s">
        <v>629</v>
      </c>
      <c r="G109" t="s">
        <v>630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228478</v>
      </c>
      <c r="Q109">
        <v>228478</v>
      </c>
      <c r="R109">
        <v>118026</v>
      </c>
      <c r="S109">
        <v>18553</v>
      </c>
      <c r="T109">
        <v>91899</v>
      </c>
      <c r="U109">
        <v>378188</v>
      </c>
      <c r="V109" t="b">
        <v>1</v>
      </c>
    </row>
    <row r="110" spans="1:22" x14ac:dyDescent="0.3">
      <c r="A110">
        <v>114412</v>
      </c>
      <c r="B110" t="s">
        <v>677</v>
      </c>
      <c r="G110" t="s">
        <v>631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2" x14ac:dyDescent="0.3">
      <c r="A111">
        <v>114412</v>
      </c>
      <c r="B111" t="s">
        <v>677</v>
      </c>
      <c r="G111" t="s">
        <v>631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2" x14ac:dyDescent="0.3">
      <c r="A112">
        <v>114412</v>
      </c>
      <c r="B112" t="s">
        <v>677</v>
      </c>
      <c r="G112" t="s">
        <v>631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2" x14ac:dyDescent="0.3">
      <c r="A113">
        <v>114412</v>
      </c>
      <c r="B113" t="s">
        <v>677</v>
      </c>
      <c r="G113" t="s">
        <v>631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2" x14ac:dyDescent="0.3">
      <c r="A114">
        <v>109375</v>
      </c>
      <c r="B114" t="s">
        <v>678</v>
      </c>
      <c r="C114" t="s">
        <v>679</v>
      </c>
      <c r="E114" t="s">
        <v>629</v>
      </c>
      <c r="G114" t="s">
        <v>630</v>
      </c>
      <c r="K114">
        <v>143.25</v>
      </c>
      <c r="L114">
        <v>3964</v>
      </c>
      <c r="M114">
        <v>2980</v>
      </c>
      <c r="N114">
        <v>1651</v>
      </c>
      <c r="O114">
        <v>10425</v>
      </c>
      <c r="P114">
        <v>126960</v>
      </c>
      <c r="Q114">
        <v>126960</v>
      </c>
      <c r="R114">
        <v>60285</v>
      </c>
      <c r="S114">
        <v>30478</v>
      </c>
      <c r="T114">
        <v>36197</v>
      </c>
      <c r="U114">
        <v>175059</v>
      </c>
      <c r="V114" t="b">
        <v>1</v>
      </c>
    </row>
    <row r="115" spans="1:22" x14ac:dyDescent="0.3">
      <c r="A115">
        <v>109375</v>
      </c>
      <c r="B115" t="s">
        <v>678</v>
      </c>
      <c r="C115" t="s">
        <v>680</v>
      </c>
      <c r="E115" t="s">
        <v>629</v>
      </c>
      <c r="G115" t="s">
        <v>630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57449</v>
      </c>
      <c r="Q115">
        <v>57449</v>
      </c>
      <c r="R115">
        <v>25338</v>
      </c>
      <c r="S115">
        <v>12210</v>
      </c>
      <c r="T115">
        <v>19901</v>
      </c>
      <c r="U115">
        <v>72229</v>
      </c>
      <c r="V115" t="b">
        <v>1</v>
      </c>
    </row>
    <row r="116" spans="1:22" x14ac:dyDescent="0.3">
      <c r="A116">
        <v>104499</v>
      </c>
      <c r="B116" t="s">
        <v>393</v>
      </c>
      <c r="G116" t="s">
        <v>631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2" x14ac:dyDescent="0.3">
      <c r="A117">
        <v>104499</v>
      </c>
      <c r="B117" t="s">
        <v>393</v>
      </c>
      <c r="G117" t="s">
        <v>631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2" x14ac:dyDescent="0.3">
      <c r="A118">
        <v>104499</v>
      </c>
      <c r="B118" t="s">
        <v>393</v>
      </c>
      <c r="C118" t="s">
        <v>720</v>
      </c>
      <c r="E118" t="s">
        <v>629</v>
      </c>
      <c r="G118" t="s">
        <v>630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79266</v>
      </c>
      <c r="Q118">
        <v>79266</v>
      </c>
      <c r="R118">
        <v>40066</v>
      </c>
      <c r="S118">
        <v>16395</v>
      </c>
      <c r="T118">
        <v>22805</v>
      </c>
      <c r="U118">
        <v>102002</v>
      </c>
      <c r="V118" t="b">
        <v>1</v>
      </c>
    </row>
    <row r="119" spans="1:22" x14ac:dyDescent="0.3">
      <c r="A119">
        <v>104499</v>
      </c>
      <c r="B119" t="s">
        <v>393</v>
      </c>
      <c r="C119" t="s">
        <v>721</v>
      </c>
      <c r="E119" t="s">
        <v>629</v>
      </c>
      <c r="G119" t="s">
        <v>630</v>
      </c>
      <c r="K119">
        <v>143.25</v>
      </c>
      <c r="L119">
        <v>3964</v>
      </c>
      <c r="M119">
        <v>2980</v>
      </c>
      <c r="N119">
        <v>1651</v>
      </c>
      <c r="O119">
        <v>10425</v>
      </c>
      <c r="P119">
        <v>86344</v>
      </c>
      <c r="Q119">
        <v>86344</v>
      </c>
      <c r="R119">
        <v>45171</v>
      </c>
      <c r="S119">
        <v>22214</v>
      </c>
      <c r="T119">
        <v>18959</v>
      </c>
      <c r="U119">
        <v>126266</v>
      </c>
      <c r="V119" t="b">
        <v>1</v>
      </c>
    </row>
    <row r="120" spans="1:22" x14ac:dyDescent="0.3">
      <c r="A120">
        <v>104499</v>
      </c>
      <c r="B120" t="s">
        <v>393</v>
      </c>
      <c r="G120" t="s">
        <v>631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2" x14ac:dyDescent="0.3">
      <c r="A121">
        <v>104499</v>
      </c>
      <c r="B121" t="s">
        <v>393</v>
      </c>
      <c r="G121" t="s">
        <v>631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2" x14ac:dyDescent="0.3">
      <c r="A122">
        <v>104705</v>
      </c>
      <c r="B122" t="s">
        <v>582</v>
      </c>
      <c r="G122" t="s">
        <v>631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2" x14ac:dyDescent="0.3">
      <c r="A123">
        <v>104705</v>
      </c>
      <c r="B123" t="s">
        <v>582</v>
      </c>
      <c r="C123" t="s">
        <v>581</v>
      </c>
      <c r="E123" t="s">
        <v>629</v>
      </c>
      <c r="G123" t="s">
        <v>630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52253</v>
      </c>
      <c r="Q123">
        <v>52253</v>
      </c>
      <c r="R123">
        <v>24973</v>
      </c>
      <c r="S123">
        <v>15793</v>
      </c>
      <c r="T123">
        <v>11487</v>
      </c>
      <c r="U123">
        <v>68713</v>
      </c>
      <c r="V123" t="b">
        <v>1</v>
      </c>
    </row>
    <row r="124" spans="1:22" x14ac:dyDescent="0.3">
      <c r="A124">
        <v>104705</v>
      </c>
      <c r="B124" t="s">
        <v>582</v>
      </c>
      <c r="G124" t="s">
        <v>631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2" x14ac:dyDescent="0.3">
      <c r="A125">
        <v>104705</v>
      </c>
      <c r="B125" t="s">
        <v>582</v>
      </c>
      <c r="C125" t="s">
        <v>681</v>
      </c>
      <c r="E125" t="s">
        <v>629</v>
      </c>
      <c r="G125" t="s">
        <v>630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134683</v>
      </c>
      <c r="Q125">
        <v>134683</v>
      </c>
      <c r="R125">
        <v>63964</v>
      </c>
      <c r="S125">
        <v>35678</v>
      </c>
      <c r="T125">
        <v>35041</v>
      </c>
      <c r="U125">
        <v>183796</v>
      </c>
      <c r="V125" t="b">
        <v>1</v>
      </c>
    </row>
    <row r="126" spans="1:22" x14ac:dyDescent="0.3">
      <c r="A126">
        <v>104705</v>
      </c>
      <c r="B126" t="s">
        <v>582</v>
      </c>
      <c r="C126" t="s">
        <v>592</v>
      </c>
      <c r="E126" t="s">
        <v>629</v>
      </c>
      <c r="G126" t="s">
        <v>630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968</v>
      </c>
      <c r="Q126">
        <v>968</v>
      </c>
      <c r="R126">
        <v>594</v>
      </c>
      <c r="S126">
        <v>60</v>
      </c>
      <c r="T126">
        <v>314</v>
      </c>
      <c r="U126">
        <v>1965</v>
      </c>
      <c r="V126" t="b">
        <v>1</v>
      </c>
    </row>
    <row r="127" spans="1:22" x14ac:dyDescent="0.3">
      <c r="A127">
        <v>104705</v>
      </c>
      <c r="B127" t="s">
        <v>582</v>
      </c>
      <c r="G127" t="s">
        <v>631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2" x14ac:dyDescent="0.3">
      <c r="A128">
        <v>114706</v>
      </c>
      <c r="B128" t="s">
        <v>722</v>
      </c>
      <c r="C128" t="s">
        <v>723</v>
      </c>
      <c r="E128" t="s">
        <v>629</v>
      </c>
      <c r="G128" t="s">
        <v>630</v>
      </c>
      <c r="K128">
        <v>143.25</v>
      </c>
      <c r="L128">
        <v>3964</v>
      </c>
      <c r="M128">
        <v>2980</v>
      </c>
      <c r="N128">
        <v>1651</v>
      </c>
      <c r="O128">
        <v>10425</v>
      </c>
      <c r="P128">
        <v>189923</v>
      </c>
      <c r="Q128">
        <v>189923</v>
      </c>
      <c r="R128">
        <v>83135</v>
      </c>
      <c r="S128">
        <v>45423</v>
      </c>
      <c r="T128">
        <v>61365</v>
      </c>
      <c r="U128">
        <v>246922</v>
      </c>
      <c r="V128" t="b">
        <v>1</v>
      </c>
    </row>
    <row r="129" spans="1:22" x14ac:dyDescent="0.3">
      <c r="A129">
        <v>114706</v>
      </c>
      <c r="B129" t="s">
        <v>722</v>
      </c>
      <c r="C129" t="s">
        <v>725</v>
      </c>
      <c r="E129" t="s">
        <v>629</v>
      </c>
      <c r="G129" t="s">
        <v>630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241908</v>
      </c>
      <c r="Q129">
        <v>241908</v>
      </c>
      <c r="R129">
        <v>86278</v>
      </c>
      <c r="S129">
        <v>60632</v>
      </c>
      <c r="T129">
        <v>94998</v>
      </c>
      <c r="U129">
        <v>306802</v>
      </c>
      <c r="V129" t="b">
        <v>1</v>
      </c>
    </row>
    <row r="130" spans="1:22" x14ac:dyDescent="0.3">
      <c r="A130">
        <v>114706</v>
      </c>
      <c r="B130" t="s">
        <v>722</v>
      </c>
      <c r="C130" t="s">
        <v>724</v>
      </c>
      <c r="E130" t="s">
        <v>629</v>
      </c>
      <c r="G130" t="s">
        <v>630</v>
      </c>
      <c r="K130">
        <v>143.25</v>
      </c>
      <c r="L130">
        <v>3964</v>
      </c>
      <c r="M130">
        <v>2980</v>
      </c>
      <c r="N130">
        <v>1651</v>
      </c>
      <c r="O130">
        <v>10425</v>
      </c>
      <c r="P130">
        <v>199198</v>
      </c>
      <c r="Q130">
        <v>199198</v>
      </c>
      <c r="R130">
        <v>94441</v>
      </c>
      <c r="S130">
        <v>48239</v>
      </c>
      <c r="T130">
        <v>56518</v>
      </c>
      <c r="U130">
        <v>260170</v>
      </c>
      <c r="V130" t="b">
        <v>1</v>
      </c>
    </row>
    <row r="131" spans="1:22" x14ac:dyDescent="0.3">
      <c r="A131">
        <v>114720</v>
      </c>
      <c r="B131" t="s">
        <v>575</v>
      </c>
      <c r="C131" t="s">
        <v>682</v>
      </c>
      <c r="E131" t="s">
        <v>629</v>
      </c>
      <c r="G131" t="s">
        <v>630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7769</v>
      </c>
      <c r="Q131">
        <v>7769</v>
      </c>
      <c r="R131">
        <v>2834</v>
      </c>
      <c r="S131">
        <v>2264</v>
      </c>
      <c r="T131">
        <v>2671</v>
      </c>
      <c r="U131">
        <v>11447</v>
      </c>
      <c r="V131" t="b">
        <v>1</v>
      </c>
    </row>
    <row r="132" spans="1:22" x14ac:dyDescent="0.3">
      <c r="A132">
        <v>114720</v>
      </c>
      <c r="B132" t="s">
        <v>575</v>
      </c>
      <c r="C132" t="s">
        <v>574</v>
      </c>
      <c r="E132" t="s">
        <v>629</v>
      </c>
      <c r="G132" t="s">
        <v>630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40794</v>
      </c>
      <c r="Q132">
        <v>40794</v>
      </c>
      <c r="R132">
        <v>23273</v>
      </c>
      <c r="S132">
        <v>8036</v>
      </c>
      <c r="T132">
        <v>9485</v>
      </c>
      <c r="U132">
        <v>51305</v>
      </c>
      <c r="V132" t="b">
        <v>1</v>
      </c>
    </row>
    <row r="133" spans="1:22" x14ac:dyDescent="0.3">
      <c r="A133">
        <v>109508</v>
      </c>
      <c r="B133" t="s">
        <v>729</v>
      </c>
      <c r="G133" t="s">
        <v>631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2" x14ac:dyDescent="0.3">
      <c r="A134">
        <v>109508</v>
      </c>
      <c r="B134" t="s">
        <v>729</v>
      </c>
      <c r="G134" t="s">
        <v>631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2" x14ac:dyDescent="0.3">
      <c r="A135">
        <v>109508</v>
      </c>
      <c r="B135" t="s">
        <v>729</v>
      </c>
      <c r="G135" t="s">
        <v>631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2" x14ac:dyDescent="0.3">
      <c r="A136">
        <v>103586</v>
      </c>
      <c r="B136" t="s">
        <v>398</v>
      </c>
      <c r="G136" t="s">
        <v>631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2" x14ac:dyDescent="0.3">
      <c r="A137">
        <v>103586</v>
      </c>
      <c r="B137" t="s">
        <v>398</v>
      </c>
      <c r="G137" t="s">
        <v>631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2" x14ac:dyDescent="0.3">
      <c r="A138">
        <v>103586</v>
      </c>
      <c r="B138" t="s">
        <v>398</v>
      </c>
      <c r="C138" t="s">
        <v>593</v>
      </c>
      <c r="E138" t="s">
        <v>629</v>
      </c>
      <c r="G138" t="s">
        <v>630</v>
      </c>
      <c r="K138">
        <v>16.13</v>
      </c>
      <c r="L138">
        <v>594</v>
      </c>
      <c r="M138">
        <v>60</v>
      </c>
      <c r="N138">
        <v>314</v>
      </c>
      <c r="O138">
        <v>1965</v>
      </c>
      <c r="P138">
        <v>156924</v>
      </c>
      <c r="Q138">
        <v>968</v>
      </c>
      <c r="R138">
        <v>86104</v>
      </c>
      <c r="S138">
        <v>12248</v>
      </c>
      <c r="T138">
        <v>58572</v>
      </c>
      <c r="U138">
        <v>252725</v>
      </c>
      <c r="V138" t="b">
        <v>1</v>
      </c>
    </row>
    <row r="139" spans="1:22" x14ac:dyDescent="0.3">
      <c r="A139">
        <v>103586</v>
      </c>
      <c r="B139" t="s">
        <v>398</v>
      </c>
      <c r="C139" t="s">
        <v>594</v>
      </c>
      <c r="E139" t="s">
        <v>629</v>
      </c>
      <c r="G139" t="s">
        <v>630</v>
      </c>
      <c r="K139">
        <v>16.13</v>
      </c>
      <c r="L139">
        <v>594</v>
      </c>
      <c r="M139">
        <v>60</v>
      </c>
      <c r="N139">
        <v>314</v>
      </c>
      <c r="O139">
        <v>1965</v>
      </c>
      <c r="P139">
        <v>968</v>
      </c>
      <c r="Q139">
        <v>968</v>
      </c>
      <c r="R139">
        <v>65021</v>
      </c>
      <c r="S139">
        <v>10983</v>
      </c>
      <c r="T139">
        <v>49227</v>
      </c>
      <c r="U139">
        <v>211451</v>
      </c>
      <c r="V139" t="b">
        <v>1</v>
      </c>
    </row>
    <row r="140" spans="1:22" x14ac:dyDescent="0.3">
      <c r="A140">
        <v>105739</v>
      </c>
      <c r="B140" t="s">
        <v>683</v>
      </c>
      <c r="C140" t="s">
        <v>684</v>
      </c>
      <c r="D140" t="s">
        <v>685</v>
      </c>
      <c r="E140" t="s">
        <v>643</v>
      </c>
      <c r="G140" t="s">
        <v>630</v>
      </c>
      <c r="K140">
        <v>82.12</v>
      </c>
      <c r="L140">
        <v>4171</v>
      </c>
      <c r="M140">
        <v>0</v>
      </c>
      <c r="N140">
        <v>756</v>
      </c>
      <c r="O140">
        <v>7225</v>
      </c>
      <c r="P140">
        <v>4927</v>
      </c>
      <c r="Q140">
        <v>4927</v>
      </c>
      <c r="R140">
        <v>4171</v>
      </c>
      <c r="S140">
        <v>0</v>
      </c>
      <c r="T140">
        <v>756</v>
      </c>
      <c r="U140">
        <v>7225</v>
      </c>
      <c r="V140" t="b">
        <v>1</v>
      </c>
    </row>
    <row r="141" spans="1:22" x14ac:dyDescent="0.3">
      <c r="A141">
        <v>105739</v>
      </c>
      <c r="B141" t="s">
        <v>683</v>
      </c>
      <c r="C141" t="s">
        <v>686</v>
      </c>
      <c r="D141" t="s">
        <v>685</v>
      </c>
      <c r="E141" t="s">
        <v>643</v>
      </c>
      <c r="G141" t="s">
        <v>630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 t="b">
        <v>1</v>
      </c>
    </row>
    <row r="142" spans="1:22" x14ac:dyDescent="0.3">
      <c r="A142">
        <v>105935</v>
      </c>
      <c r="B142" t="s">
        <v>385</v>
      </c>
      <c r="C142" t="s">
        <v>832</v>
      </c>
      <c r="E142" t="s">
        <v>643</v>
      </c>
      <c r="G142" t="s">
        <v>630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300392</v>
      </c>
      <c r="Q142">
        <v>300392</v>
      </c>
      <c r="R142">
        <v>140170</v>
      </c>
      <c r="S142">
        <v>76999</v>
      </c>
      <c r="T142">
        <v>83223</v>
      </c>
      <c r="U142">
        <v>399184</v>
      </c>
      <c r="V142" t="b">
        <v>1</v>
      </c>
    </row>
    <row r="143" spans="1:22" x14ac:dyDescent="0.3">
      <c r="A143">
        <v>105935</v>
      </c>
      <c r="B143" t="s">
        <v>385</v>
      </c>
      <c r="C143" t="s">
        <v>580</v>
      </c>
      <c r="E143" t="s">
        <v>643</v>
      </c>
      <c r="G143" t="s">
        <v>630</v>
      </c>
      <c r="K143">
        <v>136.77000000000001</v>
      </c>
      <c r="L143">
        <v>4029</v>
      </c>
      <c r="M143">
        <v>2442</v>
      </c>
      <c r="N143">
        <v>1735</v>
      </c>
      <c r="O143">
        <v>11100</v>
      </c>
      <c r="P143">
        <v>83941</v>
      </c>
      <c r="Q143">
        <v>83941</v>
      </c>
      <c r="R143">
        <v>45292</v>
      </c>
      <c r="S143">
        <v>17478</v>
      </c>
      <c r="T143">
        <v>21171</v>
      </c>
      <c r="U143">
        <v>116379</v>
      </c>
      <c r="V143" t="b">
        <v>1</v>
      </c>
    </row>
    <row r="144" spans="1:22" x14ac:dyDescent="0.3">
      <c r="A144">
        <v>105935</v>
      </c>
      <c r="B144" t="s">
        <v>385</v>
      </c>
      <c r="C144" t="s">
        <v>833</v>
      </c>
      <c r="D144" t="s">
        <v>688</v>
      </c>
      <c r="E144" t="s">
        <v>643</v>
      </c>
      <c r="G144" t="s">
        <v>630</v>
      </c>
      <c r="K144">
        <v>51.08</v>
      </c>
      <c r="L144">
        <v>1655</v>
      </c>
      <c r="M144">
        <v>655</v>
      </c>
      <c r="N144">
        <v>755</v>
      </c>
      <c r="O144">
        <v>3770</v>
      </c>
      <c r="P144">
        <v>282872</v>
      </c>
      <c r="Q144">
        <v>282872</v>
      </c>
      <c r="R144">
        <v>132669</v>
      </c>
      <c r="S144">
        <v>73028</v>
      </c>
      <c r="T144">
        <v>77175</v>
      </c>
      <c r="U144">
        <v>400414</v>
      </c>
      <c r="V144" t="b">
        <v>1</v>
      </c>
    </row>
    <row r="145" spans="1:22" x14ac:dyDescent="0.3">
      <c r="A145">
        <v>105935</v>
      </c>
      <c r="B145" t="s">
        <v>385</v>
      </c>
      <c r="C145" t="s">
        <v>687</v>
      </c>
      <c r="D145" t="s">
        <v>688</v>
      </c>
      <c r="E145" t="s">
        <v>643</v>
      </c>
      <c r="G145" t="s">
        <v>630</v>
      </c>
      <c r="K145">
        <v>132.66999999999999</v>
      </c>
      <c r="L145">
        <v>3839</v>
      </c>
      <c r="M145">
        <v>2950</v>
      </c>
      <c r="N145">
        <v>1171</v>
      </c>
      <c r="O145">
        <v>9800</v>
      </c>
      <c r="P145">
        <v>276359</v>
      </c>
      <c r="Q145">
        <v>276359</v>
      </c>
      <c r="R145">
        <v>140497</v>
      </c>
      <c r="S145">
        <v>73728</v>
      </c>
      <c r="T145">
        <v>62134</v>
      </c>
      <c r="U145">
        <v>370020</v>
      </c>
      <c r="V145" t="b">
        <v>1</v>
      </c>
    </row>
    <row r="146" spans="1:22" x14ac:dyDescent="0.3">
      <c r="A146">
        <v>108994</v>
      </c>
      <c r="B146" t="s">
        <v>689</v>
      </c>
      <c r="C146" t="s">
        <v>690</v>
      </c>
      <c r="E146" t="s">
        <v>643</v>
      </c>
      <c r="G146" t="s">
        <v>630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9A2FF-F830-4537-89D6-B6D59FA2A873}">
  <sheetPr codeName="Sheet20"/>
  <dimension ref="A1:N259"/>
  <sheetViews>
    <sheetView workbookViewId="0"/>
  </sheetViews>
  <sheetFormatPr defaultRowHeight="14.4" x14ac:dyDescent="0.3"/>
  <sheetData>
    <row r="1" spans="1:14" x14ac:dyDescent="0.3">
      <c r="A1" t="s">
        <v>953</v>
      </c>
    </row>
    <row r="2" spans="1:14" x14ac:dyDescent="0.3">
      <c r="A2" t="s">
        <v>197</v>
      </c>
      <c r="B2" t="s">
        <v>195</v>
      </c>
      <c r="C2" t="s">
        <v>771</v>
      </c>
      <c r="D2" t="s">
        <v>772</v>
      </c>
      <c r="E2" t="s">
        <v>181</v>
      </c>
      <c r="F2" t="s">
        <v>253</v>
      </c>
      <c r="G2" t="s">
        <v>254</v>
      </c>
      <c r="H2" t="s">
        <v>773</v>
      </c>
      <c r="I2" t="s">
        <v>183</v>
      </c>
      <c r="J2" t="s">
        <v>774</v>
      </c>
      <c r="K2" t="s">
        <v>775</v>
      </c>
      <c r="L2" t="s">
        <v>303</v>
      </c>
      <c r="M2" t="s">
        <v>306</v>
      </c>
      <c r="N2" t="s">
        <v>776</v>
      </c>
    </row>
    <row r="3" spans="1:14" x14ac:dyDescent="0.3">
      <c r="A3">
        <v>0</v>
      </c>
      <c r="B3">
        <v>0</v>
      </c>
      <c r="C3">
        <v>0</v>
      </c>
      <c r="D3">
        <v>891.4</v>
      </c>
      <c r="E3">
        <v>0</v>
      </c>
      <c r="F3">
        <v>0</v>
      </c>
      <c r="G3">
        <v>0</v>
      </c>
      <c r="H3">
        <v>0</v>
      </c>
      <c r="I3">
        <v>0</v>
      </c>
      <c r="J3" t="s">
        <v>973</v>
      </c>
      <c r="K3" t="s">
        <v>974</v>
      </c>
      <c r="L3" t="s">
        <v>975</v>
      </c>
      <c r="M3" t="s">
        <v>976</v>
      </c>
    </row>
    <row r="4" spans="1:14" x14ac:dyDescent="0.3">
      <c r="A4">
        <v>30</v>
      </c>
      <c r="B4">
        <v>0</v>
      </c>
      <c r="C4">
        <v>0</v>
      </c>
      <c r="D4">
        <v>861.4</v>
      </c>
      <c r="E4">
        <v>30</v>
      </c>
      <c r="F4">
        <v>0</v>
      </c>
      <c r="G4">
        <v>0</v>
      </c>
      <c r="H4">
        <v>0</v>
      </c>
      <c r="I4">
        <v>0</v>
      </c>
      <c r="J4" t="s">
        <v>973</v>
      </c>
      <c r="K4" t="s">
        <v>974</v>
      </c>
      <c r="L4" t="s">
        <v>975</v>
      </c>
      <c r="M4" t="s">
        <v>976</v>
      </c>
      <c r="N4" t="s">
        <v>788</v>
      </c>
    </row>
    <row r="5" spans="1:14" x14ac:dyDescent="0.3">
      <c r="A5">
        <v>60</v>
      </c>
      <c r="B5">
        <v>0</v>
      </c>
      <c r="C5">
        <v>0</v>
      </c>
      <c r="D5">
        <v>831.4</v>
      </c>
      <c r="E5">
        <v>60</v>
      </c>
      <c r="F5">
        <v>0</v>
      </c>
      <c r="G5">
        <v>0</v>
      </c>
      <c r="H5">
        <v>0</v>
      </c>
      <c r="I5">
        <v>0</v>
      </c>
      <c r="J5" t="s">
        <v>973</v>
      </c>
      <c r="K5" t="s">
        <v>974</v>
      </c>
      <c r="L5" t="s">
        <v>975</v>
      </c>
      <c r="M5" t="s">
        <v>976</v>
      </c>
    </row>
    <row r="6" spans="1:14" x14ac:dyDescent="0.3">
      <c r="A6">
        <v>90</v>
      </c>
      <c r="B6">
        <v>0</v>
      </c>
      <c r="C6">
        <v>0</v>
      </c>
      <c r="D6">
        <v>801.4</v>
      </c>
      <c r="E6">
        <v>90</v>
      </c>
      <c r="F6">
        <v>0</v>
      </c>
      <c r="G6">
        <v>0</v>
      </c>
      <c r="H6">
        <v>0</v>
      </c>
      <c r="I6">
        <v>0</v>
      </c>
      <c r="J6" t="s">
        <v>973</v>
      </c>
      <c r="K6" t="s">
        <v>974</v>
      </c>
      <c r="L6" t="s">
        <v>975</v>
      </c>
      <c r="M6" t="s">
        <v>976</v>
      </c>
    </row>
    <row r="7" spans="1:14" x14ac:dyDescent="0.3">
      <c r="A7">
        <v>120</v>
      </c>
      <c r="B7">
        <v>0</v>
      </c>
      <c r="C7">
        <v>0</v>
      </c>
      <c r="D7">
        <v>771.4</v>
      </c>
      <c r="E7">
        <v>120</v>
      </c>
      <c r="F7">
        <v>0</v>
      </c>
      <c r="G7">
        <v>0</v>
      </c>
      <c r="H7">
        <v>0</v>
      </c>
      <c r="I7">
        <v>0</v>
      </c>
      <c r="J7" t="s">
        <v>973</v>
      </c>
      <c r="K7" t="s">
        <v>974</v>
      </c>
      <c r="L7" t="s">
        <v>975</v>
      </c>
      <c r="M7" t="s">
        <v>976</v>
      </c>
    </row>
    <row r="8" spans="1:14" x14ac:dyDescent="0.3">
      <c r="A8">
        <v>150</v>
      </c>
      <c r="B8">
        <v>0</v>
      </c>
      <c r="C8">
        <v>0</v>
      </c>
      <c r="D8">
        <v>741.4</v>
      </c>
      <c r="E8">
        <v>150</v>
      </c>
      <c r="F8">
        <v>0</v>
      </c>
      <c r="G8">
        <v>0</v>
      </c>
      <c r="H8">
        <v>0</v>
      </c>
      <c r="I8">
        <v>0</v>
      </c>
      <c r="J8" t="s">
        <v>973</v>
      </c>
      <c r="K8" t="s">
        <v>974</v>
      </c>
      <c r="L8" t="s">
        <v>975</v>
      </c>
      <c r="M8" t="s">
        <v>976</v>
      </c>
    </row>
    <row r="9" spans="1:14" x14ac:dyDescent="0.3">
      <c r="A9">
        <v>180</v>
      </c>
      <c r="B9">
        <v>0</v>
      </c>
      <c r="C9">
        <v>0</v>
      </c>
      <c r="D9">
        <v>711.4</v>
      </c>
      <c r="E9">
        <v>180</v>
      </c>
      <c r="F9">
        <v>0</v>
      </c>
      <c r="G9">
        <v>0</v>
      </c>
      <c r="H9">
        <v>0</v>
      </c>
      <c r="I9">
        <v>0</v>
      </c>
      <c r="J9" t="s">
        <v>973</v>
      </c>
      <c r="K9" t="s">
        <v>974</v>
      </c>
      <c r="L9" t="s">
        <v>975</v>
      </c>
      <c r="M9" t="s">
        <v>976</v>
      </c>
    </row>
    <row r="10" spans="1:14" x14ac:dyDescent="0.3">
      <c r="A10">
        <v>210</v>
      </c>
      <c r="B10">
        <v>0</v>
      </c>
      <c r="C10">
        <v>0</v>
      </c>
      <c r="D10">
        <v>681.4</v>
      </c>
      <c r="E10">
        <v>210</v>
      </c>
      <c r="F10">
        <v>0</v>
      </c>
      <c r="G10">
        <v>0</v>
      </c>
      <c r="H10">
        <v>0</v>
      </c>
      <c r="I10">
        <v>0</v>
      </c>
      <c r="J10" t="s">
        <v>973</v>
      </c>
      <c r="K10" t="s">
        <v>974</v>
      </c>
      <c r="L10" t="s">
        <v>975</v>
      </c>
      <c r="M10" t="s">
        <v>976</v>
      </c>
    </row>
    <row r="11" spans="1:14" x14ac:dyDescent="0.3">
      <c r="A11">
        <v>240</v>
      </c>
      <c r="B11">
        <v>0</v>
      </c>
      <c r="C11">
        <v>0</v>
      </c>
      <c r="D11">
        <v>651.4</v>
      </c>
      <c r="E11">
        <v>240</v>
      </c>
      <c r="F11">
        <v>0</v>
      </c>
      <c r="G11">
        <v>0</v>
      </c>
      <c r="H11">
        <v>0</v>
      </c>
      <c r="I11">
        <v>0</v>
      </c>
      <c r="J11" t="s">
        <v>973</v>
      </c>
      <c r="K11" t="s">
        <v>974</v>
      </c>
      <c r="L11" t="s">
        <v>975</v>
      </c>
      <c r="M11" t="s">
        <v>976</v>
      </c>
    </row>
    <row r="12" spans="1:14" x14ac:dyDescent="0.3">
      <c r="A12">
        <v>270</v>
      </c>
      <c r="B12">
        <v>0</v>
      </c>
      <c r="C12">
        <v>0</v>
      </c>
      <c r="D12">
        <v>621.4</v>
      </c>
      <c r="E12">
        <v>270</v>
      </c>
      <c r="F12">
        <v>0</v>
      </c>
      <c r="G12">
        <v>0</v>
      </c>
      <c r="H12">
        <v>0</v>
      </c>
      <c r="I12">
        <v>0</v>
      </c>
      <c r="J12" t="s">
        <v>973</v>
      </c>
      <c r="K12" t="s">
        <v>974</v>
      </c>
      <c r="L12" t="s">
        <v>975</v>
      </c>
      <c r="M12" t="s">
        <v>976</v>
      </c>
    </row>
    <row r="13" spans="1:14" x14ac:dyDescent="0.3">
      <c r="A13">
        <v>300</v>
      </c>
      <c r="B13">
        <v>0</v>
      </c>
      <c r="C13">
        <v>0</v>
      </c>
      <c r="D13">
        <v>591.4</v>
      </c>
      <c r="E13">
        <v>300</v>
      </c>
      <c r="F13">
        <v>0</v>
      </c>
      <c r="G13">
        <v>0</v>
      </c>
      <c r="H13">
        <v>0</v>
      </c>
      <c r="I13">
        <v>0</v>
      </c>
      <c r="J13" t="s">
        <v>973</v>
      </c>
      <c r="K13" t="s">
        <v>974</v>
      </c>
      <c r="L13" t="s">
        <v>975</v>
      </c>
      <c r="M13" t="s">
        <v>976</v>
      </c>
    </row>
    <row r="14" spans="1:14" x14ac:dyDescent="0.3">
      <c r="A14">
        <v>330</v>
      </c>
      <c r="B14">
        <v>0</v>
      </c>
      <c r="C14">
        <v>0</v>
      </c>
      <c r="D14">
        <v>561.4</v>
      </c>
      <c r="E14">
        <v>330</v>
      </c>
      <c r="F14">
        <v>0</v>
      </c>
      <c r="G14">
        <v>0</v>
      </c>
      <c r="H14">
        <v>0</v>
      </c>
      <c r="I14">
        <v>0</v>
      </c>
      <c r="J14" t="s">
        <v>973</v>
      </c>
      <c r="K14" t="s">
        <v>974</v>
      </c>
      <c r="L14" t="s">
        <v>975</v>
      </c>
      <c r="M14" t="s">
        <v>976</v>
      </c>
    </row>
    <row r="15" spans="1:14" x14ac:dyDescent="0.3">
      <c r="A15">
        <v>360</v>
      </c>
      <c r="B15">
        <v>0</v>
      </c>
      <c r="C15">
        <v>0</v>
      </c>
      <c r="D15">
        <v>531.4</v>
      </c>
      <c r="E15">
        <v>360</v>
      </c>
      <c r="F15">
        <v>0</v>
      </c>
      <c r="G15">
        <v>0</v>
      </c>
      <c r="H15">
        <v>0</v>
      </c>
      <c r="I15">
        <v>0</v>
      </c>
      <c r="J15" t="s">
        <v>973</v>
      </c>
      <c r="K15" t="s">
        <v>974</v>
      </c>
      <c r="L15" t="s">
        <v>975</v>
      </c>
      <c r="M15" t="s">
        <v>976</v>
      </c>
    </row>
    <row r="16" spans="1:14" x14ac:dyDescent="0.3">
      <c r="A16">
        <v>390</v>
      </c>
      <c r="B16">
        <v>0</v>
      </c>
      <c r="C16">
        <v>0</v>
      </c>
      <c r="D16">
        <v>501.4</v>
      </c>
      <c r="E16">
        <v>390</v>
      </c>
      <c r="F16">
        <v>0</v>
      </c>
      <c r="G16">
        <v>0</v>
      </c>
      <c r="H16">
        <v>0</v>
      </c>
      <c r="I16">
        <v>0</v>
      </c>
      <c r="J16" t="s">
        <v>973</v>
      </c>
      <c r="K16" t="s">
        <v>974</v>
      </c>
      <c r="L16" t="s">
        <v>975</v>
      </c>
      <c r="M16" t="s">
        <v>976</v>
      </c>
    </row>
    <row r="17" spans="1:14" x14ac:dyDescent="0.3">
      <c r="A17">
        <v>420</v>
      </c>
      <c r="B17">
        <v>0</v>
      </c>
      <c r="C17">
        <v>0</v>
      </c>
      <c r="D17">
        <v>471.4</v>
      </c>
      <c r="E17">
        <v>420</v>
      </c>
      <c r="F17">
        <v>0</v>
      </c>
      <c r="G17">
        <v>0</v>
      </c>
      <c r="H17">
        <v>0</v>
      </c>
      <c r="I17">
        <v>0</v>
      </c>
      <c r="J17" t="s">
        <v>973</v>
      </c>
      <c r="K17" t="s">
        <v>974</v>
      </c>
      <c r="L17" t="s">
        <v>975</v>
      </c>
      <c r="M17" t="s">
        <v>976</v>
      </c>
    </row>
    <row r="18" spans="1:14" x14ac:dyDescent="0.3">
      <c r="A18">
        <v>450</v>
      </c>
      <c r="B18">
        <v>0</v>
      </c>
      <c r="C18">
        <v>0</v>
      </c>
      <c r="D18">
        <v>441.4</v>
      </c>
      <c r="E18">
        <v>450</v>
      </c>
      <c r="F18">
        <v>0</v>
      </c>
      <c r="G18">
        <v>0</v>
      </c>
      <c r="H18">
        <v>0</v>
      </c>
      <c r="I18">
        <v>0</v>
      </c>
      <c r="J18" t="s">
        <v>973</v>
      </c>
      <c r="K18" t="s">
        <v>974</v>
      </c>
      <c r="L18" t="s">
        <v>975</v>
      </c>
      <c r="M18" t="s">
        <v>976</v>
      </c>
    </row>
    <row r="19" spans="1:14" x14ac:dyDescent="0.3">
      <c r="A19">
        <v>480</v>
      </c>
      <c r="B19">
        <v>0</v>
      </c>
      <c r="C19">
        <v>0</v>
      </c>
      <c r="D19">
        <v>411.4</v>
      </c>
      <c r="E19">
        <v>480</v>
      </c>
      <c r="F19">
        <v>0</v>
      </c>
      <c r="G19">
        <v>0</v>
      </c>
      <c r="H19">
        <v>0</v>
      </c>
      <c r="I19">
        <v>0</v>
      </c>
      <c r="J19" t="s">
        <v>973</v>
      </c>
      <c r="K19" t="s">
        <v>974</v>
      </c>
      <c r="L19" t="s">
        <v>975</v>
      </c>
      <c r="M19" t="s">
        <v>976</v>
      </c>
    </row>
    <row r="20" spans="1:14" x14ac:dyDescent="0.3">
      <c r="A20">
        <v>510</v>
      </c>
      <c r="B20">
        <v>0</v>
      </c>
      <c r="C20">
        <v>0</v>
      </c>
      <c r="D20">
        <v>381.4</v>
      </c>
      <c r="E20">
        <v>510</v>
      </c>
      <c r="F20">
        <v>0</v>
      </c>
      <c r="G20">
        <v>0</v>
      </c>
      <c r="H20">
        <v>0</v>
      </c>
      <c r="I20">
        <v>0</v>
      </c>
      <c r="J20" t="s">
        <v>973</v>
      </c>
      <c r="K20" t="s">
        <v>974</v>
      </c>
      <c r="L20" t="s">
        <v>975</v>
      </c>
      <c r="M20" t="s">
        <v>976</v>
      </c>
    </row>
    <row r="21" spans="1:14" x14ac:dyDescent="0.3">
      <c r="A21">
        <v>540</v>
      </c>
      <c r="B21">
        <v>0</v>
      </c>
      <c r="C21">
        <v>0</v>
      </c>
      <c r="D21">
        <v>351.4</v>
      </c>
      <c r="E21">
        <v>540</v>
      </c>
      <c r="F21">
        <v>0</v>
      </c>
      <c r="G21">
        <v>0</v>
      </c>
      <c r="H21">
        <v>0</v>
      </c>
      <c r="I21">
        <v>0</v>
      </c>
      <c r="J21" t="s">
        <v>973</v>
      </c>
      <c r="K21" t="s">
        <v>974</v>
      </c>
      <c r="L21" t="s">
        <v>975</v>
      </c>
      <c r="M21" t="s">
        <v>976</v>
      </c>
    </row>
    <row r="22" spans="1:14" x14ac:dyDescent="0.3">
      <c r="A22">
        <v>570</v>
      </c>
      <c r="B22">
        <v>0</v>
      </c>
      <c r="C22">
        <v>0</v>
      </c>
      <c r="D22">
        <v>321.39999999999998</v>
      </c>
      <c r="E22">
        <v>570</v>
      </c>
      <c r="F22">
        <v>0</v>
      </c>
      <c r="G22">
        <v>0</v>
      </c>
      <c r="H22">
        <v>0</v>
      </c>
      <c r="I22">
        <v>0</v>
      </c>
      <c r="J22" t="s">
        <v>973</v>
      </c>
      <c r="K22" t="s">
        <v>974</v>
      </c>
      <c r="L22" t="s">
        <v>975</v>
      </c>
      <c r="M22" t="s">
        <v>976</v>
      </c>
    </row>
    <row r="23" spans="1:14" x14ac:dyDescent="0.3">
      <c r="A23">
        <v>600</v>
      </c>
      <c r="B23">
        <v>0</v>
      </c>
      <c r="C23">
        <v>0</v>
      </c>
      <c r="D23">
        <v>291.39999999999998</v>
      </c>
      <c r="E23">
        <v>600</v>
      </c>
      <c r="F23">
        <v>0</v>
      </c>
      <c r="G23">
        <v>0</v>
      </c>
      <c r="H23">
        <v>0</v>
      </c>
      <c r="I23">
        <v>0</v>
      </c>
      <c r="J23" t="s">
        <v>973</v>
      </c>
      <c r="K23" t="s">
        <v>974</v>
      </c>
      <c r="L23" t="s">
        <v>975</v>
      </c>
      <c r="M23" t="s">
        <v>976</v>
      </c>
    </row>
    <row r="24" spans="1:14" x14ac:dyDescent="0.3">
      <c r="A24">
        <v>630</v>
      </c>
      <c r="B24">
        <v>0</v>
      </c>
      <c r="C24">
        <v>0</v>
      </c>
      <c r="D24">
        <v>261.39999999999998</v>
      </c>
      <c r="E24">
        <v>630</v>
      </c>
      <c r="F24">
        <v>0</v>
      </c>
      <c r="G24">
        <v>0</v>
      </c>
      <c r="H24">
        <v>0</v>
      </c>
      <c r="I24">
        <v>0</v>
      </c>
      <c r="J24" t="s">
        <v>973</v>
      </c>
      <c r="K24" t="s">
        <v>974</v>
      </c>
      <c r="L24" t="s">
        <v>975</v>
      </c>
      <c r="M24" t="s">
        <v>976</v>
      </c>
    </row>
    <row r="25" spans="1:14" x14ac:dyDescent="0.3">
      <c r="A25">
        <v>650</v>
      </c>
      <c r="B25">
        <v>0</v>
      </c>
      <c r="C25">
        <v>0</v>
      </c>
      <c r="D25">
        <v>241.4</v>
      </c>
      <c r="E25">
        <v>650</v>
      </c>
      <c r="F25">
        <v>0</v>
      </c>
      <c r="G25">
        <v>0</v>
      </c>
      <c r="H25">
        <v>0</v>
      </c>
      <c r="I25">
        <v>0</v>
      </c>
      <c r="J25" t="s">
        <v>973</v>
      </c>
      <c r="K25" t="s">
        <v>974</v>
      </c>
      <c r="L25" t="s">
        <v>975</v>
      </c>
      <c r="M25" t="s">
        <v>976</v>
      </c>
      <c r="N25" t="s">
        <v>977</v>
      </c>
    </row>
    <row r="26" spans="1:14" x14ac:dyDescent="0.3">
      <c r="A26">
        <v>660</v>
      </c>
      <c r="B26">
        <v>0.5</v>
      </c>
      <c r="C26">
        <v>10</v>
      </c>
      <c r="D26">
        <v>231.4</v>
      </c>
      <c r="E26">
        <v>660</v>
      </c>
      <c r="F26">
        <v>0.04</v>
      </c>
      <c r="G26">
        <v>0.01</v>
      </c>
      <c r="H26">
        <v>-0.03</v>
      </c>
      <c r="I26">
        <v>1.5</v>
      </c>
      <c r="J26" t="s">
        <v>978</v>
      </c>
      <c r="K26" t="s">
        <v>979</v>
      </c>
      <c r="L26" t="s">
        <v>980</v>
      </c>
      <c r="M26" t="s">
        <v>981</v>
      </c>
    </row>
    <row r="27" spans="1:14" x14ac:dyDescent="0.3">
      <c r="A27">
        <v>690</v>
      </c>
      <c r="B27">
        <v>2</v>
      </c>
      <c r="C27">
        <v>10</v>
      </c>
      <c r="D27">
        <v>201.41</v>
      </c>
      <c r="E27">
        <v>689.99</v>
      </c>
      <c r="F27">
        <v>0.69</v>
      </c>
      <c r="G27">
        <v>0.12</v>
      </c>
      <c r="H27">
        <v>-0.47</v>
      </c>
      <c r="I27">
        <v>1.5</v>
      </c>
      <c r="J27" t="s">
        <v>982</v>
      </c>
      <c r="K27" t="s">
        <v>983</v>
      </c>
      <c r="L27" t="s">
        <v>984</v>
      </c>
      <c r="M27" t="s">
        <v>985</v>
      </c>
    </row>
    <row r="28" spans="1:14" x14ac:dyDescent="0.3">
      <c r="A28">
        <v>720</v>
      </c>
      <c r="B28">
        <v>3.5</v>
      </c>
      <c r="C28">
        <v>10</v>
      </c>
      <c r="D28">
        <v>171.44</v>
      </c>
      <c r="E28">
        <v>719.96</v>
      </c>
      <c r="F28">
        <v>2.1</v>
      </c>
      <c r="G28">
        <v>0.37</v>
      </c>
      <c r="H28">
        <v>-1.45</v>
      </c>
      <c r="I28">
        <v>1.5</v>
      </c>
      <c r="J28" t="s">
        <v>986</v>
      </c>
      <c r="K28" t="s">
        <v>987</v>
      </c>
      <c r="L28" t="s">
        <v>988</v>
      </c>
      <c r="M28" t="s">
        <v>989</v>
      </c>
    </row>
    <row r="29" spans="1:14" x14ac:dyDescent="0.3">
      <c r="A29">
        <v>750</v>
      </c>
      <c r="B29">
        <v>5</v>
      </c>
      <c r="C29">
        <v>10</v>
      </c>
      <c r="D29">
        <v>141.53</v>
      </c>
      <c r="E29">
        <v>749.87</v>
      </c>
      <c r="F29">
        <v>4.29</v>
      </c>
      <c r="G29">
        <v>0.76</v>
      </c>
      <c r="H29">
        <v>-2.95</v>
      </c>
      <c r="I29">
        <v>1.5</v>
      </c>
      <c r="J29" t="s">
        <v>990</v>
      </c>
      <c r="K29" t="s">
        <v>991</v>
      </c>
      <c r="L29" t="s">
        <v>992</v>
      </c>
      <c r="M29" t="s">
        <v>993</v>
      </c>
      <c r="N29" t="s">
        <v>960</v>
      </c>
    </row>
    <row r="30" spans="1:14" x14ac:dyDescent="0.3">
      <c r="A30">
        <v>780</v>
      </c>
      <c r="B30">
        <v>5</v>
      </c>
      <c r="C30">
        <v>10</v>
      </c>
      <c r="D30">
        <v>111.64</v>
      </c>
      <c r="E30">
        <v>779.76</v>
      </c>
      <c r="F30">
        <v>6.87</v>
      </c>
      <c r="G30">
        <v>1.21</v>
      </c>
      <c r="H30">
        <v>-4.72</v>
      </c>
      <c r="I30">
        <v>0</v>
      </c>
      <c r="J30" t="s">
        <v>994</v>
      </c>
      <c r="K30" t="s">
        <v>995</v>
      </c>
      <c r="L30" t="s">
        <v>996</v>
      </c>
      <c r="M30" t="s">
        <v>997</v>
      </c>
    </row>
    <row r="31" spans="1:14" x14ac:dyDescent="0.3">
      <c r="A31">
        <v>810</v>
      </c>
      <c r="B31">
        <v>4.5</v>
      </c>
      <c r="C31">
        <v>10</v>
      </c>
      <c r="D31">
        <v>81.75</v>
      </c>
      <c r="E31">
        <v>809.65</v>
      </c>
      <c r="F31">
        <v>9.4</v>
      </c>
      <c r="G31">
        <v>1.66</v>
      </c>
      <c r="H31">
        <v>-6.46</v>
      </c>
      <c r="I31">
        <v>0.5</v>
      </c>
      <c r="J31" t="s">
        <v>998</v>
      </c>
      <c r="K31" t="s">
        <v>999</v>
      </c>
      <c r="L31" t="s">
        <v>1000</v>
      </c>
      <c r="M31" t="s">
        <v>1001</v>
      </c>
    </row>
    <row r="32" spans="1:14" x14ac:dyDescent="0.3">
      <c r="A32">
        <v>840</v>
      </c>
      <c r="B32">
        <v>3</v>
      </c>
      <c r="C32">
        <v>10</v>
      </c>
      <c r="D32">
        <v>51.82</v>
      </c>
      <c r="E32">
        <v>839.58</v>
      </c>
      <c r="F32">
        <v>11.33</v>
      </c>
      <c r="G32">
        <v>2</v>
      </c>
      <c r="H32">
        <v>-7.78</v>
      </c>
      <c r="I32">
        <v>1.5</v>
      </c>
      <c r="J32" t="s">
        <v>1002</v>
      </c>
      <c r="K32" t="s">
        <v>1003</v>
      </c>
      <c r="L32" t="s">
        <v>1004</v>
      </c>
      <c r="M32" t="s">
        <v>1005</v>
      </c>
    </row>
    <row r="33" spans="1:14" x14ac:dyDescent="0.3">
      <c r="A33">
        <v>870</v>
      </c>
      <c r="B33">
        <v>1.5</v>
      </c>
      <c r="C33">
        <v>10</v>
      </c>
      <c r="D33">
        <v>21.84</v>
      </c>
      <c r="E33">
        <v>869.56</v>
      </c>
      <c r="F33">
        <v>12.49</v>
      </c>
      <c r="G33">
        <v>2.2000000000000002</v>
      </c>
      <c r="H33">
        <v>-8.58</v>
      </c>
      <c r="I33">
        <v>1.5</v>
      </c>
      <c r="J33" t="s">
        <v>1006</v>
      </c>
      <c r="K33" t="s">
        <v>1007</v>
      </c>
      <c r="L33" t="s">
        <v>1008</v>
      </c>
      <c r="M33" t="s">
        <v>1009</v>
      </c>
    </row>
    <row r="34" spans="1:14" x14ac:dyDescent="0.3">
      <c r="A34">
        <v>900</v>
      </c>
      <c r="B34">
        <v>0</v>
      </c>
      <c r="C34">
        <v>0</v>
      </c>
      <c r="D34">
        <v>-8.16</v>
      </c>
      <c r="E34">
        <v>899.56</v>
      </c>
      <c r="F34">
        <v>12.88</v>
      </c>
      <c r="G34">
        <v>2.27</v>
      </c>
      <c r="H34">
        <v>-8.85</v>
      </c>
      <c r="I34">
        <v>1.5</v>
      </c>
      <c r="J34" t="s">
        <v>1010</v>
      </c>
      <c r="K34" t="s">
        <v>1011</v>
      </c>
      <c r="L34" t="s">
        <v>1012</v>
      </c>
      <c r="M34" t="s">
        <v>1013</v>
      </c>
      <c r="N34" t="s">
        <v>1014</v>
      </c>
    </row>
    <row r="35" spans="1:14" x14ac:dyDescent="0.3">
      <c r="A35">
        <v>930</v>
      </c>
      <c r="B35">
        <v>0</v>
      </c>
      <c r="C35">
        <v>0</v>
      </c>
      <c r="D35">
        <v>-38.159999999999997</v>
      </c>
      <c r="E35">
        <v>929.56</v>
      </c>
      <c r="F35">
        <v>12.88</v>
      </c>
      <c r="G35">
        <v>2.27</v>
      </c>
      <c r="H35">
        <v>-8.85</v>
      </c>
      <c r="I35">
        <v>0</v>
      </c>
      <c r="J35" t="s">
        <v>1010</v>
      </c>
      <c r="K35" t="s">
        <v>1011</v>
      </c>
      <c r="L35" t="s">
        <v>1012</v>
      </c>
      <c r="M35" t="s">
        <v>1013</v>
      </c>
    </row>
    <row r="36" spans="1:14" x14ac:dyDescent="0.3">
      <c r="A36">
        <v>930.84</v>
      </c>
      <c r="B36">
        <v>0</v>
      </c>
      <c r="C36">
        <v>0</v>
      </c>
      <c r="D36">
        <v>-39</v>
      </c>
      <c r="E36">
        <v>930.4</v>
      </c>
      <c r="F36">
        <v>12.88</v>
      </c>
      <c r="G36">
        <v>2.27</v>
      </c>
      <c r="H36">
        <v>-8.85</v>
      </c>
      <c r="I36">
        <v>0</v>
      </c>
      <c r="J36" t="s">
        <v>1010</v>
      </c>
      <c r="K36" t="s">
        <v>1011</v>
      </c>
      <c r="L36" t="s">
        <v>1012</v>
      </c>
      <c r="M36" t="s">
        <v>1013</v>
      </c>
      <c r="N36" t="s">
        <v>1015</v>
      </c>
    </row>
    <row r="37" spans="1:14" x14ac:dyDescent="0.3">
      <c r="A37">
        <v>960</v>
      </c>
      <c r="B37">
        <v>0</v>
      </c>
      <c r="C37">
        <v>0</v>
      </c>
      <c r="D37">
        <v>-68.16</v>
      </c>
      <c r="E37">
        <v>959.56</v>
      </c>
      <c r="F37">
        <v>12.88</v>
      </c>
      <c r="G37">
        <v>2.27</v>
      </c>
      <c r="H37">
        <v>-8.85</v>
      </c>
      <c r="I37">
        <v>0</v>
      </c>
      <c r="J37" t="s">
        <v>1010</v>
      </c>
      <c r="K37" t="s">
        <v>1011</v>
      </c>
      <c r="L37" t="s">
        <v>1012</v>
      </c>
      <c r="M37" t="s">
        <v>1013</v>
      </c>
    </row>
    <row r="38" spans="1:14" x14ac:dyDescent="0.3">
      <c r="A38">
        <v>990</v>
      </c>
      <c r="B38">
        <v>0</v>
      </c>
      <c r="C38">
        <v>0</v>
      </c>
      <c r="D38">
        <v>-98.16</v>
      </c>
      <c r="E38">
        <v>989.56</v>
      </c>
      <c r="F38">
        <v>12.88</v>
      </c>
      <c r="G38">
        <v>2.27</v>
      </c>
      <c r="H38">
        <v>-8.85</v>
      </c>
      <c r="I38">
        <v>0</v>
      </c>
      <c r="J38" t="s">
        <v>1010</v>
      </c>
      <c r="K38" t="s">
        <v>1011</v>
      </c>
      <c r="L38" t="s">
        <v>1012</v>
      </c>
      <c r="M38" t="s">
        <v>1013</v>
      </c>
    </row>
    <row r="39" spans="1:14" x14ac:dyDescent="0.3">
      <c r="A39">
        <v>1020</v>
      </c>
      <c r="B39">
        <v>0</v>
      </c>
      <c r="C39">
        <v>0</v>
      </c>
      <c r="D39">
        <v>-128.16</v>
      </c>
      <c r="E39">
        <v>1019.56</v>
      </c>
      <c r="F39">
        <v>12.88</v>
      </c>
      <c r="G39">
        <v>2.27</v>
      </c>
      <c r="H39">
        <v>-8.85</v>
      </c>
      <c r="I39">
        <v>0</v>
      </c>
      <c r="J39" t="s">
        <v>1010</v>
      </c>
      <c r="K39" t="s">
        <v>1011</v>
      </c>
      <c r="L39" t="s">
        <v>1012</v>
      </c>
      <c r="M39" t="s">
        <v>1013</v>
      </c>
    </row>
    <row r="40" spans="1:14" x14ac:dyDescent="0.3">
      <c r="A40">
        <v>1050</v>
      </c>
      <c r="B40">
        <v>0</v>
      </c>
      <c r="C40">
        <v>0</v>
      </c>
      <c r="D40">
        <v>-158.16</v>
      </c>
      <c r="E40">
        <v>1049.56</v>
      </c>
      <c r="F40">
        <v>12.88</v>
      </c>
      <c r="G40">
        <v>2.27</v>
      </c>
      <c r="H40">
        <v>-8.85</v>
      </c>
      <c r="I40">
        <v>0</v>
      </c>
      <c r="J40" t="s">
        <v>1010</v>
      </c>
      <c r="K40" t="s">
        <v>1011</v>
      </c>
      <c r="L40" t="s">
        <v>1012</v>
      </c>
      <c r="M40" t="s">
        <v>1013</v>
      </c>
    </row>
    <row r="41" spans="1:14" x14ac:dyDescent="0.3">
      <c r="A41">
        <v>1080</v>
      </c>
      <c r="B41">
        <v>0</v>
      </c>
      <c r="C41">
        <v>0</v>
      </c>
      <c r="D41">
        <v>-188.16</v>
      </c>
      <c r="E41">
        <v>1079.56</v>
      </c>
      <c r="F41">
        <v>12.88</v>
      </c>
      <c r="G41">
        <v>2.27</v>
      </c>
      <c r="H41">
        <v>-8.85</v>
      </c>
      <c r="I41">
        <v>0</v>
      </c>
      <c r="J41" t="s">
        <v>1010</v>
      </c>
      <c r="K41" t="s">
        <v>1011</v>
      </c>
      <c r="L41" t="s">
        <v>1012</v>
      </c>
      <c r="M41" t="s">
        <v>1013</v>
      </c>
    </row>
    <row r="42" spans="1:14" x14ac:dyDescent="0.3">
      <c r="A42">
        <v>1110</v>
      </c>
      <c r="B42">
        <v>0</v>
      </c>
      <c r="C42">
        <v>0</v>
      </c>
      <c r="D42">
        <v>-218.16</v>
      </c>
      <c r="E42">
        <v>1109.56</v>
      </c>
      <c r="F42">
        <v>12.88</v>
      </c>
      <c r="G42">
        <v>2.27</v>
      </c>
      <c r="H42">
        <v>-8.85</v>
      </c>
      <c r="I42">
        <v>0</v>
      </c>
      <c r="J42" t="s">
        <v>1010</v>
      </c>
      <c r="K42" t="s">
        <v>1011</v>
      </c>
      <c r="L42" t="s">
        <v>1012</v>
      </c>
      <c r="M42" t="s">
        <v>1013</v>
      </c>
    </row>
    <row r="43" spans="1:14" x14ac:dyDescent="0.3">
      <c r="A43">
        <v>1140</v>
      </c>
      <c r="B43">
        <v>0</v>
      </c>
      <c r="C43">
        <v>0</v>
      </c>
      <c r="D43">
        <v>-248.16</v>
      </c>
      <c r="E43">
        <v>1139.56</v>
      </c>
      <c r="F43">
        <v>12.88</v>
      </c>
      <c r="G43">
        <v>2.27</v>
      </c>
      <c r="H43">
        <v>-8.85</v>
      </c>
      <c r="I43">
        <v>0</v>
      </c>
      <c r="J43" t="s">
        <v>1010</v>
      </c>
      <c r="K43" t="s">
        <v>1011</v>
      </c>
      <c r="L43" t="s">
        <v>1012</v>
      </c>
      <c r="M43" t="s">
        <v>1013</v>
      </c>
    </row>
    <row r="44" spans="1:14" x14ac:dyDescent="0.3">
      <c r="A44">
        <v>1170</v>
      </c>
      <c r="B44">
        <v>0</v>
      </c>
      <c r="C44">
        <v>0</v>
      </c>
      <c r="D44">
        <v>-278.16000000000003</v>
      </c>
      <c r="E44">
        <v>1169.56</v>
      </c>
      <c r="F44">
        <v>12.88</v>
      </c>
      <c r="G44">
        <v>2.27</v>
      </c>
      <c r="H44">
        <v>-8.85</v>
      </c>
      <c r="I44">
        <v>0</v>
      </c>
      <c r="J44" t="s">
        <v>1010</v>
      </c>
      <c r="K44" t="s">
        <v>1011</v>
      </c>
      <c r="L44" t="s">
        <v>1012</v>
      </c>
      <c r="M44" t="s">
        <v>1013</v>
      </c>
    </row>
    <row r="45" spans="1:14" x14ac:dyDescent="0.3">
      <c r="A45">
        <v>1200</v>
      </c>
      <c r="B45">
        <v>0</v>
      </c>
      <c r="C45">
        <v>0</v>
      </c>
      <c r="D45">
        <v>-308.16000000000003</v>
      </c>
      <c r="E45">
        <v>1199.56</v>
      </c>
      <c r="F45">
        <v>12.88</v>
      </c>
      <c r="G45">
        <v>2.27</v>
      </c>
      <c r="H45">
        <v>-8.85</v>
      </c>
      <c r="I45">
        <v>0</v>
      </c>
      <c r="J45" t="s">
        <v>1010</v>
      </c>
      <c r="K45" t="s">
        <v>1011</v>
      </c>
      <c r="L45" t="s">
        <v>1012</v>
      </c>
      <c r="M45" t="s">
        <v>1013</v>
      </c>
    </row>
    <row r="46" spans="1:14" x14ac:dyDescent="0.3">
      <c r="A46">
        <v>1230</v>
      </c>
      <c r="B46">
        <v>0</v>
      </c>
      <c r="C46">
        <v>0</v>
      </c>
      <c r="D46">
        <v>-338.16</v>
      </c>
      <c r="E46">
        <v>1229.56</v>
      </c>
      <c r="F46">
        <v>12.88</v>
      </c>
      <c r="G46">
        <v>2.27</v>
      </c>
      <c r="H46">
        <v>-8.85</v>
      </c>
      <c r="I46">
        <v>0</v>
      </c>
      <c r="J46" t="s">
        <v>1010</v>
      </c>
      <c r="K46" t="s">
        <v>1011</v>
      </c>
      <c r="L46" t="s">
        <v>1012</v>
      </c>
      <c r="M46" t="s">
        <v>1013</v>
      </c>
    </row>
    <row r="47" spans="1:14" x14ac:dyDescent="0.3">
      <c r="A47">
        <v>1233.8399999999999</v>
      </c>
      <c r="B47">
        <v>0</v>
      </c>
      <c r="C47">
        <v>0</v>
      </c>
      <c r="D47">
        <v>-342</v>
      </c>
      <c r="E47">
        <v>1233.4000000000001</v>
      </c>
      <c r="F47">
        <v>12.88</v>
      </c>
      <c r="G47">
        <v>2.27</v>
      </c>
      <c r="H47">
        <v>-8.85</v>
      </c>
      <c r="I47">
        <v>0</v>
      </c>
      <c r="J47" t="s">
        <v>1010</v>
      </c>
      <c r="K47" t="s">
        <v>1011</v>
      </c>
      <c r="L47" t="s">
        <v>1012</v>
      </c>
      <c r="M47" t="s">
        <v>1013</v>
      </c>
      <c r="N47" t="s">
        <v>1016</v>
      </c>
    </row>
    <row r="48" spans="1:14" x14ac:dyDescent="0.3">
      <c r="A48">
        <v>1260</v>
      </c>
      <c r="B48">
        <v>0</v>
      </c>
      <c r="C48">
        <v>0</v>
      </c>
      <c r="D48">
        <v>-368.16</v>
      </c>
      <c r="E48">
        <v>1259.56</v>
      </c>
      <c r="F48">
        <v>12.88</v>
      </c>
      <c r="G48">
        <v>2.27</v>
      </c>
      <c r="H48">
        <v>-8.85</v>
      </c>
      <c r="I48">
        <v>0</v>
      </c>
      <c r="J48" t="s">
        <v>1010</v>
      </c>
      <c r="K48" t="s">
        <v>1011</v>
      </c>
      <c r="L48" t="s">
        <v>1012</v>
      </c>
      <c r="M48" t="s">
        <v>1013</v>
      </c>
    </row>
    <row r="49" spans="1:14" x14ac:dyDescent="0.3">
      <c r="A49">
        <v>1290</v>
      </c>
      <c r="B49">
        <v>0</v>
      </c>
      <c r="C49">
        <v>0</v>
      </c>
      <c r="D49">
        <v>-398.16</v>
      </c>
      <c r="E49">
        <v>1289.56</v>
      </c>
      <c r="F49">
        <v>12.88</v>
      </c>
      <c r="G49">
        <v>2.27</v>
      </c>
      <c r="H49">
        <v>-8.85</v>
      </c>
      <c r="I49">
        <v>0</v>
      </c>
      <c r="J49" t="s">
        <v>1010</v>
      </c>
      <c r="K49" t="s">
        <v>1011</v>
      </c>
      <c r="L49" t="s">
        <v>1012</v>
      </c>
      <c r="M49" t="s">
        <v>1013</v>
      </c>
    </row>
    <row r="50" spans="1:14" x14ac:dyDescent="0.3">
      <c r="A50">
        <v>1320</v>
      </c>
      <c r="B50">
        <v>0</v>
      </c>
      <c r="C50">
        <v>0</v>
      </c>
      <c r="D50">
        <v>-428.16</v>
      </c>
      <c r="E50">
        <v>1319.56</v>
      </c>
      <c r="F50">
        <v>12.88</v>
      </c>
      <c r="G50">
        <v>2.27</v>
      </c>
      <c r="H50">
        <v>-8.85</v>
      </c>
      <c r="I50">
        <v>0</v>
      </c>
      <c r="J50" t="s">
        <v>1010</v>
      </c>
      <c r="K50" t="s">
        <v>1011</v>
      </c>
      <c r="L50" t="s">
        <v>1012</v>
      </c>
      <c r="M50" t="s">
        <v>1013</v>
      </c>
    </row>
    <row r="51" spans="1:14" x14ac:dyDescent="0.3">
      <c r="A51">
        <v>1350</v>
      </c>
      <c r="B51">
        <v>0</v>
      </c>
      <c r="C51">
        <v>0</v>
      </c>
      <c r="D51">
        <v>-458.16</v>
      </c>
      <c r="E51">
        <v>1349.56</v>
      </c>
      <c r="F51">
        <v>12.88</v>
      </c>
      <c r="G51">
        <v>2.27</v>
      </c>
      <c r="H51">
        <v>-8.85</v>
      </c>
      <c r="I51">
        <v>0</v>
      </c>
      <c r="J51" t="s">
        <v>1010</v>
      </c>
      <c r="K51" t="s">
        <v>1011</v>
      </c>
      <c r="L51" t="s">
        <v>1012</v>
      </c>
      <c r="M51" t="s">
        <v>1013</v>
      </c>
    </row>
    <row r="52" spans="1:14" x14ac:dyDescent="0.3">
      <c r="A52">
        <v>1364.84</v>
      </c>
      <c r="B52">
        <v>0</v>
      </c>
      <c r="C52">
        <v>0</v>
      </c>
      <c r="D52">
        <v>-473</v>
      </c>
      <c r="E52">
        <v>1364.4</v>
      </c>
      <c r="F52">
        <v>12.88</v>
      </c>
      <c r="G52">
        <v>2.27</v>
      </c>
      <c r="H52">
        <v>-8.85</v>
      </c>
      <c r="I52">
        <v>0</v>
      </c>
      <c r="J52" t="s">
        <v>1010</v>
      </c>
      <c r="K52" t="s">
        <v>1011</v>
      </c>
      <c r="L52" t="s">
        <v>1012</v>
      </c>
      <c r="M52" t="s">
        <v>1013</v>
      </c>
      <c r="N52" t="s">
        <v>777</v>
      </c>
    </row>
    <row r="53" spans="1:14" x14ac:dyDescent="0.3">
      <c r="A53">
        <v>1380</v>
      </c>
      <c r="B53">
        <v>0</v>
      </c>
      <c r="C53">
        <v>0</v>
      </c>
      <c r="D53">
        <v>-488.16</v>
      </c>
      <c r="E53">
        <v>1379.56</v>
      </c>
      <c r="F53">
        <v>12.88</v>
      </c>
      <c r="G53">
        <v>2.27</v>
      </c>
      <c r="H53">
        <v>-8.85</v>
      </c>
      <c r="I53">
        <v>0</v>
      </c>
      <c r="J53" t="s">
        <v>1010</v>
      </c>
      <c r="K53" t="s">
        <v>1011</v>
      </c>
      <c r="L53" t="s">
        <v>1012</v>
      </c>
      <c r="M53" t="s">
        <v>1013</v>
      </c>
    </row>
    <row r="54" spans="1:14" x14ac:dyDescent="0.3">
      <c r="A54">
        <v>1410</v>
      </c>
      <c r="B54">
        <v>0</v>
      </c>
      <c r="C54">
        <v>0</v>
      </c>
      <c r="D54">
        <v>-518.16</v>
      </c>
      <c r="E54">
        <v>1409.56</v>
      </c>
      <c r="F54">
        <v>12.88</v>
      </c>
      <c r="G54">
        <v>2.27</v>
      </c>
      <c r="H54">
        <v>-8.85</v>
      </c>
      <c r="I54">
        <v>0</v>
      </c>
      <c r="J54" t="s">
        <v>1010</v>
      </c>
      <c r="K54" t="s">
        <v>1011</v>
      </c>
      <c r="L54" t="s">
        <v>1012</v>
      </c>
      <c r="M54" t="s">
        <v>1013</v>
      </c>
    </row>
    <row r="55" spans="1:14" x14ac:dyDescent="0.3">
      <c r="A55">
        <v>1440</v>
      </c>
      <c r="B55">
        <v>0</v>
      </c>
      <c r="C55">
        <v>0</v>
      </c>
      <c r="D55">
        <v>-548.16</v>
      </c>
      <c r="E55">
        <v>1439.56</v>
      </c>
      <c r="F55">
        <v>12.88</v>
      </c>
      <c r="G55">
        <v>2.27</v>
      </c>
      <c r="H55">
        <v>-8.85</v>
      </c>
      <c r="I55">
        <v>0</v>
      </c>
      <c r="J55" t="s">
        <v>1010</v>
      </c>
      <c r="K55" t="s">
        <v>1011</v>
      </c>
      <c r="L55" t="s">
        <v>1012</v>
      </c>
      <c r="M55" t="s">
        <v>1013</v>
      </c>
    </row>
    <row r="56" spans="1:14" x14ac:dyDescent="0.3">
      <c r="A56">
        <v>1470</v>
      </c>
      <c r="B56">
        <v>0</v>
      </c>
      <c r="C56">
        <v>0</v>
      </c>
      <c r="D56">
        <v>-578.16</v>
      </c>
      <c r="E56">
        <v>1469.56</v>
      </c>
      <c r="F56">
        <v>12.88</v>
      </c>
      <c r="G56">
        <v>2.27</v>
      </c>
      <c r="H56">
        <v>-8.85</v>
      </c>
      <c r="I56">
        <v>0</v>
      </c>
      <c r="J56" t="s">
        <v>1010</v>
      </c>
      <c r="K56" t="s">
        <v>1011</v>
      </c>
      <c r="L56" t="s">
        <v>1012</v>
      </c>
      <c r="M56" t="s">
        <v>1013</v>
      </c>
    </row>
    <row r="57" spans="1:14" x14ac:dyDescent="0.3">
      <c r="A57">
        <v>1500</v>
      </c>
      <c r="B57">
        <v>0</v>
      </c>
      <c r="C57">
        <v>0</v>
      </c>
      <c r="D57">
        <v>-608.16</v>
      </c>
      <c r="E57">
        <v>1499.56</v>
      </c>
      <c r="F57">
        <v>12.88</v>
      </c>
      <c r="G57">
        <v>2.27</v>
      </c>
      <c r="H57">
        <v>-8.85</v>
      </c>
      <c r="I57">
        <v>0</v>
      </c>
      <c r="J57" t="s">
        <v>1010</v>
      </c>
      <c r="K57" t="s">
        <v>1011</v>
      </c>
      <c r="L57" t="s">
        <v>1012</v>
      </c>
      <c r="M57" t="s">
        <v>1013</v>
      </c>
    </row>
    <row r="58" spans="1:14" x14ac:dyDescent="0.3">
      <c r="A58">
        <v>1505.84</v>
      </c>
      <c r="B58">
        <v>0</v>
      </c>
      <c r="C58">
        <v>0</v>
      </c>
      <c r="D58">
        <v>-614</v>
      </c>
      <c r="E58">
        <v>1505.4</v>
      </c>
      <c r="F58">
        <v>12.88</v>
      </c>
      <c r="G58">
        <v>2.27</v>
      </c>
      <c r="H58">
        <v>-8.85</v>
      </c>
      <c r="I58">
        <v>0</v>
      </c>
      <c r="J58" t="s">
        <v>1010</v>
      </c>
      <c r="K58" t="s">
        <v>1011</v>
      </c>
      <c r="L58" t="s">
        <v>1012</v>
      </c>
      <c r="M58" t="s">
        <v>1013</v>
      </c>
      <c r="N58" t="s">
        <v>1017</v>
      </c>
    </row>
    <row r="59" spans="1:14" x14ac:dyDescent="0.3">
      <c r="A59">
        <v>1515.84</v>
      </c>
      <c r="B59">
        <v>0</v>
      </c>
      <c r="C59">
        <v>0</v>
      </c>
      <c r="D59">
        <v>-624</v>
      </c>
      <c r="E59">
        <v>1515.4</v>
      </c>
      <c r="F59">
        <v>12.88</v>
      </c>
      <c r="G59">
        <v>2.27</v>
      </c>
      <c r="H59">
        <v>-8.85</v>
      </c>
      <c r="I59">
        <v>0</v>
      </c>
      <c r="J59" t="s">
        <v>1010</v>
      </c>
      <c r="K59" t="s">
        <v>1011</v>
      </c>
      <c r="L59" t="s">
        <v>1012</v>
      </c>
      <c r="M59" t="s">
        <v>1013</v>
      </c>
      <c r="N59" t="s">
        <v>778</v>
      </c>
    </row>
    <row r="60" spans="1:14" x14ac:dyDescent="0.3">
      <c r="A60">
        <v>1530</v>
      </c>
      <c r="B60">
        <v>0</v>
      </c>
      <c r="C60">
        <v>0</v>
      </c>
      <c r="D60">
        <v>-638.16</v>
      </c>
      <c r="E60">
        <v>1529.56</v>
      </c>
      <c r="F60">
        <v>12.88</v>
      </c>
      <c r="G60">
        <v>2.27</v>
      </c>
      <c r="H60">
        <v>-8.85</v>
      </c>
      <c r="I60">
        <v>0</v>
      </c>
      <c r="J60" t="s">
        <v>1010</v>
      </c>
      <c r="K60" t="s">
        <v>1011</v>
      </c>
      <c r="L60" t="s">
        <v>1012</v>
      </c>
      <c r="M60" t="s">
        <v>1013</v>
      </c>
    </row>
    <row r="61" spans="1:14" x14ac:dyDescent="0.3">
      <c r="A61">
        <v>1560</v>
      </c>
      <c r="B61">
        <v>0</v>
      </c>
      <c r="C61">
        <v>0</v>
      </c>
      <c r="D61">
        <v>-668.16</v>
      </c>
      <c r="E61">
        <v>1559.56</v>
      </c>
      <c r="F61">
        <v>12.88</v>
      </c>
      <c r="G61">
        <v>2.27</v>
      </c>
      <c r="H61">
        <v>-8.85</v>
      </c>
      <c r="I61">
        <v>0</v>
      </c>
      <c r="J61" t="s">
        <v>1010</v>
      </c>
      <c r="K61" t="s">
        <v>1011</v>
      </c>
      <c r="L61" t="s">
        <v>1012</v>
      </c>
      <c r="M61" t="s">
        <v>1013</v>
      </c>
    </row>
    <row r="62" spans="1:14" x14ac:dyDescent="0.3">
      <c r="A62">
        <v>1590</v>
      </c>
      <c r="B62">
        <v>0</v>
      </c>
      <c r="C62">
        <v>0</v>
      </c>
      <c r="D62">
        <v>-698.16</v>
      </c>
      <c r="E62">
        <v>1589.56</v>
      </c>
      <c r="F62">
        <v>12.88</v>
      </c>
      <c r="G62">
        <v>2.27</v>
      </c>
      <c r="H62">
        <v>-8.85</v>
      </c>
      <c r="I62">
        <v>0</v>
      </c>
      <c r="J62" t="s">
        <v>1010</v>
      </c>
      <c r="K62" t="s">
        <v>1011</v>
      </c>
      <c r="L62" t="s">
        <v>1012</v>
      </c>
      <c r="M62" t="s">
        <v>1013</v>
      </c>
    </row>
    <row r="63" spans="1:14" x14ac:dyDescent="0.3">
      <c r="A63">
        <v>1600</v>
      </c>
      <c r="B63">
        <v>0</v>
      </c>
      <c r="C63">
        <v>0</v>
      </c>
      <c r="D63">
        <v>-708.16</v>
      </c>
      <c r="E63">
        <v>1599.56</v>
      </c>
      <c r="F63">
        <v>12.88</v>
      </c>
      <c r="G63">
        <v>2.27</v>
      </c>
      <c r="H63">
        <v>-8.85</v>
      </c>
      <c r="I63">
        <v>0</v>
      </c>
      <c r="J63" t="s">
        <v>1010</v>
      </c>
      <c r="K63" t="s">
        <v>1011</v>
      </c>
      <c r="L63" t="s">
        <v>1012</v>
      </c>
      <c r="M63" t="s">
        <v>1013</v>
      </c>
      <c r="N63" t="s">
        <v>732</v>
      </c>
    </row>
    <row r="64" spans="1:14" x14ac:dyDescent="0.3">
      <c r="A64">
        <v>1609.84</v>
      </c>
      <c r="B64">
        <v>1.31</v>
      </c>
      <c r="C64">
        <v>20.18</v>
      </c>
      <c r="D64">
        <v>-718</v>
      </c>
      <c r="E64">
        <v>1609.4</v>
      </c>
      <c r="F64">
        <v>12.99</v>
      </c>
      <c r="G64">
        <v>2.31</v>
      </c>
      <c r="H64">
        <v>-8.91</v>
      </c>
      <c r="I64">
        <v>4</v>
      </c>
      <c r="J64" t="s">
        <v>1018</v>
      </c>
      <c r="K64" t="s">
        <v>1019</v>
      </c>
      <c r="L64" t="s">
        <v>1020</v>
      </c>
      <c r="M64" t="s">
        <v>1021</v>
      </c>
      <c r="N64" t="s">
        <v>779</v>
      </c>
    </row>
    <row r="65" spans="1:14" x14ac:dyDescent="0.3">
      <c r="A65">
        <v>1620</v>
      </c>
      <c r="B65">
        <v>2.67</v>
      </c>
      <c r="C65">
        <v>20.18</v>
      </c>
      <c r="D65">
        <v>-728.15</v>
      </c>
      <c r="E65">
        <v>1619.55</v>
      </c>
      <c r="F65">
        <v>13.32</v>
      </c>
      <c r="G65">
        <v>2.4300000000000002</v>
      </c>
      <c r="H65">
        <v>-9.09</v>
      </c>
      <c r="I65">
        <v>4</v>
      </c>
      <c r="J65" t="s">
        <v>1022</v>
      </c>
      <c r="K65" t="s">
        <v>1023</v>
      </c>
      <c r="L65" t="s">
        <v>1024</v>
      </c>
      <c r="M65" t="s">
        <v>1025</v>
      </c>
    </row>
    <row r="66" spans="1:14" x14ac:dyDescent="0.3">
      <c r="A66">
        <v>1650</v>
      </c>
      <c r="B66">
        <v>6.67</v>
      </c>
      <c r="C66">
        <v>20.18</v>
      </c>
      <c r="D66">
        <v>-758.04</v>
      </c>
      <c r="E66">
        <v>1649.44</v>
      </c>
      <c r="F66">
        <v>15.61</v>
      </c>
      <c r="G66">
        <v>3.27</v>
      </c>
      <c r="H66">
        <v>-10.4</v>
      </c>
      <c r="I66">
        <v>4</v>
      </c>
      <c r="J66" t="s">
        <v>1026</v>
      </c>
      <c r="K66" t="s">
        <v>1027</v>
      </c>
      <c r="L66" t="s">
        <v>1028</v>
      </c>
      <c r="M66" t="s">
        <v>1029</v>
      </c>
    </row>
    <row r="67" spans="1:14" x14ac:dyDescent="0.3">
      <c r="A67">
        <v>1680</v>
      </c>
      <c r="B67">
        <v>10.67</v>
      </c>
      <c r="C67">
        <v>20.18</v>
      </c>
      <c r="D67">
        <v>-787.69</v>
      </c>
      <c r="E67">
        <v>1679.09</v>
      </c>
      <c r="F67">
        <v>19.850000000000001</v>
      </c>
      <c r="G67">
        <v>4.83</v>
      </c>
      <c r="H67">
        <v>-12.82</v>
      </c>
      <c r="I67">
        <v>4</v>
      </c>
      <c r="J67" t="s">
        <v>1030</v>
      </c>
      <c r="K67" t="s">
        <v>1031</v>
      </c>
      <c r="L67" t="s">
        <v>1032</v>
      </c>
      <c r="M67" t="s">
        <v>1033</v>
      </c>
    </row>
    <row r="68" spans="1:14" x14ac:dyDescent="0.3">
      <c r="A68">
        <v>1710</v>
      </c>
      <c r="B68">
        <v>14.67</v>
      </c>
      <c r="C68">
        <v>20.18</v>
      </c>
      <c r="D68">
        <v>-816.96</v>
      </c>
      <c r="E68">
        <v>1708.36</v>
      </c>
      <c r="F68">
        <v>26.02</v>
      </c>
      <c r="G68">
        <v>7.1</v>
      </c>
      <c r="H68">
        <v>-16.34</v>
      </c>
      <c r="I68">
        <v>4</v>
      </c>
      <c r="J68" t="s">
        <v>1034</v>
      </c>
      <c r="K68" t="s">
        <v>1035</v>
      </c>
      <c r="L68" t="s">
        <v>1036</v>
      </c>
      <c r="M68" t="s">
        <v>1037</v>
      </c>
    </row>
    <row r="69" spans="1:14" x14ac:dyDescent="0.3">
      <c r="A69">
        <v>1740</v>
      </c>
      <c r="B69">
        <v>18.670000000000002</v>
      </c>
      <c r="C69">
        <v>20.18</v>
      </c>
      <c r="D69">
        <v>-845.69</v>
      </c>
      <c r="E69">
        <v>1737.09</v>
      </c>
      <c r="F69">
        <v>34.1</v>
      </c>
      <c r="G69">
        <v>10.07</v>
      </c>
      <c r="H69">
        <v>-20.95</v>
      </c>
      <c r="I69">
        <v>4</v>
      </c>
      <c r="J69" t="s">
        <v>1038</v>
      </c>
      <c r="K69" t="s">
        <v>1039</v>
      </c>
      <c r="L69" t="s">
        <v>1040</v>
      </c>
      <c r="M69" t="s">
        <v>1041</v>
      </c>
    </row>
    <row r="70" spans="1:14" x14ac:dyDescent="0.3">
      <c r="A70">
        <v>1770</v>
      </c>
      <c r="B70">
        <v>22.67</v>
      </c>
      <c r="C70">
        <v>20.18</v>
      </c>
      <c r="D70">
        <v>-873.76</v>
      </c>
      <c r="E70">
        <v>1765.16</v>
      </c>
      <c r="F70">
        <v>44.03</v>
      </c>
      <c r="G70">
        <v>13.72</v>
      </c>
      <c r="H70">
        <v>-26.62</v>
      </c>
      <c r="I70">
        <v>4</v>
      </c>
      <c r="J70" t="s">
        <v>1042</v>
      </c>
      <c r="K70" t="s">
        <v>1043</v>
      </c>
      <c r="L70" t="s">
        <v>1044</v>
      </c>
      <c r="M70" t="s">
        <v>1045</v>
      </c>
    </row>
    <row r="71" spans="1:14" x14ac:dyDescent="0.3">
      <c r="A71">
        <v>1781.16</v>
      </c>
      <c r="B71">
        <v>24.16</v>
      </c>
      <c r="C71">
        <v>20.18</v>
      </c>
      <c r="D71">
        <v>-884</v>
      </c>
      <c r="E71">
        <v>1775.4</v>
      </c>
      <c r="F71">
        <v>48.2</v>
      </c>
      <c r="G71">
        <v>15.25</v>
      </c>
      <c r="H71">
        <v>-28.99</v>
      </c>
      <c r="I71">
        <v>4</v>
      </c>
      <c r="J71" t="s">
        <v>1046</v>
      </c>
      <c r="K71" t="s">
        <v>1047</v>
      </c>
      <c r="L71" t="s">
        <v>1048</v>
      </c>
      <c r="M71" t="s">
        <v>1049</v>
      </c>
      <c r="N71" t="s">
        <v>780</v>
      </c>
    </row>
    <row r="72" spans="1:14" x14ac:dyDescent="0.3">
      <c r="A72">
        <v>1800</v>
      </c>
      <c r="B72">
        <v>26.67</v>
      </c>
      <c r="C72">
        <v>20.18</v>
      </c>
      <c r="D72">
        <v>-901.01</v>
      </c>
      <c r="E72">
        <v>1792.41</v>
      </c>
      <c r="F72">
        <v>55.78</v>
      </c>
      <c r="G72">
        <v>18.04</v>
      </c>
      <c r="H72">
        <v>-33.32</v>
      </c>
      <c r="I72">
        <v>4</v>
      </c>
      <c r="J72" t="s">
        <v>1050</v>
      </c>
      <c r="K72" t="s">
        <v>1051</v>
      </c>
      <c r="L72" t="s">
        <v>1052</v>
      </c>
      <c r="M72" t="s">
        <v>1053</v>
      </c>
    </row>
    <row r="73" spans="1:14" x14ac:dyDescent="0.3">
      <c r="A73">
        <v>1807.13</v>
      </c>
      <c r="B73">
        <v>27.62</v>
      </c>
      <c r="C73">
        <v>20.18</v>
      </c>
      <c r="D73">
        <v>-907.36</v>
      </c>
      <c r="E73">
        <v>1798.76</v>
      </c>
      <c r="F73">
        <v>58.84</v>
      </c>
      <c r="G73">
        <v>19.16</v>
      </c>
      <c r="H73">
        <v>-35.06</v>
      </c>
      <c r="I73">
        <v>4</v>
      </c>
      <c r="J73" t="s">
        <v>1054</v>
      </c>
      <c r="K73" t="s">
        <v>1055</v>
      </c>
      <c r="L73" t="s">
        <v>1056</v>
      </c>
      <c r="M73" t="s">
        <v>1057</v>
      </c>
      <c r="N73" t="s">
        <v>963</v>
      </c>
    </row>
    <row r="74" spans="1:14" x14ac:dyDescent="0.3">
      <c r="A74">
        <v>1818.01</v>
      </c>
      <c r="B74">
        <v>27.62</v>
      </c>
      <c r="C74">
        <v>20.18</v>
      </c>
      <c r="D74">
        <v>-917</v>
      </c>
      <c r="E74">
        <v>1808.4</v>
      </c>
      <c r="F74">
        <v>63.57</v>
      </c>
      <c r="G74">
        <v>20.9</v>
      </c>
      <c r="H74">
        <v>-37.76</v>
      </c>
      <c r="I74">
        <v>0</v>
      </c>
      <c r="J74" t="s">
        <v>1058</v>
      </c>
      <c r="K74" t="s">
        <v>1059</v>
      </c>
      <c r="L74" t="s">
        <v>1060</v>
      </c>
      <c r="M74" t="s">
        <v>1061</v>
      </c>
      <c r="N74" t="s">
        <v>1062</v>
      </c>
    </row>
    <row r="75" spans="1:14" x14ac:dyDescent="0.3">
      <c r="A75">
        <v>1830</v>
      </c>
      <c r="B75">
        <v>27.62</v>
      </c>
      <c r="C75">
        <v>20.18</v>
      </c>
      <c r="D75">
        <v>-927.62</v>
      </c>
      <c r="E75">
        <v>1819.02</v>
      </c>
      <c r="F75">
        <v>68.790000000000006</v>
      </c>
      <c r="G75">
        <v>22.82</v>
      </c>
      <c r="H75">
        <v>-40.74</v>
      </c>
      <c r="I75">
        <v>0</v>
      </c>
      <c r="J75" t="s">
        <v>1063</v>
      </c>
      <c r="K75" t="s">
        <v>1064</v>
      </c>
      <c r="L75" t="s">
        <v>1065</v>
      </c>
      <c r="M75" t="s">
        <v>1066</v>
      </c>
    </row>
    <row r="76" spans="1:14" x14ac:dyDescent="0.3">
      <c r="A76">
        <v>1848.48</v>
      </c>
      <c r="B76">
        <v>27.62</v>
      </c>
      <c r="C76">
        <v>20.18</v>
      </c>
      <c r="D76">
        <v>-944</v>
      </c>
      <c r="E76">
        <v>1835.4</v>
      </c>
      <c r="F76">
        <v>76.83</v>
      </c>
      <c r="G76">
        <v>25.77</v>
      </c>
      <c r="H76">
        <v>-45.33</v>
      </c>
      <c r="I76">
        <v>0</v>
      </c>
      <c r="J76" t="s">
        <v>1067</v>
      </c>
      <c r="K76" t="s">
        <v>1068</v>
      </c>
      <c r="L76" t="s">
        <v>1069</v>
      </c>
      <c r="M76" t="s">
        <v>1070</v>
      </c>
      <c r="N76" t="s">
        <v>1071</v>
      </c>
    </row>
    <row r="77" spans="1:14" x14ac:dyDescent="0.3">
      <c r="A77">
        <v>1860</v>
      </c>
      <c r="B77">
        <v>27.62</v>
      </c>
      <c r="C77">
        <v>20.18</v>
      </c>
      <c r="D77">
        <v>-954.2</v>
      </c>
      <c r="E77">
        <v>1845.6</v>
      </c>
      <c r="F77">
        <v>81.84</v>
      </c>
      <c r="G77">
        <v>27.62</v>
      </c>
      <c r="H77">
        <v>-48.19</v>
      </c>
      <c r="I77">
        <v>0</v>
      </c>
      <c r="J77" t="s">
        <v>1072</v>
      </c>
      <c r="K77" t="s">
        <v>1073</v>
      </c>
      <c r="L77" t="s">
        <v>1074</v>
      </c>
      <c r="M77" t="s">
        <v>1075</v>
      </c>
    </row>
    <row r="78" spans="1:14" x14ac:dyDescent="0.3">
      <c r="A78">
        <v>1873.31</v>
      </c>
      <c r="B78">
        <v>27.62</v>
      </c>
      <c r="C78">
        <v>20.18</v>
      </c>
      <c r="D78">
        <v>-966</v>
      </c>
      <c r="E78">
        <v>1857.4</v>
      </c>
      <c r="F78">
        <v>87.63</v>
      </c>
      <c r="G78">
        <v>29.74</v>
      </c>
      <c r="H78">
        <v>-51.49</v>
      </c>
      <c r="I78">
        <v>0</v>
      </c>
      <c r="J78" t="s">
        <v>1076</v>
      </c>
      <c r="K78" t="s">
        <v>1077</v>
      </c>
      <c r="L78" t="s">
        <v>1078</v>
      </c>
      <c r="M78" t="s">
        <v>1079</v>
      </c>
      <c r="N78" t="s">
        <v>1080</v>
      </c>
    </row>
    <row r="79" spans="1:14" x14ac:dyDescent="0.3">
      <c r="A79">
        <v>1890</v>
      </c>
      <c r="B79">
        <v>27.62</v>
      </c>
      <c r="C79">
        <v>20.18</v>
      </c>
      <c r="D79">
        <v>-980.79</v>
      </c>
      <c r="E79">
        <v>1872.19</v>
      </c>
      <c r="F79">
        <v>94.89</v>
      </c>
      <c r="G79">
        <v>32.409999999999997</v>
      </c>
      <c r="H79">
        <v>-55.63</v>
      </c>
      <c r="I79">
        <v>0</v>
      </c>
      <c r="J79" t="s">
        <v>1081</v>
      </c>
      <c r="K79" t="s">
        <v>1082</v>
      </c>
      <c r="L79" t="s">
        <v>1083</v>
      </c>
      <c r="M79" t="s">
        <v>1084</v>
      </c>
    </row>
    <row r="80" spans="1:14" x14ac:dyDescent="0.3">
      <c r="A80">
        <v>1920</v>
      </c>
      <c r="B80">
        <v>27.62</v>
      </c>
      <c r="C80">
        <v>20.18</v>
      </c>
      <c r="D80">
        <v>-1007.37</v>
      </c>
      <c r="E80">
        <v>1898.77</v>
      </c>
      <c r="F80">
        <v>107.95</v>
      </c>
      <c r="G80">
        <v>37.21</v>
      </c>
      <c r="H80">
        <v>-63.08</v>
      </c>
      <c r="I80">
        <v>0</v>
      </c>
      <c r="J80" t="s">
        <v>1085</v>
      </c>
      <c r="K80" t="s">
        <v>1086</v>
      </c>
      <c r="L80" t="s">
        <v>1087</v>
      </c>
      <c r="M80" t="s">
        <v>1088</v>
      </c>
    </row>
    <row r="81" spans="1:14" x14ac:dyDescent="0.3">
      <c r="A81">
        <v>1950</v>
      </c>
      <c r="B81">
        <v>27.62</v>
      </c>
      <c r="C81">
        <v>20.18</v>
      </c>
      <c r="D81">
        <v>-1033.95</v>
      </c>
      <c r="E81">
        <v>1925.35</v>
      </c>
      <c r="F81">
        <v>121</v>
      </c>
      <c r="G81">
        <v>42.01</v>
      </c>
      <c r="H81">
        <v>-70.53</v>
      </c>
      <c r="I81">
        <v>0</v>
      </c>
      <c r="J81" t="s">
        <v>1089</v>
      </c>
      <c r="K81" t="s">
        <v>1090</v>
      </c>
      <c r="L81" t="s">
        <v>1091</v>
      </c>
      <c r="M81" t="s">
        <v>1092</v>
      </c>
    </row>
    <row r="82" spans="1:14" x14ac:dyDescent="0.3">
      <c r="A82">
        <v>1980</v>
      </c>
      <c r="B82">
        <v>27.62</v>
      </c>
      <c r="C82">
        <v>20.18</v>
      </c>
      <c r="D82">
        <v>-1060.53</v>
      </c>
      <c r="E82">
        <v>1951.93</v>
      </c>
      <c r="F82">
        <v>134.05000000000001</v>
      </c>
      <c r="G82">
        <v>46.81</v>
      </c>
      <c r="H82">
        <v>-77.97</v>
      </c>
      <c r="I82">
        <v>0</v>
      </c>
      <c r="J82" t="s">
        <v>1093</v>
      </c>
      <c r="K82" t="s">
        <v>1094</v>
      </c>
      <c r="L82" t="s">
        <v>1095</v>
      </c>
      <c r="M82" t="s">
        <v>1096</v>
      </c>
    </row>
    <row r="83" spans="1:14" x14ac:dyDescent="0.3">
      <c r="A83">
        <v>2010</v>
      </c>
      <c r="B83">
        <v>27.62</v>
      </c>
      <c r="C83">
        <v>20.18</v>
      </c>
      <c r="D83">
        <v>-1087.1099999999999</v>
      </c>
      <c r="E83">
        <v>1978.51</v>
      </c>
      <c r="F83">
        <v>147.11000000000001</v>
      </c>
      <c r="G83">
        <v>51.6</v>
      </c>
      <c r="H83">
        <v>-85.42</v>
      </c>
      <c r="I83">
        <v>0</v>
      </c>
      <c r="J83" t="s">
        <v>1097</v>
      </c>
      <c r="K83" t="s">
        <v>1098</v>
      </c>
      <c r="L83" t="s">
        <v>1099</v>
      </c>
      <c r="M83" t="s">
        <v>1100</v>
      </c>
    </row>
    <row r="84" spans="1:14" x14ac:dyDescent="0.3">
      <c r="A84">
        <v>2040</v>
      </c>
      <c r="B84">
        <v>27.62</v>
      </c>
      <c r="C84">
        <v>20.18</v>
      </c>
      <c r="D84">
        <v>-1113.7</v>
      </c>
      <c r="E84">
        <v>2005.1</v>
      </c>
      <c r="F84">
        <v>160.16</v>
      </c>
      <c r="G84">
        <v>56.4</v>
      </c>
      <c r="H84">
        <v>-92.87</v>
      </c>
      <c r="I84">
        <v>0</v>
      </c>
      <c r="J84" t="s">
        <v>1101</v>
      </c>
      <c r="K84" t="s">
        <v>1102</v>
      </c>
      <c r="L84" t="s">
        <v>1103</v>
      </c>
      <c r="M84" t="s">
        <v>1104</v>
      </c>
    </row>
    <row r="85" spans="1:14" x14ac:dyDescent="0.3">
      <c r="A85">
        <v>2051.63</v>
      </c>
      <c r="B85">
        <v>27.62</v>
      </c>
      <c r="C85">
        <v>20.18</v>
      </c>
      <c r="D85">
        <v>-1124</v>
      </c>
      <c r="E85">
        <v>2015.4</v>
      </c>
      <c r="F85">
        <v>165.22</v>
      </c>
      <c r="G85">
        <v>58.26</v>
      </c>
      <c r="H85">
        <v>-95.75</v>
      </c>
      <c r="I85">
        <v>0</v>
      </c>
      <c r="J85" t="s">
        <v>1105</v>
      </c>
      <c r="K85" t="s">
        <v>1106</v>
      </c>
      <c r="L85" t="s">
        <v>1107</v>
      </c>
      <c r="M85" t="s">
        <v>1108</v>
      </c>
      <c r="N85" t="s">
        <v>1109</v>
      </c>
    </row>
    <row r="86" spans="1:14" x14ac:dyDescent="0.3">
      <c r="A86">
        <v>2070</v>
      </c>
      <c r="B86">
        <v>27.62</v>
      </c>
      <c r="C86">
        <v>20.18</v>
      </c>
      <c r="D86">
        <v>-1140.28</v>
      </c>
      <c r="E86">
        <v>2031.68</v>
      </c>
      <c r="F86">
        <v>173.21</v>
      </c>
      <c r="G86">
        <v>61.2</v>
      </c>
      <c r="H86">
        <v>-100.31</v>
      </c>
      <c r="I86">
        <v>0</v>
      </c>
      <c r="J86" t="s">
        <v>1110</v>
      </c>
      <c r="K86" t="s">
        <v>1111</v>
      </c>
      <c r="L86" t="s">
        <v>1112</v>
      </c>
      <c r="M86" t="s">
        <v>1113</v>
      </c>
    </row>
    <row r="87" spans="1:14" x14ac:dyDescent="0.3">
      <c r="A87">
        <v>2076.46</v>
      </c>
      <c r="B87">
        <v>27.62</v>
      </c>
      <c r="C87">
        <v>20.18</v>
      </c>
      <c r="D87">
        <v>-1146</v>
      </c>
      <c r="E87">
        <v>2037.4</v>
      </c>
      <c r="F87">
        <v>176.02</v>
      </c>
      <c r="G87">
        <v>62.23</v>
      </c>
      <c r="H87">
        <v>-101.92</v>
      </c>
      <c r="I87">
        <v>0</v>
      </c>
      <c r="J87" t="s">
        <v>1114</v>
      </c>
      <c r="K87" t="s">
        <v>1115</v>
      </c>
      <c r="L87" t="s">
        <v>1116</v>
      </c>
      <c r="M87" t="s">
        <v>1117</v>
      </c>
      <c r="N87" t="s">
        <v>1118</v>
      </c>
    </row>
    <row r="88" spans="1:14" x14ac:dyDescent="0.3">
      <c r="A88">
        <v>2100</v>
      </c>
      <c r="B88">
        <v>27.62</v>
      </c>
      <c r="C88">
        <v>20.18</v>
      </c>
      <c r="D88">
        <v>-1166.8599999999999</v>
      </c>
      <c r="E88">
        <v>2058.2600000000002</v>
      </c>
      <c r="F88">
        <v>186.27</v>
      </c>
      <c r="G88">
        <v>66</v>
      </c>
      <c r="H88">
        <v>-107.76</v>
      </c>
      <c r="I88">
        <v>0</v>
      </c>
      <c r="J88" t="s">
        <v>1119</v>
      </c>
      <c r="K88" t="s">
        <v>1120</v>
      </c>
      <c r="L88" t="s">
        <v>1121</v>
      </c>
      <c r="M88" t="s">
        <v>1122</v>
      </c>
    </row>
    <row r="89" spans="1:14" x14ac:dyDescent="0.3">
      <c r="A89">
        <v>2100.16</v>
      </c>
      <c r="B89">
        <v>27.62</v>
      </c>
      <c r="C89">
        <v>20.18</v>
      </c>
      <c r="D89">
        <v>-1167</v>
      </c>
      <c r="E89">
        <v>2058.4</v>
      </c>
      <c r="F89">
        <v>186.34</v>
      </c>
      <c r="G89">
        <v>66.02</v>
      </c>
      <c r="H89">
        <v>-107.8</v>
      </c>
      <c r="I89">
        <v>0</v>
      </c>
      <c r="J89" t="s">
        <v>1123</v>
      </c>
      <c r="K89" t="s">
        <v>1124</v>
      </c>
      <c r="L89" t="s">
        <v>1125</v>
      </c>
      <c r="M89" t="s">
        <v>1126</v>
      </c>
      <c r="N89" t="s">
        <v>1127</v>
      </c>
    </row>
    <row r="90" spans="1:14" x14ac:dyDescent="0.3">
      <c r="A90">
        <v>2121.6</v>
      </c>
      <c r="B90">
        <v>27.62</v>
      </c>
      <c r="C90">
        <v>20.18</v>
      </c>
      <c r="D90">
        <v>-1186</v>
      </c>
      <c r="E90">
        <v>2077.4</v>
      </c>
      <c r="F90">
        <v>195.67</v>
      </c>
      <c r="G90">
        <v>69.45</v>
      </c>
      <c r="H90">
        <v>-113.12</v>
      </c>
      <c r="I90">
        <v>0</v>
      </c>
      <c r="J90" t="s">
        <v>1128</v>
      </c>
      <c r="K90" t="s">
        <v>1129</v>
      </c>
      <c r="L90" t="s">
        <v>1130</v>
      </c>
      <c r="M90" t="s">
        <v>1131</v>
      </c>
      <c r="N90" t="s">
        <v>781</v>
      </c>
    </row>
    <row r="91" spans="1:14" x14ac:dyDescent="0.3">
      <c r="A91">
        <v>2130</v>
      </c>
      <c r="B91">
        <v>27.62</v>
      </c>
      <c r="C91">
        <v>20.18</v>
      </c>
      <c r="D91">
        <v>-1193.44</v>
      </c>
      <c r="E91">
        <v>2084.84</v>
      </c>
      <c r="F91">
        <v>199.32</v>
      </c>
      <c r="G91">
        <v>70.790000000000006</v>
      </c>
      <c r="H91">
        <v>-115.21</v>
      </c>
      <c r="I91">
        <v>0</v>
      </c>
      <c r="J91" t="s">
        <v>1132</v>
      </c>
      <c r="K91" t="s">
        <v>1133</v>
      </c>
      <c r="L91" t="s">
        <v>1134</v>
      </c>
      <c r="M91" t="s">
        <v>1135</v>
      </c>
    </row>
    <row r="92" spans="1:14" x14ac:dyDescent="0.3">
      <c r="A92">
        <v>2160</v>
      </c>
      <c r="B92">
        <v>27.62</v>
      </c>
      <c r="C92">
        <v>20.18</v>
      </c>
      <c r="D92">
        <v>-1220.02</v>
      </c>
      <c r="E92">
        <v>2111.42</v>
      </c>
      <c r="F92">
        <v>212.37</v>
      </c>
      <c r="G92">
        <v>75.59</v>
      </c>
      <c r="H92">
        <v>-122.66</v>
      </c>
      <c r="I92">
        <v>0</v>
      </c>
      <c r="J92" t="s">
        <v>1136</v>
      </c>
      <c r="K92" t="s">
        <v>1137</v>
      </c>
      <c r="L92" t="s">
        <v>1138</v>
      </c>
      <c r="M92" t="s">
        <v>1139</v>
      </c>
    </row>
    <row r="93" spans="1:14" x14ac:dyDescent="0.3">
      <c r="A93">
        <v>2171.2600000000002</v>
      </c>
      <c r="B93">
        <v>27.62</v>
      </c>
      <c r="C93">
        <v>20.18</v>
      </c>
      <c r="D93">
        <v>-1230</v>
      </c>
      <c r="E93">
        <v>2121.4</v>
      </c>
      <c r="F93">
        <v>217.27</v>
      </c>
      <c r="G93">
        <v>77.39</v>
      </c>
      <c r="H93">
        <v>-125.45</v>
      </c>
      <c r="I93">
        <v>0</v>
      </c>
      <c r="J93" t="s">
        <v>1140</v>
      </c>
      <c r="K93" t="s">
        <v>1141</v>
      </c>
      <c r="L93" t="s">
        <v>1142</v>
      </c>
      <c r="M93" t="s">
        <v>1143</v>
      </c>
      <c r="N93" t="s">
        <v>1144</v>
      </c>
    </row>
    <row r="94" spans="1:14" x14ac:dyDescent="0.3">
      <c r="A94">
        <v>2176.9</v>
      </c>
      <c r="B94">
        <v>27.62</v>
      </c>
      <c r="C94">
        <v>20.18</v>
      </c>
      <c r="D94">
        <v>-1235</v>
      </c>
      <c r="E94">
        <v>2126.4</v>
      </c>
      <c r="F94">
        <v>219.73</v>
      </c>
      <c r="G94">
        <v>78.290000000000006</v>
      </c>
      <c r="H94">
        <v>-126.85</v>
      </c>
      <c r="I94">
        <v>0</v>
      </c>
      <c r="J94" t="s">
        <v>1145</v>
      </c>
      <c r="K94" t="s">
        <v>1146</v>
      </c>
      <c r="L94" t="s">
        <v>1147</v>
      </c>
      <c r="M94" t="s">
        <v>1148</v>
      </c>
      <c r="N94" t="s">
        <v>1149</v>
      </c>
    </row>
    <row r="95" spans="1:14" x14ac:dyDescent="0.3">
      <c r="A95">
        <v>2190</v>
      </c>
      <c r="B95">
        <v>27.62</v>
      </c>
      <c r="C95">
        <v>20.18</v>
      </c>
      <c r="D95">
        <v>-1246.5999999999999</v>
      </c>
      <c r="E95">
        <v>2138</v>
      </c>
      <c r="F95">
        <v>225.43</v>
      </c>
      <c r="G95">
        <v>80.39</v>
      </c>
      <c r="H95">
        <v>-130.1</v>
      </c>
      <c r="I95">
        <v>0</v>
      </c>
      <c r="J95" t="s">
        <v>1150</v>
      </c>
      <c r="K95" t="s">
        <v>1151</v>
      </c>
      <c r="L95" t="s">
        <v>1152</v>
      </c>
      <c r="M95" t="s">
        <v>1153</v>
      </c>
    </row>
    <row r="96" spans="1:14" x14ac:dyDescent="0.3">
      <c r="A96">
        <v>2211.89</v>
      </c>
      <c r="B96">
        <v>27.62</v>
      </c>
      <c r="C96">
        <v>20.18</v>
      </c>
      <c r="D96">
        <v>-1266</v>
      </c>
      <c r="E96">
        <v>2157.4</v>
      </c>
      <c r="F96">
        <v>234.95</v>
      </c>
      <c r="G96">
        <v>83.89</v>
      </c>
      <c r="H96">
        <v>-135.54</v>
      </c>
      <c r="I96">
        <v>0</v>
      </c>
      <c r="J96" t="s">
        <v>1154</v>
      </c>
      <c r="K96" t="s">
        <v>1155</v>
      </c>
      <c r="L96" t="s">
        <v>1156</v>
      </c>
      <c r="M96" t="s">
        <v>1157</v>
      </c>
      <c r="N96" t="s">
        <v>1158</v>
      </c>
    </row>
    <row r="97" spans="1:14" x14ac:dyDescent="0.3">
      <c r="A97">
        <v>2220</v>
      </c>
      <c r="B97">
        <v>27.62</v>
      </c>
      <c r="C97">
        <v>20.18</v>
      </c>
      <c r="D97">
        <v>-1273.19</v>
      </c>
      <c r="E97">
        <v>2164.59</v>
      </c>
      <c r="F97">
        <v>238.48</v>
      </c>
      <c r="G97">
        <v>85.19</v>
      </c>
      <c r="H97">
        <v>-137.55000000000001</v>
      </c>
      <c r="I97">
        <v>0</v>
      </c>
      <c r="J97" t="s">
        <v>1159</v>
      </c>
      <c r="K97" t="s">
        <v>1160</v>
      </c>
      <c r="L97" t="s">
        <v>1161</v>
      </c>
      <c r="M97" t="s">
        <v>1162</v>
      </c>
    </row>
    <row r="98" spans="1:14" x14ac:dyDescent="0.3">
      <c r="A98">
        <v>2250</v>
      </c>
      <c r="B98">
        <v>27.62</v>
      </c>
      <c r="C98">
        <v>20.18</v>
      </c>
      <c r="D98">
        <v>-1299.77</v>
      </c>
      <c r="E98">
        <v>2191.17</v>
      </c>
      <c r="F98">
        <v>251.53</v>
      </c>
      <c r="G98">
        <v>89.98</v>
      </c>
      <c r="H98">
        <v>-145</v>
      </c>
      <c r="I98">
        <v>0</v>
      </c>
      <c r="J98" t="s">
        <v>1163</v>
      </c>
      <c r="K98" t="s">
        <v>1164</v>
      </c>
      <c r="L98" t="s">
        <v>1165</v>
      </c>
      <c r="M98" t="s">
        <v>1166</v>
      </c>
    </row>
    <row r="99" spans="1:14" x14ac:dyDescent="0.3">
      <c r="A99">
        <v>2280</v>
      </c>
      <c r="B99">
        <v>27.62</v>
      </c>
      <c r="C99">
        <v>20.18</v>
      </c>
      <c r="D99">
        <v>-1326.35</v>
      </c>
      <c r="E99">
        <v>2217.75</v>
      </c>
      <c r="F99">
        <v>264.58999999999997</v>
      </c>
      <c r="G99">
        <v>94.78</v>
      </c>
      <c r="H99">
        <v>-152.44</v>
      </c>
      <c r="I99">
        <v>0</v>
      </c>
      <c r="J99" t="s">
        <v>1167</v>
      </c>
      <c r="K99" t="s">
        <v>1168</v>
      </c>
      <c r="L99" t="s">
        <v>1169</v>
      </c>
      <c r="M99" t="s">
        <v>1170</v>
      </c>
    </row>
    <row r="100" spans="1:14" x14ac:dyDescent="0.3">
      <c r="A100">
        <v>2310</v>
      </c>
      <c r="B100">
        <v>27.62</v>
      </c>
      <c r="C100">
        <v>20.18</v>
      </c>
      <c r="D100">
        <v>-1352.93</v>
      </c>
      <c r="E100">
        <v>2244.33</v>
      </c>
      <c r="F100">
        <v>277.64</v>
      </c>
      <c r="G100">
        <v>99.58</v>
      </c>
      <c r="H100">
        <v>-159.88999999999999</v>
      </c>
      <c r="I100">
        <v>0</v>
      </c>
      <c r="J100" t="s">
        <v>1171</v>
      </c>
      <c r="K100" t="s">
        <v>1172</v>
      </c>
      <c r="L100" t="s">
        <v>1173</v>
      </c>
      <c r="M100" t="s">
        <v>1174</v>
      </c>
    </row>
    <row r="101" spans="1:14" x14ac:dyDescent="0.3">
      <c r="A101">
        <v>2340</v>
      </c>
      <c r="B101">
        <v>27.62</v>
      </c>
      <c r="C101">
        <v>20.18</v>
      </c>
      <c r="D101">
        <v>-1379.51</v>
      </c>
      <c r="E101">
        <v>2270.91</v>
      </c>
      <c r="F101">
        <v>290.69</v>
      </c>
      <c r="G101">
        <v>104.37</v>
      </c>
      <c r="H101">
        <v>-167.34</v>
      </c>
      <c r="I101">
        <v>0</v>
      </c>
      <c r="J101" t="s">
        <v>1175</v>
      </c>
      <c r="K101" t="s">
        <v>1176</v>
      </c>
      <c r="L101" t="s">
        <v>1177</v>
      </c>
      <c r="M101" t="s">
        <v>1178</v>
      </c>
    </row>
    <row r="102" spans="1:14" x14ac:dyDescent="0.3">
      <c r="A102">
        <v>2370</v>
      </c>
      <c r="B102">
        <v>27.62</v>
      </c>
      <c r="C102">
        <v>20.18</v>
      </c>
      <c r="D102">
        <v>-1406.1</v>
      </c>
      <c r="E102">
        <v>2297.5</v>
      </c>
      <c r="F102">
        <v>303.75</v>
      </c>
      <c r="G102">
        <v>109.17</v>
      </c>
      <c r="H102">
        <v>-174.78</v>
      </c>
      <c r="I102">
        <v>0</v>
      </c>
      <c r="J102" t="s">
        <v>1179</v>
      </c>
      <c r="K102" t="s">
        <v>1180</v>
      </c>
      <c r="L102" t="s">
        <v>1181</v>
      </c>
      <c r="M102" t="s">
        <v>1182</v>
      </c>
    </row>
    <row r="103" spans="1:14" x14ac:dyDescent="0.3">
      <c r="A103">
        <v>2400</v>
      </c>
      <c r="B103">
        <v>27.62</v>
      </c>
      <c r="C103">
        <v>20.18</v>
      </c>
      <c r="D103">
        <v>-1432.68</v>
      </c>
      <c r="E103">
        <v>2324.08</v>
      </c>
      <c r="F103">
        <v>316.8</v>
      </c>
      <c r="G103">
        <v>113.97</v>
      </c>
      <c r="H103">
        <v>-182.23</v>
      </c>
      <c r="I103">
        <v>0</v>
      </c>
      <c r="J103" t="s">
        <v>1183</v>
      </c>
      <c r="K103" t="s">
        <v>1184</v>
      </c>
      <c r="L103" t="s">
        <v>1185</v>
      </c>
      <c r="M103" t="s">
        <v>1186</v>
      </c>
    </row>
    <row r="104" spans="1:14" x14ac:dyDescent="0.3">
      <c r="A104">
        <v>2400.36</v>
      </c>
      <c r="B104">
        <v>27.62</v>
      </c>
      <c r="C104">
        <v>20.18</v>
      </c>
      <c r="D104">
        <v>-1433</v>
      </c>
      <c r="E104">
        <v>2324.4</v>
      </c>
      <c r="F104">
        <v>316.95999999999998</v>
      </c>
      <c r="G104">
        <v>114.03</v>
      </c>
      <c r="H104">
        <v>-182.32</v>
      </c>
      <c r="I104">
        <v>0</v>
      </c>
      <c r="J104" t="s">
        <v>1187</v>
      </c>
      <c r="K104" t="s">
        <v>1188</v>
      </c>
      <c r="L104" t="s">
        <v>1189</v>
      </c>
      <c r="M104" t="s">
        <v>1190</v>
      </c>
      <c r="N104" t="s">
        <v>1191</v>
      </c>
    </row>
    <row r="105" spans="1:14" x14ac:dyDescent="0.3">
      <c r="A105">
        <v>2402.62</v>
      </c>
      <c r="B105">
        <v>27.62</v>
      </c>
      <c r="C105">
        <v>20.18</v>
      </c>
      <c r="D105">
        <v>-1435</v>
      </c>
      <c r="E105">
        <v>2326.4</v>
      </c>
      <c r="F105">
        <v>317.94</v>
      </c>
      <c r="G105">
        <v>114.39</v>
      </c>
      <c r="H105">
        <v>-182.88</v>
      </c>
      <c r="I105">
        <v>0</v>
      </c>
      <c r="J105" t="s">
        <v>1192</v>
      </c>
      <c r="K105" t="s">
        <v>1193</v>
      </c>
      <c r="L105" t="s">
        <v>1194</v>
      </c>
      <c r="M105" t="s">
        <v>1195</v>
      </c>
      <c r="N105" t="s">
        <v>1196</v>
      </c>
    </row>
    <row r="106" spans="1:14" x14ac:dyDescent="0.3">
      <c r="A106">
        <v>2430</v>
      </c>
      <c r="B106">
        <v>27.62</v>
      </c>
      <c r="C106">
        <v>20.18</v>
      </c>
      <c r="D106">
        <v>-1459.26</v>
      </c>
      <c r="E106">
        <v>2350.66</v>
      </c>
      <c r="F106">
        <v>329.85</v>
      </c>
      <c r="G106">
        <v>118.77</v>
      </c>
      <c r="H106">
        <v>-189.68</v>
      </c>
      <c r="I106">
        <v>0</v>
      </c>
      <c r="J106" t="s">
        <v>1197</v>
      </c>
      <c r="K106" t="s">
        <v>1198</v>
      </c>
      <c r="L106" t="s">
        <v>1199</v>
      </c>
      <c r="M106" t="s">
        <v>1200</v>
      </c>
    </row>
    <row r="107" spans="1:14" x14ac:dyDescent="0.3">
      <c r="A107">
        <v>2435.25</v>
      </c>
      <c r="B107">
        <v>27.62</v>
      </c>
      <c r="C107">
        <v>20.18</v>
      </c>
      <c r="D107">
        <v>-1463.91</v>
      </c>
      <c r="E107">
        <v>2355.31</v>
      </c>
      <c r="F107">
        <v>332.14</v>
      </c>
      <c r="G107">
        <v>119.61</v>
      </c>
      <c r="H107">
        <v>-190.98</v>
      </c>
      <c r="I107">
        <v>0</v>
      </c>
      <c r="J107" t="s">
        <v>1201</v>
      </c>
      <c r="K107" t="s">
        <v>1202</v>
      </c>
      <c r="L107" t="s">
        <v>1203</v>
      </c>
      <c r="M107" t="s">
        <v>1204</v>
      </c>
      <c r="N107" t="s">
        <v>1205</v>
      </c>
    </row>
    <row r="108" spans="1:14" x14ac:dyDescent="0.3">
      <c r="A108">
        <v>2460</v>
      </c>
      <c r="B108">
        <v>24.64</v>
      </c>
      <c r="C108">
        <v>25.22</v>
      </c>
      <c r="D108">
        <v>-1486.13</v>
      </c>
      <c r="E108">
        <v>2377.5300000000002</v>
      </c>
      <c r="F108">
        <v>342.19</v>
      </c>
      <c r="G108">
        <v>123.79</v>
      </c>
      <c r="H108">
        <v>-196.42</v>
      </c>
      <c r="I108">
        <v>4.5</v>
      </c>
      <c r="J108" t="s">
        <v>1206</v>
      </c>
      <c r="K108" t="s">
        <v>1207</v>
      </c>
      <c r="L108" t="s">
        <v>1208</v>
      </c>
      <c r="M108" t="s">
        <v>1209</v>
      </c>
    </row>
    <row r="109" spans="1:14" x14ac:dyDescent="0.3">
      <c r="A109">
        <v>2490</v>
      </c>
      <c r="B109">
        <v>21.31</v>
      </c>
      <c r="C109">
        <v>33.01</v>
      </c>
      <c r="D109">
        <v>-1513.75</v>
      </c>
      <c r="E109">
        <v>2405.15</v>
      </c>
      <c r="F109">
        <v>352.43</v>
      </c>
      <c r="G109">
        <v>129.41999999999999</v>
      </c>
      <c r="H109">
        <v>-201.12</v>
      </c>
      <c r="I109">
        <v>4.5</v>
      </c>
      <c r="J109" t="s">
        <v>1210</v>
      </c>
      <c r="K109" t="s">
        <v>1211</v>
      </c>
      <c r="L109" t="s">
        <v>1212</v>
      </c>
      <c r="M109" t="s">
        <v>1213</v>
      </c>
    </row>
    <row r="110" spans="1:14" x14ac:dyDescent="0.3">
      <c r="A110">
        <v>2520</v>
      </c>
      <c r="B110">
        <v>18.47</v>
      </c>
      <c r="C110">
        <v>43.3</v>
      </c>
      <c r="D110">
        <v>-1541.97</v>
      </c>
      <c r="E110">
        <v>2433.37</v>
      </c>
      <c r="F110">
        <v>360.46</v>
      </c>
      <c r="G110">
        <v>135.66</v>
      </c>
      <c r="H110">
        <v>-203.71</v>
      </c>
      <c r="I110">
        <v>4.5</v>
      </c>
      <c r="J110" t="s">
        <v>1214</v>
      </c>
      <c r="K110" t="s">
        <v>1215</v>
      </c>
      <c r="L110" t="s">
        <v>1216</v>
      </c>
      <c r="M110" t="s">
        <v>1217</v>
      </c>
    </row>
    <row r="111" spans="1:14" x14ac:dyDescent="0.3">
      <c r="A111">
        <v>2550</v>
      </c>
      <c r="B111">
        <v>16.350000000000001</v>
      </c>
      <c r="C111">
        <v>56.62</v>
      </c>
      <c r="D111">
        <v>-1570.61</v>
      </c>
      <c r="E111">
        <v>2462.0100000000002</v>
      </c>
      <c r="F111">
        <v>366.25</v>
      </c>
      <c r="G111">
        <v>142.44</v>
      </c>
      <c r="H111">
        <v>-204.18</v>
      </c>
      <c r="I111">
        <v>4.5</v>
      </c>
      <c r="J111" t="s">
        <v>1218</v>
      </c>
      <c r="K111" t="s">
        <v>1219</v>
      </c>
      <c r="L111" t="s">
        <v>1220</v>
      </c>
      <c r="M111" t="s">
        <v>1221</v>
      </c>
    </row>
    <row r="112" spans="1:14" x14ac:dyDescent="0.3">
      <c r="A112">
        <v>2580</v>
      </c>
      <c r="B112">
        <v>15.28</v>
      </c>
      <c r="C112">
        <v>72.709999999999994</v>
      </c>
      <c r="D112">
        <v>-1599.48</v>
      </c>
      <c r="E112">
        <v>2490.88</v>
      </c>
      <c r="F112">
        <v>369.75</v>
      </c>
      <c r="G112">
        <v>149.75</v>
      </c>
      <c r="H112">
        <v>-202.51</v>
      </c>
      <c r="I112">
        <v>4.5</v>
      </c>
      <c r="J112" t="s">
        <v>1222</v>
      </c>
      <c r="K112" t="s">
        <v>1223</v>
      </c>
      <c r="L112" t="s">
        <v>1224</v>
      </c>
      <c r="M112" t="s">
        <v>1225</v>
      </c>
    </row>
    <row r="113" spans="1:14" x14ac:dyDescent="0.3">
      <c r="A113">
        <v>2610</v>
      </c>
      <c r="B113">
        <v>15.45</v>
      </c>
      <c r="C113">
        <v>89.74</v>
      </c>
      <c r="D113">
        <v>-1628.43</v>
      </c>
      <c r="E113">
        <v>2519.83</v>
      </c>
      <c r="F113">
        <v>370.94</v>
      </c>
      <c r="G113">
        <v>157.52000000000001</v>
      </c>
      <c r="H113">
        <v>-198.73</v>
      </c>
      <c r="I113">
        <v>4.5</v>
      </c>
      <c r="J113" t="s">
        <v>1226</v>
      </c>
      <c r="K113" t="s">
        <v>1227</v>
      </c>
      <c r="L113" t="s">
        <v>1228</v>
      </c>
      <c r="M113" t="s">
        <v>1229</v>
      </c>
    </row>
    <row r="114" spans="1:14" x14ac:dyDescent="0.3">
      <c r="A114">
        <v>2628.26</v>
      </c>
      <c r="B114">
        <v>16.170000000000002</v>
      </c>
      <c r="C114">
        <v>99.46</v>
      </c>
      <c r="D114">
        <v>-1646</v>
      </c>
      <c r="E114">
        <v>2537.4</v>
      </c>
      <c r="F114">
        <v>370.53</v>
      </c>
      <c r="G114">
        <v>162.46</v>
      </c>
      <c r="H114">
        <v>-195.41</v>
      </c>
      <c r="I114">
        <v>4.5</v>
      </c>
      <c r="J114" t="s">
        <v>1230</v>
      </c>
      <c r="K114" t="s">
        <v>1231</v>
      </c>
      <c r="L114" t="s">
        <v>1232</v>
      </c>
      <c r="M114" t="s">
        <v>1233</v>
      </c>
      <c r="N114" t="s">
        <v>1234</v>
      </c>
    </row>
    <row r="115" spans="1:14" x14ac:dyDescent="0.3">
      <c r="A115">
        <v>2637.64</v>
      </c>
      <c r="B115">
        <v>16.7</v>
      </c>
      <c r="C115">
        <v>104.07</v>
      </c>
      <c r="D115">
        <v>-1655</v>
      </c>
      <c r="E115">
        <v>2546.4</v>
      </c>
      <c r="F115">
        <v>369.99</v>
      </c>
      <c r="G115">
        <v>165.06</v>
      </c>
      <c r="H115">
        <v>-193.4</v>
      </c>
      <c r="I115">
        <v>4.5</v>
      </c>
      <c r="J115" t="s">
        <v>1235</v>
      </c>
      <c r="K115" t="s">
        <v>1236</v>
      </c>
      <c r="L115" t="s">
        <v>1237</v>
      </c>
      <c r="M115" t="s">
        <v>1238</v>
      </c>
      <c r="N115" t="s">
        <v>1239</v>
      </c>
    </row>
    <row r="116" spans="1:14" x14ac:dyDescent="0.3">
      <c r="A116">
        <v>2640</v>
      </c>
      <c r="B116">
        <v>16.84</v>
      </c>
      <c r="C116">
        <v>105.19</v>
      </c>
      <c r="D116">
        <v>-1657.26</v>
      </c>
      <c r="E116">
        <v>2548.66</v>
      </c>
      <c r="F116">
        <v>369.82</v>
      </c>
      <c r="G116">
        <v>165.72</v>
      </c>
      <c r="H116">
        <v>-192.86</v>
      </c>
      <c r="I116">
        <v>4.5</v>
      </c>
      <c r="J116" t="s">
        <v>1240</v>
      </c>
      <c r="K116" t="s">
        <v>1241</v>
      </c>
      <c r="L116" t="s">
        <v>1242</v>
      </c>
      <c r="M116" t="s">
        <v>1243</v>
      </c>
    </row>
    <row r="117" spans="1:14" x14ac:dyDescent="0.3">
      <c r="A117">
        <v>2670</v>
      </c>
      <c r="B117">
        <v>19.190000000000001</v>
      </c>
      <c r="C117">
        <v>117.65</v>
      </c>
      <c r="D117">
        <v>-1685.79</v>
      </c>
      <c r="E117">
        <v>2577.19</v>
      </c>
      <c r="F117">
        <v>366.39</v>
      </c>
      <c r="G117">
        <v>174.28</v>
      </c>
      <c r="H117">
        <v>-184.93</v>
      </c>
      <c r="I117">
        <v>4.5</v>
      </c>
      <c r="J117" t="s">
        <v>1244</v>
      </c>
      <c r="K117" t="s">
        <v>1245</v>
      </c>
      <c r="L117" t="s">
        <v>1246</v>
      </c>
      <c r="M117" t="s">
        <v>1247</v>
      </c>
    </row>
    <row r="118" spans="1:14" x14ac:dyDescent="0.3">
      <c r="A118">
        <v>2700</v>
      </c>
      <c r="B118">
        <v>22.19</v>
      </c>
      <c r="C118">
        <v>127.18</v>
      </c>
      <c r="D118">
        <v>-1713.86</v>
      </c>
      <c r="E118">
        <v>2605.2600000000002</v>
      </c>
      <c r="F118">
        <v>360.67</v>
      </c>
      <c r="G118">
        <v>183.17</v>
      </c>
      <c r="H118">
        <v>-174.99</v>
      </c>
      <c r="I118">
        <v>4.5</v>
      </c>
      <c r="J118" t="s">
        <v>1248</v>
      </c>
      <c r="K118" t="s">
        <v>1249</v>
      </c>
      <c r="L118" t="s">
        <v>1250</v>
      </c>
      <c r="M118" t="s">
        <v>1251</v>
      </c>
    </row>
    <row r="119" spans="1:14" x14ac:dyDescent="0.3">
      <c r="A119">
        <v>2707.73</v>
      </c>
      <c r="B119">
        <v>23.04</v>
      </c>
      <c r="C119">
        <v>129.24</v>
      </c>
      <c r="D119">
        <v>-1721</v>
      </c>
      <c r="E119">
        <v>2612.4</v>
      </c>
      <c r="F119">
        <v>358.84</v>
      </c>
      <c r="G119">
        <v>185.5</v>
      </c>
      <c r="H119">
        <v>-172.11</v>
      </c>
      <c r="I119">
        <v>4.5</v>
      </c>
      <c r="J119" t="s">
        <v>1252</v>
      </c>
      <c r="K119" t="s">
        <v>1253</v>
      </c>
      <c r="L119" t="s">
        <v>1254</v>
      </c>
      <c r="M119" t="s">
        <v>1255</v>
      </c>
      <c r="N119" t="s">
        <v>1256</v>
      </c>
    </row>
    <row r="120" spans="1:14" x14ac:dyDescent="0.3">
      <c r="A120">
        <v>2730</v>
      </c>
      <c r="B120">
        <v>25.61</v>
      </c>
      <c r="C120">
        <v>134.41999999999999</v>
      </c>
      <c r="D120">
        <v>-1741.29</v>
      </c>
      <c r="E120">
        <v>2632.69</v>
      </c>
      <c r="F120">
        <v>352.71</v>
      </c>
      <c r="G120">
        <v>192.32</v>
      </c>
      <c r="H120">
        <v>-163.11000000000001</v>
      </c>
      <c r="I120">
        <v>4.5</v>
      </c>
      <c r="J120" t="s">
        <v>1257</v>
      </c>
      <c r="K120" t="s">
        <v>1258</v>
      </c>
      <c r="L120" t="s">
        <v>1259</v>
      </c>
      <c r="M120" t="s">
        <v>1260</v>
      </c>
    </row>
    <row r="121" spans="1:14" x14ac:dyDescent="0.3">
      <c r="A121">
        <v>2760</v>
      </c>
      <c r="B121">
        <v>29.31</v>
      </c>
      <c r="C121">
        <v>139.99</v>
      </c>
      <c r="D121">
        <v>-1767.91</v>
      </c>
      <c r="E121">
        <v>2659.31</v>
      </c>
      <c r="F121">
        <v>342.54</v>
      </c>
      <c r="G121">
        <v>201.67</v>
      </c>
      <c r="H121">
        <v>-149.35</v>
      </c>
      <c r="I121">
        <v>4.5</v>
      </c>
      <c r="J121" t="s">
        <v>1261</v>
      </c>
      <c r="K121" t="s">
        <v>1262</v>
      </c>
      <c r="L121" t="s">
        <v>1263</v>
      </c>
      <c r="M121" t="s">
        <v>1264</v>
      </c>
    </row>
    <row r="122" spans="1:14" x14ac:dyDescent="0.3">
      <c r="A122">
        <v>2790</v>
      </c>
      <c r="B122">
        <v>33.19</v>
      </c>
      <c r="C122">
        <v>144.38999999999999</v>
      </c>
      <c r="D122">
        <v>-1793.56</v>
      </c>
      <c r="E122">
        <v>2684.96</v>
      </c>
      <c r="F122">
        <v>330.24</v>
      </c>
      <c r="G122">
        <v>211.18</v>
      </c>
      <c r="H122">
        <v>-133.80000000000001</v>
      </c>
      <c r="I122">
        <v>4.5</v>
      </c>
      <c r="J122" t="s">
        <v>1265</v>
      </c>
      <c r="K122" t="s">
        <v>1266</v>
      </c>
      <c r="L122" t="s">
        <v>1267</v>
      </c>
      <c r="M122" t="s">
        <v>1268</v>
      </c>
    </row>
    <row r="123" spans="1:14" x14ac:dyDescent="0.3">
      <c r="A123">
        <v>2820</v>
      </c>
      <c r="B123">
        <v>37.19</v>
      </c>
      <c r="C123">
        <v>147.96</v>
      </c>
      <c r="D123">
        <v>-1818.07</v>
      </c>
      <c r="E123">
        <v>2709.47</v>
      </c>
      <c r="F123">
        <v>315.87</v>
      </c>
      <c r="G123">
        <v>220.78</v>
      </c>
      <c r="H123">
        <v>-116.55</v>
      </c>
      <c r="I123">
        <v>4.5</v>
      </c>
      <c r="J123" t="s">
        <v>1269</v>
      </c>
      <c r="K123" t="s">
        <v>1270</v>
      </c>
      <c r="L123" t="s">
        <v>1271</v>
      </c>
      <c r="M123" t="s">
        <v>1272</v>
      </c>
    </row>
    <row r="124" spans="1:14" x14ac:dyDescent="0.3">
      <c r="A124">
        <v>2821.16</v>
      </c>
      <c r="B124">
        <v>37.35</v>
      </c>
      <c r="C124">
        <v>148.08000000000001</v>
      </c>
      <c r="D124">
        <v>-1819</v>
      </c>
      <c r="E124">
        <v>2710.4</v>
      </c>
      <c r="F124">
        <v>315.27</v>
      </c>
      <c r="G124">
        <v>221.15</v>
      </c>
      <c r="H124">
        <v>-115.85</v>
      </c>
      <c r="I124">
        <v>4.5</v>
      </c>
      <c r="J124" t="s">
        <v>1273</v>
      </c>
      <c r="K124" t="s">
        <v>1274</v>
      </c>
      <c r="L124" t="s">
        <v>1275</v>
      </c>
      <c r="M124" t="s">
        <v>1276</v>
      </c>
      <c r="N124" t="s">
        <v>1277</v>
      </c>
    </row>
    <row r="125" spans="1:14" x14ac:dyDescent="0.3">
      <c r="A125">
        <v>2821.17</v>
      </c>
      <c r="B125">
        <v>37.35</v>
      </c>
      <c r="C125">
        <v>148.08000000000001</v>
      </c>
      <c r="D125">
        <v>-1819.01</v>
      </c>
      <c r="E125">
        <v>2710.41</v>
      </c>
      <c r="F125">
        <v>315.27</v>
      </c>
      <c r="G125">
        <v>221.15</v>
      </c>
      <c r="H125">
        <v>-115.85</v>
      </c>
      <c r="I125">
        <v>2.17</v>
      </c>
      <c r="J125" t="s">
        <v>1278</v>
      </c>
      <c r="K125" t="s">
        <v>1279</v>
      </c>
      <c r="L125" t="s">
        <v>1275</v>
      </c>
      <c r="M125" t="s">
        <v>1276</v>
      </c>
      <c r="N125" t="s">
        <v>966</v>
      </c>
    </row>
    <row r="126" spans="1:14" x14ac:dyDescent="0.3">
      <c r="A126">
        <v>2836.17</v>
      </c>
      <c r="B126">
        <v>37.35</v>
      </c>
      <c r="C126">
        <v>148.08000000000001</v>
      </c>
      <c r="D126">
        <v>-1830.93</v>
      </c>
      <c r="E126">
        <v>2722.33</v>
      </c>
      <c r="F126">
        <v>307.54000000000002</v>
      </c>
      <c r="G126">
        <v>225.96</v>
      </c>
      <c r="H126">
        <v>-106.79</v>
      </c>
      <c r="I126">
        <v>0</v>
      </c>
      <c r="J126" t="s">
        <v>1280</v>
      </c>
      <c r="K126" t="s">
        <v>1281</v>
      </c>
      <c r="L126" t="s">
        <v>1282</v>
      </c>
      <c r="M126" t="s">
        <v>1283</v>
      </c>
      <c r="N126" t="s">
        <v>1284</v>
      </c>
    </row>
    <row r="127" spans="1:14" x14ac:dyDescent="0.3">
      <c r="A127">
        <v>2850</v>
      </c>
      <c r="B127">
        <v>37.35</v>
      </c>
      <c r="C127">
        <v>148.08000000000001</v>
      </c>
      <c r="D127">
        <v>-1841.92</v>
      </c>
      <c r="E127">
        <v>2733.32</v>
      </c>
      <c r="F127">
        <v>300.42</v>
      </c>
      <c r="G127">
        <v>230.4</v>
      </c>
      <c r="H127">
        <v>-98.44</v>
      </c>
      <c r="I127">
        <v>0</v>
      </c>
      <c r="J127" t="s">
        <v>1285</v>
      </c>
      <c r="K127" t="s">
        <v>1286</v>
      </c>
      <c r="L127" t="s">
        <v>1287</v>
      </c>
      <c r="M127" t="s">
        <v>1288</v>
      </c>
    </row>
    <row r="128" spans="1:14" x14ac:dyDescent="0.3">
      <c r="A128">
        <v>2866.17</v>
      </c>
      <c r="B128">
        <v>37.35</v>
      </c>
      <c r="C128">
        <v>148.08000000000001</v>
      </c>
      <c r="D128">
        <v>-1854.78</v>
      </c>
      <c r="E128">
        <v>2746.18</v>
      </c>
      <c r="F128">
        <v>292.08999999999997</v>
      </c>
      <c r="G128">
        <v>235.59</v>
      </c>
      <c r="H128">
        <v>-88.67</v>
      </c>
      <c r="I128">
        <v>0</v>
      </c>
      <c r="J128" t="s">
        <v>1289</v>
      </c>
      <c r="K128" t="s">
        <v>1290</v>
      </c>
      <c r="L128" t="s">
        <v>1291</v>
      </c>
      <c r="M128" t="s">
        <v>1292</v>
      </c>
      <c r="N128" t="s">
        <v>184</v>
      </c>
    </row>
    <row r="129" spans="1:14" x14ac:dyDescent="0.3">
      <c r="A129">
        <v>2880</v>
      </c>
      <c r="B129">
        <v>39.43</v>
      </c>
      <c r="C129">
        <v>148.08000000000001</v>
      </c>
      <c r="D129">
        <v>-1865.62</v>
      </c>
      <c r="E129">
        <v>2757.02</v>
      </c>
      <c r="F129">
        <v>284.8</v>
      </c>
      <c r="G129">
        <v>240.13</v>
      </c>
      <c r="H129">
        <v>-80.12</v>
      </c>
      <c r="I129">
        <v>4.5</v>
      </c>
      <c r="J129" t="s">
        <v>1293</v>
      </c>
      <c r="K129" t="s">
        <v>1294</v>
      </c>
      <c r="L129" t="s">
        <v>1295</v>
      </c>
      <c r="M129" t="s">
        <v>1296</v>
      </c>
    </row>
    <row r="130" spans="1:14" x14ac:dyDescent="0.3">
      <c r="A130">
        <v>2910</v>
      </c>
      <c r="B130">
        <v>43.93</v>
      </c>
      <c r="C130">
        <v>148.08000000000001</v>
      </c>
      <c r="D130">
        <v>-1888.02</v>
      </c>
      <c r="E130">
        <v>2779.42</v>
      </c>
      <c r="F130">
        <v>267.88</v>
      </c>
      <c r="G130">
        <v>250.67</v>
      </c>
      <c r="H130">
        <v>-60.27</v>
      </c>
      <c r="I130">
        <v>4.5</v>
      </c>
      <c r="J130" t="s">
        <v>1297</v>
      </c>
      <c r="K130" t="s">
        <v>1298</v>
      </c>
      <c r="L130" t="s">
        <v>1299</v>
      </c>
      <c r="M130" t="s">
        <v>1300</v>
      </c>
    </row>
    <row r="131" spans="1:14" x14ac:dyDescent="0.3">
      <c r="A131">
        <v>2940</v>
      </c>
      <c r="B131">
        <v>48.43</v>
      </c>
      <c r="C131">
        <v>148.08000000000001</v>
      </c>
      <c r="D131">
        <v>-1908.79</v>
      </c>
      <c r="E131">
        <v>2800.19</v>
      </c>
      <c r="F131">
        <v>249.51</v>
      </c>
      <c r="G131">
        <v>262.11</v>
      </c>
      <c r="H131">
        <v>-38.74</v>
      </c>
      <c r="I131">
        <v>4.5</v>
      </c>
      <c r="J131" t="s">
        <v>1301</v>
      </c>
      <c r="K131" t="s">
        <v>1302</v>
      </c>
      <c r="L131" t="s">
        <v>1303</v>
      </c>
      <c r="M131" t="s">
        <v>1304</v>
      </c>
    </row>
    <row r="132" spans="1:14" x14ac:dyDescent="0.3">
      <c r="A132">
        <v>2970</v>
      </c>
      <c r="B132">
        <v>52.93</v>
      </c>
      <c r="C132">
        <v>148.08000000000001</v>
      </c>
      <c r="D132">
        <v>-1927.79</v>
      </c>
      <c r="E132">
        <v>2819.19</v>
      </c>
      <c r="F132">
        <v>229.82</v>
      </c>
      <c r="G132">
        <v>274.38</v>
      </c>
      <c r="H132">
        <v>-15.64</v>
      </c>
      <c r="I132">
        <v>4.5</v>
      </c>
      <c r="J132" t="s">
        <v>1305</v>
      </c>
      <c r="K132" t="s">
        <v>1306</v>
      </c>
      <c r="L132" t="s">
        <v>1307</v>
      </c>
      <c r="M132" t="s">
        <v>1308</v>
      </c>
    </row>
    <row r="133" spans="1:14" x14ac:dyDescent="0.3">
      <c r="A133">
        <v>3000</v>
      </c>
      <c r="B133">
        <v>57.43</v>
      </c>
      <c r="C133">
        <v>148.08000000000001</v>
      </c>
      <c r="D133">
        <v>-1944.92</v>
      </c>
      <c r="E133">
        <v>2836.32</v>
      </c>
      <c r="F133">
        <v>208.92</v>
      </c>
      <c r="G133">
        <v>287.39999999999998</v>
      </c>
      <c r="H133">
        <v>8.8699999999999992</v>
      </c>
      <c r="I133">
        <v>4.5</v>
      </c>
      <c r="J133" t="s">
        <v>1309</v>
      </c>
      <c r="K133" t="s">
        <v>1310</v>
      </c>
      <c r="L133" t="s">
        <v>1311</v>
      </c>
      <c r="M133" t="s">
        <v>1312</v>
      </c>
    </row>
    <row r="134" spans="1:14" x14ac:dyDescent="0.3">
      <c r="A134">
        <v>3030</v>
      </c>
      <c r="B134">
        <v>61.93</v>
      </c>
      <c r="C134">
        <v>148.08000000000001</v>
      </c>
      <c r="D134">
        <v>-1960.06</v>
      </c>
      <c r="E134">
        <v>2851.46</v>
      </c>
      <c r="F134">
        <v>186.94</v>
      </c>
      <c r="G134">
        <v>301.08999999999997</v>
      </c>
      <c r="H134">
        <v>34.630000000000003</v>
      </c>
      <c r="I134">
        <v>4.5</v>
      </c>
      <c r="J134" t="s">
        <v>1313</v>
      </c>
      <c r="K134" t="s">
        <v>1314</v>
      </c>
      <c r="L134" t="s">
        <v>1315</v>
      </c>
      <c r="M134" t="s">
        <v>1316</v>
      </c>
    </row>
    <row r="135" spans="1:14" x14ac:dyDescent="0.3">
      <c r="A135">
        <v>3060</v>
      </c>
      <c r="B135">
        <v>66.430000000000007</v>
      </c>
      <c r="C135">
        <v>148.08000000000001</v>
      </c>
      <c r="D135">
        <v>-1973.13</v>
      </c>
      <c r="E135">
        <v>2864.53</v>
      </c>
      <c r="F135">
        <v>164.03</v>
      </c>
      <c r="G135">
        <v>315.37</v>
      </c>
      <c r="H135">
        <v>61.51</v>
      </c>
      <c r="I135">
        <v>4.5</v>
      </c>
      <c r="J135" t="s">
        <v>1317</v>
      </c>
      <c r="K135" t="s">
        <v>1318</v>
      </c>
      <c r="L135" t="s">
        <v>1319</v>
      </c>
      <c r="M135" t="s">
        <v>1320</v>
      </c>
    </row>
    <row r="136" spans="1:14" x14ac:dyDescent="0.3">
      <c r="A136">
        <v>3090</v>
      </c>
      <c r="B136">
        <v>70.930000000000007</v>
      </c>
      <c r="C136">
        <v>148.08000000000001</v>
      </c>
      <c r="D136">
        <v>-1984.03</v>
      </c>
      <c r="E136">
        <v>2875.43</v>
      </c>
      <c r="F136">
        <v>140.32</v>
      </c>
      <c r="G136">
        <v>330.14</v>
      </c>
      <c r="H136">
        <v>89.32</v>
      </c>
      <c r="I136">
        <v>4.5</v>
      </c>
      <c r="J136" t="s">
        <v>1321</v>
      </c>
      <c r="K136" t="s">
        <v>1322</v>
      </c>
      <c r="L136" t="s">
        <v>1323</v>
      </c>
      <c r="M136" t="s">
        <v>1324</v>
      </c>
    </row>
    <row r="137" spans="1:14" x14ac:dyDescent="0.3">
      <c r="A137">
        <v>3120</v>
      </c>
      <c r="B137">
        <v>75.430000000000007</v>
      </c>
      <c r="C137">
        <v>148.08000000000001</v>
      </c>
      <c r="D137">
        <v>-1992.71</v>
      </c>
      <c r="E137">
        <v>2884.11</v>
      </c>
      <c r="F137">
        <v>115.95</v>
      </c>
      <c r="G137">
        <v>345.32</v>
      </c>
      <c r="H137">
        <v>117.89</v>
      </c>
      <c r="I137">
        <v>4.5</v>
      </c>
      <c r="J137" t="s">
        <v>1325</v>
      </c>
      <c r="K137" t="s">
        <v>1326</v>
      </c>
      <c r="L137" t="s">
        <v>1327</v>
      </c>
      <c r="M137" t="s">
        <v>1328</v>
      </c>
    </row>
    <row r="138" spans="1:14" x14ac:dyDescent="0.3">
      <c r="A138">
        <v>3150</v>
      </c>
      <c r="B138">
        <v>79.930000000000007</v>
      </c>
      <c r="C138">
        <v>148.08000000000001</v>
      </c>
      <c r="D138">
        <v>-1999.11</v>
      </c>
      <c r="E138">
        <v>2890.51</v>
      </c>
      <c r="F138">
        <v>91.08</v>
      </c>
      <c r="G138">
        <v>360.82</v>
      </c>
      <c r="H138">
        <v>147.06</v>
      </c>
      <c r="I138">
        <v>4.5</v>
      </c>
      <c r="J138" t="s">
        <v>1329</v>
      </c>
      <c r="K138" t="s">
        <v>1330</v>
      </c>
      <c r="L138" t="s">
        <v>1331</v>
      </c>
      <c r="M138" t="s">
        <v>1332</v>
      </c>
    </row>
    <row r="139" spans="1:14" x14ac:dyDescent="0.3">
      <c r="A139">
        <v>3155.28</v>
      </c>
      <c r="B139">
        <v>80.72</v>
      </c>
      <c r="C139">
        <v>148.08000000000001</v>
      </c>
      <c r="D139">
        <v>-2000</v>
      </c>
      <c r="E139">
        <v>2891.4</v>
      </c>
      <c r="F139">
        <v>86.66</v>
      </c>
      <c r="G139">
        <v>363.57</v>
      </c>
      <c r="H139">
        <v>152.24</v>
      </c>
      <c r="I139">
        <v>4.5</v>
      </c>
      <c r="J139" t="s">
        <v>1333</v>
      </c>
      <c r="K139" t="s">
        <v>1334</v>
      </c>
      <c r="L139" t="s">
        <v>1335</v>
      </c>
      <c r="M139" t="s">
        <v>1336</v>
      </c>
      <c r="N139" t="s">
        <v>1337</v>
      </c>
    </row>
    <row r="140" spans="1:14" x14ac:dyDescent="0.3">
      <c r="A140">
        <v>3180</v>
      </c>
      <c r="B140">
        <v>84.43</v>
      </c>
      <c r="C140">
        <v>148.08000000000001</v>
      </c>
      <c r="D140">
        <v>-2003.19</v>
      </c>
      <c r="E140">
        <v>2894.59</v>
      </c>
      <c r="F140">
        <v>65.86</v>
      </c>
      <c r="G140">
        <v>376.53</v>
      </c>
      <c r="H140">
        <v>176.63</v>
      </c>
      <c r="I140">
        <v>4.5</v>
      </c>
      <c r="J140" t="s">
        <v>1338</v>
      </c>
      <c r="K140" t="s">
        <v>1339</v>
      </c>
      <c r="L140" t="s">
        <v>1340</v>
      </c>
      <c r="M140" t="s">
        <v>1341</v>
      </c>
    </row>
    <row r="141" spans="1:14" x14ac:dyDescent="0.3">
      <c r="A141">
        <v>3210</v>
      </c>
      <c r="B141">
        <v>88.93</v>
      </c>
      <c r="C141">
        <v>148.08000000000001</v>
      </c>
      <c r="D141">
        <v>-2004.93</v>
      </c>
      <c r="E141">
        <v>2896.33</v>
      </c>
      <c r="F141">
        <v>40.450000000000003</v>
      </c>
      <c r="G141">
        <v>392.36</v>
      </c>
      <c r="H141">
        <v>206.44</v>
      </c>
      <c r="I141">
        <v>4.5</v>
      </c>
      <c r="J141" t="s">
        <v>1342</v>
      </c>
      <c r="K141" t="s">
        <v>1343</v>
      </c>
      <c r="L141" t="s">
        <v>1344</v>
      </c>
      <c r="M141" t="s">
        <v>1345</v>
      </c>
    </row>
    <row r="142" spans="1:14" x14ac:dyDescent="0.3">
      <c r="A142">
        <v>3217.37</v>
      </c>
      <c r="B142">
        <v>90.03</v>
      </c>
      <c r="C142">
        <v>148.08000000000001</v>
      </c>
      <c r="D142">
        <v>-2005</v>
      </c>
      <c r="E142">
        <v>2896.4</v>
      </c>
      <c r="F142">
        <v>34.19</v>
      </c>
      <c r="G142">
        <v>396.26</v>
      </c>
      <c r="H142">
        <v>213.77</v>
      </c>
      <c r="I142">
        <v>4.5</v>
      </c>
      <c r="J142" t="s">
        <v>1346</v>
      </c>
      <c r="K142" t="s">
        <v>1347</v>
      </c>
      <c r="L142" t="s">
        <v>1348</v>
      </c>
      <c r="M142" t="s">
        <v>1349</v>
      </c>
      <c r="N142" t="s">
        <v>970</v>
      </c>
    </row>
    <row r="143" spans="1:14" x14ac:dyDescent="0.3">
      <c r="A143">
        <v>3240</v>
      </c>
      <c r="B143">
        <v>90.03</v>
      </c>
      <c r="C143">
        <v>148.08000000000001</v>
      </c>
      <c r="D143">
        <v>-2004.99</v>
      </c>
      <c r="E143">
        <v>2896.39</v>
      </c>
      <c r="F143">
        <v>14.99</v>
      </c>
      <c r="G143">
        <v>408.22</v>
      </c>
      <c r="H143">
        <v>236.3</v>
      </c>
      <c r="I143">
        <v>0</v>
      </c>
      <c r="J143" t="s">
        <v>1350</v>
      </c>
      <c r="K143" t="s">
        <v>1351</v>
      </c>
      <c r="L143" t="s">
        <v>1352</v>
      </c>
      <c r="M143" t="s">
        <v>1353</v>
      </c>
    </row>
    <row r="144" spans="1:14" x14ac:dyDescent="0.3">
      <c r="A144">
        <v>3270</v>
      </c>
      <c r="B144">
        <v>90.03</v>
      </c>
      <c r="C144">
        <v>148.08000000000001</v>
      </c>
      <c r="D144">
        <v>-2004.97</v>
      </c>
      <c r="E144">
        <v>2896.37</v>
      </c>
      <c r="F144">
        <v>-10.48</v>
      </c>
      <c r="G144">
        <v>424.09</v>
      </c>
      <c r="H144">
        <v>266.16000000000003</v>
      </c>
      <c r="I144">
        <v>0</v>
      </c>
      <c r="J144" t="s">
        <v>1354</v>
      </c>
      <c r="K144" t="s">
        <v>1355</v>
      </c>
      <c r="L144" t="s">
        <v>1356</v>
      </c>
      <c r="M144" t="s">
        <v>1357</v>
      </c>
    </row>
    <row r="145" spans="1:13" x14ac:dyDescent="0.3">
      <c r="A145">
        <v>3300</v>
      </c>
      <c r="B145">
        <v>90.03</v>
      </c>
      <c r="C145">
        <v>148.08000000000001</v>
      </c>
      <c r="D145">
        <v>-2004.95</v>
      </c>
      <c r="E145">
        <v>2896.35</v>
      </c>
      <c r="F145">
        <v>-35.94</v>
      </c>
      <c r="G145">
        <v>439.95</v>
      </c>
      <c r="H145">
        <v>296.02</v>
      </c>
      <c r="I145">
        <v>0</v>
      </c>
      <c r="J145" t="s">
        <v>1358</v>
      </c>
      <c r="K145" t="s">
        <v>1359</v>
      </c>
      <c r="L145" t="s">
        <v>1360</v>
      </c>
      <c r="M145" t="s">
        <v>1361</v>
      </c>
    </row>
    <row r="146" spans="1:13" x14ac:dyDescent="0.3">
      <c r="A146">
        <v>3330</v>
      </c>
      <c r="B146">
        <v>90.03</v>
      </c>
      <c r="C146">
        <v>148.08000000000001</v>
      </c>
      <c r="D146">
        <v>-2004.94</v>
      </c>
      <c r="E146">
        <v>2896.34</v>
      </c>
      <c r="F146">
        <v>-61.4</v>
      </c>
      <c r="G146">
        <v>455.82</v>
      </c>
      <c r="H146">
        <v>325.88</v>
      </c>
      <c r="I146">
        <v>0</v>
      </c>
      <c r="J146" t="s">
        <v>1362</v>
      </c>
      <c r="K146" t="s">
        <v>1363</v>
      </c>
      <c r="L146" t="s">
        <v>1364</v>
      </c>
      <c r="M146" t="s">
        <v>1365</v>
      </c>
    </row>
    <row r="147" spans="1:13" x14ac:dyDescent="0.3">
      <c r="A147">
        <v>3360</v>
      </c>
      <c r="B147">
        <v>90.03</v>
      </c>
      <c r="C147">
        <v>148.08000000000001</v>
      </c>
      <c r="D147">
        <v>-2004.92</v>
      </c>
      <c r="E147">
        <v>2896.32</v>
      </c>
      <c r="F147">
        <v>-86.86</v>
      </c>
      <c r="G147">
        <v>471.68</v>
      </c>
      <c r="H147">
        <v>355.74</v>
      </c>
      <c r="I147">
        <v>0</v>
      </c>
      <c r="J147" t="s">
        <v>1366</v>
      </c>
      <c r="K147" t="s">
        <v>1367</v>
      </c>
      <c r="L147" t="s">
        <v>1368</v>
      </c>
      <c r="M147" t="s">
        <v>1369</v>
      </c>
    </row>
    <row r="148" spans="1:13" x14ac:dyDescent="0.3">
      <c r="A148">
        <v>3390</v>
      </c>
      <c r="B148">
        <v>90.03</v>
      </c>
      <c r="C148">
        <v>148.08000000000001</v>
      </c>
      <c r="D148">
        <v>-2004.9</v>
      </c>
      <c r="E148">
        <v>2896.3</v>
      </c>
      <c r="F148">
        <v>-112.33</v>
      </c>
      <c r="G148">
        <v>487.54</v>
      </c>
      <c r="H148">
        <v>385.6</v>
      </c>
      <c r="I148">
        <v>0</v>
      </c>
      <c r="J148" t="s">
        <v>1370</v>
      </c>
      <c r="K148" t="s">
        <v>1371</v>
      </c>
      <c r="L148" t="s">
        <v>1372</v>
      </c>
      <c r="M148" t="s">
        <v>1373</v>
      </c>
    </row>
    <row r="149" spans="1:13" x14ac:dyDescent="0.3">
      <c r="A149">
        <v>3420</v>
      </c>
      <c r="B149">
        <v>90.03</v>
      </c>
      <c r="C149">
        <v>148.08000000000001</v>
      </c>
      <c r="D149">
        <v>-2004.88</v>
      </c>
      <c r="E149">
        <v>2896.28</v>
      </c>
      <c r="F149">
        <v>-137.79</v>
      </c>
      <c r="G149">
        <v>503.41</v>
      </c>
      <c r="H149">
        <v>415.46</v>
      </c>
      <c r="I149">
        <v>0</v>
      </c>
      <c r="J149" t="s">
        <v>1374</v>
      </c>
      <c r="K149" t="s">
        <v>1375</v>
      </c>
      <c r="L149" t="s">
        <v>1376</v>
      </c>
      <c r="M149" t="s">
        <v>1377</v>
      </c>
    </row>
    <row r="150" spans="1:13" x14ac:dyDescent="0.3">
      <c r="A150">
        <v>3450</v>
      </c>
      <c r="B150">
        <v>90.03</v>
      </c>
      <c r="C150">
        <v>148.08000000000001</v>
      </c>
      <c r="D150">
        <v>-2004.87</v>
      </c>
      <c r="E150">
        <v>2896.27</v>
      </c>
      <c r="F150">
        <v>-163.25</v>
      </c>
      <c r="G150">
        <v>519.27</v>
      </c>
      <c r="H150">
        <v>445.32</v>
      </c>
      <c r="I150">
        <v>0</v>
      </c>
      <c r="J150" t="s">
        <v>1378</v>
      </c>
      <c r="K150" t="s">
        <v>1379</v>
      </c>
      <c r="L150" t="s">
        <v>1380</v>
      </c>
      <c r="M150" t="s">
        <v>1381</v>
      </c>
    </row>
    <row r="151" spans="1:13" x14ac:dyDescent="0.3">
      <c r="A151">
        <v>3480</v>
      </c>
      <c r="B151">
        <v>90.03</v>
      </c>
      <c r="C151">
        <v>148.08000000000001</v>
      </c>
      <c r="D151">
        <v>-2004.85</v>
      </c>
      <c r="E151">
        <v>2896.25</v>
      </c>
      <c r="F151">
        <v>-188.71</v>
      </c>
      <c r="G151">
        <v>535.14</v>
      </c>
      <c r="H151">
        <v>475.18</v>
      </c>
      <c r="I151">
        <v>0</v>
      </c>
      <c r="J151" t="s">
        <v>1382</v>
      </c>
      <c r="K151" t="s">
        <v>1383</v>
      </c>
      <c r="L151" t="s">
        <v>1384</v>
      </c>
      <c r="M151" t="s">
        <v>1385</v>
      </c>
    </row>
    <row r="152" spans="1:13" x14ac:dyDescent="0.3">
      <c r="A152">
        <v>3510</v>
      </c>
      <c r="B152">
        <v>90.03</v>
      </c>
      <c r="C152">
        <v>148.08000000000001</v>
      </c>
      <c r="D152">
        <v>-2004.83</v>
      </c>
      <c r="E152">
        <v>2896.23</v>
      </c>
      <c r="F152">
        <v>-214.18</v>
      </c>
      <c r="G152">
        <v>551</v>
      </c>
      <c r="H152">
        <v>505.04</v>
      </c>
      <c r="I152">
        <v>0</v>
      </c>
      <c r="J152" t="s">
        <v>1386</v>
      </c>
      <c r="K152" t="s">
        <v>1387</v>
      </c>
      <c r="L152" t="s">
        <v>1388</v>
      </c>
      <c r="M152" t="s">
        <v>1389</v>
      </c>
    </row>
    <row r="153" spans="1:13" x14ac:dyDescent="0.3">
      <c r="A153">
        <v>3540</v>
      </c>
      <c r="B153">
        <v>90.03</v>
      </c>
      <c r="C153">
        <v>148.08000000000001</v>
      </c>
      <c r="D153">
        <v>-2004.81</v>
      </c>
      <c r="E153">
        <v>2896.21</v>
      </c>
      <c r="F153">
        <v>-239.64</v>
      </c>
      <c r="G153">
        <v>566.86</v>
      </c>
      <c r="H153">
        <v>534.9</v>
      </c>
      <c r="I153">
        <v>0</v>
      </c>
      <c r="J153" t="s">
        <v>1390</v>
      </c>
      <c r="K153" t="s">
        <v>1391</v>
      </c>
      <c r="L153" t="s">
        <v>1392</v>
      </c>
      <c r="M153" t="s">
        <v>1393</v>
      </c>
    </row>
    <row r="154" spans="1:13" x14ac:dyDescent="0.3">
      <c r="A154">
        <v>3570</v>
      </c>
      <c r="B154">
        <v>90.03</v>
      </c>
      <c r="C154">
        <v>148.08000000000001</v>
      </c>
      <c r="D154">
        <v>-2004.8</v>
      </c>
      <c r="E154">
        <v>2896.2</v>
      </c>
      <c r="F154">
        <v>-265.10000000000002</v>
      </c>
      <c r="G154">
        <v>582.73</v>
      </c>
      <c r="H154">
        <v>564.77</v>
      </c>
      <c r="I154">
        <v>0</v>
      </c>
      <c r="J154" t="s">
        <v>1394</v>
      </c>
      <c r="K154" t="s">
        <v>1395</v>
      </c>
      <c r="L154" t="s">
        <v>1396</v>
      </c>
      <c r="M154" t="s">
        <v>1397</v>
      </c>
    </row>
    <row r="155" spans="1:13" x14ac:dyDescent="0.3">
      <c r="A155">
        <v>3600</v>
      </c>
      <c r="B155">
        <v>90.03</v>
      </c>
      <c r="C155">
        <v>148.08000000000001</v>
      </c>
      <c r="D155">
        <v>-2004.78</v>
      </c>
      <c r="E155">
        <v>2896.18</v>
      </c>
      <c r="F155">
        <v>-290.56</v>
      </c>
      <c r="G155">
        <v>598.59</v>
      </c>
      <c r="H155">
        <v>594.63</v>
      </c>
      <c r="I155">
        <v>0</v>
      </c>
      <c r="J155" t="s">
        <v>1398</v>
      </c>
      <c r="K155" t="s">
        <v>1399</v>
      </c>
      <c r="L155" t="s">
        <v>1400</v>
      </c>
      <c r="M155" t="s">
        <v>1401</v>
      </c>
    </row>
    <row r="156" spans="1:13" x14ac:dyDescent="0.3">
      <c r="A156">
        <v>3630</v>
      </c>
      <c r="B156">
        <v>90.03</v>
      </c>
      <c r="C156">
        <v>148.08000000000001</v>
      </c>
      <c r="D156">
        <v>-2004.76</v>
      </c>
      <c r="E156">
        <v>2896.16</v>
      </c>
      <c r="F156">
        <v>-316.02999999999997</v>
      </c>
      <c r="G156">
        <v>614.45000000000005</v>
      </c>
      <c r="H156">
        <v>624.49</v>
      </c>
      <c r="I156">
        <v>0</v>
      </c>
      <c r="J156" t="s">
        <v>1402</v>
      </c>
      <c r="K156" t="s">
        <v>1403</v>
      </c>
      <c r="L156" t="s">
        <v>1404</v>
      </c>
      <c r="M156" t="s">
        <v>1405</v>
      </c>
    </row>
    <row r="157" spans="1:13" x14ac:dyDescent="0.3">
      <c r="A157">
        <v>3660</v>
      </c>
      <c r="B157">
        <v>90.03</v>
      </c>
      <c r="C157">
        <v>148.08000000000001</v>
      </c>
      <c r="D157">
        <v>-2004.75</v>
      </c>
      <c r="E157">
        <v>2896.15</v>
      </c>
      <c r="F157">
        <v>-341.49</v>
      </c>
      <c r="G157">
        <v>630.32000000000005</v>
      </c>
      <c r="H157">
        <v>654.35</v>
      </c>
      <c r="I157">
        <v>0</v>
      </c>
      <c r="J157" t="s">
        <v>1406</v>
      </c>
      <c r="K157" t="s">
        <v>1407</v>
      </c>
      <c r="L157" t="s">
        <v>1408</v>
      </c>
      <c r="M157" t="s">
        <v>1409</v>
      </c>
    </row>
    <row r="158" spans="1:13" x14ac:dyDescent="0.3">
      <c r="A158">
        <v>3690</v>
      </c>
      <c r="B158">
        <v>90.03</v>
      </c>
      <c r="C158">
        <v>148.08000000000001</v>
      </c>
      <c r="D158">
        <v>-2004.73</v>
      </c>
      <c r="E158">
        <v>2896.13</v>
      </c>
      <c r="F158">
        <v>-366.95</v>
      </c>
      <c r="G158">
        <v>646.17999999999995</v>
      </c>
      <c r="H158">
        <v>684.21</v>
      </c>
      <c r="I158">
        <v>0</v>
      </c>
      <c r="J158" t="s">
        <v>1410</v>
      </c>
      <c r="K158" t="s">
        <v>1411</v>
      </c>
      <c r="L158" t="s">
        <v>1412</v>
      </c>
      <c r="M158" t="s">
        <v>1413</v>
      </c>
    </row>
    <row r="159" spans="1:13" x14ac:dyDescent="0.3">
      <c r="A159">
        <v>3720</v>
      </c>
      <c r="B159">
        <v>90.03</v>
      </c>
      <c r="C159">
        <v>148.08000000000001</v>
      </c>
      <c r="D159">
        <v>-2004.71</v>
      </c>
      <c r="E159">
        <v>2896.11</v>
      </c>
      <c r="F159">
        <v>-392.41</v>
      </c>
      <c r="G159">
        <v>662.05</v>
      </c>
      <c r="H159">
        <v>714.07</v>
      </c>
      <c r="I159">
        <v>0</v>
      </c>
      <c r="J159" t="s">
        <v>1414</v>
      </c>
      <c r="K159" t="s">
        <v>1415</v>
      </c>
      <c r="L159" t="s">
        <v>1416</v>
      </c>
      <c r="M159" t="s">
        <v>1417</v>
      </c>
    </row>
    <row r="160" spans="1:13" x14ac:dyDescent="0.3">
      <c r="A160">
        <v>3750</v>
      </c>
      <c r="B160">
        <v>90.03</v>
      </c>
      <c r="C160">
        <v>148.08000000000001</v>
      </c>
      <c r="D160">
        <v>-2004.69</v>
      </c>
      <c r="E160">
        <v>2896.09</v>
      </c>
      <c r="F160">
        <v>-417.88</v>
      </c>
      <c r="G160">
        <v>677.91</v>
      </c>
      <c r="H160">
        <v>743.93</v>
      </c>
      <c r="I160">
        <v>0</v>
      </c>
      <c r="J160" t="s">
        <v>1418</v>
      </c>
      <c r="K160" t="s">
        <v>1419</v>
      </c>
      <c r="L160" t="s">
        <v>1420</v>
      </c>
      <c r="M160" t="s">
        <v>1421</v>
      </c>
    </row>
    <row r="161" spans="1:13" x14ac:dyDescent="0.3">
      <c r="A161">
        <v>3780</v>
      </c>
      <c r="B161">
        <v>90.03</v>
      </c>
      <c r="C161">
        <v>148.08000000000001</v>
      </c>
      <c r="D161">
        <v>-2004.68</v>
      </c>
      <c r="E161">
        <v>2896.08</v>
      </c>
      <c r="F161">
        <v>-443.34</v>
      </c>
      <c r="G161">
        <v>693.77</v>
      </c>
      <c r="H161">
        <v>773.79</v>
      </c>
      <c r="I161">
        <v>0</v>
      </c>
      <c r="J161" t="s">
        <v>1422</v>
      </c>
      <c r="K161" t="s">
        <v>1423</v>
      </c>
      <c r="L161" t="s">
        <v>1424</v>
      </c>
      <c r="M161" t="s">
        <v>1425</v>
      </c>
    </row>
    <row r="162" spans="1:13" x14ac:dyDescent="0.3">
      <c r="A162">
        <v>3810</v>
      </c>
      <c r="B162">
        <v>90.03</v>
      </c>
      <c r="C162">
        <v>148.08000000000001</v>
      </c>
      <c r="D162">
        <v>-2004.66</v>
      </c>
      <c r="E162">
        <v>2896.06</v>
      </c>
      <c r="F162">
        <v>-468.8</v>
      </c>
      <c r="G162">
        <v>709.64</v>
      </c>
      <c r="H162">
        <v>803.65</v>
      </c>
      <c r="I162">
        <v>0</v>
      </c>
      <c r="J162" t="s">
        <v>1426</v>
      </c>
      <c r="K162" t="s">
        <v>1427</v>
      </c>
      <c r="L162" t="s">
        <v>1428</v>
      </c>
      <c r="M162" t="s">
        <v>1429</v>
      </c>
    </row>
    <row r="163" spans="1:13" x14ac:dyDescent="0.3">
      <c r="A163">
        <v>3840</v>
      </c>
      <c r="B163">
        <v>90.03</v>
      </c>
      <c r="C163">
        <v>148.08000000000001</v>
      </c>
      <c r="D163">
        <v>-2004.64</v>
      </c>
      <c r="E163">
        <v>2896.04</v>
      </c>
      <c r="F163">
        <v>-494.26</v>
      </c>
      <c r="G163">
        <v>725.5</v>
      </c>
      <c r="H163">
        <v>833.51</v>
      </c>
      <c r="I163">
        <v>0</v>
      </c>
      <c r="J163" t="s">
        <v>1430</v>
      </c>
      <c r="K163" t="s">
        <v>1431</v>
      </c>
      <c r="L163" t="s">
        <v>1432</v>
      </c>
      <c r="M163" t="s">
        <v>1433</v>
      </c>
    </row>
    <row r="164" spans="1:13" x14ac:dyDescent="0.3">
      <c r="A164">
        <v>3870</v>
      </c>
      <c r="B164">
        <v>90.03</v>
      </c>
      <c r="C164">
        <v>148.08000000000001</v>
      </c>
      <c r="D164">
        <v>-2004.63</v>
      </c>
      <c r="E164">
        <v>2896.03</v>
      </c>
      <c r="F164">
        <v>-519.73</v>
      </c>
      <c r="G164">
        <v>741.37</v>
      </c>
      <c r="H164">
        <v>863.37</v>
      </c>
      <c r="I164">
        <v>0</v>
      </c>
      <c r="J164" t="s">
        <v>1434</v>
      </c>
      <c r="K164" t="s">
        <v>1435</v>
      </c>
      <c r="L164" t="s">
        <v>1436</v>
      </c>
      <c r="M164" t="s">
        <v>1437</v>
      </c>
    </row>
    <row r="165" spans="1:13" x14ac:dyDescent="0.3">
      <c r="A165">
        <v>3900</v>
      </c>
      <c r="B165">
        <v>90.03</v>
      </c>
      <c r="C165">
        <v>148.08000000000001</v>
      </c>
      <c r="D165">
        <v>-2004.61</v>
      </c>
      <c r="E165">
        <v>2896.01</v>
      </c>
      <c r="F165">
        <v>-545.19000000000005</v>
      </c>
      <c r="G165">
        <v>757.23</v>
      </c>
      <c r="H165">
        <v>893.24</v>
      </c>
      <c r="I165">
        <v>0</v>
      </c>
      <c r="J165" t="s">
        <v>1438</v>
      </c>
      <c r="K165" t="s">
        <v>1439</v>
      </c>
      <c r="L165" t="s">
        <v>1440</v>
      </c>
      <c r="M165" t="s">
        <v>1441</v>
      </c>
    </row>
    <row r="166" spans="1:13" x14ac:dyDescent="0.3">
      <c r="A166">
        <v>3930</v>
      </c>
      <c r="B166">
        <v>90.03</v>
      </c>
      <c r="C166">
        <v>148.08000000000001</v>
      </c>
      <c r="D166">
        <v>-2004.59</v>
      </c>
      <c r="E166">
        <v>2895.99</v>
      </c>
      <c r="F166">
        <v>-570.65</v>
      </c>
      <c r="G166">
        <v>773.09</v>
      </c>
      <c r="H166">
        <v>923.1</v>
      </c>
      <c r="I166">
        <v>0</v>
      </c>
      <c r="J166" t="s">
        <v>1442</v>
      </c>
      <c r="K166" t="s">
        <v>1443</v>
      </c>
      <c r="L166" t="s">
        <v>1444</v>
      </c>
      <c r="M166" t="s">
        <v>1445</v>
      </c>
    </row>
    <row r="167" spans="1:13" x14ac:dyDescent="0.3">
      <c r="A167">
        <v>3960</v>
      </c>
      <c r="B167">
        <v>90.03</v>
      </c>
      <c r="C167">
        <v>148.08000000000001</v>
      </c>
      <c r="D167">
        <v>-2004.57</v>
      </c>
      <c r="E167">
        <v>2895.97</v>
      </c>
      <c r="F167">
        <v>-596.11</v>
      </c>
      <c r="G167">
        <v>788.96</v>
      </c>
      <c r="H167">
        <v>952.96</v>
      </c>
      <c r="I167">
        <v>0</v>
      </c>
      <c r="J167" t="s">
        <v>1446</v>
      </c>
      <c r="K167" t="s">
        <v>1447</v>
      </c>
      <c r="L167" t="s">
        <v>1448</v>
      </c>
      <c r="M167" t="s">
        <v>1449</v>
      </c>
    </row>
    <row r="168" spans="1:13" x14ac:dyDescent="0.3">
      <c r="A168">
        <v>3990</v>
      </c>
      <c r="B168">
        <v>90.03</v>
      </c>
      <c r="C168">
        <v>148.08000000000001</v>
      </c>
      <c r="D168">
        <v>-2004.56</v>
      </c>
      <c r="E168">
        <v>2895.96</v>
      </c>
      <c r="F168">
        <v>-621.57000000000005</v>
      </c>
      <c r="G168">
        <v>804.82</v>
      </c>
      <c r="H168">
        <v>982.82</v>
      </c>
      <c r="I168">
        <v>0</v>
      </c>
      <c r="J168" t="s">
        <v>1450</v>
      </c>
      <c r="K168" t="s">
        <v>1451</v>
      </c>
      <c r="L168" t="s">
        <v>1452</v>
      </c>
      <c r="M168" t="s">
        <v>1453</v>
      </c>
    </row>
    <row r="169" spans="1:13" x14ac:dyDescent="0.3">
      <c r="A169">
        <v>4020</v>
      </c>
      <c r="B169">
        <v>90.03</v>
      </c>
      <c r="C169">
        <v>148.08000000000001</v>
      </c>
      <c r="D169">
        <v>-2004.54</v>
      </c>
      <c r="E169">
        <v>2895.94</v>
      </c>
      <c r="F169">
        <v>-647.04</v>
      </c>
      <c r="G169">
        <v>820.69</v>
      </c>
      <c r="H169">
        <v>1012.68</v>
      </c>
      <c r="I169">
        <v>0</v>
      </c>
      <c r="J169" t="s">
        <v>1454</v>
      </c>
      <c r="K169" t="s">
        <v>1455</v>
      </c>
      <c r="L169" t="s">
        <v>1456</v>
      </c>
      <c r="M169" t="s">
        <v>1457</v>
      </c>
    </row>
    <row r="170" spans="1:13" x14ac:dyDescent="0.3">
      <c r="A170">
        <v>4050</v>
      </c>
      <c r="B170">
        <v>90.03</v>
      </c>
      <c r="C170">
        <v>148.08000000000001</v>
      </c>
      <c r="D170">
        <v>-2004.52</v>
      </c>
      <c r="E170">
        <v>2895.92</v>
      </c>
      <c r="F170">
        <v>-672.5</v>
      </c>
      <c r="G170">
        <v>836.55</v>
      </c>
      <c r="H170">
        <v>1042.54</v>
      </c>
      <c r="I170">
        <v>0</v>
      </c>
      <c r="J170" t="s">
        <v>1458</v>
      </c>
      <c r="K170" t="s">
        <v>1459</v>
      </c>
      <c r="L170" t="s">
        <v>1460</v>
      </c>
      <c r="M170" t="s">
        <v>1461</v>
      </c>
    </row>
    <row r="171" spans="1:13" x14ac:dyDescent="0.3">
      <c r="A171">
        <v>4080</v>
      </c>
      <c r="B171">
        <v>90.03</v>
      </c>
      <c r="C171">
        <v>148.08000000000001</v>
      </c>
      <c r="D171">
        <v>-2004.51</v>
      </c>
      <c r="E171">
        <v>2895.91</v>
      </c>
      <c r="F171">
        <v>-697.96</v>
      </c>
      <c r="G171">
        <v>852.41</v>
      </c>
      <c r="H171">
        <v>1072.4000000000001</v>
      </c>
      <c r="I171">
        <v>0</v>
      </c>
      <c r="J171" t="s">
        <v>1462</v>
      </c>
      <c r="K171" t="s">
        <v>1463</v>
      </c>
      <c r="L171" t="s">
        <v>1464</v>
      </c>
      <c r="M171" t="s">
        <v>1465</v>
      </c>
    </row>
    <row r="172" spans="1:13" x14ac:dyDescent="0.3">
      <c r="A172">
        <v>4110</v>
      </c>
      <c r="B172">
        <v>90.03</v>
      </c>
      <c r="C172">
        <v>148.08000000000001</v>
      </c>
      <c r="D172">
        <v>-2004.49</v>
      </c>
      <c r="E172">
        <v>2895.89</v>
      </c>
      <c r="F172">
        <v>-723.42</v>
      </c>
      <c r="G172">
        <v>868.28</v>
      </c>
      <c r="H172">
        <v>1102.26</v>
      </c>
      <c r="I172">
        <v>0</v>
      </c>
      <c r="J172" t="s">
        <v>1466</v>
      </c>
      <c r="K172" t="s">
        <v>1467</v>
      </c>
      <c r="L172" t="s">
        <v>1468</v>
      </c>
      <c r="M172" t="s">
        <v>1469</v>
      </c>
    </row>
    <row r="173" spans="1:13" x14ac:dyDescent="0.3">
      <c r="A173">
        <v>4140</v>
      </c>
      <c r="B173">
        <v>90.03</v>
      </c>
      <c r="C173">
        <v>148.08000000000001</v>
      </c>
      <c r="D173">
        <v>-2004.47</v>
      </c>
      <c r="E173">
        <v>2895.87</v>
      </c>
      <c r="F173">
        <v>-748.89</v>
      </c>
      <c r="G173">
        <v>884.14</v>
      </c>
      <c r="H173">
        <v>1132.1199999999999</v>
      </c>
      <c r="I173">
        <v>0</v>
      </c>
      <c r="J173" t="s">
        <v>1470</v>
      </c>
      <c r="K173" t="s">
        <v>1471</v>
      </c>
      <c r="L173" t="s">
        <v>1472</v>
      </c>
      <c r="M173" t="s">
        <v>1473</v>
      </c>
    </row>
    <row r="174" spans="1:13" x14ac:dyDescent="0.3">
      <c r="A174">
        <v>4170</v>
      </c>
      <c r="B174">
        <v>90.03</v>
      </c>
      <c r="C174">
        <v>148.08000000000001</v>
      </c>
      <c r="D174">
        <v>-2004.45</v>
      </c>
      <c r="E174">
        <v>2895.85</v>
      </c>
      <c r="F174">
        <v>-774.35</v>
      </c>
      <c r="G174">
        <v>900.01</v>
      </c>
      <c r="H174">
        <v>1161.98</v>
      </c>
      <c r="I174">
        <v>0</v>
      </c>
      <c r="J174" t="s">
        <v>1474</v>
      </c>
      <c r="K174" t="s">
        <v>1475</v>
      </c>
      <c r="L174" t="s">
        <v>1476</v>
      </c>
      <c r="M174" t="s">
        <v>1477</v>
      </c>
    </row>
    <row r="175" spans="1:13" x14ac:dyDescent="0.3">
      <c r="A175">
        <v>4200</v>
      </c>
      <c r="B175">
        <v>90.03</v>
      </c>
      <c r="C175">
        <v>148.08000000000001</v>
      </c>
      <c r="D175">
        <v>-2004.44</v>
      </c>
      <c r="E175">
        <v>2895.84</v>
      </c>
      <c r="F175">
        <v>-799.81</v>
      </c>
      <c r="G175">
        <v>915.87</v>
      </c>
      <c r="H175">
        <v>1191.8399999999999</v>
      </c>
      <c r="I175">
        <v>0</v>
      </c>
      <c r="J175" t="s">
        <v>1478</v>
      </c>
      <c r="K175" t="s">
        <v>1479</v>
      </c>
      <c r="L175" t="s">
        <v>1480</v>
      </c>
      <c r="M175" t="s">
        <v>1481</v>
      </c>
    </row>
    <row r="176" spans="1:13" x14ac:dyDescent="0.3">
      <c r="A176">
        <v>4230</v>
      </c>
      <c r="B176">
        <v>90.03</v>
      </c>
      <c r="C176">
        <v>148.08000000000001</v>
      </c>
      <c r="D176">
        <v>-2004.42</v>
      </c>
      <c r="E176">
        <v>2895.82</v>
      </c>
      <c r="F176">
        <v>-825.27</v>
      </c>
      <c r="G176">
        <v>931.73</v>
      </c>
      <c r="H176">
        <v>1221.71</v>
      </c>
      <c r="I176">
        <v>0</v>
      </c>
      <c r="J176" t="s">
        <v>1482</v>
      </c>
      <c r="K176" t="s">
        <v>1483</v>
      </c>
      <c r="L176" t="s">
        <v>1484</v>
      </c>
      <c r="M176" t="s">
        <v>1485</v>
      </c>
    </row>
    <row r="177" spans="1:13" x14ac:dyDescent="0.3">
      <c r="A177">
        <v>4260</v>
      </c>
      <c r="B177">
        <v>90.03</v>
      </c>
      <c r="C177">
        <v>148.08000000000001</v>
      </c>
      <c r="D177">
        <v>-2004.4</v>
      </c>
      <c r="E177">
        <v>2895.8</v>
      </c>
      <c r="F177">
        <v>-850.74</v>
      </c>
      <c r="G177">
        <v>947.6</v>
      </c>
      <c r="H177">
        <v>1251.57</v>
      </c>
      <c r="I177">
        <v>0</v>
      </c>
      <c r="J177" t="s">
        <v>1486</v>
      </c>
      <c r="K177" t="s">
        <v>1487</v>
      </c>
      <c r="L177" t="s">
        <v>1488</v>
      </c>
      <c r="M177" t="s">
        <v>1489</v>
      </c>
    </row>
    <row r="178" spans="1:13" x14ac:dyDescent="0.3">
      <c r="A178">
        <v>4290</v>
      </c>
      <c r="B178">
        <v>90.03</v>
      </c>
      <c r="C178">
        <v>148.08000000000001</v>
      </c>
      <c r="D178">
        <v>-2004.38</v>
      </c>
      <c r="E178">
        <v>2895.78</v>
      </c>
      <c r="F178">
        <v>-876.2</v>
      </c>
      <c r="G178">
        <v>963.46</v>
      </c>
      <c r="H178">
        <v>1281.43</v>
      </c>
      <c r="I178">
        <v>0</v>
      </c>
      <c r="J178" t="s">
        <v>1490</v>
      </c>
      <c r="K178" t="s">
        <v>1491</v>
      </c>
      <c r="L178" t="s">
        <v>1492</v>
      </c>
      <c r="M178" t="s">
        <v>1493</v>
      </c>
    </row>
    <row r="179" spans="1:13" x14ac:dyDescent="0.3">
      <c r="A179">
        <v>4320</v>
      </c>
      <c r="B179">
        <v>90.03</v>
      </c>
      <c r="C179">
        <v>148.08000000000001</v>
      </c>
      <c r="D179">
        <v>-2004.37</v>
      </c>
      <c r="E179">
        <v>2895.77</v>
      </c>
      <c r="F179">
        <v>-901.66</v>
      </c>
      <c r="G179">
        <v>979.33</v>
      </c>
      <c r="H179">
        <v>1311.29</v>
      </c>
      <c r="I179">
        <v>0</v>
      </c>
      <c r="J179" t="s">
        <v>1494</v>
      </c>
      <c r="K179" t="s">
        <v>1495</v>
      </c>
      <c r="L179" t="s">
        <v>1496</v>
      </c>
      <c r="M179" t="s">
        <v>1497</v>
      </c>
    </row>
    <row r="180" spans="1:13" x14ac:dyDescent="0.3">
      <c r="A180">
        <v>4350</v>
      </c>
      <c r="B180">
        <v>90.03</v>
      </c>
      <c r="C180">
        <v>148.08000000000001</v>
      </c>
      <c r="D180">
        <v>-2004.35</v>
      </c>
      <c r="E180">
        <v>2895.75</v>
      </c>
      <c r="F180">
        <v>-927.12</v>
      </c>
      <c r="G180">
        <v>995.19</v>
      </c>
      <c r="H180">
        <v>1341.15</v>
      </c>
      <c r="I180">
        <v>0</v>
      </c>
      <c r="J180" t="s">
        <v>1498</v>
      </c>
      <c r="K180" t="s">
        <v>1499</v>
      </c>
      <c r="L180" t="s">
        <v>1500</v>
      </c>
      <c r="M180" t="s">
        <v>1501</v>
      </c>
    </row>
    <row r="181" spans="1:13" x14ac:dyDescent="0.3">
      <c r="A181">
        <v>4380</v>
      </c>
      <c r="B181">
        <v>90.03</v>
      </c>
      <c r="C181">
        <v>148.08000000000001</v>
      </c>
      <c r="D181">
        <v>-2004.33</v>
      </c>
      <c r="E181">
        <v>2895.73</v>
      </c>
      <c r="F181">
        <v>-952.59</v>
      </c>
      <c r="G181">
        <v>1011.05</v>
      </c>
      <c r="H181">
        <v>1371.01</v>
      </c>
      <c r="I181">
        <v>0</v>
      </c>
      <c r="J181" t="s">
        <v>1502</v>
      </c>
      <c r="K181" t="s">
        <v>1503</v>
      </c>
      <c r="L181" t="s">
        <v>1504</v>
      </c>
      <c r="M181" t="s">
        <v>1505</v>
      </c>
    </row>
    <row r="182" spans="1:13" x14ac:dyDescent="0.3">
      <c r="A182">
        <v>4410</v>
      </c>
      <c r="B182">
        <v>90.03</v>
      </c>
      <c r="C182">
        <v>148.08000000000001</v>
      </c>
      <c r="D182">
        <v>-2004.32</v>
      </c>
      <c r="E182">
        <v>2895.72</v>
      </c>
      <c r="F182">
        <v>-978.05</v>
      </c>
      <c r="G182">
        <v>1026.92</v>
      </c>
      <c r="H182">
        <v>1400.87</v>
      </c>
      <c r="I182">
        <v>0</v>
      </c>
      <c r="J182" t="s">
        <v>1506</v>
      </c>
      <c r="K182" t="s">
        <v>1507</v>
      </c>
      <c r="L182" t="s">
        <v>1508</v>
      </c>
      <c r="M182" t="s">
        <v>1509</v>
      </c>
    </row>
    <row r="183" spans="1:13" x14ac:dyDescent="0.3">
      <c r="A183">
        <v>4440</v>
      </c>
      <c r="B183">
        <v>90.03</v>
      </c>
      <c r="C183">
        <v>148.08000000000001</v>
      </c>
      <c r="D183">
        <v>-2004.3</v>
      </c>
      <c r="E183">
        <v>2895.7</v>
      </c>
      <c r="F183">
        <v>-1003.51</v>
      </c>
      <c r="G183">
        <v>1042.78</v>
      </c>
      <c r="H183">
        <v>1430.73</v>
      </c>
      <c r="I183">
        <v>0</v>
      </c>
      <c r="J183" t="s">
        <v>1510</v>
      </c>
      <c r="K183" t="s">
        <v>1511</v>
      </c>
      <c r="L183" t="s">
        <v>1512</v>
      </c>
      <c r="M183" t="s">
        <v>1513</v>
      </c>
    </row>
    <row r="184" spans="1:13" x14ac:dyDescent="0.3">
      <c r="A184">
        <v>4470</v>
      </c>
      <c r="B184">
        <v>90.03</v>
      </c>
      <c r="C184">
        <v>148.08000000000001</v>
      </c>
      <c r="D184">
        <v>-2004.28</v>
      </c>
      <c r="E184">
        <v>2895.68</v>
      </c>
      <c r="F184">
        <v>-1028.97</v>
      </c>
      <c r="G184">
        <v>1058.6400000000001</v>
      </c>
      <c r="H184">
        <v>1460.59</v>
      </c>
      <c r="I184">
        <v>0</v>
      </c>
      <c r="J184" t="s">
        <v>1514</v>
      </c>
      <c r="K184" t="s">
        <v>1515</v>
      </c>
      <c r="L184" t="s">
        <v>1516</v>
      </c>
      <c r="M184" t="s">
        <v>1517</v>
      </c>
    </row>
    <row r="185" spans="1:13" x14ac:dyDescent="0.3">
      <c r="A185">
        <v>4500</v>
      </c>
      <c r="B185">
        <v>90.03</v>
      </c>
      <c r="C185">
        <v>148.08000000000001</v>
      </c>
      <c r="D185">
        <v>-2004.26</v>
      </c>
      <c r="E185">
        <v>2895.66</v>
      </c>
      <c r="F185">
        <v>-1054.44</v>
      </c>
      <c r="G185">
        <v>1074.51</v>
      </c>
      <c r="H185">
        <v>1490.45</v>
      </c>
      <c r="I185">
        <v>0</v>
      </c>
      <c r="J185" t="s">
        <v>1518</v>
      </c>
      <c r="K185" t="s">
        <v>1519</v>
      </c>
      <c r="L185" t="s">
        <v>1520</v>
      </c>
      <c r="M185" t="s">
        <v>1521</v>
      </c>
    </row>
    <row r="186" spans="1:13" x14ac:dyDescent="0.3">
      <c r="A186">
        <v>4530</v>
      </c>
      <c r="B186">
        <v>90.03</v>
      </c>
      <c r="C186">
        <v>148.08000000000001</v>
      </c>
      <c r="D186">
        <v>-2004.25</v>
      </c>
      <c r="E186">
        <v>2895.65</v>
      </c>
      <c r="F186">
        <v>-1079.9000000000001</v>
      </c>
      <c r="G186">
        <v>1090.3699999999999</v>
      </c>
      <c r="H186">
        <v>1520.31</v>
      </c>
      <c r="I186">
        <v>0</v>
      </c>
      <c r="J186" t="s">
        <v>1522</v>
      </c>
      <c r="K186" t="s">
        <v>1523</v>
      </c>
      <c r="L186" t="s">
        <v>1524</v>
      </c>
      <c r="M186" t="s">
        <v>1525</v>
      </c>
    </row>
    <row r="187" spans="1:13" x14ac:dyDescent="0.3">
      <c r="A187">
        <v>4560</v>
      </c>
      <c r="B187">
        <v>90.03</v>
      </c>
      <c r="C187">
        <v>148.08000000000001</v>
      </c>
      <c r="D187">
        <v>-2004.23</v>
      </c>
      <c r="E187">
        <v>2895.63</v>
      </c>
      <c r="F187">
        <v>-1105.3599999999999</v>
      </c>
      <c r="G187">
        <v>1106.24</v>
      </c>
      <c r="H187">
        <v>1550.18</v>
      </c>
      <c r="I187">
        <v>0</v>
      </c>
      <c r="J187" t="s">
        <v>1526</v>
      </c>
      <c r="K187" t="s">
        <v>1527</v>
      </c>
      <c r="L187" t="s">
        <v>1528</v>
      </c>
      <c r="M187" t="s">
        <v>1529</v>
      </c>
    </row>
    <row r="188" spans="1:13" x14ac:dyDescent="0.3">
      <c r="A188">
        <v>4590</v>
      </c>
      <c r="B188">
        <v>90.03</v>
      </c>
      <c r="C188">
        <v>148.08000000000001</v>
      </c>
      <c r="D188">
        <v>-2004.21</v>
      </c>
      <c r="E188">
        <v>2895.61</v>
      </c>
      <c r="F188">
        <v>-1130.82</v>
      </c>
      <c r="G188">
        <v>1122.0999999999999</v>
      </c>
      <c r="H188">
        <v>1580.04</v>
      </c>
      <c r="I188">
        <v>0</v>
      </c>
      <c r="J188" t="s">
        <v>1530</v>
      </c>
      <c r="K188" t="s">
        <v>1531</v>
      </c>
      <c r="L188" t="s">
        <v>1532</v>
      </c>
      <c r="M188" t="s">
        <v>1533</v>
      </c>
    </row>
    <row r="189" spans="1:13" x14ac:dyDescent="0.3">
      <c r="A189">
        <v>4620</v>
      </c>
      <c r="B189">
        <v>90.03</v>
      </c>
      <c r="C189">
        <v>148.08000000000001</v>
      </c>
      <c r="D189">
        <v>-2004.2</v>
      </c>
      <c r="E189">
        <v>2895.6</v>
      </c>
      <c r="F189">
        <v>-1156.29</v>
      </c>
      <c r="G189">
        <v>1137.96</v>
      </c>
      <c r="H189">
        <v>1609.9</v>
      </c>
      <c r="I189">
        <v>0</v>
      </c>
      <c r="J189" t="s">
        <v>1534</v>
      </c>
      <c r="K189" t="s">
        <v>1535</v>
      </c>
      <c r="L189" t="s">
        <v>1536</v>
      </c>
      <c r="M189" t="s">
        <v>1537</v>
      </c>
    </row>
    <row r="190" spans="1:13" x14ac:dyDescent="0.3">
      <c r="A190">
        <v>4650</v>
      </c>
      <c r="B190">
        <v>90.03</v>
      </c>
      <c r="C190">
        <v>148.08000000000001</v>
      </c>
      <c r="D190">
        <v>-2004.18</v>
      </c>
      <c r="E190">
        <v>2895.58</v>
      </c>
      <c r="F190">
        <v>-1181.75</v>
      </c>
      <c r="G190">
        <v>1153.83</v>
      </c>
      <c r="H190">
        <v>1639.76</v>
      </c>
      <c r="I190">
        <v>0</v>
      </c>
      <c r="J190" t="s">
        <v>1538</v>
      </c>
      <c r="K190" t="s">
        <v>1539</v>
      </c>
      <c r="L190" t="s">
        <v>1540</v>
      </c>
      <c r="M190" t="s">
        <v>1541</v>
      </c>
    </row>
    <row r="191" spans="1:13" x14ac:dyDescent="0.3">
      <c r="A191">
        <v>4680</v>
      </c>
      <c r="B191">
        <v>90.03</v>
      </c>
      <c r="C191">
        <v>148.08000000000001</v>
      </c>
      <c r="D191">
        <v>-2004.16</v>
      </c>
      <c r="E191">
        <v>2895.56</v>
      </c>
      <c r="F191">
        <v>-1207.21</v>
      </c>
      <c r="G191">
        <v>1169.69</v>
      </c>
      <c r="H191">
        <v>1669.62</v>
      </c>
      <c r="I191">
        <v>0</v>
      </c>
      <c r="J191" t="s">
        <v>1542</v>
      </c>
      <c r="K191" t="s">
        <v>1543</v>
      </c>
      <c r="L191" t="s">
        <v>1544</v>
      </c>
      <c r="M191" t="s">
        <v>1545</v>
      </c>
    </row>
    <row r="192" spans="1:13" x14ac:dyDescent="0.3">
      <c r="A192">
        <v>4710</v>
      </c>
      <c r="B192">
        <v>90.03</v>
      </c>
      <c r="C192">
        <v>148.08000000000001</v>
      </c>
      <c r="D192">
        <v>-2004.14</v>
      </c>
      <c r="E192">
        <v>2895.54</v>
      </c>
      <c r="F192">
        <v>-1232.67</v>
      </c>
      <c r="G192">
        <v>1185.56</v>
      </c>
      <c r="H192">
        <v>1699.48</v>
      </c>
      <c r="I192">
        <v>0</v>
      </c>
      <c r="J192" t="s">
        <v>1546</v>
      </c>
      <c r="K192" t="s">
        <v>1547</v>
      </c>
      <c r="L192" t="s">
        <v>1548</v>
      </c>
      <c r="M192" t="s">
        <v>1549</v>
      </c>
    </row>
    <row r="193" spans="1:13" x14ac:dyDescent="0.3">
      <c r="A193">
        <v>4740</v>
      </c>
      <c r="B193">
        <v>90.03</v>
      </c>
      <c r="C193">
        <v>148.08000000000001</v>
      </c>
      <c r="D193">
        <v>-2004.13</v>
      </c>
      <c r="E193">
        <v>2895.53</v>
      </c>
      <c r="F193">
        <v>-1258.1400000000001</v>
      </c>
      <c r="G193">
        <v>1201.42</v>
      </c>
      <c r="H193">
        <v>1729.34</v>
      </c>
      <c r="I193">
        <v>0</v>
      </c>
      <c r="J193" t="s">
        <v>1550</v>
      </c>
      <c r="K193" t="s">
        <v>1551</v>
      </c>
      <c r="L193" t="s">
        <v>1552</v>
      </c>
      <c r="M193" t="s">
        <v>1553</v>
      </c>
    </row>
    <row r="194" spans="1:13" x14ac:dyDescent="0.3">
      <c r="A194">
        <v>4770</v>
      </c>
      <c r="B194">
        <v>90.03</v>
      </c>
      <c r="C194">
        <v>148.08000000000001</v>
      </c>
      <c r="D194">
        <v>-2004.11</v>
      </c>
      <c r="E194">
        <v>2895.51</v>
      </c>
      <c r="F194">
        <v>-1283.5999999999999</v>
      </c>
      <c r="G194">
        <v>1217.28</v>
      </c>
      <c r="H194">
        <v>1759.2</v>
      </c>
      <c r="I194">
        <v>0</v>
      </c>
      <c r="J194" t="s">
        <v>1554</v>
      </c>
      <c r="K194" t="s">
        <v>1555</v>
      </c>
      <c r="L194" t="s">
        <v>1556</v>
      </c>
      <c r="M194" t="s">
        <v>1557</v>
      </c>
    </row>
    <row r="195" spans="1:13" x14ac:dyDescent="0.3">
      <c r="A195">
        <v>4800</v>
      </c>
      <c r="B195">
        <v>90.03</v>
      </c>
      <c r="C195">
        <v>148.08000000000001</v>
      </c>
      <c r="D195">
        <v>-2004.09</v>
      </c>
      <c r="E195">
        <v>2895.49</v>
      </c>
      <c r="F195">
        <v>-1309.06</v>
      </c>
      <c r="G195">
        <v>1233.1500000000001</v>
      </c>
      <c r="H195">
        <v>1789.06</v>
      </c>
      <c r="I195">
        <v>0</v>
      </c>
      <c r="J195" t="s">
        <v>1558</v>
      </c>
      <c r="K195" t="s">
        <v>1559</v>
      </c>
      <c r="L195" t="s">
        <v>1560</v>
      </c>
      <c r="M195" t="s">
        <v>1561</v>
      </c>
    </row>
    <row r="196" spans="1:13" x14ac:dyDescent="0.3">
      <c r="A196">
        <v>4830</v>
      </c>
      <c r="B196">
        <v>90.03</v>
      </c>
      <c r="C196">
        <v>148.08000000000001</v>
      </c>
      <c r="D196">
        <v>-2004.08</v>
      </c>
      <c r="E196">
        <v>2895.48</v>
      </c>
      <c r="F196">
        <v>-1334.52</v>
      </c>
      <c r="G196">
        <v>1249.01</v>
      </c>
      <c r="H196">
        <v>1818.92</v>
      </c>
      <c r="I196">
        <v>0</v>
      </c>
      <c r="J196" t="s">
        <v>1562</v>
      </c>
      <c r="K196" t="s">
        <v>1563</v>
      </c>
      <c r="L196" t="s">
        <v>1564</v>
      </c>
      <c r="M196" t="s">
        <v>1565</v>
      </c>
    </row>
    <row r="197" spans="1:13" x14ac:dyDescent="0.3">
      <c r="A197">
        <v>4860</v>
      </c>
      <c r="B197">
        <v>90.03</v>
      </c>
      <c r="C197">
        <v>148.08000000000001</v>
      </c>
      <c r="D197">
        <v>-2004.06</v>
      </c>
      <c r="E197">
        <v>2895.46</v>
      </c>
      <c r="F197">
        <v>-1359.99</v>
      </c>
      <c r="G197">
        <v>1264.8800000000001</v>
      </c>
      <c r="H197">
        <v>1848.78</v>
      </c>
      <c r="I197">
        <v>0</v>
      </c>
      <c r="J197" t="s">
        <v>1566</v>
      </c>
      <c r="K197" t="s">
        <v>1567</v>
      </c>
      <c r="L197" t="s">
        <v>1568</v>
      </c>
      <c r="M197" t="s">
        <v>1569</v>
      </c>
    </row>
    <row r="198" spans="1:13" x14ac:dyDescent="0.3">
      <c r="A198">
        <v>4890</v>
      </c>
      <c r="B198">
        <v>90.03</v>
      </c>
      <c r="C198">
        <v>148.08000000000001</v>
      </c>
      <c r="D198">
        <v>-2004.04</v>
      </c>
      <c r="E198">
        <v>2895.44</v>
      </c>
      <c r="F198">
        <v>-1385.45</v>
      </c>
      <c r="G198">
        <v>1280.74</v>
      </c>
      <c r="H198">
        <v>1878.64</v>
      </c>
      <c r="I198">
        <v>0</v>
      </c>
      <c r="J198" t="s">
        <v>1570</v>
      </c>
      <c r="K198" t="s">
        <v>1571</v>
      </c>
      <c r="L198" t="s">
        <v>1572</v>
      </c>
      <c r="M198" t="s">
        <v>1573</v>
      </c>
    </row>
    <row r="199" spans="1:13" x14ac:dyDescent="0.3">
      <c r="A199">
        <v>4920</v>
      </c>
      <c r="B199">
        <v>90.03</v>
      </c>
      <c r="C199">
        <v>148.08000000000001</v>
      </c>
      <c r="D199">
        <v>-2004.02</v>
      </c>
      <c r="E199">
        <v>2895.42</v>
      </c>
      <c r="F199">
        <v>-1410.91</v>
      </c>
      <c r="G199">
        <v>1296.5999999999999</v>
      </c>
      <c r="H199">
        <v>1908.51</v>
      </c>
      <c r="I199">
        <v>0</v>
      </c>
      <c r="J199" t="s">
        <v>1574</v>
      </c>
      <c r="K199" t="s">
        <v>1575</v>
      </c>
      <c r="L199" t="s">
        <v>1576</v>
      </c>
      <c r="M199" t="s">
        <v>1577</v>
      </c>
    </row>
    <row r="200" spans="1:13" x14ac:dyDescent="0.3">
      <c r="A200">
        <v>4950</v>
      </c>
      <c r="B200">
        <v>90.03</v>
      </c>
      <c r="C200">
        <v>148.08000000000001</v>
      </c>
      <c r="D200">
        <v>-2004.01</v>
      </c>
      <c r="E200">
        <v>2895.41</v>
      </c>
      <c r="F200">
        <v>-1436.37</v>
      </c>
      <c r="G200">
        <v>1312.47</v>
      </c>
      <c r="H200">
        <v>1938.37</v>
      </c>
      <c r="I200">
        <v>0</v>
      </c>
      <c r="J200" t="s">
        <v>1578</v>
      </c>
      <c r="K200" t="s">
        <v>1579</v>
      </c>
      <c r="L200" t="s">
        <v>1580</v>
      </c>
      <c r="M200" t="s">
        <v>1581</v>
      </c>
    </row>
    <row r="201" spans="1:13" x14ac:dyDescent="0.3">
      <c r="A201">
        <v>4980</v>
      </c>
      <c r="B201">
        <v>90.03</v>
      </c>
      <c r="C201">
        <v>148.08000000000001</v>
      </c>
      <c r="D201">
        <v>-2003.99</v>
      </c>
      <c r="E201">
        <v>2895.39</v>
      </c>
      <c r="F201">
        <v>-1461.84</v>
      </c>
      <c r="G201">
        <v>1328.33</v>
      </c>
      <c r="H201">
        <v>1968.23</v>
      </c>
      <c r="I201">
        <v>0</v>
      </c>
      <c r="J201" t="s">
        <v>1582</v>
      </c>
      <c r="K201" t="s">
        <v>1583</v>
      </c>
      <c r="L201" t="s">
        <v>1584</v>
      </c>
      <c r="M201" t="s">
        <v>1585</v>
      </c>
    </row>
    <row r="202" spans="1:13" x14ac:dyDescent="0.3">
      <c r="A202">
        <v>5010</v>
      </c>
      <c r="B202">
        <v>90.03</v>
      </c>
      <c r="C202">
        <v>148.08000000000001</v>
      </c>
      <c r="D202">
        <v>-2003.97</v>
      </c>
      <c r="E202">
        <v>2895.37</v>
      </c>
      <c r="F202">
        <v>-1487.3</v>
      </c>
      <c r="G202">
        <v>1344.2</v>
      </c>
      <c r="H202">
        <v>1998.09</v>
      </c>
      <c r="I202">
        <v>0</v>
      </c>
      <c r="J202" t="s">
        <v>1586</v>
      </c>
      <c r="K202" t="s">
        <v>1587</v>
      </c>
      <c r="L202" t="s">
        <v>1588</v>
      </c>
      <c r="M202" t="s">
        <v>1589</v>
      </c>
    </row>
    <row r="203" spans="1:13" x14ac:dyDescent="0.3">
      <c r="A203">
        <v>5040</v>
      </c>
      <c r="B203">
        <v>90.03</v>
      </c>
      <c r="C203">
        <v>148.08000000000001</v>
      </c>
      <c r="D203">
        <v>-2003.95</v>
      </c>
      <c r="E203">
        <v>2895.35</v>
      </c>
      <c r="F203">
        <v>-1512.76</v>
      </c>
      <c r="G203">
        <v>1360.06</v>
      </c>
      <c r="H203">
        <v>2027.95</v>
      </c>
      <c r="I203">
        <v>0</v>
      </c>
      <c r="J203" t="s">
        <v>1590</v>
      </c>
      <c r="K203" t="s">
        <v>1591</v>
      </c>
      <c r="L203" t="s">
        <v>1592</v>
      </c>
      <c r="M203" t="s">
        <v>1593</v>
      </c>
    </row>
    <row r="204" spans="1:13" x14ac:dyDescent="0.3">
      <c r="A204">
        <v>5070</v>
      </c>
      <c r="B204">
        <v>90.03</v>
      </c>
      <c r="C204">
        <v>148.08000000000001</v>
      </c>
      <c r="D204">
        <v>-2003.94</v>
      </c>
      <c r="E204">
        <v>2895.34</v>
      </c>
      <c r="F204">
        <v>-1538.22</v>
      </c>
      <c r="G204">
        <v>1375.92</v>
      </c>
      <c r="H204">
        <v>2057.81</v>
      </c>
      <c r="I204">
        <v>0</v>
      </c>
      <c r="J204" t="s">
        <v>1594</v>
      </c>
      <c r="K204" t="s">
        <v>1595</v>
      </c>
      <c r="L204" t="s">
        <v>1596</v>
      </c>
      <c r="M204" t="s">
        <v>1597</v>
      </c>
    </row>
    <row r="205" spans="1:13" x14ac:dyDescent="0.3">
      <c r="A205">
        <v>5100</v>
      </c>
      <c r="B205">
        <v>90.03</v>
      </c>
      <c r="C205">
        <v>148.08000000000001</v>
      </c>
      <c r="D205">
        <v>-2003.92</v>
      </c>
      <c r="E205">
        <v>2895.32</v>
      </c>
      <c r="F205">
        <v>-1563.68</v>
      </c>
      <c r="G205">
        <v>1391.79</v>
      </c>
      <c r="H205">
        <v>2087.67</v>
      </c>
      <c r="I205">
        <v>0</v>
      </c>
      <c r="J205" t="s">
        <v>1598</v>
      </c>
      <c r="K205" t="s">
        <v>1599</v>
      </c>
      <c r="L205" t="s">
        <v>1600</v>
      </c>
      <c r="M205" t="s">
        <v>1601</v>
      </c>
    </row>
    <row r="206" spans="1:13" x14ac:dyDescent="0.3">
      <c r="A206">
        <v>5130</v>
      </c>
      <c r="B206">
        <v>90.03</v>
      </c>
      <c r="C206">
        <v>148.08000000000001</v>
      </c>
      <c r="D206">
        <v>-2003.9</v>
      </c>
      <c r="E206">
        <v>2895.3</v>
      </c>
      <c r="F206">
        <v>-1589.15</v>
      </c>
      <c r="G206">
        <v>1407.65</v>
      </c>
      <c r="H206">
        <v>2117.5300000000002</v>
      </c>
      <c r="I206">
        <v>0</v>
      </c>
      <c r="J206" t="s">
        <v>1602</v>
      </c>
      <c r="K206" t="s">
        <v>1603</v>
      </c>
      <c r="L206" t="s">
        <v>1604</v>
      </c>
      <c r="M206" t="s">
        <v>1605</v>
      </c>
    </row>
    <row r="207" spans="1:13" x14ac:dyDescent="0.3">
      <c r="A207">
        <v>5160</v>
      </c>
      <c r="B207">
        <v>90.03</v>
      </c>
      <c r="C207">
        <v>148.08000000000001</v>
      </c>
      <c r="D207">
        <v>-2003.89</v>
      </c>
      <c r="E207">
        <v>2895.29</v>
      </c>
      <c r="F207">
        <v>-1614.61</v>
      </c>
      <c r="G207">
        <v>1423.52</v>
      </c>
      <c r="H207">
        <v>2147.39</v>
      </c>
      <c r="I207">
        <v>0</v>
      </c>
      <c r="J207" t="s">
        <v>1606</v>
      </c>
      <c r="K207" t="s">
        <v>1607</v>
      </c>
      <c r="L207" t="s">
        <v>1608</v>
      </c>
      <c r="M207" t="s">
        <v>1609</v>
      </c>
    </row>
    <row r="208" spans="1:13" x14ac:dyDescent="0.3">
      <c r="A208">
        <v>5190</v>
      </c>
      <c r="B208">
        <v>90.03</v>
      </c>
      <c r="C208">
        <v>148.08000000000001</v>
      </c>
      <c r="D208">
        <v>-2003.87</v>
      </c>
      <c r="E208">
        <v>2895.27</v>
      </c>
      <c r="F208">
        <v>-1640.07</v>
      </c>
      <c r="G208">
        <v>1439.38</v>
      </c>
      <c r="H208">
        <v>2177.25</v>
      </c>
      <c r="I208">
        <v>0</v>
      </c>
      <c r="J208" t="s">
        <v>1610</v>
      </c>
      <c r="K208" t="s">
        <v>1611</v>
      </c>
      <c r="L208" t="s">
        <v>1612</v>
      </c>
      <c r="M208" t="s">
        <v>1613</v>
      </c>
    </row>
    <row r="209" spans="1:13" x14ac:dyDescent="0.3">
      <c r="A209">
        <v>5220</v>
      </c>
      <c r="B209">
        <v>90.03</v>
      </c>
      <c r="C209">
        <v>148.08000000000001</v>
      </c>
      <c r="D209">
        <v>-2003.85</v>
      </c>
      <c r="E209">
        <v>2895.25</v>
      </c>
      <c r="F209">
        <v>-1665.53</v>
      </c>
      <c r="G209">
        <v>1455.24</v>
      </c>
      <c r="H209">
        <v>2207.11</v>
      </c>
      <c r="I209">
        <v>0</v>
      </c>
      <c r="J209" t="s">
        <v>1614</v>
      </c>
      <c r="K209" t="s">
        <v>1615</v>
      </c>
      <c r="L209" t="s">
        <v>1616</v>
      </c>
      <c r="M209" t="s">
        <v>1617</v>
      </c>
    </row>
    <row r="210" spans="1:13" x14ac:dyDescent="0.3">
      <c r="A210">
        <v>5250</v>
      </c>
      <c r="B210">
        <v>90.03</v>
      </c>
      <c r="C210">
        <v>148.08000000000001</v>
      </c>
      <c r="D210">
        <v>-2003.83</v>
      </c>
      <c r="E210">
        <v>2895.23</v>
      </c>
      <c r="F210">
        <v>-1691</v>
      </c>
      <c r="G210">
        <v>1471.11</v>
      </c>
      <c r="H210">
        <v>2236.98</v>
      </c>
      <c r="I210">
        <v>0</v>
      </c>
      <c r="J210" t="s">
        <v>1618</v>
      </c>
      <c r="K210" t="s">
        <v>1619</v>
      </c>
      <c r="L210" t="s">
        <v>1620</v>
      </c>
      <c r="M210" t="s">
        <v>1621</v>
      </c>
    </row>
    <row r="211" spans="1:13" x14ac:dyDescent="0.3">
      <c r="A211">
        <v>5280</v>
      </c>
      <c r="B211">
        <v>90.03</v>
      </c>
      <c r="C211">
        <v>148.08000000000001</v>
      </c>
      <c r="D211">
        <v>-2003.82</v>
      </c>
      <c r="E211">
        <v>2895.22</v>
      </c>
      <c r="F211">
        <v>-1716.46</v>
      </c>
      <c r="G211">
        <v>1486.97</v>
      </c>
      <c r="H211">
        <v>2266.84</v>
      </c>
      <c r="I211">
        <v>0</v>
      </c>
      <c r="J211" t="s">
        <v>1622</v>
      </c>
      <c r="K211" t="s">
        <v>1623</v>
      </c>
      <c r="L211" t="s">
        <v>1624</v>
      </c>
      <c r="M211" t="s">
        <v>1625</v>
      </c>
    </row>
    <row r="212" spans="1:13" x14ac:dyDescent="0.3">
      <c r="A212">
        <v>5310</v>
      </c>
      <c r="B212">
        <v>90.03</v>
      </c>
      <c r="C212">
        <v>148.08000000000001</v>
      </c>
      <c r="D212">
        <v>-2003.8</v>
      </c>
      <c r="E212">
        <v>2895.2</v>
      </c>
      <c r="F212">
        <v>-1741.92</v>
      </c>
      <c r="G212">
        <v>1502.83</v>
      </c>
      <c r="H212">
        <v>2296.6999999999998</v>
      </c>
      <c r="I212">
        <v>0</v>
      </c>
      <c r="J212" t="s">
        <v>1626</v>
      </c>
      <c r="K212" t="s">
        <v>1627</v>
      </c>
      <c r="L212" t="s">
        <v>1628</v>
      </c>
      <c r="M212" t="s">
        <v>1629</v>
      </c>
    </row>
    <row r="213" spans="1:13" x14ac:dyDescent="0.3">
      <c r="A213">
        <v>5340</v>
      </c>
      <c r="B213">
        <v>90.03</v>
      </c>
      <c r="C213">
        <v>148.08000000000001</v>
      </c>
      <c r="D213">
        <v>-2003.78</v>
      </c>
      <c r="E213">
        <v>2895.18</v>
      </c>
      <c r="F213">
        <v>-1767.38</v>
      </c>
      <c r="G213">
        <v>1518.7</v>
      </c>
      <c r="H213">
        <v>2326.56</v>
      </c>
      <c r="I213">
        <v>0</v>
      </c>
      <c r="J213" t="s">
        <v>1630</v>
      </c>
      <c r="K213" t="s">
        <v>1631</v>
      </c>
      <c r="L213" t="s">
        <v>1632</v>
      </c>
      <c r="M213" t="s">
        <v>1633</v>
      </c>
    </row>
    <row r="214" spans="1:13" x14ac:dyDescent="0.3">
      <c r="A214">
        <v>5370</v>
      </c>
      <c r="B214">
        <v>90.03</v>
      </c>
      <c r="C214">
        <v>148.08000000000001</v>
      </c>
      <c r="D214">
        <v>-2003.77</v>
      </c>
      <c r="E214">
        <v>2895.17</v>
      </c>
      <c r="F214">
        <v>-1792.85</v>
      </c>
      <c r="G214">
        <v>1534.56</v>
      </c>
      <c r="H214">
        <v>2356.42</v>
      </c>
      <c r="I214">
        <v>0</v>
      </c>
      <c r="J214" t="s">
        <v>1634</v>
      </c>
      <c r="K214" t="s">
        <v>1635</v>
      </c>
      <c r="L214" t="s">
        <v>1636</v>
      </c>
      <c r="M214" t="s">
        <v>1637</v>
      </c>
    </row>
    <row r="215" spans="1:13" x14ac:dyDescent="0.3">
      <c r="A215">
        <v>5400</v>
      </c>
      <c r="B215">
        <v>90.03</v>
      </c>
      <c r="C215">
        <v>148.08000000000001</v>
      </c>
      <c r="D215">
        <v>-2003.75</v>
      </c>
      <c r="E215">
        <v>2895.15</v>
      </c>
      <c r="F215">
        <v>-1818.31</v>
      </c>
      <c r="G215">
        <v>1550.43</v>
      </c>
      <c r="H215">
        <v>2386.2800000000002</v>
      </c>
      <c r="I215">
        <v>0</v>
      </c>
      <c r="J215" t="s">
        <v>1638</v>
      </c>
      <c r="K215" t="s">
        <v>1639</v>
      </c>
      <c r="L215" t="s">
        <v>1640</v>
      </c>
      <c r="M215" t="s">
        <v>1641</v>
      </c>
    </row>
    <row r="216" spans="1:13" x14ac:dyDescent="0.3">
      <c r="A216">
        <v>5430</v>
      </c>
      <c r="B216">
        <v>90.03</v>
      </c>
      <c r="C216">
        <v>148.08000000000001</v>
      </c>
      <c r="D216">
        <v>-2003.73</v>
      </c>
      <c r="E216">
        <v>2895.13</v>
      </c>
      <c r="F216">
        <v>-1843.77</v>
      </c>
      <c r="G216">
        <v>1566.29</v>
      </c>
      <c r="H216">
        <v>2416.14</v>
      </c>
      <c r="I216">
        <v>0</v>
      </c>
      <c r="J216" t="s">
        <v>1642</v>
      </c>
      <c r="K216" t="s">
        <v>1643</v>
      </c>
      <c r="L216" t="s">
        <v>1644</v>
      </c>
      <c r="M216" t="s">
        <v>1645</v>
      </c>
    </row>
    <row r="217" spans="1:13" x14ac:dyDescent="0.3">
      <c r="A217">
        <v>5460</v>
      </c>
      <c r="B217">
        <v>90.03</v>
      </c>
      <c r="C217">
        <v>148.08000000000001</v>
      </c>
      <c r="D217">
        <v>-2003.71</v>
      </c>
      <c r="E217">
        <v>2895.11</v>
      </c>
      <c r="F217">
        <v>-1869.23</v>
      </c>
      <c r="G217">
        <v>1582.15</v>
      </c>
      <c r="H217">
        <v>2446</v>
      </c>
      <c r="I217">
        <v>0</v>
      </c>
      <c r="J217" t="s">
        <v>1646</v>
      </c>
      <c r="K217" t="s">
        <v>1647</v>
      </c>
      <c r="L217" t="s">
        <v>1648</v>
      </c>
      <c r="M217" t="s">
        <v>1649</v>
      </c>
    </row>
    <row r="218" spans="1:13" x14ac:dyDescent="0.3">
      <c r="A218">
        <v>5490</v>
      </c>
      <c r="B218">
        <v>90.03</v>
      </c>
      <c r="C218">
        <v>148.08000000000001</v>
      </c>
      <c r="D218">
        <v>-2003.7</v>
      </c>
      <c r="E218">
        <v>2895.1</v>
      </c>
      <c r="F218">
        <v>-1894.7</v>
      </c>
      <c r="G218">
        <v>1598.02</v>
      </c>
      <c r="H218">
        <v>2475.86</v>
      </c>
      <c r="I218">
        <v>0</v>
      </c>
      <c r="J218" t="s">
        <v>1650</v>
      </c>
      <c r="K218" t="s">
        <v>1651</v>
      </c>
      <c r="L218" t="s">
        <v>1652</v>
      </c>
      <c r="M218" t="s">
        <v>1653</v>
      </c>
    </row>
    <row r="219" spans="1:13" x14ac:dyDescent="0.3">
      <c r="A219">
        <v>5520</v>
      </c>
      <c r="B219">
        <v>90.03</v>
      </c>
      <c r="C219">
        <v>148.08000000000001</v>
      </c>
      <c r="D219">
        <v>-2003.68</v>
      </c>
      <c r="E219">
        <v>2895.08</v>
      </c>
      <c r="F219">
        <v>-1920.16</v>
      </c>
      <c r="G219">
        <v>1613.88</v>
      </c>
      <c r="H219">
        <v>2505.7199999999998</v>
      </c>
      <c r="I219">
        <v>0</v>
      </c>
      <c r="J219" t="s">
        <v>1654</v>
      </c>
      <c r="K219" t="s">
        <v>1655</v>
      </c>
      <c r="L219" t="s">
        <v>1656</v>
      </c>
      <c r="M219" t="s">
        <v>1657</v>
      </c>
    </row>
    <row r="220" spans="1:13" x14ac:dyDescent="0.3">
      <c r="A220">
        <v>5550</v>
      </c>
      <c r="B220">
        <v>90.03</v>
      </c>
      <c r="C220">
        <v>148.08000000000001</v>
      </c>
      <c r="D220">
        <v>-2003.66</v>
      </c>
      <c r="E220">
        <v>2895.06</v>
      </c>
      <c r="F220">
        <v>-1945.62</v>
      </c>
      <c r="G220">
        <v>1629.75</v>
      </c>
      <c r="H220">
        <v>2535.58</v>
      </c>
      <c r="I220">
        <v>0</v>
      </c>
      <c r="J220" t="s">
        <v>1658</v>
      </c>
      <c r="K220" t="s">
        <v>1659</v>
      </c>
      <c r="L220" t="s">
        <v>1660</v>
      </c>
      <c r="M220" t="s">
        <v>1661</v>
      </c>
    </row>
    <row r="221" spans="1:13" x14ac:dyDescent="0.3">
      <c r="A221">
        <v>5580</v>
      </c>
      <c r="B221">
        <v>90.03</v>
      </c>
      <c r="C221">
        <v>148.08000000000001</v>
      </c>
      <c r="D221">
        <v>-2003.64</v>
      </c>
      <c r="E221">
        <v>2895.04</v>
      </c>
      <c r="F221">
        <v>-1971.08</v>
      </c>
      <c r="G221">
        <v>1645.61</v>
      </c>
      <c r="H221">
        <v>2565.4499999999998</v>
      </c>
      <c r="I221">
        <v>0</v>
      </c>
      <c r="J221" t="s">
        <v>1662</v>
      </c>
      <c r="K221" t="s">
        <v>1663</v>
      </c>
      <c r="L221" t="s">
        <v>1664</v>
      </c>
      <c r="M221" t="s">
        <v>1665</v>
      </c>
    </row>
    <row r="222" spans="1:13" x14ac:dyDescent="0.3">
      <c r="A222">
        <v>5610</v>
      </c>
      <c r="B222">
        <v>90.03</v>
      </c>
      <c r="C222">
        <v>148.08000000000001</v>
      </c>
      <c r="D222">
        <v>-2003.63</v>
      </c>
      <c r="E222">
        <v>2895.03</v>
      </c>
      <c r="F222">
        <v>-1996.55</v>
      </c>
      <c r="G222">
        <v>1661.47</v>
      </c>
      <c r="H222">
        <v>2595.31</v>
      </c>
      <c r="I222">
        <v>0</v>
      </c>
      <c r="J222" t="s">
        <v>1666</v>
      </c>
      <c r="K222" t="s">
        <v>1667</v>
      </c>
      <c r="L222" t="s">
        <v>1668</v>
      </c>
      <c r="M222" t="s">
        <v>1669</v>
      </c>
    </row>
    <row r="223" spans="1:13" x14ac:dyDescent="0.3">
      <c r="A223">
        <v>5640</v>
      </c>
      <c r="B223">
        <v>90.03</v>
      </c>
      <c r="C223">
        <v>148.08000000000001</v>
      </c>
      <c r="D223">
        <v>-2003.61</v>
      </c>
      <c r="E223">
        <v>2895.01</v>
      </c>
      <c r="F223">
        <v>-2022.01</v>
      </c>
      <c r="G223">
        <v>1677.34</v>
      </c>
      <c r="H223">
        <v>2625.17</v>
      </c>
      <c r="I223">
        <v>0</v>
      </c>
      <c r="J223" t="s">
        <v>1670</v>
      </c>
      <c r="K223" t="s">
        <v>1671</v>
      </c>
      <c r="L223" t="s">
        <v>1672</v>
      </c>
      <c r="M223" t="s">
        <v>1673</v>
      </c>
    </row>
    <row r="224" spans="1:13" x14ac:dyDescent="0.3">
      <c r="A224">
        <v>5670</v>
      </c>
      <c r="B224">
        <v>90.03</v>
      </c>
      <c r="C224">
        <v>148.08000000000001</v>
      </c>
      <c r="D224">
        <v>-2003.59</v>
      </c>
      <c r="E224">
        <v>2894.99</v>
      </c>
      <c r="F224">
        <v>-2047.47</v>
      </c>
      <c r="G224">
        <v>1693.2</v>
      </c>
      <c r="H224">
        <v>2655.03</v>
      </c>
      <c r="I224">
        <v>0</v>
      </c>
      <c r="J224" t="s">
        <v>1674</v>
      </c>
      <c r="K224" t="s">
        <v>1675</v>
      </c>
      <c r="L224" t="s">
        <v>1676</v>
      </c>
      <c r="M224" t="s">
        <v>1677</v>
      </c>
    </row>
    <row r="225" spans="1:13" x14ac:dyDescent="0.3">
      <c r="A225">
        <v>5700</v>
      </c>
      <c r="B225">
        <v>90.03</v>
      </c>
      <c r="C225">
        <v>148.08000000000001</v>
      </c>
      <c r="D225">
        <v>-2003.58</v>
      </c>
      <c r="E225">
        <v>2894.98</v>
      </c>
      <c r="F225">
        <v>-2072.9299999999998</v>
      </c>
      <c r="G225">
        <v>1709.07</v>
      </c>
      <c r="H225">
        <v>2684.89</v>
      </c>
      <c r="I225">
        <v>0</v>
      </c>
      <c r="J225" t="s">
        <v>1678</v>
      </c>
      <c r="K225" t="s">
        <v>1679</v>
      </c>
      <c r="L225" t="s">
        <v>1680</v>
      </c>
      <c r="M225" t="s">
        <v>1681</v>
      </c>
    </row>
    <row r="226" spans="1:13" x14ac:dyDescent="0.3">
      <c r="A226">
        <v>5730</v>
      </c>
      <c r="B226">
        <v>90.03</v>
      </c>
      <c r="C226">
        <v>148.08000000000001</v>
      </c>
      <c r="D226">
        <v>-2003.56</v>
      </c>
      <c r="E226">
        <v>2894.96</v>
      </c>
      <c r="F226">
        <v>-2098.4</v>
      </c>
      <c r="G226">
        <v>1724.93</v>
      </c>
      <c r="H226">
        <v>2714.75</v>
      </c>
      <c r="I226">
        <v>0</v>
      </c>
      <c r="J226" t="s">
        <v>1682</v>
      </c>
      <c r="K226" t="s">
        <v>1683</v>
      </c>
      <c r="L226" t="s">
        <v>1684</v>
      </c>
      <c r="M226" t="s">
        <v>1685</v>
      </c>
    </row>
    <row r="227" spans="1:13" x14ac:dyDescent="0.3">
      <c r="A227">
        <v>5760</v>
      </c>
      <c r="B227">
        <v>90.03</v>
      </c>
      <c r="C227">
        <v>148.08000000000001</v>
      </c>
      <c r="D227">
        <v>-2003.54</v>
      </c>
      <c r="E227">
        <v>2894.94</v>
      </c>
      <c r="F227">
        <v>-2123.86</v>
      </c>
      <c r="G227">
        <v>1740.79</v>
      </c>
      <c r="H227">
        <v>2744.61</v>
      </c>
      <c r="I227">
        <v>0</v>
      </c>
      <c r="J227" t="s">
        <v>1686</v>
      </c>
      <c r="K227" t="s">
        <v>1687</v>
      </c>
      <c r="L227" t="s">
        <v>1688</v>
      </c>
      <c r="M227" t="s">
        <v>1689</v>
      </c>
    </row>
    <row r="228" spans="1:13" x14ac:dyDescent="0.3">
      <c r="A228">
        <v>5790</v>
      </c>
      <c r="B228">
        <v>90.03</v>
      </c>
      <c r="C228">
        <v>148.08000000000001</v>
      </c>
      <c r="D228">
        <v>-2003.52</v>
      </c>
      <c r="E228">
        <v>2894.92</v>
      </c>
      <c r="F228">
        <v>-2149.3200000000002</v>
      </c>
      <c r="G228">
        <v>1756.66</v>
      </c>
      <c r="H228">
        <v>2774.47</v>
      </c>
      <c r="I228">
        <v>0</v>
      </c>
      <c r="J228" t="s">
        <v>1690</v>
      </c>
      <c r="K228" t="s">
        <v>1691</v>
      </c>
      <c r="L228" t="s">
        <v>1692</v>
      </c>
      <c r="M228" t="s">
        <v>1693</v>
      </c>
    </row>
    <row r="229" spans="1:13" x14ac:dyDescent="0.3">
      <c r="A229">
        <v>5820</v>
      </c>
      <c r="B229">
        <v>90.03</v>
      </c>
      <c r="C229">
        <v>148.08000000000001</v>
      </c>
      <c r="D229">
        <v>-2003.51</v>
      </c>
      <c r="E229">
        <v>2894.91</v>
      </c>
      <c r="F229">
        <v>-2174.7800000000002</v>
      </c>
      <c r="G229">
        <v>1772.52</v>
      </c>
      <c r="H229">
        <v>2804.33</v>
      </c>
      <c r="I229">
        <v>0</v>
      </c>
      <c r="J229" t="s">
        <v>1694</v>
      </c>
      <c r="K229" t="s">
        <v>1695</v>
      </c>
      <c r="L229" t="s">
        <v>1696</v>
      </c>
      <c r="M229" t="s">
        <v>1697</v>
      </c>
    </row>
    <row r="230" spans="1:13" x14ac:dyDescent="0.3">
      <c r="A230">
        <v>5850</v>
      </c>
      <c r="B230">
        <v>90.03</v>
      </c>
      <c r="C230">
        <v>148.08000000000001</v>
      </c>
      <c r="D230">
        <v>-2003.49</v>
      </c>
      <c r="E230">
        <v>2894.89</v>
      </c>
      <c r="F230">
        <v>-2200.25</v>
      </c>
      <c r="G230">
        <v>1788.39</v>
      </c>
      <c r="H230">
        <v>2834.19</v>
      </c>
      <c r="I230">
        <v>0</v>
      </c>
      <c r="J230" t="s">
        <v>1698</v>
      </c>
      <c r="K230" t="s">
        <v>1699</v>
      </c>
      <c r="L230" t="s">
        <v>1700</v>
      </c>
      <c r="M230" t="s">
        <v>1701</v>
      </c>
    </row>
    <row r="231" spans="1:13" x14ac:dyDescent="0.3">
      <c r="A231">
        <v>5880</v>
      </c>
      <c r="B231">
        <v>90.03</v>
      </c>
      <c r="C231">
        <v>148.08000000000001</v>
      </c>
      <c r="D231">
        <v>-2003.47</v>
      </c>
      <c r="E231">
        <v>2894.87</v>
      </c>
      <c r="F231">
        <v>-2225.71</v>
      </c>
      <c r="G231">
        <v>1804.25</v>
      </c>
      <c r="H231">
        <v>2864.05</v>
      </c>
      <c r="I231">
        <v>0</v>
      </c>
      <c r="J231" t="s">
        <v>1702</v>
      </c>
      <c r="K231" t="s">
        <v>1703</v>
      </c>
      <c r="L231" t="s">
        <v>1704</v>
      </c>
      <c r="M231" t="s">
        <v>1705</v>
      </c>
    </row>
    <row r="232" spans="1:13" x14ac:dyDescent="0.3">
      <c r="A232">
        <v>5910</v>
      </c>
      <c r="B232">
        <v>90.03</v>
      </c>
      <c r="C232">
        <v>148.08000000000001</v>
      </c>
      <c r="D232">
        <v>-2003.46</v>
      </c>
      <c r="E232">
        <v>2894.86</v>
      </c>
      <c r="F232">
        <v>-2251.17</v>
      </c>
      <c r="G232">
        <v>1820.11</v>
      </c>
      <c r="H232">
        <v>2893.92</v>
      </c>
      <c r="I232">
        <v>0</v>
      </c>
      <c r="J232" t="s">
        <v>1706</v>
      </c>
      <c r="K232" t="s">
        <v>1707</v>
      </c>
      <c r="L232" t="s">
        <v>1708</v>
      </c>
      <c r="M232" t="s">
        <v>1709</v>
      </c>
    </row>
    <row r="233" spans="1:13" x14ac:dyDescent="0.3">
      <c r="A233">
        <v>5940</v>
      </c>
      <c r="B233">
        <v>90.03</v>
      </c>
      <c r="C233">
        <v>148.08000000000001</v>
      </c>
      <c r="D233">
        <v>-2003.44</v>
      </c>
      <c r="E233">
        <v>2894.84</v>
      </c>
      <c r="F233">
        <v>-2276.63</v>
      </c>
      <c r="G233">
        <v>1835.98</v>
      </c>
      <c r="H233">
        <v>2923.78</v>
      </c>
      <c r="I233">
        <v>0</v>
      </c>
      <c r="J233" t="s">
        <v>1710</v>
      </c>
      <c r="K233" t="s">
        <v>1711</v>
      </c>
      <c r="L233" t="s">
        <v>1712</v>
      </c>
      <c r="M233" t="s">
        <v>1713</v>
      </c>
    </row>
    <row r="234" spans="1:13" x14ac:dyDescent="0.3">
      <c r="A234">
        <v>5970</v>
      </c>
      <c r="B234">
        <v>90.03</v>
      </c>
      <c r="C234">
        <v>148.08000000000001</v>
      </c>
      <c r="D234">
        <v>-2003.42</v>
      </c>
      <c r="E234">
        <v>2894.82</v>
      </c>
      <c r="F234">
        <v>-2302.1</v>
      </c>
      <c r="G234">
        <v>1851.84</v>
      </c>
      <c r="H234">
        <v>2953.64</v>
      </c>
      <c r="I234">
        <v>0</v>
      </c>
      <c r="J234" t="s">
        <v>1714</v>
      </c>
      <c r="K234" t="s">
        <v>1715</v>
      </c>
      <c r="L234" t="s">
        <v>1716</v>
      </c>
      <c r="M234" t="s">
        <v>1717</v>
      </c>
    </row>
    <row r="235" spans="1:13" x14ac:dyDescent="0.3">
      <c r="A235">
        <v>6000</v>
      </c>
      <c r="B235">
        <v>90.03</v>
      </c>
      <c r="C235">
        <v>148.08000000000001</v>
      </c>
      <c r="D235">
        <v>-2003.4</v>
      </c>
      <c r="E235">
        <v>2894.8</v>
      </c>
      <c r="F235">
        <v>-2327.56</v>
      </c>
      <c r="G235">
        <v>1867.71</v>
      </c>
      <c r="H235">
        <v>2983.5</v>
      </c>
      <c r="I235">
        <v>0</v>
      </c>
      <c r="J235" t="s">
        <v>1718</v>
      </c>
      <c r="K235" t="s">
        <v>1719</v>
      </c>
      <c r="L235" t="s">
        <v>1720</v>
      </c>
      <c r="M235" t="s">
        <v>1721</v>
      </c>
    </row>
    <row r="236" spans="1:13" x14ac:dyDescent="0.3">
      <c r="A236">
        <v>6030</v>
      </c>
      <c r="B236">
        <v>90.03</v>
      </c>
      <c r="C236">
        <v>148.08000000000001</v>
      </c>
      <c r="D236">
        <v>-2003.39</v>
      </c>
      <c r="E236">
        <v>2894.79</v>
      </c>
      <c r="F236">
        <v>-2353.02</v>
      </c>
      <c r="G236">
        <v>1883.57</v>
      </c>
      <c r="H236">
        <v>3013.36</v>
      </c>
      <c r="I236">
        <v>0</v>
      </c>
      <c r="J236" t="s">
        <v>1722</v>
      </c>
      <c r="K236" t="s">
        <v>1723</v>
      </c>
      <c r="L236" t="s">
        <v>1724</v>
      </c>
      <c r="M236" t="s">
        <v>1725</v>
      </c>
    </row>
    <row r="237" spans="1:13" x14ac:dyDescent="0.3">
      <c r="A237">
        <v>6060</v>
      </c>
      <c r="B237">
        <v>90.03</v>
      </c>
      <c r="C237">
        <v>148.08000000000001</v>
      </c>
      <c r="D237">
        <v>-2003.37</v>
      </c>
      <c r="E237">
        <v>2894.77</v>
      </c>
      <c r="F237">
        <v>-2378.48</v>
      </c>
      <c r="G237">
        <v>1899.43</v>
      </c>
      <c r="H237">
        <v>3043.22</v>
      </c>
      <c r="I237">
        <v>0</v>
      </c>
      <c r="J237" t="s">
        <v>1726</v>
      </c>
      <c r="K237" t="s">
        <v>1727</v>
      </c>
      <c r="L237" t="s">
        <v>1728</v>
      </c>
      <c r="M237" t="s">
        <v>1729</v>
      </c>
    </row>
    <row r="238" spans="1:13" x14ac:dyDescent="0.3">
      <c r="A238">
        <v>6090</v>
      </c>
      <c r="B238">
        <v>90.03</v>
      </c>
      <c r="C238">
        <v>148.08000000000001</v>
      </c>
      <c r="D238">
        <v>-2003.35</v>
      </c>
      <c r="E238">
        <v>2894.75</v>
      </c>
      <c r="F238">
        <v>-2403.9499999999998</v>
      </c>
      <c r="G238">
        <v>1915.3</v>
      </c>
      <c r="H238">
        <v>3073.08</v>
      </c>
      <c r="I238">
        <v>0</v>
      </c>
      <c r="J238" t="s">
        <v>1730</v>
      </c>
      <c r="K238" t="s">
        <v>1731</v>
      </c>
      <c r="L238" t="s">
        <v>1732</v>
      </c>
      <c r="M238" t="s">
        <v>1733</v>
      </c>
    </row>
    <row r="239" spans="1:13" x14ac:dyDescent="0.3">
      <c r="A239">
        <v>6120</v>
      </c>
      <c r="B239">
        <v>90.03</v>
      </c>
      <c r="C239">
        <v>148.08000000000001</v>
      </c>
      <c r="D239">
        <v>-2003.34</v>
      </c>
      <c r="E239">
        <v>2894.74</v>
      </c>
      <c r="F239">
        <v>-2429.41</v>
      </c>
      <c r="G239">
        <v>1931.16</v>
      </c>
      <c r="H239">
        <v>3102.94</v>
      </c>
      <c r="I239">
        <v>0</v>
      </c>
      <c r="J239" t="s">
        <v>1734</v>
      </c>
      <c r="K239" t="s">
        <v>1735</v>
      </c>
      <c r="L239" t="s">
        <v>1736</v>
      </c>
      <c r="M239" t="s">
        <v>1737</v>
      </c>
    </row>
    <row r="240" spans="1:13" x14ac:dyDescent="0.3">
      <c r="A240">
        <v>6150</v>
      </c>
      <c r="B240">
        <v>90.03</v>
      </c>
      <c r="C240">
        <v>148.08000000000001</v>
      </c>
      <c r="D240">
        <v>-2003.32</v>
      </c>
      <c r="E240">
        <v>2894.72</v>
      </c>
      <c r="F240">
        <v>-2454.87</v>
      </c>
      <c r="G240">
        <v>1947.02</v>
      </c>
      <c r="H240">
        <v>3132.8</v>
      </c>
      <c r="I240">
        <v>0</v>
      </c>
      <c r="J240" t="s">
        <v>1738</v>
      </c>
      <c r="K240" t="s">
        <v>1739</v>
      </c>
      <c r="L240" t="s">
        <v>1740</v>
      </c>
      <c r="M240" t="s">
        <v>1741</v>
      </c>
    </row>
    <row r="241" spans="1:13" x14ac:dyDescent="0.3">
      <c r="A241">
        <v>6180</v>
      </c>
      <c r="B241">
        <v>90.03</v>
      </c>
      <c r="C241">
        <v>148.08000000000001</v>
      </c>
      <c r="D241">
        <v>-2003.3</v>
      </c>
      <c r="E241">
        <v>2894.7</v>
      </c>
      <c r="F241">
        <v>-2480.33</v>
      </c>
      <c r="G241">
        <v>1962.89</v>
      </c>
      <c r="H241">
        <v>3162.66</v>
      </c>
      <c r="I241">
        <v>0</v>
      </c>
      <c r="J241" t="s">
        <v>1742</v>
      </c>
      <c r="K241" t="s">
        <v>1743</v>
      </c>
      <c r="L241" t="s">
        <v>1744</v>
      </c>
      <c r="M241" t="s">
        <v>1745</v>
      </c>
    </row>
    <row r="242" spans="1:13" x14ac:dyDescent="0.3">
      <c r="A242">
        <v>6210</v>
      </c>
      <c r="B242">
        <v>90.03</v>
      </c>
      <c r="C242">
        <v>148.08000000000001</v>
      </c>
      <c r="D242">
        <v>-2003.28</v>
      </c>
      <c r="E242">
        <v>2894.68</v>
      </c>
      <c r="F242">
        <v>-2505.79</v>
      </c>
      <c r="G242">
        <v>1978.75</v>
      </c>
      <c r="H242">
        <v>3192.52</v>
      </c>
      <c r="I242">
        <v>0</v>
      </c>
      <c r="J242" t="s">
        <v>1746</v>
      </c>
      <c r="K242" t="s">
        <v>1747</v>
      </c>
      <c r="L242" t="s">
        <v>1748</v>
      </c>
      <c r="M242" t="s">
        <v>1749</v>
      </c>
    </row>
    <row r="243" spans="1:13" x14ac:dyDescent="0.3">
      <c r="A243">
        <v>6240</v>
      </c>
      <c r="B243">
        <v>90.03</v>
      </c>
      <c r="C243">
        <v>148.08000000000001</v>
      </c>
      <c r="D243">
        <v>-2003.27</v>
      </c>
      <c r="E243">
        <v>2894.67</v>
      </c>
      <c r="F243">
        <v>-2531.2600000000002</v>
      </c>
      <c r="G243">
        <v>1994.62</v>
      </c>
      <c r="H243">
        <v>3222.38</v>
      </c>
      <c r="I243">
        <v>0</v>
      </c>
      <c r="J243" t="s">
        <v>1750</v>
      </c>
      <c r="K243" t="s">
        <v>1751</v>
      </c>
      <c r="L243" t="s">
        <v>1752</v>
      </c>
      <c r="M243" t="s">
        <v>1753</v>
      </c>
    </row>
    <row r="244" spans="1:13" x14ac:dyDescent="0.3">
      <c r="A244">
        <v>6270</v>
      </c>
      <c r="B244">
        <v>90.03</v>
      </c>
      <c r="C244">
        <v>148.08000000000001</v>
      </c>
      <c r="D244">
        <v>-2003.25</v>
      </c>
      <c r="E244">
        <v>2894.65</v>
      </c>
      <c r="F244">
        <v>-2556.7199999999998</v>
      </c>
      <c r="G244">
        <v>2010.48</v>
      </c>
      <c r="H244">
        <v>3252.25</v>
      </c>
      <c r="I244">
        <v>0</v>
      </c>
      <c r="J244" t="s">
        <v>1754</v>
      </c>
      <c r="K244" t="s">
        <v>1755</v>
      </c>
      <c r="L244" t="s">
        <v>1756</v>
      </c>
      <c r="M244" t="s">
        <v>1757</v>
      </c>
    </row>
    <row r="245" spans="1:13" x14ac:dyDescent="0.3">
      <c r="A245">
        <v>6300</v>
      </c>
      <c r="B245">
        <v>90.03</v>
      </c>
      <c r="C245">
        <v>148.08000000000001</v>
      </c>
      <c r="D245">
        <v>-2003.23</v>
      </c>
      <c r="E245">
        <v>2894.63</v>
      </c>
      <c r="F245">
        <v>-2582.1799999999998</v>
      </c>
      <c r="G245">
        <v>2026.34</v>
      </c>
      <c r="H245">
        <v>3282.11</v>
      </c>
      <c r="I245">
        <v>0</v>
      </c>
      <c r="J245" t="s">
        <v>1758</v>
      </c>
      <c r="K245" t="s">
        <v>1759</v>
      </c>
      <c r="L245" t="s">
        <v>1760</v>
      </c>
      <c r="M245" t="s">
        <v>1761</v>
      </c>
    </row>
    <row r="246" spans="1:13" x14ac:dyDescent="0.3">
      <c r="A246">
        <v>6330</v>
      </c>
      <c r="B246">
        <v>90.03</v>
      </c>
      <c r="C246">
        <v>148.08000000000001</v>
      </c>
      <c r="D246">
        <v>-2003.21</v>
      </c>
      <c r="E246">
        <v>2894.61</v>
      </c>
      <c r="F246">
        <v>-2607.64</v>
      </c>
      <c r="G246">
        <v>2042.21</v>
      </c>
      <c r="H246">
        <v>3311.97</v>
      </c>
      <c r="I246">
        <v>0</v>
      </c>
      <c r="J246" t="s">
        <v>1762</v>
      </c>
      <c r="K246" t="s">
        <v>1763</v>
      </c>
      <c r="L246" t="s">
        <v>1764</v>
      </c>
      <c r="M246" t="s">
        <v>1765</v>
      </c>
    </row>
    <row r="247" spans="1:13" x14ac:dyDescent="0.3">
      <c r="A247">
        <v>6360</v>
      </c>
      <c r="B247">
        <v>90.03</v>
      </c>
      <c r="C247">
        <v>148.08000000000001</v>
      </c>
      <c r="D247">
        <v>-2003.2</v>
      </c>
      <c r="E247">
        <v>2894.6</v>
      </c>
      <c r="F247">
        <v>-2633.11</v>
      </c>
      <c r="G247">
        <v>2058.0700000000002</v>
      </c>
      <c r="H247">
        <v>3341.83</v>
      </c>
      <c r="I247">
        <v>0</v>
      </c>
      <c r="J247" t="s">
        <v>1766</v>
      </c>
      <c r="K247" t="s">
        <v>1767</v>
      </c>
      <c r="L247" t="s">
        <v>1768</v>
      </c>
      <c r="M247" t="s">
        <v>1769</v>
      </c>
    </row>
    <row r="248" spans="1:13" x14ac:dyDescent="0.3">
      <c r="A248">
        <v>6390</v>
      </c>
      <c r="B248">
        <v>90.03</v>
      </c>
      <c r="C248">
        <v>148.08000000000001</v>
      </c>
      <c r="D248">
        <v>-2003.18</v>
      </c>
      <c r="E248">
        <v>2894.58</v>
      </c>
      <c r="F248">
        <v>-2658.57</v>
      </c>
      <c r="G248">
        <v>2073.94</v>
      </c>
      <c r="H248">
        <v>3371.69</v>
      </c>
      <c r="I248">
        <v>0</v>
      </c>
      <c r="J248" t="s">
        <v>1770</v>
      </c>
      <c r="K248" t="s">
        <v>1771</v>
      </c>
      <c r="L248" t="s">
        <v>1772</v>
      </c>
      <c r="M248" t="s">
        <v>1773</v>
      </c>
    </row>
    <row r="249" spans="1:13" x14ac:dyDescent="0.3">
      <c r="A249">
        <v>6420</v>
      </c>
      <c r="B249">
        <v>90.03</v>
      </c>
      <c r="C249">
        <v>148.08000000000001</v>
      </c>
      <c r="D249">
        <v>-2003.16</v>
      </c>
      <c r="E249">
        <v>2894.56</v>
      </c>
      <c r="F249">
        <v>-2684.03</v>
      </c>
      <c r="G249">
        <v>2089.8000000000002</v>
      </c>
      <c r="H249">
        <v>3401.55</v>
      </c>
      <c r="I249">
        <v>0</v>
      </c>
      <c r="J249" t="s">
        <v>1774</v>
      </c>
      <c r="K249" t="s">
        <v>1775</v>
      </c>
      <c r="L249" t="s">
        <v>1776</v>
      </c>
      <c r="M249" t="s">
        <v>1777</v>
      </c>
    </row>
    <row r="250" spans="1:13" x14ac:dyDescent="0.3">
      <c r="A250">
        <v>6450</v>
      </c>
      <c r="B250">
        <v>90.03</v>
      </c>
      <c r="C250">
        <v>148.08000000000001</v>
      </c>
      <c r="D250">
        <v>-2003.15</v>
      </c>
      <c r="E250">
        <v>2894.55</v>
      </c>
      <c r="F250">
        <v>-2709.49</v>
      </c>
      <c r="G250">
        <v>2105.66</v>
      </c>
      <c r="H250">
        <v>3431.41</v>
      </c>
      <c r="I250">
        <v>0</v>
      </c>
      <c r="J250" t="s">
        <v>1778</v>
      </c>
      <c r="K250" t="s">
        <v>1779</v>
      </c>
      <c r="L250" t="s">
        <v>1780</v>
      </c>
      <c r="M250" t="s">
        <v>1781</v>
      </c>
    </row>
    <row r="251" spans="1:13" x14ac:dyDescent="0.3">
      <c r="A251">
        <v>6480</v>
      </c>
      <c r="B251">
        <v>90.03</v>
      </c>
      <c r="C251">
        <v>148.08000000000001</v>
      </c>
      <c r="D251">
        <v>-2003.13</v>
      </c>
      <c r="E251">
        <v>2894.53</v>
      </c>
      <c r="F251">
        <v>-2734.96</v>
      </c>
      <c r="G251">
        <v>2121.5300000000002</v>
      </c>
      <c r="H251">
        <v>3461.27</v>
      </c>
      <c r="I251">
        <v>0</v>
      </c>
      <c r="J251" t="s">
        <v>1782</v>
      </c>
      <c r="K251" t="s">
        <v>1783</v>
      </c>
      <c r="L251" t="s">
        <v>1784</v>
      </c>
      <c r="M251" t="s">
        <v>1785</v>
      </c>
    </row>
    <row r="252" spans="1:13" x14ac:dyDescent="0.3">
      <c r="A252">
        <v>6510</v>
      </c>
      <c r="B252">
        <v>90.03</v>
      </c>
      <c r="C252">
        <v>148.08000000000001</v>
      </c>
      <c r="D252">
        <v>-2003.11</v>
      </c>
      <c r="E252">
        <v>2894.51</v>
      </c>
      <c r="F252">
        <v>-2760.42</v>
      </c>
      <c r="G252">
        <v>2137.39</v>
      </c>
      <c r="H252">
        <v>3491.13</v>
      </c>
      <c r="I252">
        <v>0</v>
      </c>
      <c r="J252" t="s">
        <v>1786</v>
      </c>
      <c r="K252" t="s">
        <v>1787</v>
      </c>
      <c r="L252" t="s">
        <v>1788</v>
      </c>
      <c r="M252" t="s">
        <v>1789</v>
      </c>
    </row>
    <row r="253" spans="1:13" x14ac:dyDescent="0.3">
      <c r="A253">
        <v>6540</v>
      </c>
      <c r="B253">
        <v>90.03</v>
      </c>
      <c r="C253">
        <v>148.08000000000001</v>
      </c>
      <c r="D253">
        <v>-2003.09</v>
      </c>
      <c r="E253">
        <v>2894.49</v>
      </c>
      <c r="F253">
        <v>-2785.88</v>
      </c>
      <c r="G253">
        <v>2153.2600000000002</v>
      </c>
      <c r="H253">
        <v>3520.99</v>
      </c>
      <c r="I253">
        <v>0</v>
      </c>
      <c r="J253" t="s">
        <v>1790</v>
      </c>
      <c r="K253" t="s">
        <v>1791</v>
      </c>
      <c r="L253" t="s">
        <v>1792</v>
      </c>
      <c r="M253" t="s">
        <v>1793</v>
      </c>
    </row>
    <row r="254" spans="1:13" x14ac:dyDescent="0.3">
      <c r="A254">
        <v>6570</v>
      </c>
      <c r="B254">
        <v>90.03</v>
      </c>
      <c r="C254">
        <v>148.08000000000001</v>
      </c>
      <c r="D254">
        <v>-2003.08</v>
      </c>
      <c r="E254">
        <v>2894.48</v>
      </c>
      <c r="F254">
        <v>-2811.34</v>
      </c>
      <c r="G254">
        <v>2169.12</v>
      </c>
      <c r="H254">
        <v>3550.85</v>
      </c>
      <c r="I254">
        <v>0</v>
      </c>
      <c r="J254" t="s">
        <v>1794</v>
      </c>
      <c r="K254" t="s">
        <v>1795</v>
      </c>
      <c r="L254" t="s">
        <v>1796</v>
      </c>
      <c r="M254" t="s">
        <v>1797</v>
      </c>
    </row>
    <row r="255" spans="1:13" x14ac:dyDescent="0.3">
      <c r="A255">
        <v>6600</v>
      </c>
      <c r="B255">
        <v>90.03</v>
      </c>
      <c r="C255">
        <v>148.08000000000001</v>
      </c>
      <c r="D255">
        <v>-2003.06</v>
      </c>
      <c r="E255">
        <v>2894.46</v>
      </c>
      <c r="F255">
        <v>-2836.81</v>
      </c>
      <c r="G255">
        <v>2184.98</v>
      </c>
      <c r="H255">
        <v>3580.72</v>
      </c>
      <c r="I255">
        <v>0</v>
      </c>
      <c r="J255" t="s">
        <v>1798</v>
      </c>
      <c r="K255" t="s">
        <v>1799</v>
      </c>
      <c r="L255" t="s">
        <v>1800</v>
      </c>
      <c r="M255" t="s">
        <v>1801</v>
      </c>
    </row>
    <row r="256" spans="1:13" x14ac:dyDescent="0.3">
      <c r="A256">
        <v>6630</v>
      </c>
      <c r="B256">
        <v>90.03</v>
      </c>
      <c r="C256">
        <v>148.08000000000001</v>
      </c>
      <c r="D256">
        <v>-2003.04</v>
      </c>
      <c r="E256">
        <v>2894.44</v>
      </c>
      <c r="F256">
        <v>-2862.27</v>
      </c>
      <c r="G256">
        <v>2200.85</v>
      </c>
      <c r="H256">
        <v>3610.58</v>
      </c>
      <c r="I256">
        <v>0</v>
      </c>
      <c r="J256" t="s">
        <v>1802</v>
      </c>
      <c r="K256" t="s">
        <v>1803</v>
      </c>
      <c r="L256" t="s">
        <v>1804</v>
      </c>
      <c r="M256" t="s">
        <v>1805</v>
      </c>
    </row>
    <row r="257" spans="1:14" x14ac:dyDescent="0.3">
      <c r="A257">
        <v>6660</v>
      </c>
      <c r="B257">
        <v>90.03</v>
      </c>
      <c r="C257">
        <v>148.08000000000001</v>
      </c>
      <c r="D257">
        <v>-2003.03</v>
      </c>
      <c r="E257">
        <v>2894.43</v>
      </c>
      <c r="F257">
        <v>-2887.73</v>
      </c>
      <c r="G257">
        <v>2216.71</v>
      </c>
      <c r="H257">
        <v>3640.44</v>
      </c>
      <c r="I257">
        <v>0</v>
      </c>
      <c r="J257" t="s">
        <v>1806</v>
      </c>
      <c r="K257" t="s">
        <v>1807</v>
      </c>
      <c r="L257" t="s">
        <v>1808</v>
      </c>
      <c r="M257" t="s">
        <v>1809</v>
      </c>
    </row>
    <row r="258" spans="1:14" x14ac:dyDescent="0.3">
      <c r="A258">
        <v>6690</v>
      </c>
      <c r="B258">
        <v>90.03</v>
      </c>
      <c r="C258">
        <v>148.08000000000001</v>
      </c>
      <c r="D258">
        <v>-2003.01</v>
      </c>
      <c r="E258">
        <v>2894.41</v>
      </c>
      <c r="F258">
        <v>-2913.19</v>
      </c>
      <c r="G258">
        <v>2232.58</v>
      </c>
      <c r="H258">
        <v>3670.3</v>
      </c>
      <c r="I258">
        <v>0</v>
      </c>
      <c r="J258" t="s">
        <v>1810</v>
      </c>
      <c r="K258" t="s">
        <v>1811</v>
      </c>
      <c r="L258" t="s">
        <v>1812</v>
      </c>
      <c r="M258" t="s">
        <v>1813</v>
      </c>
    </row>
    <row r="259" spans="1:14" x14ac:dyDescent="0.3">
      <c r="A259">
        <v>6704.23</v>
      </c>
      <c r="B259">
        <v>90.03</v>
      </c>
      <c r="C259">
        <v>148.08000000000001</v>
      </c>
      <c r="D259">
        <v>-2003</v>
      </c>
      <c r="E259">
        <v>2894.4</v>
      </c>
      <c r="F259">
        <v>-2925.27</v>
      </c>
      <c r="G259">
        <v>2240.1</v>
      </c>
      <c r="H259">
        <v>3684.46</v>
      </c>
      <c r="I259">
        <v>0</v>
      </c>
      <c r="J259" t="s">
        <v>1814</v>
      </c>
      <c r="K259" t="s">
        <v>1815</v>
      </c>
      <c r="L259" t="s">
        <v>1816</v>
      </c>
      <c r="M259" t="s">
        <v>1817</v>
      </c>
      <c r="N259" t="s">
        <v>971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E5F0B-8BFE-4C96-B3FA-A8CDC129AD51}">
  <sheetPr codeName="Sheet21"/>
  <dimension ref="A1:D4"/>
  <sheetViews>
    <sheetView workbookViewId="0"/>
  </sheetViews>
  <sheetFormatPr defaultRowHeight="14.4" x14ac:dyDescent="0.3"/>
  <sheetData>
    <row r="1" spans="1:4" x14ac:dyDescent="0.3">
      <c r="A1" t="s">
        <v>879</v>
      </c>
    </row>
    <row r="2" spans="1:4" x14ac:dyDescent="0.3">
      <c r="A2" t="s">
        <v>769</v>
      </c>
      <c r="B2" t="s">
        <v>549</v>
      </c>
      <c r="C2" t="s">
        <v>550</v>
      </c>
      <c r="D2" t="s">
        <v>146</v>
      </c>
    </row>
    <row r="3" spans="1:4" x14ac:dyDescent="0.3">
      <c r="A3" t="s">
        <v>865</v>
      </c>
      <c r="B3">
        <v>570</v>
      </c>
      <c r="C3">
        <v>426.95</v>
      </c>
      <c r="D3">
        <v>33.194000000000003</v>
      </c>
    </row>
    <row r="4" spans="1:4" x14ac:dyDescent="0.3">
      <c r="A4" t="s">
        <v>865</v>
      </c>
      <c r="B4">
        <v>542.46</v>
      </c>
      <c r="C4">
        <v>426.51</v>
      </c>
      <c r="D4">
        <v>33.256999999999998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8D60D-F691-4BAE-8998-5A7F684E8140}">
  <sheetPr codeName="Sheet2"/>
  <dimension ref="A1:D21"/>
  <sheetViews>
    <sheetView workbookViewId="0"/>
  </sheetViews>
  <sheetFormatPr defaultRowHeight="14.4" x14ac:dyDescent="0.3"/>
  <sheetData>
    <row r="1" spans="1:4" x14ac:dyDescent="0.3">
      <c r="A1" t="s">
        <v>268</v>
      </c>
      <c r="B1" t="s">
        <v>6</v>
      </c>
      <c r="C1" t="s">
        <v>726</v>
      </c>
      <c r="D1" t="s">
        <v>727</v>
      </c>
    </row>
    <row r="2" spans="1:4" x14ac:dyDescent="0.3">
      <c r="A2">
        <v>20803</v>
      </c>
      <c r="B2" s="325">
        <v>46224</v>
      </c>
      <c r="C2">
        <v>7070</v>
      </c>
      <c r="D2">
        <v>1</v>
      </c>
    </row>
    <row r="3" spans="1:4" x14ac:dyDescent="0.3">
      <c r="A3">
        <v>20803</v>
      </c>
      <c r="B3" s="325">
        <v>46225</v>
      </c>
      <c r="C3">
        <v>26645</v>
      </c>
      <c r="D3">
        <v>1</v>
      </c>
    </row>
    <row r="4" spans="1:4" x14ac:dyDescent="0.3">
      <c r="A4">
        <v>20803</v>
      </c>
      <c r="B4" s="325">
        <v>46226</v>
      </c>
      <c r="C4">
        <v>8435</v>
      </c>
      <c r="D4">
        <v>1</v>
      </c>
    </row>
    <row r="5" spans="1:4" x14ac:dyDescent="0.3">
      <c r="A5">
        <v>20803</v>
      </c>
      <c r="B5" s="325">
        <v>46227</v>
      </c>
      <c r="C5">
        <v>28525</v>
      </c>
      <c r="D5">
        <v>1</v>
      </c>
    </row>
    <row r="6" spans="1:4" x14ac:dyDescent="0.3">
      <c r="A6">
        <v>20803</v>
      </c>
      <c r="B6" s="325">
        <v>46228</v>
      </c>
      <c r="C6">
        <v>10375</v>
      </c>
      <c r="D6">
        <v>1</v>
      </c>
    </row>
    <row r="7" spans="1:4" x14ac:dyDescent="0.3">
      <c r="A7">
        <v>20803</v>
      </c>
      <c r="B7" s="325">
        <v>46229</v>
      </c>
      <c r="C7">
        <v>10475</v>
      </c>
      <c r="D7">
        <v>1</v>
      </c>
    </row>
    <row r="8" spans="1:4" x14ac:dyDescent="0.3">
      <c r="A8">
        <v>20803</v>
      </c>
      <c r="B8" s="325">
        <v>46230</v>
      </c>
      <c r="C8">
        <v>10175</v>
      </c>
      <c r="D8">
        <v>1</v>
      </c>
    </row>
    <row r="9" spans="1:4" x14ac:dyDescent="0.3">
      <c r="A9">
        <v>20803</v>
      </c>
      <c r="B9" s="325">
        <v>46231</v>
      </c>
      <c r="C9">
        <v>33200</v>
      </c>
      <c r="D9">
        <v>1</v>
      </c>
    </row>
    <row r="10" spans="1:4" x14ac:dyDescent="0.3">
      <c r="A10">
        <v>20803</v>
      </c>
      <c r="B10" s="325">
        <v>46232</v>
      </c>
      <c r="C10">
        <v>10500</v>
      </c>
      <c r="D10">
        <v>1</v>
      </c>
    </row>
    <row r="11" spans="1:4" x14ac:dyDescent="0.3">
      <c r="A11">
        <v>20803</v>
      </c>
      <c r="B11" s="325">
        <v>46233</v>
      </c>
      <c r="C11">
        <v>32550</v>
      </c>
      <c r="D11">
        <v>1</v>
      </c>
    </row>
    <row r="12" spans="1:4" x14ac:dyDescent="0.3">
      <c r="A12">
        <v>20803</v>
      </c>
      <c r="B12" s="325">
        <v>46234</v>
      </c>
      <c r="C12">
        <v>10500</v>
      </c>
      <c r="D12">
        <v>1</v>
      </c>
    </row>
    <row r="13" spans="1:4" x14ac:dyDescent="0.3">
      <c r="A13">
        <v>20803</v>
      </c>
      <c r="B13" s="325">
        <v>46235</v>
      </c>
      <c r="C13">
        <v>8750</v>
      </c>
      <c r="D13">
        <v>1</v>
      </c>
    </row>
    <row r="14" spans="1:4" x14ac:dyDescent="0.3">
      <c r="A14">
        <v>20803</v>
      </c>
      <c r="B14" s="325">
        <v>46236</v>
      </c>
      <c r="C14">
        <v>24250</v>
      </c>
      <c r="D14">
        <v>1</v>
      </c>
    </row>
    <row r="15" spans="1:4" x14ac:dyDescent="0.3">
      <c r="A15">
        <v>20803</v>
      </c>
      <c r="B15" s="325">
        <v>46237</v>
      </c>
      <c r="C15">
        <v>9325</v>
      </c>
      <c r="D15">
        <v>1</v>
      </c>
    </row>
    <row r="16" spans="1:4" x14ac:dyDescent="0.3">
      <c r="A16">
        <v>20803</v>
      </c>
      <c r="B16" s="325">
        <v>46238</v>
      </c>
      <c r="C16">
        <v>9300</v>
      </c>
      <c r="D16">
        <v>1</v>
      </c>
    </row>
    <row r="17" spans="1:4" x14ac:dyDescent="0.3">
      <c r="A17">
        <v>20803</v>
      </c>
      <c r="B17" s="325">
        <v>46239</v>
      </c>
      <c r="C17">
        <v>9325</v>
      </c>
      <c r="D17">
        <v>1</v>
      </c>
    </row>
    <row r="18" spans="1:4" x14ac:dyDescent="0.3">
      <c r="A18">
        <v>20803</v>
      </c>
      <c r="B18" s="325">
        <v>46240</v>
      </c>
      <c r="C18">
        <v>9000</v>
      </c>
      <c r="D18">
        <v>1</v>
      </c>
    </row>
    <row r="19" spans="1:4" x14ac:dyDescent="0.3">
      <c r="A19">
        <v>20803</v>
      </c>
      <c r="B19" s="325">
        <v>46241</v>
      </c>
      <c r="C19">
        <v>23937.5</v>
      </c>
      <c r="D19">
        <v>1</v>
      </c>
    </row>
    <row r="20" spans="1:4" x14ac:dyDescent="0.3">
      <c r="A20">
        <v>20803</v>
      </c>
      <c r="B20" s="325">
        <v>46242</v>
      </c>
      <c r="C20">
        <v>9262.5</v>
      </c>
      <c r="D20">
        <v>1</v>
      </c>
    </row>
    <row r="21" spans="1:4" x14ac:dyDescent="0.3">
      <c r="A21">
        <v>20803</v>
      </c>
      <c r="B21" s="325">
        <v>46243</v>
      </c>
      <c r="C21">
        <v>508100</v>
      </c>
      <c r="D21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F698C-F26E-4357-8B4D-9EC8DDA6394A}">
  <sheetPr codeName="Sheet5"/>
  <dimension ref="A1:L15"/>
  <sheetViews>
    <sheetView workbookViewId="0"/>
  </sheetViews>
  <sheetFormatPr defaultRowHeight="14.4" x14ac:dyDescent="0.3"/>
  <sheetData>
    <row r="1" spans="1:12" x14ac:dyDescent="0.3">
      <c r="A1" t="s">
        <v>953</v>
      </c>
    </row>
    <row r="2" spans="1:12" x14ac:dyDescent="0.3">
      <c r="A2" t="s">
        <v>197</v>
      </c>
      <c r="B2" t="s">
        <v>195</v>
      </c>
      <c r="C2" t="s">
        <v>196</v>
      </c>
      <c r="D2" t="s">
        <v>181</v>
      </c>
      <c r="E2" t="s">
        <v>253</v>
      </c>
      <c r="F2" t="s">
        <v>254</v>
      </c>
      <c r="G2" t="s">
        <v>183</v>
      </c>
      <c r="H2" t="s">
        <v>954</v>
      </c>
      <c r="I2" t="s">
        <v>955</v>
      </c>
      <c r="J2" t="s">
        <v>956</v>
      </c>
      <c r="K2" t="s">
        <v>957</v>
      </c>
      <c r="L2" t="s">
        <v>958</v>
      </c>
    </row>
    <row r="3" spans="1:12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12" x14ac:dyDescent="0.3">
      <c r="A4">
        <v>650</v>
      </c>
      <c r="B4">
        <v>0</v>
      </c>
      <c r="C4">
        <v>0</v>
      </c>
      <c r="D4">
        <v>650</v>
      </c>
      <c r="E4">
        <v>0</v>
      </c>
      <c r="F4">
        <v>0</v>
      </c>
      <c r="G4">
        <v>0</v>
      </c>
      <c r="H4">
        <v>0</v>
      </c>
      <c r="I4">
        <v>0</v>
      </c>
      <c r="J4" t="s">
        <v>959</v>
      </c>
    </row>
    <row r="5" spans="1:12" x14ac:dyDescent="0.3">
      <c r="A5">
        <v>750</v>
      </c>
      <c r="B5">
        <v>5</v>
      </c>
      <c r="C5">
        <v>10</v>
      </c>
      <c r="D5">
        <v>749.87</v>
      </c>
      <c r="E5">
        <v>4.29</v>
      </c>
      <c r="F5">
        <v>0.76</v>
      </c>
      <c r="G5">
        <v>1.5</v>
      </c>
      <c r="H5">
        <v>0</v>
      </c>
      <c r="I5">
        <v>0</v>
      </c>
      <c r="J5" t="s">
        <v>960</v>
      </c>
    </row>
    <row r="6" spans="1:12" x14ac:dyDescent="0.3">
      <c r="A6">
        <v>800</v>
      </c>
      <c r="B6">
        <v>5</v>
      </c>
      <c r="C6">
        <v>10</v>
      </c>
      <c r="D6">
        <v>799.68</v>
      </c>
      <c r="E6">
        <v>8.59</v>
      </c>
      <c r="F6">
        <v>1.51</v>
      </c>
      <c r="G6">
        <v>0</v>
      </c>
      <c r="H6">
        <v>0</v>
      </c>
      <c r="I6">
        <v>0</v>
      </c>
    </row>
    <row r="7" spans="1:12" x14ac:dyDescent="0.3">
      <c r="A7">
        <v>900</v>
      </c>
      <c r="B7">
        <v>0</v>
      </c>
      <c r="C7">
        <v>0</v>
      </c>
      <c r="D7">
        <v>899.56</v>
      </c>
      <c r="E7">
        <v>12.88</v>
      </c>
      <c r="F7">
        <v>2.27</v>
      </c>
      <c r="G7">
        <v>1.5</v>
      </c>
      <c r="H7">
        <v>0</v>
      </c>
      <c r="I7">
        <v>0</v>
      </c>
      <c r="J7" t="s">
        <v>961</v>
      </c>
    </row>
    <row r="8" spans="1:12" x14ac:dyDescent="0.3">
      <c r="A8">
        <v>1600</v>
      </c>
      <c r="B8">
        <v>0</v>
      </c>
      <c r="C8">
        <v>0</v>
      </c>
      <c r="D8">
        <v>1599.56</v>
      </c>
      <c r="E8">
        <v>12.88</v>
      </c>
      <c r="F8">
        <v>2.27</v>
      </c>
      <c r="G8">
        <v>0</v>
      </c>
      <c r="H8">
        <v>0</v>
      </c>
      <c r="I8">
        <v>0</v>
      </c>
      <c r="J8" t="s">
        <v>962</v>
      </c>
      <c r="K8" t="s">
        <v>732</v>
      </c>
    </row>
    <row r="9" spans="1:12" x14ac:dyDescent="0.3">
      <c r="A9">
        <v>1807.13</v>
      </c>
      <c r="B9">
        <v>27.62</v>
      </c>
      <c r="C9">
        <v>20.18</v>
      </c>
      <c r="D9">
        <v>1798.76</v>
      </c>
      <c r="E9">
        <v>58.84</v>
      </c>
      <c r="F9">
        <v>19.16</v>
      </c>
      <c r="G9">
        <v>4</v>
      </c>
      <c r="H9">
        <v>0</v>
      </c>
      <c r="I9">
        <v>0</v>
      </c>
      <c r="J9" t="s">
        <v>963</v>
      </c>
      <c r="K9" t="s">
        <v>739</v>
      </c>
    </row>
    <row r="10" spans="1:12" x14ac:dyDescent="0.3">
      <c r="A10">
        <v>2435.25</v>
      </c>
      <c r="B10">
        <v>27.62</v>
      </c>
      <c r="C10">
        <v>20.18</v>
      </c>
      <c r="D10">
        <v>2355.31</v>
      </c>
      <c r="E10">
        <v>332.14</v>
      </c>
      <c r="F10">
        <v>119.61</v>
      </c>
      <c r="G10">
        <v>0</v>
      </c>
      <c r="H10">
        <v>0</v>
      </c>
      <c r="I10">
        <v>0</v>
      </c>
      <c r="J10" t="s">
        <v>964</v>
      </c>
      <c r="K10" t="s">
        <v>965</v>
      </c>
    </row>
    <row r="11" spans="1:12" x14ac:dyDescent="0.3">
      <c r="A11">
        <v>2821.17</v>
      </c>
      <c r="B11">
        <v>37.35</v>
      </c>
      <c r="C11">
        <v>148.08000000000001</v>
      </c>
      <c r="D11">
        <v>2710.4</v>
      </c>
      <c r="E11">
        <v>315.27</v>
      </c>
      <c r="F11">
        <v>221.15</v>
      </c>
      <c r="G11">
        <v>4.5</v>
      </c>
      <c r="H11">
        <v>0</v>
      </c>
      <c r="I11">
        <v>0</v>
      </c>
      <c r="J11" t="s">
        <v>966</v>
      </c>
      <c r="K11" t="s">
        <v>967</v>
      </c>
    </row>
    <row r="12" spans="1:12" x14ac:dyDescent="0.3">
      <c r="A12">
        <v>2836.17</v>
      </c>
      <c r="B12">
        <v>37.35</v>
      </c>
      <c r="C12">
        <v>148.08000000000001</v>
      </c>
      <c r="D12">
        <v>2722.33</v>
      </c>
      <c r="E12">
        <v>307.54000000000002</v>
      </c>
      <c r="F12">
        <v>225.96</v>
      </c>
      <c r="G12">
        <v>0</v>
      </c>
      <c r="H12">
        <v>0</v>
      </c>
      <c r="I12">
        <v>0</v>
      </c>
      <c r="J12" t="s">
        <v>968</v>
      </c>
    </row>
    <row r="13" spans="1:12" x14ac:dyDescent="0.3">
      <c r="A13">
        <v>2866.17</v>
      </c>
      <c r="B13">
        <v>37.35</v>
      </c>
      <c r="C13">
        <v>148.08000000000001</v>
      </c>
      <c r="D13">
        <v>2746.17</v>
      </c>
      <c r="E13">
        <v>292.08999999999997</v>
      </c>
      <c r="F13">
        <v>235.59</v>
      </c>
      <c r="G13">
        <v>0</v>
      </c>
      <c r="H13">
        <v>0</v>
      </c>
      <c r="I13">
        <v>0</v>
      </c>
      <c r="J13" t="s">
        <v>969</v>
      </c>
    </row>
    <row r="14" spans="1:12" x14ac:dyDescent="0.3">
      <c r="A14">
        <v>3217.37</v>
      </c>
      <c r="B14">
        <v>90.03</v>
      </c>
      <c r="C14">
        <v>148.08000000000001</v>
      </c>
      <c r="D14">
        <v>2896.4</v>
      </c>
      <c r="E14">
        <v>34.19</v>
      </c>
      <c r="F14">
        <v>396.26</v>
      </c>
      <c r="G14">
        <v>4.5</v>
      </c>
      <c r="H14">
        <v>0</v>
      </c>
      <c r="I14">
        <v>0</v>
      </c>
      <c r="J14" t="s">
        <v>970</v>
      </c>
      <c r="K14" t="s">
        <v>740</v>
      </c>
    </row>
    <row r="15" spans="1:12" x14ac:dyDescent="0.3">
      <c r="A15">
        <v>6704.23</v>
      </c>
      <c r="B15">
        <v>90.03</v>
      </c>
      <c r="C15">
        <v>148.08000000000001</v>
      </c>
      <c r="D15">
        <v>2894.4</v>
      </c>
      <c r="E15">
        <v>-2925.27</v>
      </c>
      <c r="F15">
        <v>2240.1</v>
      </c>
      <c r="G15">
        <v>0</v>
      </c>
      <c r="H15">
        <v>0</v>
      </c>
      <c r="I15">
        <v>0</v>
      </c>
      <c r="J15" t="s">
        <v>971</v>
      </c>
      <c r="K15" t="s">
        <v>972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 onLoad="Ribbon_OnLoad">
  <ribbon>
    <tabs>
      <tab idMso="TabHome">
        <group id="grpPipeTallyHome" label="Pipe Tally" insertAfterMso="GroupClipboard">
          <button id="btnOpenPipeTallyHome" label="PipeTally Calculator" size="large" onAction="RibbonShowPipeTally"/>
        </group>
      </tab>
      <tab id="tabPipeTally" label="PipeTally Calculator">
        <group id="grpPipeTally" label="Pipe Tally">
          <button id="btnOpenPipeTally" label="Open Calculator" size="large" onAction="RibbonShowPipeTally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E26877D440CB4487550B715C5D5B7D" ma:contentTypeVersion="4" ma:contentTypeDescription="Create a new document." ma:contentTypeScope="" ma:versionID="74218683c33ca2624220ed993d049d27">
  <xsd:schema xmlns:xsd="http://www.w3.org/2001/XMLSchema" xmlns:xs="http://www.w3.org/2001/XMLSchema" xmlns:p="http://schemas.microsoft.com/office/2006/metadata/properties" xmlns:ns2="e87a63a4-823e-4bb4-b1bb-d122b4a6e3dd" targetNamespace="http://schemas.microsoft.com/office/2006/metadata/properties" ma:root="true" ma:fieldsID="b880d405baaa8aaea4d885d22bebc093" ns2:_="">
    <xsd:import namespace="e87a63a4-823e-4bb4-b1bb-d122b4a6e3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a63a4-823e-4bb4-b1bb-d122b4a6e3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4ED554A-8C75-40A6-9B73-3F4477548C5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0B2EA9D-9E36-45FA-ACA3-B163E3E9BA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87a63a4-823e-4bb4-b1bb-d122b4a6e3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4FFC343-4FF2-4E34-B07A-9DFCA8F0E0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</vt:i4>
      </vt:variant>
    </vt:vector>
  </HeadingPairs>
  <TitlesOfParts>
    <vt:vector size="23" baseType="lpstr">
      <vt:lpstr>Setup</vt:lpstr>
      <vt:lpstr>Costs</vt:lpstr>
      <vt:lpstr>Data</vt:lpstr>
      <vt:lpstr>Slidesheet</vt:lpstr>
      <vt:lpstr>Pipe Tally Calculator</vt:lpstr>
      <vt:lpstr>DD Tools</vt:lpstr>
      <vt:lpstr>Sidetrack Points</vt:lpstr>
      <vt:lpstr>Sidetrack</vt:lpstr>
      <vt:lpstr>'DD Tools'!DD_CumulRow</vt:lpstr>
      <vt:lpstr>'DD Tools'!DD_RawBHASummary</vt:lpstr>
      <vt:lpstr>Setup!OC_CrewBot</vt:lpstr>
      <vt:lpstr>Setup!OC_CrewTop</vt:lpstr>
      <vt:lpstr>Setup!OC_ImpAcRow</vt:lpstr>
      <vt:lpstr>Setup!OC_ImpPlanRow</vt:lpstr>
      <vt:lpstr>Data!Print_Area</vt:lpstr>
      <vt:lpstr>Sidetrack!Print_Area</vt:lpstr>
      <vt:lpstr>'Sidetrack Points'!Print_Area</vt:lpstr>
      <vt:lpstr>Slidesheet!Print_Area</vt:lpstr>
      <vt:lpstr>Slidesheet!Print_Titles</vt:lpstr>
      <vt:lpstr>ProjTargets_AZM</vt:lpstr>
      <vt:lpstr>ProjTargets_INC</vt:lpstr>
      <vt:lpstr>ProjTargets_MD</vt:lpstr>
      <vt:lpstr>ProjTargets_TVD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Bruno Brottes</dc:creator>
  <cp:keywords/>
  <dc:description/>
  <cp:lastModifiedBy>Bruno Brottes</cp:lastModifiedBy>
  <cp:revision/>
  <cp:lastPrinted>2026-07-23T06:39:14Z</cp:lastPrinted>
  <dcterms:created xsi:type="dcterms:W3CDTF">2023-05-06T07:23:58Z</dcterms:created>
  <dcterms:modified xsi:type="dcterms:W3CDTF">2026-08-29T06:46:17Z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0x01010089E26877D440CB4487550B715C5D5B7D</vt:lpwstr>
  </property>
</Properties>
</file>