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persons/person.xml" ContentType="application/vnd.ms-excel.perso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readedComments/threadedComment1.xml" ContentType="application/vnd.ms-excel.threadedcomments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comments1.xml" ContentType="application/vnd.openxmlformats-officedocument.spreadsheetml.comments+xml"/>
  <Override PartName="/xl/theme/theme1.xml" ContentType="application/vnd.openxmlformats-officedocument.them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whatif" sheetId="1" state="visible" r:id="rId2"/>
    <sheet name="Overview" sheetId="2" state="visible" r:id="rId3"/>
    <sheet name="TFT Price Simulation" sheetId="3" state="visible" r:id="rId4"/>
    <sheet name="params" sheetId="4" state="visible" r:id="rId5"/>
  </sheets>
  <definedNames>
    <definedName name="tft_avail_2">#REF!</definedName>
    <definedName name="tft_avail_1">#REF!</definedName>
    <definedName name="inca_tft_gen">params!$C$36</definedName>
    <definedName name="reward">params!$C$20</definedName>
    <definedName name="tftstart">params!$C$4</definedName>
    <definedName name="offsetusd">params!$C$33</definedName>
    <definedName name="sales_node">params!$C$26</definedName>
    <definedName name="ngrowth1">'TFT Price Simulation'!$D$4</definedName>
    <definedName name="capacity_growth">params!$C$17</definedName>
    <definedName name="ngrowt2">'TFT Price Simulation'!$D$5</definedName>
    <definedName name="tftend">'TFT Price Simulation'!$D$3</definedName>
    <definedName name="reward_lowers">params!$C$18</definedName>
  </definedNames>
  <calcPr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tc={000F001E-00E1-46C6-B31F-003E002700F6}</author>
    <author>tc={0057001F-00C0-4E15-BD15-003A008200BF}</author>
    <author>tc={007E0020-003D-44B8-805F-00CD00BD00C8}</author>
    <author>tc={0060003E-00BD-479E-AB79-0003007C00DD}</author>
    <author>tc={00320008-0067-4BF6-9D6E-0026003200B3}</author>
  </authors>
  <commentList>
    <comment ref="B30" authorId="0" xr:uid="{000F001E-00E1-46C6-B31F-003E002700F6}">
      <text>
        <r>
          <rPr>
            <b/>
            <sz val="9"/>
            <rFont val="Tahoma"/>
          </rPr>
          <t>Comment:</t>
        </r>
        <r>
          <rPr>
            <sz val="9"/>
            <rFont val="Tahoma"/>
          </rPr>
          <t xml:space="preserve">
this calculates the accumulation of the farming per batch per 6 months,
farming = minting of TFT
tft is result of nodes being added
</t>
        </r>
      </text>
    </comment>
    <comment ref="D30" authorId="1" xr:uid="{0057001F-00C0-4E15-BD15-003A008200BF}">
      <text>
        <r>
          <rPr>
            <b/>
            <sz val="9"/>
            <rFont val="Tahoma"/>
          </rPr>
          <t>Comment:</t>
        </r>
        <r>
          <rPr>
            <sz val="9"/>
            <rFont val="Tahoma"/>
          </rPr>
          <t xml:space="preserve">
this is the current state at which we add
</t>
        </r>
      </text>
    </comment>
    <comment ref="C31" authorId="2" xr:uid="{007E0020-003D-44B8-805F-00CD00BD00C8}">
      <text>
        <r>
          <rPr>
            <b/>
            <sz val="9"/>
            <rFont val="Tahoma"/>
          </rPr>
          <t>Comment:</t>
        </r>
        <r>
          <rPr>
            <sz val="9"/>
            <rFont val="Tahoma"/>
          </rPr>
          <t xml:space="preserve">
is the nr of the half year
</t>
        </r>
      </text>
    </comment>
    <comment ref="C57" authorId="3" xr:uid="{0060003E-00BD-479E-AB79-0003007C00DD}">
      <text>
        <r>
          <rPr>
            <b/>
            <sz val="9"/>
            <rFont val="Tahoma"/>
          </rPr>
          <t>Comment:</t>
        </r>
        <r>
          <rPr>
            <sz val="9"/>
            <rFont val="Tahoma"/>
          </rPr>
          <t xml:space="preserve">
starting amount of TFT for this simulation
</t>
        </r>
      </text>
    </comment>
    <comment ref="F100" authorId="4" xr:uid="{00320008-0067-4BF6-9D6E-0026003200B3}">
      <text>
        <r>
          <rPr>
            <b/>
            <sz val="9"/>
            <rFont val="Tahoma"/>
          </rPr>
          <t>Comment:</t>
        </r>
        <r>
          <rPr>
            <sz val="9"/>
            <rFont val="Tahoma"/>
          </rPr>
          <t xml:space="preserve">
means, X% of all capacity revenue will go through executors
</t>
        </r>
      </text>
    </comment>
  </commentList>
</comments>
</file>

<file path=xl/sharedStrings.xml><?xml version="1.0" encoding="utf-8"?>
<sst xmlns="http://schemas.openxmlformats.org/spreadsheetml/2006/main" count="163" uniqueCount="163">
  <si>
    <t xml:space="preserve">WHATIF SIMULATION</t>
  </si>
  <si>
    <t xml:space="preserve">TFT SIMULATION</t>
  </si>
  <si>
    <t xml:space="preserve">SIM A</t>
  </si>
  <si>
    <t xml:space="preserve">SIM B</t>
  </si>
  <si>
    <t xml:space="preserve">SIM C</t>
  </si>
  <si>
    <t xml:space="preserve">SIM D</t>
  </si>
  <si>
    <t xml:space="preserve">SIM E</t>
  </si>
  <si>
    <t xml:space="preserve">nr nodes</t>
  </si>
  <si>
    <t xml:space="preserve">TFT Price, Y8</t>
  </si>
  <si>
    <t xml:space="preserve">Utilization of grid (by Y8, increases over time)</t>
  </si>
  <si>
    <t xml:space="preserve">Total Grid Revenue, Y8</t>
  </si>
  <si>
    <t xml:space="preserve">% marketshare (if 1 trillion market)</t>
  </si>
  <si>
    <t xml:space="preserve">Revenue per L2 Validator per year, Y8</t>
  </si>
  <si>
    <t xml:space="preserve">Revenue per L0 Validator per year, Y8</t>
  </si>
  <si>
    <t xml:space="preserve">TFTECH VALUATION</t>
  </si>
  <si>
    <t xml:space="preserve">Revenue for TFTech Supernodes, Y8 (USD)</t>
  </si>
  <si>
    <t xml:space="preserve">DISCLAIMER:  this is a simulation only, no promises are made in any form for the price of a TFT or return on Validator Nodes. It could be that there are mistakes in this document or related spreadsheet. This has just been provided by a ThreeFold contributor to help provide feedback on tokenomics.</t>
  </si>
  <si>
    <t xml:space="preserve">Revenue for TFTech L0 Executors, Y8 (USD)</t>
  </si>
  <si>
    <t xml:space="preserve">Revenue for TFTech License Deals Strategic (USD)</t>
  </si>
  <si>
    <t xml:space="preserve">TFTECH REVENUE, Y8 (forward looking per year)</t>
  </si>
  <si>
    <t xml:space="preserve">TFT Assets, Y8 (USD)</t>
  </si>
  <si>
    <t xml:space="preserve">FIAT Assets, Y8 (USD)</t>
  </si>
  <si>
    <t xml:space="preserve">TOTAL TFTECH ASSETS</t>
  </si>
  <si>
    <t xml:space="preserve">TFTech valulation if 10x recurring rev + assets</t>
  </si>
  <si>
    <t xml:space="preserve">TFTech valulation if 20x recurring rev + assets</t>
  </si>
  <si>
    <t xml:space="preserve">PARAMETERS USED</t>
  </si>
  <si>
    <t xml:space="preserve">On TFT Price Simulation Sheet</t>
  </si>
  <si>
    <t xml:space="preserve">TFT price end</t>
  </si>
  <si>
    <t xml:space="preserve">nr nodes growth_start</t>
  </si>
  <si>
    <t xml:space="preserve">nr nodes growth_end</t>
  </si>
  <si>
    <t xml:space="preserve">On TFTech CashFlow/Valuation Sheet</t>
  </si>
  <si>
    <t xml:space="preserve">Revenue TFTech License Deals Strategic Start ($million)</t>
  </si>
  <si>
    <t xml:space="preserve">growth start</t>
  </si>
  <si>
    <t xml:space="preserve">growth end</t>
  </si>
  <si>
    <r>
      <rPr>
        <b/>
        <color theme="1"/>
        <rFont val="Arial"/>
      </rPr>
      <t xml:space="preserve">IF TFT PRICE TOO LOW or TOO HIGH NEXT CELL IS RED, 
</t>
    </r>
    <r>
      <rPr>
        <b val="false"/>
        <color theme="1"/>
        <rFont val="Arial"/>
      </rPr>
      <t xml:space="preserve">see below, nr of TFT available need to be between 0 and 50</t>
    </r>
  </si>
  <si>
    <t xml:space="preserve">nr of TFT available for people to buy capacity with  (Y8 in million)</t>
  </si>
  <si>
    <t xml:space="preserve">TFT PRICE SIMULATION</t>
  </si>
  <si>
    <t>FY1</t>
  </si>
  <si>
    <t>FY2</t>
  </si>
  <si>
    <t>FY3</t>
  </si>
  <si>
    <t>FY4</t>
  </si>
  <si>
    <t>FY5</t>
  </si>
  <si>
    <t>FY6</t>
  </si>
  <si>
    <t>FY7</t>
  </si>
  <si>
    <t>FY8</t>
  </si>
  <si>
    <t xml:space="preserve">Size of Grids (#nodes)</t>
  </si>
  <si>
    <t xml:space="preserve">% Utilization (year end)</t>
  </si>
  <si>
    <t xml:space="preserve">TFT PRICE (end of period)</t>
  </si>
  <si>
    <t xml:space="preserve">TFT SUPPLY </t>
  </si>
  <si>
    <t xml:space="preserve">Existing Supply</t>
  </si>
  <si>
    <t xml:space="preserve">New Minted Supply</t>
  </si>
  <si>
    <t xml:space="preserve">LESS Burning 35%</t>
  </si>
  <si>
    <t xml:space="preserve">TFT DEMAND</t>
  </si>
  <si>
    <t xml:space="preserve">LESS: TFT Staking for discount</t>
  </si>
  <si>
    <t xml:space="preserve">LESS: TFT Staking pools L2</t>
  </si>
  <si>
    <t xml:space="preserve">LESS: TFT Staking pools L0</t>
  </si>
  <si>
    <t xml:space="preserve">LESS: TFT Hoarding (savings)</t>
  </si>
  <si>
    <t xml:space="preserve">TFT needed for cultivation</t>
  </si>
  <si>
    <t xml:space="preserve">TFT SURPLUS/SHORTFALL</t>
  </si>
  <si>
    <t xml:space="preserve">TFT PRICE END</t>
  </si>
  <si>
    <t>USD</t>
  </si>
  <si>
    <t xml:space="preserve">play with this number, needs to be high enough not to have red cells in growth sheet</t>
  </si>
  <si>
    <t xml:space="preserve">nr nodes growth start</t>
  </si>
  <si>
    <t xml:space="preserve">nr nodes growth end</t>
  </si>
  <si>
    <t xml:space="preserve"> </t>
  </si>
  <si>
    <t xml:space="preserve">Half Year (nr of the half year, goes to year 8)</t>
  </si>
  <si>
    <t xml:space="preserve">TFT Price</t>
  </si>
  <si>
    <t xml:space="preserve">GRID GROWTH</t>
  </si>
  <si>
    <t xml:space="preserve">Nodes growth</t>
  </si>
  <si>
    <t xml:space="preserve">Nr Nodes (normalized avg node)</t>
  </si>
  <si>
    <t xml:space="preserve">Nr Nodes New Per Half Year</t>
  </si>
  <si>
    <t xml:space="preserve">tf grid size</t>
  </si>
  <si>
    <t>CU</t>
  </si>
  <si>
    <t>SU</t>
  </si>
  <si>
    <t>NU</t>
  </si>
  <si>
    <t xml:space="preserve">tf grid total rev</t>
  </si>
  <si>
    <t xml:space="preserve">carbon offset fee in TFT needed (estimate)</t>
  </si>
  <si>
    <t xml:space="preserve">reward half year in TFT for all new nodes</t>
  </si>
  <si>
    <t xml:space="preserve">nr of TFT newly minted (includes carbon offset)</t>
  </si>
  <si>
    <t xml:space="preserve">% utilization (amount of capacity used per node)</t>
  </si>
  <si>
    <t xml:space="preserve">Capacity Utilization in TFT</t>
  </si>
  <si>
    <t xml:space="preserve">Added Value in TFT (services, software on top of TFGrid)</t>
  </si>
  <si>
    <t xml:space="preserve">Total Utilization in TFT</t>
  </si>
  <si>
    <t xml:space="preserve">TFT burned (35%)</t>
  </si>
  <si>
    <t xml:space="preserve">TFT total in million</t>
  </si>
  <si>
    <t xml:space="preserve">TOKENS NOT AVAILABLE FOR BUYING CAPACITY (SCARCITY)</t>
  </si>
  <si>
    <t xml:space="preserve">Half Year</t>
  </si>
  <si>
    <t xml:space="preserve">nr months people pre-buy for discount</t>
  </si>
  <si>
    <t xml:space="preserve">nr TFT required for discount in million</t>
  </si>
  <si>
    <t xml:space="preserve">% staked (L2 validators) (of maximum in validators)</t>
  </si>
  <si>
    <t xml:space="preserve">nr TFT required for staking in million (Layer 2)</t>
  </si>
  <si>
    <t xml:space="preserve">% staked (L0 validators) (of maximum in validators)</t>
  </si>
  <si>
    <t xml:space="preserve">nr TFT required for staking in million (Layer 0)</t>
  </si>
  <si>
    <t xml:space="preserve">% hoarded (savings,speculation)</t>
  </si>
  <si>
    <t xml:space="preserve">nr TFT required for hording</t>
  </si>
  <si>
    <t xml:space="preserve">TFT required for Utilization</t>
  </si>
  <si>
    <t xml:space="preserve">TFT available for Utilization</t>
  </si>
  <si>
    <t xml:space="preserve">TFT buffer (if &lt; 0, then not enough TFT to do Utilization)</t>
  </si>
  <si>
    <t xml:space="preserve">TFGrid rev in million USD per half year</t>
  </si>
  <si>
    <t xml:space="preserve">TFGrid rev in million USD per year forward looking</t>
  </si>
  <si>
    <t xml:space="preserve">L2 VALIDATOR NODES SIMULATION</t>
  </si>
  <si>
    <t xml:space="preserve">max amount of nodes = 100</t>
  </si>
  <si>
    <t xml:space="preserve">max 1 validator nodes per person/company</t>
  </si>
  <si>
    <t xml:space="preserve">Cost to get 1 Validator Node (in USD)</t>
  </si>
  <si>
    <t>estimate</t>
  </si>
  <si>
    <t xml:space="preserve">Min TFT per node (non delegated)</t>
  </si>
  <si>
    <t xml:space="preserve">Min TFT per node for participation (can be delegated)</t>
  </si>
  <si>
    <t xml:space="preserve">Max TFT per node</t>
  </si>
  <si>
    <t xml:space="preserve">USD reward per validator per year (5% of grid), 
we ignore transaction fees, in reality will be higher</t>
  </si>
  <si>
    <t xml:space="preserve">L0 VALIDATOR NODES SIMULATION</t>
  </si>
  <si>
    <t xml:space="preserve">Cost to get 1 Staking Node (in USD)</t>
  </si>
  <si>
    <t xml:space="preserve">Avg revenue for L0 executors in % of TFGrid revenue</t>
  </si>
  <si>
    <t xml:space="preserve">Min TFT per node</t>
  </si>
  <si>
    <t xml:space="preserve">Nr of Validators L0</t>
  </si>
  <si>
    <t xml:space="preserve">USD reward per validator per year (10% of executor rev)
we ignore transaction fees, in reality will be higher</t>
  </si>
  <si>
    <t xml:space="preserve">Document with more info see:</t>
  </si>
  <si>
    <t>https://threefold.docsend.com/view/969n37et9fd3rr9v</t>
  </si>
  <si>
    <t xml:space="preserve">DISCLAIMER:  this is a simulation only, no promises are made in any form for the price of a TFT or Validator Income.</t>
  </si>
  <si>
    <t xml:space="preserve">We are a decentralized environment we invite everyone to change &amp; verify this calculator. </t>
  </si>
  <si>
    <r>
      <rPr/>
      <t xml:space="preserve">See this forum: </t>
    </r>
    <r>
      <rPr>
        <u val="single"/>
        <color rgb="FF1155CC"/>
      </rPr>
      <t>https://forum.threefold.io/t/tft-tfgrid-growth-simulation/1633</t>
    </r>
    <r>
      <rPr/>
      <t xml:space="preserve"> </t>
    </r>
  </si>
  <si>
    <t>PARAMS</t>
  </si>
  <si>
    <t xml:space="preserve">TFT start price</t>
  </si>
  <si>
    <t xml:space="preserve">Node Params</t>
  </si>
  <si>
    <t xml:space="preserve">nr CU</t>
  </si>
  <si>
    <t xml:space="preserve">nr SU</t>
  </si>
  <si>
    <t xml:space="preserve">nr NU</t>
  </si>
  <si>
    <t xml:space="preserve">TFT reward Per Unit</t>
  </si>
  <si>
    <t xml:space="preserve">reward per CU</t>
  </si>
  <si>
    <t xml:space="preserve">reward per SU</t>
  </si>
  <si>
    <t xml:space="preserve">reward per NU</t>
  </si>
  <si>
    <t xml:space="preserve">growth in capacity</t>
  </si>
  <si>
    <t xml:space="preserve">if growth &amp; reward move in same way then the result reward in USD per node is same</t>
  </si>
  <si>
    <t xml:space="preserve">reward lowers in %</t>
  </si>
  <si>
    <t xml:space="preserve">param not used because we believe it will go up and down in same percentage</t>
  </si>
  <si>
    <t xml:space="preserve">reward per node in USD per month</t>
  </si>
  <si>
    <t xml:space="preserve">sales price per CU (Utilization)</t>
  </si>
  <si>
    <t xml:space="preserve">sales is also called utilization</t>
  </si>
  <si>
    <t xml:space="preserve">sales price per SU</t>
  </si>
  <si>
    <t xml:space="preserve">sales price per NU</t>
  </si>
  <si>
    <t xml:space="preserve">Utilization per Node (per month) = sales</t>
  </si>
  <si>
    <t xml:space="preserve">carbon negative calculation</t>
  </si>
  <si>
    <t xml:space="preserve">power per node</t>
  </si>
  <si>
    <t>watt</t>
  </si>
  <si>
    <t xml:space="preserve">carbon in kg per kwatthour</t>
  </si>
  <si>
    <t>kg</t>
  </si>
  <si>
    <t xml:space="preserve">see this arcticle</t>
  </si>
  <si>
    <t xml:space="preserve">carbon in ton per year per node</t>
  </si>
  <si>
    <t>ton</t>
  </si>
  <si>
    <t xml:space="preserve">avg price per ton</t>
  </si>
  <si>
    <t xml:space="preserve">USD to offset per year per node (if 3x)</t>
  </si>
  <si>
    <t xml:space="preserve">tf grid growth</t>
  </si>
  <si>
    <t xml:space="preserve">INCA, avg TFT generation per USD invested </t>
  </si>
  <si>
    <t xml:space="preserve">TFT per USD</t>
  </si>
  <si>
    <r>
      <rPr/>
      <t xml:space="preserve">Source: </t>
    </r>
    <r>
      <rPr>
        <u val="single"/>
        <color rgb="FF1155CC"/>
      </rPr>
      <t>https://library.threefold.me/info/threefold#/tfgrid/farming/threefold__staking_discount_levels</t>
    </r>
  </si>
  <si>
    <t>Type</t>
  </si>
  <si>
    <t xml:space="preserve">Pricing Level</t>
  </si>
  <si>
    <t xml:space="preserve">Min No of Months</t>
  </si>
  <si>
    <t xml:space="preserve">Max No. of Months</t>
  </si>
  <si>
    <t xml:space="preserve">no staking</t>
  </si>
  <si>
    <t>default</t>
  </si>
  <si>
    <t>bronze</t>
  </si>
  <si>
    <t>silver</t>
  </si>
  <si>
    <t>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</si>
</sst>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0" formatCode="&quot;$&quot;#,##0.0"/>
    <numFmt numFmtId="161" formatCode="[$$]#,##0"/>
    <numFmt numFmtId="162" formatCode="0.0"/>
    <numFmt numFmtId="163" formatCode="[$$]#,##0.0"/>
    <numFmt numFmtId="164" formatCode="&quot;$&quot;#,##0.00"/>
    <numFmt numFmtId="165" formatCode="_(&quot;$&quot;* #,##0.00_);_(&quot;$&quot;* \(#,##0.00\);_(&quot;$&quot;* &quot;-&quot;??_);_(@_)"/>
  </numFmts>
  <fonts count="45">
    <font>
      <name val="Arial"/>
      <color indexed="64"/>
      <sz val="10.000000"/>
      <scheme val="minor"/>
    </font>
    <font>
      <name val="Arial"/>
      <b/>
      <color theme="1"/>
      <sz val="14.000000"/>
      <scheme val="minor"/>
    </font>
    <font>
      <name val="Arial"/>
      <b/>
      <color theme="1"/>
      <scheme val="minor"/>
    </font>
    <font>
      <name val="Arial"/>
      <b/>
      <color indexed="65"/>
      <sz val="9.000000"/>
      <scheme val="minor"/>
    </font>
    <font>
      <name val="Arial"/>
      <color theme="1"/>
      <scheme val="minor"/>
    </font>
    <font>
      <name val="Arial"/>
      <b/>
      <color theme="0"/>
      <sz val="9.000000"/>
      <scheme val="minor"/>
    </font>
    <font>
      <name val="Arial"/>
      <color theme="1"/>
      <sz val="9.000000"/>
      <scheme val="minor"/>
    </font>
    <font>
      <name val="Arial"/>
      <color rgb="FF4285F4"/>
      <sz val="9.000000"/>
      <scheme val="minor"/>
    </font>
    <font>
      <name val="Arial"/>
      <color theme="4"/>
      <sz val="9.000000"/>
      <scheme val="minor"/>
    </font>
    <font>
      <name val="Arial"/>
      <color indexed="2"/>
      <sz val="11.000000"/>
    </font>
    <font>
      <name val="Arial"/>
      <b/>
      <color theme="1"/>
      <sz val="9.000000"/>
      <scheme val="minor"/>
    </font>
    <font>
      <name val="Arial"/>
      <color indexed="65"/>
      <sz val="9.000000"/>
      <scheme val="minor"/>
    </font>
    <font>
      <name val="Arial"/>
      <b/>
      <color rgb="FF666666"/>
      <scheme val="minor"/>
    </font>
    <font>
      <name val="Arial"/>
      <color rgb="FF666666"/>
      <scheme val="minor"/>
    </font>
    <font>
      <name val="Arial"/>
      <b/>
      <color indexed="2"/>
      <scheme val="minor"/>
    </font>
    <font>
      <name val="Arial"/>
      <color indexed="2"/>
      <scheme val="minor"/>
    </font>
    <font>
      <name val="Arial"/>
      <color theme="0"/>
      <scheme val="minor"/>
    </font>
    <font/>
    <font>
      <name val="Arial"/>
      <b/>
      <color theme="0"/>
      <scheme val="minor"/>
    </font>
    <font>
      <name val="Arial"/>
      <color theme="1"/>
    </font>
    <font>
      <name val="Lato"/>
      <b/>
      <color indexed="65"/>
      <sz val="9.000000"/>
    </font>
    <font>
      <name val="Arial"/>
      <color theme="1"/>
      <sz val="9.000000"/>
    </font>
    <font>
      <name val="Lato"/>
      <color theme="1"/>
      <sz val="9.000000"/>
    </font>
    <font>
      <name val="Lato"/>
      <b/>
      <color theme="1"/>
      <sz val="9.000000"/>
    </font>
    <font>
      <name val="Arial"/>
      <color indexed="65"/>
      <sz val="9.000000"/>
    </font>
    <font>
      <name val="Lato"/>
      <b/>
      <color theme="0"/>
      <sz val="9.000000"/>
    </font>
    <font>
      <name val="Arial"/>
      <color theme="1"/>
      <u/>
      <scheme val="minor"/>
    </font>
    <font>
      <name val="Arial"/>
      <b/>
      <color rgb="FFEA4335"/>
      <scheme val="minor"/>
    </font>
    <font>
      <name val="Arial"/>
      <color rgb="FF6AA84F"/>
      <scheme val="minor"/>
    </font>
    <font>
      <name val="Arial"/>
      <color rgb="FFFF6D01"/>
      <scheme val="minor"/>
    </font>
    <font>
      <name val="Arial"/>
      <color theme="8"/>
      <scheme val="minor"/>
    </font>
    <font>
      <name val="Arial"/>
      <color theme="5"/>
      <scheme val="minor"/>
    </font>
    <font>
      <name val="Arial"/>
      <b/>
      <color indexed="65"/>
      <scheme val="minor"/>
    </font>
    <font>
      <name val="Arial"/>
      <b/>
      <color rgb="FFFF6D01"/>
      <scheme val="minor"/>
    </font>
    <font>
      <name val="Arial"/>
      <i/>
      <color theme="1"/>
      <scheme val="minor"/>
    </font>
    <font>
      <name val="Arial"/>
      <color rgb="FFEA4335"/>
      <scheme val="minor"/>
    </font>
    <font>
      <color indexed="4"/>
      <u/>
    </font>
    <font>
      <name val="Inconsolata"/>
      <color indexed="64"/>
      <sz val="11.000000"/>
      <u/>
    </font>
    <font>
      <name val="Calibri"/>
      <b/>
      <color theme="1"/>
      <sz val="11.000000"/>
    </font>
    <font>
      <name val="Calibri"/>
      <color theme="1"/>
      <sz val="11.000000"/>
    </font>
    <font>
      <name val="Calibri"/>
      <color rgb="FF385623"/>
      <sz val="11.000000"/>
    </font>
    <font>
      <color rgb="FF1155CC"/>
      <u/>
    </font>
    <font>
      <name val="Arial"/>
      <b/>
      <color rgb="FF4D4D4D"/>
    </font>
    <font>
      <name val="-apple-system"/>
      <color rgb="FF4D4D4D"/>
    </font>
    <font>
      <name val="Arial"/>
      <color rgb="FF4D4D4D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38761D"/>
        <bgColor rgb="FF38761D"/>
      </patternFill>
    </fill>
    <fill>
      <patternFill patternType="solid">
        <fgColor rgb="FF4A86E8"/>
        <bgColor rgb="FF4A86E8"/>
      </patternFill>
    </fill>
    <fill>
      <patternFill patternType="solid">
        <fgColor rgb="FF6AA84F"/>
        <bgColor rgb="FF6AA84F"/>
      </patternFill>
    </fill>
    <fill>
      <patternFill patternType="solid">
        <fgColor indexed="2"/>
        <bgColor indexed="2"/>
      </patternFill>
    </fill>
    <fill>
      <patternFill patternType="solid">
        <fgColor theme="0"/>
        <bgColor theme="0"/>
      </patternFill>
    </fill>
    <fill>
      <patternFill patternType="solid">
        <fgColor rgb="FF999999"/>
        <bgColor rgb="FF999999"/>
      </patternFill>
    </fill>
    <fill>
      <patternFill patternType="solid">
        <fgColor indexed="65"/>
        <bgColor indexed="65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fontId="0" fillId="0" borderId="0" numFmtId="0" applyNumberFormat="1" applyFont="1" applyFill="1" applyBorder="1"/>
  </cellStyleXfs>
  <cellXfs count="135">
    <xf fontId="0" fillId="0" borderId="0" numFmtId="0" xfId="0"/>
    <xf fontId="1" fillId="0" borderId="0" numFmtId="0" xfId="0" applyFont="1"/>
    <xf fontId="2" fillId="0" borderId="0" numFmtId="0" xfId="0" applyFont="1" applyAlignment="1">
      <alignment horizontal="right"/>
    </xf>
    <xf fontId="3" fillId="2" borderId="0" numFmtId="0" xfId="0" applyFont="1" applyFill="1"/>
    <xf fontId="3" fillId="2" borderId="0" numFmtId="0" xfId="0" applyFont="1" applyFill="1" applyAlignment="1">
      <alignment horizontal="right"/>
    </xf>
    <xf fontId="3" fillId="2" borderId="0" numFmtId="3" xfId="0" applyNumberFormat="1" applyFont="1" applyFill="1" applyAlignment="1">
      <alignment horizontal="right"/>
    </xf>
    <xf fontId="4" fillId="0" borderId="0" numFmtId="3" xfId="0" applyNumberFormat="1" applyFont="1"/>
    <xf fontId="5" fillId="0" borderId="0" numFmtId="0" xfId="0" applyFont="1"/>
    <xf fontId="5" fillId="0" borderId="0" numFmtId="0" xfId="0" applyFont="1" applyAlignment="1">
      <alignment horizontal="right"/>
    </xf>
    <xf fontId="5" fillId="0" borderId="0" numFmtId="3" xfId="0" applyNumberFormat="1" applyFont="1" applyAlignment="1">
      <alignment horizontal="right"/>
    </xf>
    <xf fontId="4" fillId="0" borderId="0" numFmtId="0" xfId="0" applyFont="1"/>
    <xf fontId="6" fillId="0" borderId="0" numFmtId="0" xfId="0" applyFont="1"/>
    <xf fontId="6" fillId="0" borderId="0" numFmtId="3" xfId="0" applyNumberFormat="1" applyFont="1" applyAlignment="1">
      <alignment horizontal="right"/>
    </xf>
    <xf fontId="6" fillId="3" borderId="0" numFmtId="0" xfId="0" applyFont="1" applyFill="1"/>
    <xf fontId="6" fillId="3" borderId="0" numFmtId="160" xfId="0" applyNumberFormat="1" applyFont="1" applyFill="1"/>
    <xf fontId="4" fillId="0" borderId="0" numFmtId="160" xfId="0" applyNumberFormat="1" applyFont="1"/>
    <xf fontId="6" fillId="0" borderId="0" numFmtId="0" xfId="0" applyFont="1"/>
    <xf fontId="6" fillId="0" borderId="0" numFmtId="9" xfId="0" applyNumberFormat="1" applyFont="1"/>
    <xf fontId="4" fillId="0" borderId="0" numFmtId="9" xfId="0" applyNumberFormat="1" applyFont="1"/>
    <xf fontId="6" fillId="3" borderId="0" numFmtId="161" xfId="0" applyNumberFormat="1" applyFont="1" applyFill="1"/>
    <xf fontId="4" fillId="0" borderId="0" numFmtId="161" xfId="0" applyNumberFormat="1" applyFont="1"/>
    <xf fontId="7" fillId="0" borderId="0" numFmtId="0" xfId="0" applyFont="1"/>
    <xf fontId="8" fillId="0" borderId="0" numFmtId="10" xfId="0" applyNumberFormat="1" applyFont="1"/>
    <xf fontId="6" fillId="0" borderId="0" numFmtId="161" xfId="0" applyNumberFormat="1" applyFont="1"/>
    <xf fontId="7" fillId="0" borderId="0" numFmtId="3" xfId="0" applyNumberFormat="1" applyFont="1"/>
    <xf fontId="3" fillId="2" borderId="0" numFmtId="3" xfId="0" applyNumberFormat="1" applyFont="1" applyFill="1" applyAlignment="1">
      <alignment horizontal="left"/>
    </xf>
    <xf fontId="7" fillId="0" borderId="0" numFmtId="161" xfId="0" applyNumberFormat="1" applyFont="1"/>
    <xf fontId="9" fillId="0" borderId="0" numFmtId="0" xfId="0" applyFont="1" applyAlignment="1">
      <alignment wrapText="1"/>
    </xf>
    <xf fontId="10" fillId="3" borderId="0" numFmtId="0" xfId="0" applyFont="1" applyFill="1"/>
    <xf fontId="10" fillId="3" borderId="0" numFmtId="161" xfId="0" applyNumberFormat="1" applyFont="1" applyFill="1"/>
    <xf fontId="10" fillId="3" borderId="0" numFmtId="161" xfId="0" applyNumberFormat="1" applyFont="1" applyFill="1"/>
    <xf fontId="11" fillId="2" borderId="0" numFmtId="161" xfId="0" applyNumberFormat="1" applyFont="1" applyFill="1" applyAlignment="1">
      <alignment horizontal="right"/>
    </xf>
    <xf fontId="3" fillId="0" borderId="0" numFmtId="3" xfId="0" applyNumberFormat="1" applyFont="1" applyAlignment="1">
      <alignment horizontal="left"/>
    </xf>
    <xf fontId="11" fillId="0" borderId="0" numFmtId="161" xfId="0" applyNumberFormat="1" applyFont="1" applyAlignment="1">
      <alignment horizontal="right"/>
    </xf>
    <xf fontId="2" fillId="0" borderId="0" numFmtId="0" xfId="0" applyFont="1"/>
    <xf fontId="12" fillId="4" borderId="0" numFmtId="0" xfId="0" applyFont="1" applyFill="1"/>
    <xf fontId="13" fillId="4" borderId="0" numFmtId="0" xfId="0" applyFont="1" applyFill="1"/>
    <xf fontId="14" fillId="4" borderId="0" numFmtId="0" xfId="0" applyFont="1" applyFill="1"/>
    <xf fontId="15" fillId="4" borderId="0" numFmtId="0" xfId="0" applyFont="1" applyFill="1"/>
    <xf fontId="16" fillId="4" borderId="0" numFmtId="0" xfId="0" applyFont="1" applyFill="1"/>
    <xf fontId="16" fillId="4" borderId="0" numFmtId="0" xfId="0" applyFont="1" applyFill="1"/>
    <xf fontId="10" fillId="4" borderId="0" numFmtId="3" xfId="0" applyNumberFormat="1" applyFont="1" applyFill="1" applyAlignment="1">
      <alignment horizontal="right"/>
    </xf>
    <xf fontId="13" fillId="4" borderId="0" numFmtId="0" xfId="0" applyFont="1" applyFill="1"/>
    <xf fontId="15" fillId="4" borderId="0" numFmtId="2" xfId="0" applyNumberFormat="1" applyFont="1" applyFill="1"/>
    <xf fontId="12" fillId="4" borderId="0" numFmtId="9" xfId="0" applyNumberFormat="1" applyFont="1" applyFill="1"/>
    <xf fontId="15" fillId="4" borderId="0" numFmtId="9" xfId="0" applyNumberFormat="1" applyFont="1" applyFill="1"/>
    <xf fontId="12" fillId="4" borderId="0" numFmtId="0" xfId="0" applyFont="1" applyFill="1"/>
    <xf fontId="15" fillId="4" borderId="0" numFmtId="0" xfId="0" applyFont="1" applyFill="1"/>
    <xf fontId="2" fillId="0" borderId="1" numFmtId="0" xfId="0" applyFont="1" applyBorder="1" applyAlignment="1">
      <alignment wrapText="1"/>
    </xf>
    <xf fontId="17" fillId="0" borderId="2" numFmtId="0" xfId="0" applyFont="1" applyBorder="1"/>
    <xf fontId="18" fillId="5" borderId="2" numFmtId="49" xfId="0" applyNumberFormat="1" applyFont="1" applyFill="1" applyBorder="1" applyAlignment="1">
      <alignment horizontal="center" vertical="center" wrapText="1"/>
    </xf>
    <xf fontId="18" fillId="5" borderId="3" numFmtId="49" xfId="0" applyNumberFormat="1" applyFont="1" applyFill="1" applyBorder="1" applyAlignment="1">
      <alignment horizontal="center" vertical="center" wrapText="1"/>
    </xf>
    <xf fontId="4" fillId="0" borderId="0" numFmtId="0" xfId="0" applyFont="1"/>
    <xf fontId="2" fillId="0" borderId="0" numFmtId="3" xfId="0" applyNumberFormat="1" applyFont="1"/>
    <xf fontId="4" fillId="0" borderId="0" numFmtId="162" xfId="0" applyNumberFormat="1" applyFont="1"/>
    <xf fontId="4" fillId="0" borderId="4" numFmtId="162" xfId="0" applyNumberFormat="1" applyFont="1" applyBorder="1"/>
    <xf fontId="19" fillId="0" borderId="0" numFmtId="0" xfId="0" applyFont="1"/>
    <xf fontId="19" fillId="0" borderId="0" numFmtId="0" xfId="0" applyFont="1" applyAlignment="1">
      <alignment horizontal="right"/>
    </xf>
    <xf fontId="20" fillId="6" borderId="0" numFmtId="2" xfId="0" applyNumberFormat="1" applyFont="1" applyFill="1"/>
    <xf fontId="20" fillId="6" borderId="0" numFmtId="3" xfId="0" applyNumberFormat="1" applyFont="1" applyFill="1" applyAlignment="1">
      <alignment horizontal="right"/>
    </xf>
    <xf fontId="21" fillId="0" borderId="0" numFmtId="0" xfId="0" applyFont="1"/>
    <xf fontId="21" fillId="0" borderId="0" numFmtId="3" xfId="0" applyNumberFormat="1" applyFont="1" applyAlignment="1">
      <alignment horizontal="right"/>
    </xf>
    <xf fontId="19" fillId="0" borderId="0" numFmtId="2" xfId="0" applyNumberFormat="1" applyFont="1"/>
    <xf fontId="22" fillId="0" borderId="0" numFmtId="2" xfId="0" applyNumberFormat="1" applyFont="1"/>
    <xf fontId="22" fillId="0" borderId="0" numFmtId="3" xfId="0" applyNumberFormat="1" applyFont="1" applyAlignment="1">
      <alignment horizontal="right"/>
    </xf>
    <xf fontId="22" fillId="0" borderId="0" numFmtId="9" xfId="0" applyNumberFormat="1" applyFont="1" applyAlignment="1">
      <alignment horizontal="right"/>
    </xf>
    <xf fontId="23" fillId="4" borderId="0" numFmtId="2" xfId="0" applyNumberFormat="1" applyFont="1" applyFill="1"/>
    <xf fontId="23" fillId="4" borderId="0" numFmtId="163" xfId="0" applyNumberFormat="1" applyFont="1" applyFill="1" applyAlignment="1">
      <alignment horizontal="right"/>
    </xf>
    <xf fontId="24" fillId="7" borderId="0" numFmtId="0" xfId="0" applyFont="1" applyFill="1"/>
    <xf fontId="25" fillId="7" borderId="0" numFmtId="3" xfId="0" applyNumberFormat="1" applyFont="1" applyFill="1" applyAlignment="1">
      <alignment horizontal="right"/>
    </xf>
    <xf fontId="25" fillId="8" borderId="0" numFmtId="0" xfId="0" applyFont="1" applyFill="1"/>
    <xf fontId="25" fillId="8" borderId="0" numFmtId="3" xfId="0" applyNumberFormat="1" applyFont="1" applyFill="1" applyAlignment="1">
      <alignment horizontal="right"/>
    </xf>
    <xf fontId="23" fillId="0" borderId="0" numFmtId="3" xfId="0" applyNumberFormat="1" applyFont="1" applyAlignment="1">
      <alignment horizontal="right"/>
    </xf>
    <xf fontId="19" fillId="9" borderId="0" numFmtId="38" xfId="0" applyNumberFormat="1" applyFont="1" applyFill="1"/>
    <xf fontId="23" fillId="9" borderId="0" numFmtId="38" xfId="0" applyNumberFormat="1" applyFont="1" applyFill="1"/>
    <xf fontId="23" fillId="9" borderId="0" numFmtId="3" xfId="0" applyNumberFormat="1" applyFont="1" applyFill="1" applyAlignment="1">
      <alignment horizontal="right"/>
    </xf>
    <xf fontId="19" fillId="9" borderId="0" numFmtId="0" xfId="0" applyFont="1" applyFill="1"/>
    <xf fontId="19" fillId="9" borderId="0" numFmtId="0" xfId="0" applyFont="1" applyFill="1" applyAlignment="1">
      <alignment horizontal="right"/>
    </xf>
    <xf fontId="19" fillId="0" borderId="0" numFmtId="38" xfId="0" applyNumberFormat="1" applyFont="1"/>
    <xf fontId="23" fillId="3" borderId="0" numFmtId="38" xfId="0" applyNumberFormat="1" applyFont="1" applyFill="1"/>
    <xf fontId="23" fillId="3" borderId="0" numFmtId="3" xfId="0" applyNumberFormat="1" applyFont="1" applyFill="1" applyAlignment="1">
      <alignment horizontal="right"/>
    </xf>
    <xf fontId="26" fillId="0" borderId="0" numFmtId="0" xfId="0" applyFont="1"/>
    <xf fontId="2" fillId="9" borderId="0" numFmtId="0" xfId="0" applyFont="1" applyFill="1"/>
    <xf fontId="18" fillId="10" borderId="0" numFmtId="0" xfId="0" applyFont="1" applyFill="1"/>
    <xf fontId="16" fillId="10" borderId="0" numFmtId="0" xfId="0" applyFont="1" applyFill="1"/>
    <xf fontId="16" fillId="10" borderId="0" numFmtId="0" xfId="0" applyFont="1" applyFill="1"/>
    <xf fontId="18" fillId="10" borderId="0" numFmtId="9" xfId="0" applyNumberFormat="1" applyFont="1" applyFill="1"/>
    <xf fontId="18" fillId="2" borderId="0" numFmtId="0" xfId="0" applyFont="1" applyFill="1"/>
    <xf fontId="27" fillId="0" borderId="0" numFmtId="0" xfId="0" applyFont="1"/>
    <xf fontId="27" fillId="0" borderId="0" numFmtId="162" xfId="0" applyNumberFormat="1" applyFont="1"/>
    <xf fontId="27" fillId="0" borderId="0" numFmtId="2" xfId="0" applyNumberFormat="1" applyFont="1"/>
    <xf fontId="4" fillId="0" borderId="0" numFmtId="2" xfId="0" applyNumberFormat="1" applyFont="1"/>
    <xf fontId="0" fillId="0" borderId="0" numFmtId="0" xfId="0" applyAlignment="1">
      <alignment wrapText="1"/>
      <protection hidden="0" locked="1"/>
    </xf>
    <xf fontId="4" fillId="0" borderId="0" numFmtId="9" xfId="0" applyNumberFormat="1" applyFont="1"/>
    <xf fontId="15" fillId="0" borderId="0" numFmtId="3" xfId="0" applyNumberFormat="1" applyFont="1"/>
    <xf fontId="4" fillId="0" borderId="0" numFmtId="3" xfId="0" applyNumberFormat="1" applyFont="1"/>
    <xf fontId="28" fillId="0" borderId="0" numFmtId="3" xfId="0" applyNumberFormat="1" applyFont="1"/>
    <xf fontId="28" fillId="0" borderId="0" numFmtId="0" xfId="0" applyFont="1"/>
    <xf fontId="29" fillId="0" borderId="0" numFmtId="9" xfId="0" applyNumberFormat="1" applyFont="1"/>
    <xf fontId="30" fillId="0" borderId="0" numFmtId="9" xfId="0" applyNumberFormat="1" applyFont="1"/>
    <xf fontId="31" fillId="0" borderId="0" numFmtId="0" xfId="0" applyFont="1"/>
    <xf fontId="4" fillId="0" borderId="0" numFmtId="1" xfId="0" applyNumberFormat="1" applyFont="1"/>
    <xf fontId="18" fillId="0" borderId="0" numFmtId="0" xfId="0" applyFont="1"/>
    <xf fontId="32" fillId="2" borderId="0" numFmtId="0" xfId="0" applyFont="1" applyFill="1"/>
    <xf fontId="33" fillId="0" borderId="0" numFmtId="9" xfId="0" applyNumberFormat="1" applyFont="1"/>
    <xf fontId="2" fillId="4" borderId="0" numFmtId="0" xfId="0" applyFont="1" applyFill="1"/>
    <xf fontId="2" fillId="4" borderId="0" numFmtId="0" xfId="0" applyFont="1" applyFill="1"/>
    <xf fontId="2" fillId="4" borderId="0" numFmtId="3" xfId="0" applyNumberFormat="1" applyFont="1" applyFill="1"/>
    <xf fontId="4" fillId="9" borderId="0" numFmtId="0" xfId="0" applyFont="1" applyFill="1"/>
    <xf fontId="2" fillId="0" borderId="0" numFmtId="3" xfId="0" applyNumberFormat="1" applyFont="1"/>
    <xf fontId="4" fillId="9" borderId="5" numFmtId="0" xfId="0" applyFont="1" applyFill="1" applyBorder="1"/>
    <xf fontId="4" fillId="0" borderId="5" numFmtId="0" xfId="0" applyFont="1" applyBorder="1"/>
    <xf fontId="34" fillId="0" borderId="0" numFmtId="0" xfId="0" applyFont="1"/>
    <xf fontId="2" fillId="0" borderId="0" numFmtId="0" xfId="0" applyFont="1"/>
    <xf fontId="35" fillId="0" borderId="0" numFmtId="9" xfId="0" applyNumberFormat="1" applyFont="1"/>
    <xf fontId="35" fillId="0" borderId="0" numFmtId="3" xfId="0" applyNumberFormat="1" applyFont="1"/>
    <xf fontId="15" fillId="0" borderId="0" numFmtId="3" xfId="0" applyNumberFormat="1" applyFont="1"/>
    <xf fontId="2" fillId="0" borderId="0" numFmtId="3" xfId="0" applyNumberFormat="1" applyFont="1" applyAlignment="1">
      <alignment horizontal="right"/>
    </xf>
    <xf fontId="4" fillId="0" borderId="0" numFmtId="164" xfId="0" applyNumberFormat="1" applyFont="1"/>
    <xf fontId="36" fillId="0" borderId="0" numFmtId="0" xfId="0" applyFont="1"/>
    <xf fontId="9" fillId="0" borderId="0" numFmtId="0" xfId="0" applyFont="1"/>
    <xf fontId="37" fillId="0" borderId="0" numFmtId="0" xfId="0" applyFont="1"/>
    <xf fontId="38" fillId="0" borderId="0" numFmtId="0" xfId="0" applyFont="1"/>
    <xf fontId="39" fillId="0" borderId="0" numFmtId="0" xfId="0" applyFont="1"/>
    <xf fontId="40" fillId="0" borderId="0" numFmtId="0" xfId="0" applyFont="1" applyAlignment="1">
      <alignment horizontal="right"/>
    </xf>
    <xf fontId="35" fillId="0" borderId="0" numFmtId="0" xfId="0" applyFont="1"/>
    <xf fontId="41" fillId="0" borderId="0" numFmtId="0" xfId="0" applyFont="1"/>
    <xf fontId="42" fillId="11" borderId="0" numFmtId="0" xfId="0" applyFont="1" applyFill="1" applyAlignment="1">
      <alignment horizontal="left"/>
    </xf>
    <xf fontId="42" fillId="11" borderId="6" numFmtId="0" xfId="0" applyFont="1" applyFill="1" applyBorder="1" applyAlignment="1">
      <alignment horizontal="left"/>
    </xf>
    <xf fontId="43" fillId="11" borderId="0" numFmtId="0" xfId="0" applyFont="1" applyFill="1"/>
    <xf fontId="43" fillId="11" borderId="6" numFmtId="0" xfId="0" applyFont="1" applyFill="1" applyBorder="1"/>
    <xf fontId="43" fillId="11" borderId="6" numFmtId="9" xfId="0" applyNumberFormat="1" applyFont="1" applyFill="1" applyBorder="1"/>
    <xf fontId="44" fillId="11" borderId="6" numFmtId="1" xfId="0" applyNumberFormat="1" applyFont="1" applyFill="1" applyBorder="1"/>
    <xf fontId="44" fillId="11" borderId="6" numFmtId="0" xfId="0" applyFont="1" applyFill="1" applyBorder="1"/>
    <xf fontId="43" fillId="11" borderId="6" numFmtId="165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haredStrings" Target="sharedStrings.xml"/><Relationship  Id="rId6" Type="http://schemas.openxmlformats.org/officeDocument/2006/relationships/theme" Target="theme/theme1.xml"/><Relationship  Id="rId5" Type="http://schemas.openxmlformats.org/officeDocument/2006/relationships/worksheet" Target="worksheets/sheet4.xml"/><Relationship  Id="rId8" Type="http://schemas.openxmlformats.org/officeDocument/2006/relationships/styles" Target="styles.xml"/><Relationship  Id="rId4" Type="http://schemas.openxmlformats.org/officeDocument/2006/relationships/worksheet" Target="worksheets/sheet3.xml"/><Relationship  Id="rId3" Type="http://schemas.openxmlformats.org/officeDocument/2006/relationships/worksheet" Target="worksheets/sheet2.xml"/><Relationship  Id="rId2" Type="http://schemas.openxmlformats.org/officeDocument/2006/relationships/worksheet" Target="worksheets/sheet1.xml"/><Relationship  Id="rId1" Type="http://schemas.microsoft.com/office/2017/10/relationships/person" Target="persons/person.xml"/></Relationships>
</file>

<file path=xl/charts/_rels/chart1.xml.rels><?xml version="1.0" encoding="UTF-8" standalone="yes"?><Relationships xmlns="http://schemas.openxmlformats.org/package/2006/relationships"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roundedCorners val="0"/>
  <mc:AlternateContent>
    <mc:Choice Requires="c14">
      <c14:style val="102"/>
    </mc:Choice>
    <mc:Fallback>
      <c:style val="2"/>
    </mc:Fallback>
  </mc:AlternateContent>
  <c:chart>
    <c:plotArea>
      <c:layout/>
      <c:barChart>
        <c:barDir val="col"/>
        <c:varyColors val="0"/>
        <c:ser>
          <c:idx val="0"/>
          <c:order val="0"/>
          <c:tx>
            <c:strRef>
              <c:f>whatif!$B$21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whatif!$C$4:$H$4</c:f>
            </c:strRef>
          </c:cat>
          <c:val>
            <c:numRef>
              <c:f>whatif!$C$21:$H$21</c:f>
              <c:numCache/>
            </c:numRef>
          </c:val>
        </c:ser>
        <c:ser>
          <c:idx val="1"/>
          <c:order val="1"/>
          <c:tx>
            <c:strRef>
              <c:f>whatif!$B$26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whatif!$C$4:$H$4</c:f>
            </c:strRef>
          </c:cat>
          <c:val>
            <c:numRef>
              <c:f>whatif!$C$26:$H$26</c:f>
              <c:numCache/>
            </c:numRef>
          </c:val>
        </c:ser>
        <c:ser>
          <c:idx val="2"/>
          <c:order val="2"/>
          <c:tx>
            <c:strRef>
              <c:f>whatif!$B$28</c:f>
            </c:strRef>
          </c:tx>
          <c:spPr bwMode="auto">
            <a:prstGeom prst="rect">
              <a:avLst/>
            </a:prstGeom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whatif!$C$4:$H$4</c:f>
            </c:strRef>
          </c:cat>
          <c:val>
            <c:numRef>
              <c:f>whatif!$C$28:$H$28</c:f>
              <c:numCache/>
            </c:numRef>
          </c:val>
        </c:ser>
        <c:ser>
          <c:idx val="3"/>
          <c:order val="3"/>
          <c:tx>
            <c:strRef>
              <c:f>whatif!$B$30</c:f>
            </c:strRef>
          </c:tx>
          <c:spPr bwMode="auto">
            <a:prstGeom prst="rect">
              <a:avLst/>
            </a:prstGeom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whatif!$C$4:$H$4</c:f>
            </c:strRef>
          </c:cat>
          <c:val>
            <c:numRef>
              <c:f>whatif!$C$30:$H$30</c:f>
              <c:numCache/>
            </c:numRef>
          </c:val>
        </c:ser>
        <c:dLbls>
          <c:showBubbleSize val="0"/>
          <c:showCatName val="0"/>
          <c:showLegendKey val="0"/>
          <c:showPercent val="0"/>
          <c:showSerName val="0"/>
          <c:showVal val="0"/>
        </c:dLbls>
        <c:gapWidth val="150"/>
        <c:axId val="1099560164"/>
        <c:axId val="1656328402"/>
      </c:barChart>
      <c:catAx>
        <c:axId val="1099560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spPr bwMode="au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/>
          </a:p>
        </c:txPr>
        <c:crossAx val="1656328402"/>
        <c:crosses val="autoZero"/>
        <c:noMultiLvlLbl val="0"/>
      </c:catAx>
      <c:valAx>
        <c:axId val="165632840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B7B7B7"/>
              </a:solidFill>
            </a:ln>
          </c:spPr>
        </c:majorGridlines>
        <c:minorGridlines>
          <c:spPr bwMode="auto">
            <a:prstGeom prst="rect">
              <a:avLst/>
            </a:prstGeom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 bwMode="auto"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/>
          </a:p>
        </c:txPr>
        <c:crossAx val="109956016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/>
        </a:p>
      </c:txPr>
    </c:legend>
    <c:plotVisOnly val="0"/>
    <c:showDLblsOverMax val="0"/>
  </c:chart>
  <c:spPr bwMode="auto">
    <a:xfrm>
      <a:off x="0" y="0"/>
      <a:ext cx="0" cy="0"/>
    </a:xfrm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1</xdr:col>
      <xdr:colOff>0</xdr:colOff>
      <xdr:row>47</xdr:row>
      <xdr:rowOff>161924</xdr:rowOff>
    </xdr:from>
    <xdr:ext cx="6800850" cy="3800475"/>
    <xdr:graphicFrame>
      <xdr:nvGraphicFramePr>
        <xdr:cNvPr id="1" name="Chart 1" hidden="0" title="Chart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id="{6510306A-3933-CD09-A833-70F212E82CAE}"/>
</personList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0" personId="{6510306A-3933-CD09-A833-70F212E82CAE}" id="{000F001E-00E1-46C6-B31F-003E002700F6}" done="0">
    <text xml:space="preserve">this calculates the accumulation of the farming per batch per 6 months,
farming = minting of TFT
tft is result of nodes being added
</text>
  </threadedComment>
  <threadedComment ref="D30" personId="{6510306A-3933-CD09-A833-70F212E82CAE}" id="{0057001F-00C0-4E15-BD15-003A008200BF}" done="0">
    <text xml:space="preserve">this is the current state at which we add
</text>
  </threadedComment>
  <threadedComment ref="C31" personId="{6510306A-3933-CD09-A833-70F212E82CAE}" id="{007E0020-003D-44B8-805F-00CD00BD00C8}" done="0">
    <text xml:space="preserve">is the nr of the half year
</text>
  </threadedComment>
  <threadedComment ref="C57" personId="{6510306A-3933-CD09-A833-70F212E82CAE}" id="{0060003E-00BD-479E-AB79-0003007C00DD}" done="0">
    <text xml:space="preserve">starting amount of TFT for this simulation
</text>
  </threadedComment>
  <threadedComment ref="F100" personId="{6510306A-3933-CD09-A833-70F212E82CAE}" id="{00320008-0067-4BF6-9D6E-0026003200B3}" done="0">
    <text xml:space="preserve">means, X% of all capacity revenue will go through executors
</text>
  </threadedComment>
</ThreadedComments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3.xml.rels><?xml version="1.0" encoding="UTF-8" standalone="yes"?><Relationships xmlns="http://schemas.openxmlformats.org/package/2006/relationships"><Relationship  Id="rId5" Type="http://schemas.openxmlformats.org/officeDocument/2006/relationships/vmlDrawing" Target="../drawings/vmlDrawing1.vml"/><Relationship  Id="rId4" Type="http://schemas.openxmlformats.org/officeDocument/2006/relationships/comments" Target="../comments1.xml"/><Relationship  Id="rId3" Type="http://schemas.microsoft.com/office/2017/10/relationships/threadedComment" Target="../threadedComments/threadedComment1.xml"/><Relationship  Id="rId2" Type="http://schemas.openxmlformats.org/officeDocument/2006/relationships/hyperlink" Target="https://forum.threefold.io/t/tft-tfgrid-growth-simulation/1633" TargetMode="External"/><Relationship  Id="rId1" Type="http://schemas.openxmlformats.org/officeDocument/2006/relationships/hyperlink" Target="https://threefold.docsend.com/view/969n37et9fd3rr9v" TargetMode="External"/></Relationships>
</file>

<file path=xl/worksheets/_rels/sheet4.xml.rels><?xml version="1.0" encoding="UTF-8" standalone="yes"?><Relationships xmlns="http://schemas.openxmlformats.org/package/2006/relationships"><Relationship  Id="rId2" Type="http://schemas.openxmlformats.org/officeDocument/2006/relationships/hyperlink" Target="https://library.threefold.me/info/threefold" TargetMode="External"/><Relationship  Id="rId1" Type="http://schemas.openxmlformats.org/officeDocument/2006/relationships/hyperlink" Target="https://www.eia.gov/tools/faqs/faq.php?id=74&amp;t=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0" summaryRight="0"/>
    <pageSetUpPr autoPageBreaks="1" fitToPage="0"/>
  </sheetPr>
  <sheetViews>
    <sheetView showGridLines="0" workbookViewId="0" zoomScale="100">
      <selection activeCell="A1" activeCellId="0" sqref="A1"/>
    </sheetView>
  </sheetViews>
  <sheetFormatPr customHeight="1" defaultColWidth="12.630000000000001" defaultRowHeight="15.75" outlineLevelCol="1"/>
  <cols>
    <col customWidth="1" min="1" max="1" width="2.8799999999999999"/>
    <col collapsed="1" customWidth="1" min="2" max="2" width="42.5"/>
    <col customWidth="1" hidden="1" min="3" max="3" outlineLevel="1" width="14"/>
    <col customWidth="1" min="4" max="8" width="14"/>
  </cols>
  <sheetData>
    <row r="2" ht="16.5">
      <c r="B2" s="1" t="s">
        <v>0</v>
      </c>
      <c r="C2" s="2"/>
    </row>
    <row r="4">
      <c r="B4" s="3" t="s">
        <v>1</v>
      </c>
      <c r="C4" s="4"/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6"/>
    </row>
    <row r="5" ht="6.75" customHeight="1">
      <c r="B5" s="7"/>
      <c r="C5" s="8"/>
      <c r="D5" s="9"/>
      <c r="E5" s="9"/>
      <c r="F5" s="9"/>
      <c r="G5" s="9"/>
      <c r="H5" s="9"/>
      <c r="I5" s="6"/>
    </row>
    <row r="6">
      <c r="A6" s="10"/>
      <c r="B6" s="11" t="s">
        <v>7</v>
      </c>
      <c r="C6" s="12">
        <f>'TFT Price Simulation'!S15</f>
        <v>980192.60099764657</v>
      </c>
      <c r="D6" s="12">
        <v>427090.26024297142</v>
      </c>
      <c r="E6" s="12">
        <v>652259.39098582335</v>
      </c>
      <c r="F6" s="12">
        <v>980192.60099764657</v>
      </c>
      <c r="G6" s="12">
        <v>1451285.678564714</v>
      </c>
      <c r="H6" s="12">
        <v>2119519.0565689923</v>
      </c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>
      <c r="B7" s="13" t="s">
        <v>8</v>
      </c>
      <c r="C7" s="14">
        <f>'TFT Price Simulation'!D3</f>
        <v>16</v>
      </c>
      <c r="D7" s="14">
        <v>5.5999999999999996</v>
      </c>
      <c r="E7" s="14">
        <v>8.3000000000000007</v>
      </c>
      <c r="F7" s="14">
        <v>12</v>
      </c>
      <c r="G7" s="14">
        <v>17.5</v>
      </c>
      <c r="H7" s="14">
        <v>25.5</v>
      </c>
      <c r="I7" s="15"/>
    </row>
    <row r="8" ht="9.75" customHeight="1">
      <c r="B8" s="11"/>
      <c r="C8" s="16"/>
      <c r="D8" s="16"/>
      <c r="E8" s="17"/>
      <c r="F8" s="17"/>
      <c r="G8" s="17"/>
      <c r="H8" s="16"/>
      <c r="I8" s="18"/>
    </row>
    <row r="9">
      <c r="B9" s="11" t="s">
        <v>9</v>
      </c>
      <c r="C9" s="17">
        <f>'TFT Price Simulation'!S50</f>
        <v>0.80000000000000004</v>
      </c>
      <c r="D9" s="17">
        <v>0.80000000000000004</v>
      </c>
      <c r="E9" s="17">
        <v>0.80000000000000004</v>
      </c>
      <c r="F9" s="17">
        <v>0.80000000000000004</v>
      </c>
      <c r="G9" s="17">
        <v>0.80000000000000004</v>
      </c>
      <c r="H9" s="17">
        <v>0.80000000000000004</v>
      </c>
      <c r="I9" s="18"/>
    </row>
    <row r="10">
      <c r="B10" s="13" t="s">
        <v>10</v>
      </c>
      <c r="C10" s="19">
        <f>'TFT Price Simulation'!S82*1000000</f>
        <v>6704140996.8651199</v>
      </c>
      <c r="D10" s="19">
        <v>2921133377.4019914</v>
      </c>
      <c r="E10" s="19">
        <v>4461203766.7368927</v>
      </c>
      <c r="F10" s="19">
        <v>6704140996.8651199</v>
      </c>
      <c r="G10" s="19">
        <v>9926236747.6820717</v>
      </c>
      <c r="H10" s="19">
        <v>14496696451.614183</v>
      </c>
      <c r="I10" s="20"/>
    </row>
    <row r="11">
      <c r="B11" s="21" t="s">
        <v>11</v>
      </c>
      <c r="C11" s="22">
        <f>C10/ 1000000000000</f>
        <v>6.7041409968651199e-03</v>
      </c>
      <c r="D11" s="22">
        <v>2.9211333774019914e-03</v>
      </c>
      <c r="E11" s="22">
        <v>4.4612037667368931e-03</v>
      </c>
      <c r="F11" s="22">
        <v>6.7041409968651199e-03</v>
      </c>
      <c r="G11" s="22">
        <v>9.9262367476820722e-03</v>
      </c>
      <c r="H11" s="22">
        <v>1.4496696451614183e-02</v>
      </c>
      <c r="I11" s="15"/>
    </row>
    <row r="12">
      <c r="B12" s="11" t="s">
        <v>12</v>
      </c>
      <c r="C12" s="23">
        <f>'TFT Price Simulation'!S93</f>
        <v>3352070.4984325599</v>
      </c>
      <c r="D12" s="23">
        <v>1460566.6887009956</v>
      </c>
      <c r="E12" s="23">
        <v>2230601.8833684465</v>
      </c>
      <c r="F12" s="23">
        <v>3352070.4984325599</v>
      </c>
      <c r="G12" s="23">
        <v>4963118.3738410352</v>
      </c>
      <c r="H12" s="23">
        <v>7248348.2258070922</v>
      </c>
      <c r="I12" s="20"/>
    </row>
    <row r="13">
      <c r="B13" s="11" t="s">
        <v>13</v>
      </c>
      <c r="C13" s="23">
        <f>'TFT Price Simulation'!S105</f>
        <v>67041.409968651205</v>
      </c>
      <c r="D13" s="23">
        <v>29211.333774019913</v>
      </c>
      <c r="E13" s="23">
        <v>44612.037667368932</v>
      </c>
      <c r="F13" s="23">
        <v>67041.409968651205</v>
      </c>
      <c r="G13" s="23">
        <v>99262.367476820713</v>
      </c>
      <c r="H13" s="23">
        <v>144966.96451614183</v>
      </c>
      <c r="I13" s="20"/>
    </row>
    <row r="14" ht="9.75" customHeight="1">
      <c r="B14" s="21"/>
      <c r="C14" s="24"/>
      <c r="D14" s="24"/>
      <c r="E14" s="24"/>
      <c r="F14" s="24"/>
      <c r="G14" s="24"/>
      <c r="H14" s="24"/>
      <c r="I14" s="6"/>
    </row>
    <row r="15">
      <c r="B15" s="25" t="s">
        <v>14</v>
      </c>
      <c r="C15" s="4"/>
      <c r="D15" s="5"/>
      <c r="E15" s="5"/>
      <c r="F15" s="5"/>
      <c r="G15" s="5"/>
      <c r="H15" s="4"/>
      <c r="I15" s="6"/>
    </row>
    <row r="16" ht="9.75" customHeight="1">
      <c r="B16" s="21"/>
      <c r="C16" s="24"/>
      <c r="D16" s="24"/>
      <c r="E16" s="24"/>
      <c r="F16" s="24"/>
      <c r="G16" s="24"/>
      <c r="H16" s="24"/>
      <c r="I16" s="6"/>
    </row>
    <row r="17">
      <c r="B17" s="11" t="s">
        <v>15</v>
      </c>
      <c r="C17" s="26" t="e">
        <f>SUM(#REF!)*C7</f>
        <v>#REF!</v>
      </c>
      <c r="D17" s="26">
        <v>108778234.03339453</v>
      </c>
      <c r="E17" s="24">
        <v>166496513.99296185</v>
      </c>
      <c r="F17" s="24">
        <v>250562140.82476786</v>
      </c>
      <c r="G17" s="24">
        <v>371360123.05603933</v>
      </c>
      <c r="H17" s="26">
        <v>542725912.09044826</v>
      </c>
      <c r="I17" s="6"/>
      <c r="J17" s="27" t="s">
        <v>16</v>
      </c>
    </row>
    <row r="18">
      <c r="B18" s="11" t="s">
        <v>17</v>
      </c>
      <c r="C18" s="26" t="e">
        <f>SUM(#REF!)*C7</f>
        <v>#REF!</v>
      </c>
      <c r="D18" s="26">
        <v>268924251.094365</v>
      </c>
      <c r="E18" s="24">
        <v>411604938.66291118</v>
      </c>
      <c r="F18" s="24">
        <v>619416592.80867171</v>
      </c>
      <c r="G18" s="24">
        <v>918030184.35395432</v>
      </c>
      <c r="H18" s="26">
        <v>1341647261.242631</v>
      </c>
      <c r="I18" s="6"/>
    </row>
    <row r="19">
      <c r="B19" s="11" t="s">
        <v>18</v>
      </c>
      <c r="C19" s="26" t="e">
        <f>SUM(#REF!)</f>
        <v>#REF!</v>
      </c>
      <c r="D19" s="26">
        <v>164123713.40722489</v>
      </c>
      <c r="E19" s="24">
        <v>246185570.11083734</v>
      </c>
      <c r="F19" s="24">
        <v>328247426.81444979</v>
      </c>
      <c r="G19" s="24">
        <v>492371140.22167468</v>
      </c>
      <c r="H19" s="26">
        <v>492371140.22167468</v>
      </c>
      <c r="I19" s="6"/>
    </row>
    <row r="20" ht="9" customHeight="1">
      <c r="B20" s="21"/>
      <c r="C20" s="24"/>
      <c r="D20" s="24"/>
      <c r="E20" s="24"/>
      <c r="F20" s="24"/>
      <c r="G20" s="24"/>
      <c r="H20" s="24"/>
      <c r="I20" s="6"/>
    </row>
    <row r="21">
      <c r="B21" s="28" t="s">
        <v>19</v>
      </c>
      <c r="C21" s="29" t="e">
        <f>SUM(C17:C19)</f>
        <v>#REF!</v>
      </c>
      <c r="D21" s="29">
        <v>541826198.53498435</v>
      </c>
      <c r="E21" s="29">
        <v>824287022.7667104</v>
      </c>
      <c r="F21" s="29">
        <v>1198226160.4478893</v>
      </c>
      <c r="G21" s="29">
        <v>1781761447.6316683</v>
      </c>
      <c r="H21" s="29">
        <v>2376744313.5547543</v>
      </c>
      <c r="I21" s="6"/>
    </row>
    <row r="22" ht="9" customHeight="1">
      <c r="B22" s="21"/>
      <c r="C22" s="24"/>
      <c r="D22" s="24"/>
      <c r="E22" s="24"/>
      <c r="F22" s="24"/>
      <c r="G22" s="24"/>
      <c r="H22" s="24"/>
      <c r="I22" s="6"/>
    </row>
    <row r="23">
      <c r="A23" s="10"/>
      <c r="B23" s="11" t="s">
        <v>20</v>
      </c>
      <c r="C23" s="23" t="e">
        <f>#REF!*1000000</f>
        <v>#REF!</v>
      </c>
      <c r="D23" s="23">
        <v>1615706431.1763775</v>
      </c>
      <c r="E23" s="23">
        <v>2423367828.0793977</v>
      </c>
      <c r="F23" s="23">
        <v>3552919774.588572</v>
      </c>
      <c r="G23" s="23">
        <v>5175447733.1285162</v>
      </c>
      <c r="H23" s="23">
        <v>7470241138.5041695</v>
      </c>
      <c r="I23" s="6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>
      <c r="B24" s="11" t="s">
        <v>21</v>
      </c>
      <c r="C24" s="23" t="e">
        <f>#REF!*1000000</f>
        <v>#REF!</v>
      </c>
      <c r="D24" s="23">
        <v>293786046.59143639</v>
      </c>
      <c r="E24" s="23">
        <v>512879924.56787038</v>
      </c>
      <c r="F24" s="23">
        <v>731973802.54430425</v>
      </c>
      <c r="G24" s="23">
        <v>1170161558.4971721</v>
      </c>
      <c r="H24" s="23">
        <v>1170161558.4971721</v>
      </c>
      <c r="I24" s="20"/>
    </row>
    <row r="25" ht="8.25" customHeight="1">
      <c r="B25" s="11"/>
      <c r="C25" s="23"/>
      <c r="D25" s="23"/>
      <c r="E25" s="23"/>
      <c r="F25" s="23"/>
      <c r="G25" s="23"/>
      <c r="H25" s="23"/>
      <c r="I25" s="20"/>
    </row>
    <row r="26">
      <c r="A26" s="10"/>
      <c r="B26" s="28" t="s">
        <v>22</v>
      </c>
      <c r="C26" s="30" t="e">
        <f>C24+C23</f>
        <v>#REF!</v>
      </c>
      <c r="D26" s="30">
        <v>1909492477.7678139</v>
      </c>
      <c r="E26" s="30">
        <v>2936247752.6472683</v>
      </c>
      <c r="F26" s="30">
        <v>4284893577.1328764</v>
      </c>
      <c r="G26" s="30">
        <v>6345609291.6256886</v>
      </c>
      <c r="H26" s="30">
        <v>8640402697.0013409</v>
      </c>
      <c r="I26" s="2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ht="9" customHeight="1">
      <c r="B27" s="11"/>
      <c r="C27" s="16"/>
      <c r="D27" s="16"/>
      <c r="E27" s="23"/>
      <c r="F27" s="23"/>
      <c r="G27" s="23"/>
      <c r="H27" s="16"/>
      <c r="I27" s="20"/>
    </row>
    <row r="28">
      <c r="B28" s="25" t="s">
        <v>23</v>
      </c>
      <c r="C28" s="31" t="e">
        <f>C21*10+C26</f>
        <v>#REF!</v>
      </c>
      <c r="D28" s="31">
        <v>7327754463.1176577</v>
      </c>
      <c r="E28" s="31">
        <v>11179117980.314373</v>
      </c>
      <c r="F28" s="31">
        <v>16267155181.611771</v>
      </c>
      <c r="G28" s="31">
        <v>24163223767.942375</v>
      </c>
      <c r="H28" s="31">
        <v>32407845832.548882</v>
      </c>
      <c r="I28" s="20"/>
    </row>
    <row r="29" ht="9.75" customHeight="1">
      <c r="B29" s="32"/>
      <c r="C29" s="33"/>
      <c r="D29" s="33"/>
      <c r="E29" s="33"/>
      <c r="F29" s="33"/>
      <c r="G29" s="33"/>
      <c r="H29" s="33"/>
      <c r="I29" s="20"/>
    </row>
    <row r="30">
      <c r="B30" s="25" t="s">
        <v>24</v>
      </c>
      <c r="C30" s="31" t="e">
        <f>C21*20+C26</f>
        <v>#REF!</v>
      </c>
      <c r="D30" s="31">
        <v>12746016448.467503</v>
      </c>
      <c r="E30" s="31">
        <v>19421988207.981476</v>
      </c>
      <c r="F30" s="31">
        <v>28249416786.090664</v>
      </c>
      <c r="G30" s="31">
        <v>41980838244.259056</v>
      </c>
      <c r="H30" s="31">
        <v>56175288968.096428</v>
      </c>
      <c r="I30" s="20"/>
    </row>
    <row r="31">
      <c r="B31" s="34"/>
    </row>
    <row r="32">
      <c r="B32" s="34"/>
    </row>
    <row r="33">
      <c r="B33" s="35" t="s">
        <v>25</v>
      </c>
      <c r="C33" s="36"/>
      <c r="D33" s="37"/>
      <c r="E33" s="38"/>
      <c r="F33" s="38">
        <v>1</v>
      </c>
      <c r="G33" s="38"/>
      <c r="H33" s="38"/>
    </row>
    <row r="34" ht="9.75" customHeight="1">
      <c r="B34" s="36"/>
      <c r="C34" s="36"/>
      <c r="D34" s="39"/>
      <c r="E34" s="40"/>
      <c r="F34" s="40"/>
      <c r="G34" s="40"/>
      <c r="H34" s="40"/>
    </row>
    <row r="35">
      <c r="B35" s="35" t="s">
        <v>26</v>
      </c>
      <c r="C35" s="36"/>
      <c r="D35" s="41" t="s">
        <v>2</v>
      </c>
      <c r="E35" s="41" t="s">
        <v>3</v>
      </c>
      <c r="F35" s="41" t="s">
        <v>4</v>
      </c>
      <c r="G35" s="41" t="s">
        <v>5</v>
      </c>
      <c r="H35" s="41" t="s">
        <v>6</v>
      </c>
    </row>
    <row r="36">
      <c r="B36" s="42" t="s">
        <v>27</v>
      </c>
      <c r="C36" s="35">
        <f t="shared" ref="C36:C43" si="0">sumproduct(D$33:H$33,D36:H36)</f>
        <v>16</v>
      </c>
      <c r="D36" s="43">
        <v>7</v>
      </c>
      <c r="E36" s="43">
        <v>10</v>
      </c>
      <c r="F36" s="43">
        <v>16</v>
      </c>
      <c r="G36" s="43">
        <v>18</v>
      </c>
      <c r="H36" s="43">
        <v>33</v>
      </c>
    </row>
    <row r="37">
      <c r="B37" s="42" t="s">
        <v>28</v>
      </c>
      <c r="C37" s="44">
        <f t="shared" si="0"/>
        <v>0.80000000000000004</v>
      </c>
      <c r="D37" s="45">
        <v>0.59999999999999998</v>
      </c>
      <c r="E37" s="45">
        <v>0.69999999999999996</v>
      </c>
      <c r="F37" s="45">
        <v>0.80000000000000004</v>
      </c>
      <c r="G37" s="45">
        <v>0.90000000000000002</v>
      </c>
      <c r="H37" s="45">
        <v>1</v>
      </c>
    </row>
    <row r="38">
      <c r="B38" s="42" t="s">
        <v>29</v>
      </c>
      <c r="C38" s="44">
        <f t="shared" si="0"/>
        <v>0.10000000000000001</v>
      </c>
      <c r="D38" s="45">
        <v>0.10000000000000001</v>
      </c>
      <c r="E38" s="45">
        <v>0.10000000000000001</v>
      </c>
      <c r="F38" s="45">
        <v>0.10000000000000001</v>
      </c>
      <c r="G38" s="45">
        <v>0.10000000000000001</v>
      </c>
      <c r="H38" s="45">
        <v>0.10000000000000001</v>
      </c>
    </row>
    <row r="39">
      <c r="B39" s="36"/>
      <c r="C39" s="46"/>
      <c r="D39" s="47"/>
      <c r="E39" s="47"/>
      <c r="F39" s="47"/>
      <c r="G39" s="47"/>
      <c r="H39" s="47"/>
    </row>
    <row r="40">
      <c r="B40" s="35" t="s">
        <v>30</v>
      </c>
      <c r="C40" s="46"/>
      <c r="D40" s="41" t="s">
        <v>2</v>
      </c>
      <c r="E40" s="41" t="s">
        <v>3</v>
      </c>
      <c r="F40" s="41" t="s">
        <v>4</v>
      </c>
      <c r="G40" s="41" t="s">
        <v>5</v>
      </c>
      <c r="H40" s="41" t="s">
        <v>6</v>
      </c>
    </row>
    <row r="41">
      <c r="B41" s="42" t="s">
        <v>31</v>
      </c>
      <c r="C41" s="35">
        <f t="shared" si="0"/>
        <v>2</v>
      </c>
      <c r="D41" s="38">
        <v>1</v>
      </c>
      <c r="E41" s="38">
        <v>1.5</v>
      </c>
      <c r="F41" s="38">
        <v>2</v>
      </c>
      <c r="G41" s="38">
        <v>3</v>
      </c>
      <c r="H41" s="38">
        <v>3</v>
      </c>
    </row>
    <row r="42">
      <c r="B42" s="42" t="s">
        <v>32</v>
      </c>
      <c r="C42" s="44">
        <f t="shared" si="0"/>
        <v>0.80000000000000004</v>
      </c>
      <c r="D42" s="45">
        <v>0.80000000000000004</v>
      </c>
      <c r="E42" s="45">
        <v>0.80000000000000004</v>
      </c>
      <c r="F42" s="45">
        <v>0.80000000000000004</v>
      </c>
      <c r="G42" s="45">
        <v>0.80000000000000004</v>
      </c>
      <c r="H42" s="45">
        <v>0.80000000000000004</v>
      </c>
    </row>
    <row r="43">
      <c r="B43" s="42" t="s">
        <v>33</v>
      </c>
      <c r="C43" s="44">
        <f t="shared" si="0"/>
        <v>0.10000000000000001</v>
      </c>
      <c r="D43" s="45">
        <v>0.10000000000000001</v>
      </c>
      <c r="E43" s="45">
        <v>0.10000000000000001</v>
      </c>
      <c r="F43" s="45">
        <v>0.10000000000000001</v>
      </c>
      <c r="G43" s="45">
        <v>0.10000000000000001</v>
      </c>
      <c r="H43" s="45">
        <v>0.10000000000000001</v>
      </c>
    </row>
    <row r="45" ht="54" customHeight="1">
      <c r="B45" s="48" t="s">
        <v>34</v>
      </c>
      <c r="C45" s="49"/>
      <c r="D45" s="50" t="str">
        <f>if('TFT Price Simulation'!S79&gt;-5,"GOOD", "TFT PRICE TOO LOW")</f>
        <v>GOOD</v>
      </c>
      <c r="E45" s="51" t="str">
        <f>if('TFT Price Simulation'!S79&lt;60,"GOOD", "TFT PRICE TOO HIGH")</f>
        <v>GOOD</v>
      </c>
    </row>
    <row r="46" ht="10.5" customHeight="1"/>
    <row r="47">
      <c r="B47" s="52" t="s">
        <v>35</v>
      </c>
      <c r="D47" s="52"/>
      <c r="E47" s="53">
        <f>'TFT Price Simulation'!S79</f>
        <v>38.192600095924632</v>
      </c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5"/>
    </row>
    <row r="49">
      <c r="B49" s="34"/>
    </row>
  </sheetData>
  <mergeCells count="2">
    <mergeCell ref="J17:N24"/>
    <mergeCell ref="B45:C45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notEqual" id="{00A600C2-0044-4DE0-9C62-009E00570024}">
            <xm:f>"GOOD"</xm:f>
            <x14:dxf>
              <font/>
              <fill>
                <patternFill patternType="solid">
                  <fgColor rgb="FFF4C7C3"/>
                  <bgColor rgb="FFF4C7C3"/>
                </patternFill>
              </fill>
              <border>
                <left style="none"/>
                <right style="none"/>
                <top style="none"/>
                <bottom style="none"/>
                <diagonal style="none"/>
                <vertical style="none"/>
                <horizontal style="none"/>
              </border>
            </x14:dxf>
          </x14:cfRule>
          <xm:sqref>D45:E45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0" summaryRight="0"/>
    <pageSetUpPr autoPageBreaks="1" fitToPage="0"/>
  </sheetPr>
  <sheetViews>
    <sheetView showGridLines="0" workbookViewId="0" zoomScale="100">
      <selection activeCell="A1" activeCellId="0" sqref="A1"/>
    </sheetView>
  </sheetViews>
  <sheetFormatPr customHeight="1" defaultColWidth="12.630000000000001" defaultRowHeight="15.75"/>
  <cols>
    <col customWidth="1" min="1" max="1" width="3.25"/>
    <col customWidth="1" min="2" max="2" width="29"/>
    <col customWidth="1" min="3" max="10" width="8.75"/>
    <col customWidth="1" min="11" max="13" width="3.140625"/>
  </cols>
  <sheetData>
    <row r="1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</row>
    <row r="2">
      <c r="A2" s="56"/>
      <c r="B2" s="58" t="s">
        <v>36</v>
      </c>
      <c r="C2" s="59" t="s">
        <v>37</v>
      </c>
      <c r="D2" s="59" t="s">
        <v>38</v>
      </c>
      <c r="E2" s="59" t="s">
        <v>39</v>
      </c>
      <c r="F2" s="59" t="s">
        <v>40</v>
      </c>
      <c r="G2" s="59" t="s">
        <v>41</v>
      </c>
      <c r="H2" s="59" t="s">
        <v>42</v>
      </c>
      <c r="I2" s="59" t="s">
        <v>43</v>
      </c>
      <c r="J2" s="59" t="s">
        <v>44</v>
      </c>
      <c r="K2" s="56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</row>
    <row r="3" ht="9" customHeight="1">
      <c r="A3" s="56"/>
      <c r="B3" s="60"/>
      <c r="C3" s="61"/>
      <c r="D3" s="61"/>
      <c r="E3" s="61"/>
      <c r="F3" s="61"/>
      <c r="G3" s="61"/>
      <c r="H3" s="61"/>
      <c r="I3" s="61"/>
      <c r="J3" s="61"/>
      <c r="K3" s="56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</row>
    <row r="4">
      <c r="A4" s="62"/>
      <c r="B4" s="63" t="s">
        <v>45</v>
      </c>
      <c r="C4" s="64">
        <f>'TFT Price Simulation'!E15</f>
        <v>10000</v>
      </c>
      <c r="D4" s="64">
        <f>'TFT Price Simulation'!G15</f>
        <v>28218.555555555555</v>
      </c>
      <c r="E4" s="64">
        <f>'TFT Price Simulation'!I15</f>
        <v>71025.163714814829</v>
      </c>
      <c r="F4" s="64">
        <f>'TFT Price Simulation'!K15</f>
        <v>158350.60250217971</v>
      </c>
      <c r="G4" s="64">
        <f>'TFT Price Simulation'!M15</f>
        <v>310280.96779846551</v>
      </c>
      <c r="H4" s="64">
        <f>'TFT Price Simulation'!O15</f>
        <v>529597.89853734756</v>
      </c>
      <c r="I4" s="64">
        <f>'TFT Price Simulation'!Q15</f>
        <v>779373.92075084534</v>
      </c>
      <c r="J4" s="64">
        <f>'TFT Price Simulation'!S15</f>
        <v>980192.60099764657</v>
      </c>
      <c r="K4" s="56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</row>
    <row r="5">
      <c r="A5" s="62"/>
      <c r="B5" s="63" t="s">
        <v>46</v>
      </c>
      <c r="C5" s="65">
        <f>'TFT Price Simulation'!E50</f>
        <v>0.5</v>
      </c>
      <c r="D5" s="65">
        <f>'TFT Price Simulation'!G50</f>
        <v>0.57499999999999996</v>
      </c>
      <c r="E5" s="65">
        <f>'TFT Price Simulation'!I50</f>
        <v>0.65000000000000002</v>
      </c>
      <c r="F5" s="65">
        <f>'TFT Price Simulation'!K50</f>
        <v>0.72499999999999998</v>
      </c>
      <c r="G5" s="65">
        <f>'TFT Price Simulation'!M50</f>
        <v>0.80000000000000004</v>
      </c>
      <c r="H5" s="65">
        <f>'TFT Price Simulation'!O50</f>
        <v>0.80000000000000004</v>
      </c>
      <c r="I5" s="65">
        <f>'TFT Price Simulation'!Q50</f>
        <v>0.80000000000000004</v>
      </c>
      <c r="J5" s="65">
        <f>'TFT Price Simulation'!S50</f>
        <v>0.80000000000000004</v>
      </c>
      <c r="K5" s="56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</row>
    <row r="6">
      <c r="A6" s="62"/>
      <c r="B6" s="66" t="s">
        <v>47</v>
      </c>
      <c r="C6" s="67">
        <f>'TFT Price Simulation'!E9</f>
        <v>0.29999999999999999</v>
      </c>
      <c r="D6" s="67">
        <f>'TFT Price Simulation'!G9</f>
        <v>2.1538461538461537</v>
      </c>
      <c r="E6" s="67">
        <f>'TFT Price Simulation'!I9</f>
        <v>4.4615384615384617</v>
      </c>
      <c r="F6" s="67">
        <f>'TFT Price Simulation'!K9</f>
        <v>6.7692307692307683</v>
      </c>
      <c r="G6" s="67">
        <f>'TFT Price Simulation'!M9</f>
        <v>9.0769230769230749</v>
      </c>
      <c r="H6" s="67">
        <f>'TFT Price Simulation'!O9</f>
        <v>11.384615384615381</v>
      </c>
      <c r="I6" s="67">
        <f>'TFT Price Simulation'!Q9</f>
        <v>13.692307692307688</v>
      </c>
      <c r="J6" s="67">
        <f>'TFT Price Simulation'!S9</f>
        <v>16</v>
      </c>
      <c r="K6" s="56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</row>
    <row r="7" ht="9" customHeight="1">
      <c r="A7" s="56"/>
      <c r="B7" s="60"/>
      <c r="C7" s="61" t="str">
        <f>'TFT Price Simulation'!AK14</f>
        <v/>
      </c>
      <c r="D7" s="61" t="str">
        <f>'TFT Price Simulation'!AL14</f>
        <v/>
      </c>
      <c r="E7" s="61" t="str">
        <f>'TFT Price Simulation'!AM14</f>
        <v/>
      </c>
      <c r="F7" s="61" t="str">
        <f>'TFT Price Simulation'!AN14</f>
        <v/>
      </c>
      <c r="G7" s="61" t="str">
        <f>'TFT Price Simulation'!AO14</f>
        <v/>
      </c>
      <c r="H7" s="61" t="str">
        <f>'TFT Price Simulation'!AP14</f>
        <v/>
      </c>
      <c r="I7" s="61" t="str">
        <f>'TFT Price Simulation'!AQ14</f>
        <v/>
      </c>
      <c r="J7" s="61" t="str">
        <f>'TFT Price Simulation'!AR14</f>
        <v/>
      </c>
      <c r="K7" s="56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</row>
    <row r="8">
      <c r="A8" s="56"/>
      <c r="B8" s="68" t="s">
        <v>48</v>
      </c>
      <c r="C8" s="69">
        <f>SUM(C9:C11)</f>
        <v>818.95062333450005</v>
      </c>
      <c r="D8" s="69">
        <f t="shared" ref="D8:J8" si="1">SUM(D10:D11)+C8</f>
        <v>874.23094148682401</v>
      </c>
      <c r="E8" s="69">
        <f t="shared" si="1"/>
        <v>942.27107664771381</v>
      </c>
      <c r="F8" s="69">
        <f t="shared" si="1"/>
        <v>1014.6386484159405</v>
      </c>
      <c r="G8" s="69">
        <f t="shared" si="1"/>
        <v>1085.1597458062183</v>
      </c>
      <c r="H8" s="69">
        <f t="shared" si="1"/>
        <v>1167.5939782486525</v>
      </c>
      <c r="I8" s="69">
        <f t="shared" si="1"/>
        <v>1253.7282122334266</v>
      </c>
      <c r="J8" s="69">
        <f t="shared" si="1"/>
        <v>1345.0603574177881</v>
      </c>
      <c r="K8" s="56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</row>
    <row r="9">
      <c r="A9" s="56"/>
      <c r="B9" s="60" t="s">
        <v>49</v>
      </c>
      <c r="C9" s="64">
        <f>'TFT Price Simulation'!C57</f>
        <v>800</v>
      </c>
      <c r="D9" s="64"/>
      <c r="E9" s="64"/>
      <c r="F9" s="64"/>
      <c r="G9" s="64"/>
      <c r="H9" s="64"/>
      <c r="I9" s="64"/>
      <c r="J9" s="64"/>
      <c r="K9" s="56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</row>
    <row r="10">
      <c r="A10" s="56"/>
      <c r="B10" s="60" t="s">
        <v>50</v>
      </c>
      <c r="C10" s="64">
        <f>('TFT Price Simulation'!D48+'TFT Price Simulation'!E48)/1000000</f>
        <v>43.666200000000003</v>
      </c>
      <c r="D10" s="64">
        <f>('TFT Price Simulation'!G48+'TFT Price Simulation'!F48)/1000000</f>
        <v>76.995756733999997</v>
      </c>
      <c r="E10" s="64">
        <f>('TFT Price Simulation'!I48+'TFT Price Simulation'!H48)/1000000</f>
        <v>93.734501446590002</v>
      </c>
      <c r="F10" s="64">
        <f>('TFT Price Simulation'!K48+'TFT Price Simulation'!J48)/1000000</f>
        <v>115.63325809072398</v>
      </c>
      <c r="G10" s="64">
        <f>('TFT Price Simulation'!M48+'TFT Price Simulation'!L48)/1000000</f>
        <v>144.08116986694711</v>
      </c>
      <c r="H10" s="64">
        <f>('TFT Price Simulation'!O48+'TFT Price Simulation'!N48)/1000000</f>
        <v>177.55376597800856</v>
      </c>
      <c r="I10" s="64">
        <f>('TFT Price Simulation'!Q48+'TFT Price Simulation'!P48)/1000000</f>
        <v>210.61706474115175</v>
      </c>
      <c r="J10" s="64">
        <f>('TFT Price Simulation'!S48+'TFT Price Simulation'!R48)/1000000</f>
        <v>235.13164066293507</v>
      </c>
      <c r="K10" s="56"/>
      <c r="L10" s="57"/>
      <c r="M10" s="57"/>
      <c r="N10" s="27" t="s">
        <v>16</v>
      </c>
      <c r="S10" s="57"/>
      <c r="T10" s="57"/>
      <c r="U10" s="57"/>
      <c r="V10" s="57"/>
      <c r="W10" s="57"/>
      <c r="X10" s="57"/>
      <c r="Y10" s="57"/>
      <c r="Z10" s="57"/>
      <c r="AA10" s="57"/>
    </row>
    <row r="11">
      <c r="A11" s="56"/>
      <c r="B11" s="60" t="s">
        <v>51</v>
      </c>
      <c r="C11" s="64">
        <f>SUM('TFT Price Simulation'!D55:E55)/1000000*-1</f>
        <v>-24.715576665499995</v>
      </c>
      <c r="D11" s="64">
        <f>SUM('TFT Price Simulation'!F55:G55)/1000000*-1</f>
        <v>-21.715438581676057</v>
      </c>
      <c r="E11" s="64">
        <f>SUM('TFT Price Simulation'!H55:I55)/1000000*-1</f>
        <v>-25.694366285700173</v>
      </c>
      <c r="F11" s="64">
        <f>SUM('TFT Price Simulation'!J55:K55)/1000000*-1</f>
        <v>-43.265686322497295</v>
      </c>
      <c r="G11" s="64">
        <f>SUM('TFT Price Simulation'!L55:M55)/1000000*-1</f>
        <v>-73.560072476669163</v>
      </c>
      <c r="H11" s="64">
        <f>SUM('TFT Price Simulation'!N55:O55)/1000000*-1</f>
        <v>-95.11953353557432</v>
      </c>
      <c r="I11" s="64">
        <f>SUM('TFT Price Simulation'!P55:Q55)/1000000*-1</f>
        <v>-124.48283075637772</v>
      </c>
      <c r="J11" s="64">
        <f>SUM('TFT Price Simulation'!R55:S55)/1000000*-1</f>
        <v>-143.79949547857348</v>
      </c>
      <c r="K11" s="56"/>
      <c r="L11" s="57"/>
      <c r="M11" s="57"/>
      <c r="S11" s="57"/>
      <c r="T11" s="57"/>
      <c r="U11" s="57"/>
      <c r="V11" s="57"/>
      <c r="W11" s="57"/>
      <c r="X11" s="57"/>
      <c r="Y11" s="57"/>
      <c r="Z11" s="57"/>
      <c r="AA11" s="57"/>
    </row>
    <row r="12" ht="9" customHeight="1">
      <c r="A12" s="56"/>
      <c r="B12" s="60"/>
      <c r="C12" s="61" t="str">
        <f>'TFT Price Simulation'!AK16</f>
        <v/>
      </c>
      <c r="D12" s="61" t="str">
        <f>'TFT Price Simulation'!AL16</f>
        <v/>
      </c>
      <c r="E12" s="61" t="str">
        <f>'TFT Price Simulation'!AM16</f>
        <v/>
      </c>
      <c r="F12" s="61" t="str">
        <f>'TFT Price Simulation'!AN16</f>
        <v/>
      </c>
      <c r="G12" s="61" t="str">
        <f>'TFT Price Simulation'!AO16</f>
        <v/>
      </c>
      <c r="H12" s="61" t="str">
        <f>'TFT Price Simulation'!AP16</f>
        <v/>
      </c>
      <c r="I12" s="61" t="str">
        <f>'TFT Price Simulation'!AQ16</f>
        <v/>
      </c>
      <c r="J12" s="61" t="str">
        <f>'TFT Price Simulation'!AR16</f>
        <v/>
      </c>
      <c r="K12" s="56"/>
      <c r="L12" s="57"/>
      <c r="M12" s="57"/>
      <c r="S12" s="57"/>
      <c r="T12" s="57"/>
      <c r="U12" s="57"/>
      <c r="V12" s="57"/>
      <c r="W12" s="57"/>
      <c r="X12" s="57"/>
      <c r="Y12" s="57"/>
      <c r="Z12" s="57"/>
      <c r="AA12" s="57"/>
    </row>
    <row r="13">
      <c r="A13" s="56"/>
      <c r="B13" s="70" t="s">
        <v>52</v>
      </c>
      <c r="C13" s="71">
        <f t="shared" ref="C13:J13" si="2">sum(C14:C18)</f>
        <v>-824.23264818329335</v>
      </c>
      <c r="D13" s="71">
        <f t="shared" si="2"/>
        <v>-922.27298769167544</v>
      </c>
      <c r="E13" s="71">
        <f t="shared" si="2"/>
        <v>-1042.9924630603891</v>
      </c>
      <c r="F13" s="71">
        <f t="shared" si="2"/>
        <v>-1066.4723807387529</v>
      </c>
      <c r="G13" s="71">
        <f t="shared" si="2"/>
        <v>-1134.5966974276166</v>
      </c>
      <c r="H13" s="71">
        <f t="shared" si="2"/>
        <v>-1178.7905138135311</v>
      </c>
      <c r="I13" s="71">
        <f t="shared" si="2"/>
        <v>-1257.8392131901633</v>
      </c>
      <c r="J13" s="71">
        <f t="shared" si="2"/>
        <v>-1306.8677573218636</v>
      </c>
      <c r="K13" s="56"/>
      <c r="L13" s="57"/>
      <c r="M13" s="57"/>
      <c r="S13" s="57"/>
      <c r="T13" s="57"/>
      <c r="U13" s="57"/>
      <c r="V13" s="57"/>
      <c r="W13" s="57"/>
      <c r="X13" s="57"/>
      <c r="Y13" s="57"/>
      <c r="Z13" s="57"/>
      <c r="AA13" s="57"/>
    </row>
    <row r="14">
      <c r="A14" s="56"/>
      <c r="B14" s="60" t="s">
        <v>53</v>
      </c>
      <c r="C14" s="72">
        <f>'TFT Price Simulation'!E65*-1</f>
        <v>-33.172740735571608</v>
      </c>
      <c r="D14" s="72">
        <f>'TFT Price Simulation'!G65*-1</f>
        <v>-18.9276235512</v>
      </c>
      <c r="E14" s="72">
        <f>'TFT Price Simulation'!I65*-1</f>
        <v>-31.829498792132839</v>
      </c>
      <c r="F14" s="72">
        <f>'TFT Price Simulation'!K65*-1</f>
        <v>-62.426685342568639</v>
      </c>
      <c r="G14" s="72">
        <f>'TFT Price Simulation'!M65*-1</f>
        <v>-118.33243538644035</v>
      </c>
      <c r="H14" s="72">
        <f>'TFT Price Simulation'!O65*-1</f>
        <v>-163.29374140133393</v>
      </c>
      <c r="I14" s="72">
        <f>'TFT Price Simulation'!Q65*-1</f>
        <v>-228.85119986682813</v>
      </c>
      <c r="J14" s="72">
        <f>'TFT Price Simulation'!S65*-1</f>
        <v>-279.33920820271334</v>
      </c>
      <c r="K14" s="56"/>
      <c r="L14" s="57"/>
      <c r="M14" s="57"/>
      <c r="S14" s="57"/>
      <c r="T14" s="57"/>
      <c r="U14" s="57"/>
      <c r="V14" s="57"/>
      <c r="W14" s="57"/>
      <c r="X14" s="57"/>
      <c r="Y14" s="57"/>
      <c r="Z14" s="57"/>
      <c r="AA14" s="57"/>
    </row>
    <row r="15">
      <c r="A15" s="56"/>
      <c r="B15" s="60" t="s">
        <v>54</v>
      </c>
      <c r="C15" s="72">
        <f>'TFT Price Simulation'!E68*-1</f>
        <v>-130</v>
      </c>
      <c r="D15" s="72">
        <f>'TFT Price Simulation'!G68*-1</f>
        <v>-140</v>
      </c>
      <c r="E15" s="72">
        <f>'TFT Price Simulation'!I68*-1</f>
        <v>-150</v>
      </c>
      <c r="F15" s="72">
        <f>'TFT Price Simulation'!K68*-1</f>
        <v>-160</v>
      </c>
      <c r="G15" s="72">
        <f>'TFT Price Simulation'!M68*-1</f>
        <v>-170</v>
      </c>
      <c r="H15" s="72">
        <f>'TFT Price Simulation'!O68*-1</f>
        <v>-180</v>
      </c>
      <c r="I15" s="72">
        <f>'TFT Price Simulation'!Q68*-1</f>
        <v>-190</v>
      </c>
      <c r="J15" s="72">
        <f>'TFT Price Simulation'!S68*-1</f>
        <v>-200</v>
      </c>
      <c r="K15" s="56"/>
      <c r="L15" s="57"/>
      <c r="M15" s="57"/>
      <c r="S15" s="57"/>
      <c r="T15" s="57"/>
      <c r="U15" s="57"/>
      <c r="V15" s="57"/>
      <c r="W15" s="57"/>
      <c r="X15" s="57"/>
      <c r="Y15" s="57"/>
      <c r="Z15" s="57"/>
      <c r="AA15" s="57"/>
    </row>
    <row r="16">
      <c r="A16" s="56"/>
      <c r="B16" s="60" t="s">
        <v>55</v>
      </c>
      <c r="C16" s="72">
        <f>'TFT Price Simulation'!E71*-1</f>
        <v>-197.33333329999999</v>
      </c>
      <c r="D16" s="72">
        <f>'TFT Price Simulation'!G71*-1</f>
        <v>-315.32307689999999</v>
      </c>
      <c r="E16" s="72">
        <f>'TFT Price Simulation'!I71*-1</f>
        <v>-380.51282049999998</v>
      </c>
      <c r="F16" s="72">
        <f>'TFT Price Simulation'!K71*-1</f>
        <v>-313.84615380000002</v>
      </c>
      <c r="G16" s="72">
        <f>'TFT Price Simulation'!M71*-1</f>
        <v>-250.46153849999999</v>
      </c>
      <c r="H16" s="72">
        <f>'TFT Price Simulation'!O71*-1</f>
        <v>-190.35897439999999</v>
      </c>
      <c r="I16" s="72">
        <f>'TFT Price Simulation'!Q71*-1</f>
        <v>-133.53846150000001</v>
      </c>
      <c r="J16" s="72">
        <f>'TFT Price Simulation'!S71*-1</f>
        <v>-80</v>
      </c>
      <c r="K16" s="56"/>
      <c r="L16" s="57"/>
      <c r="M16" s="57"/>
      <c r="S16" s="57"/>
      <c r="T16" s="57"/>
      <c r="U16" s="57"/>
      <c r="V16" s="57"/>
      <c r="W16" s="57"/>
      <c r="X16" s="57"/>
      <c r="Y16" s="57"/>
      <c r="Z16" s="57"/>
      <c r="AA16" s="57"/>
    </row>
    <row r="17">
      <c r="A17" s="56"/>
      <c r="B17" s="60" t="s">
        <v>56</v>
      </c>
      <c r="C17" s="72">
        <f>'TFT Price Simulation'!E74*-1</f>
        <v>-404.0156408177217</v>
      </c>
      <c r="D17" s="72">
        <f>'TFT Price Simulation'!G74*-1</f>
        <v>-419.63085191367543</v>
      </c>
      <c r="E17" s="72">
        <f>'TFT Price Simulation'!I74*-1</f>
        <v>-439.7265024670088</v>
      </c>
      <c r="F17" s="72">
        <f>'TFT Price Simulation'!K74*-1</f>
        <v>-459.96952058140499</v>
      </c>
      <c r="G17" s="72">
        <f>'TFT Price Simulation'!M74*-1</f>
        <v>-477.47028815473607</v>
      </c>
      <c r="H17" s="72">
        <f>'TFT Price Simulation'!O74*-1</f>
        <v>-498.17343075834486</v>
      </c>
      <c r="I17" s="72">
        <f>'TFT Price Simulation'!Q74*-1</f>
        <v>-518.20766101469201</v>
      </c>
      <c r="J17" s="72">
        <f>'TFT Price Simulation'!S74*-1</f>
        <v>-538.02414296711538</v>
      </c>
      <c r="K17" s="56"/>
      <c r="L17" s="57"/>
      <c r="M17" s="57"/>
      <c r="S17" s="57"/>
      <c r="T17" s="57"/>
      <c r="U17" s="57"/>
      <c r="V17" s="57"/>
      <c r="W17" s="57"/>
      <c r="X17" s="57"/>
      <c r="Y17" s="57"/>
      <c r="Z17" s="57"/>
      <c r="AA17" s="57"/>
    </row>
    <row r="18">
      <c r="A18" s="56"/>
      <c r="B18" s="60" t="s">
        <v>57</v>
      </c>
      <c r="C18" s="72">
        <f>'TFT Price Simulation'!E77*-1</f>
        <v>-59.710933329999996</v>
      </c>
      <c r="D18" s="72">
        <f>'TFT Price Simulation'!G77*-1</f>
        <v>-28.391435326799996</v>
      </c>
      <c r="E18" s="72">
        <f>'TFT Price Simulation'!I77*-1</f>
        <v>-40.92364130124767</v>
      </c>
      <c r="F18" s="72">
        <f>'TFT Price Simulation'!K77*-1</f>
        <v>-70.230021014779098</v>
      </c>
      <c r="G18" s="72">
        <f>'TFT Price Simulation'!M77*-1</f>
        <v>-118.33243538644035</v>
      </c>
      <c r="H18" s="72">
        <f>'TFT Price Simulation'!O77*-1</f>
        <v>-146.96436725385232</v>
      </c>
      <c r="I18" s="72">
        <f>'TFT Price Simulation'!Q77*-1</f>
        <v>-187.24189080864309</v>
      </c>
      <c r="J18" s="72">
        <f>'TFT Price Simulation'!S77*-1</f>
        <v>-209.50440615203499</v>
      </c>
      <c r="K18" s="56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</row>
    <row r="19" ht="6" customHeight="1">
      <c r="A19" s="73"/>
      <c r="B19" s="74"/>
      <c r="C19" s="75"/>
      <c r="D19" s="75"/>
      <c r="E19" s="75"/>
      <c r="F19" s="75"/>
      <c r="G19" s="75"/>
      <c r="H19" s="75"/>
      <c r="I19" s="75"/>
      <c r="J19" s="75"/>
      <c r="K19" s="76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</row>
    <row r="20">
      <c r="A20" s="78"/>
      <c r="B20" s="79" t="s">
        <v>58</v>
      </c>
      <c r="C20" s="80">
        <f t="shared" ref="C20:J20" si="3">C8+C13</f>
        <v>-5.2820248487932986</v>
      </c>
      <c r="D20" s="80">
        <f t="shared" si="3"/>
        <v>-48.042046204851431</v>
      </c>
      <c r="E20" s="80">
        <f t="shared" si="3"/>
        <v>-100.72138641267532</v>
      </c>
      <c r="F20" s="80">
        <f t="shared" si="3"/>
        <v>-51.833732322812466</v>
      </c>
      <c r="G20" s="80">
        <f t="shared" si="3"/>
        <v>-49.436951621398293</v>
      </c>
      <c r="H20" s="80">
        <f t="shared" si="3"/>
        <v>-11.196535564878559</v>
      </c>
      <c r="I20" s="80">
        <f t="shared" si="3"/>
        <v>-4.1110009567366887</v>
      </c>
      <c r="J20" s="80">
        <f t="shared" si="3"/>
        <v>38.19260009592449</v>
      </c>
      <c r="K20" s="56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</row>
    <row r="21">
      <c r="A21" s="56"/>
      <c r="B21" s="56"/>
      <c r="C21" s="57"/>
      <c r="D21" s="57"/>
      <c r="E21" s="57"/>
      <c r="F21" s="57"/>
      <c r="G21" s="57"/>
      <c r="H21" s="57"/>
      <c r="I21" s="57"/>
      <c r="J21" s="57"/>
      <c r="K21" s="56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</row>
    <row r="22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</row>
    <row r="23">
      <c r="A23" s="56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</row>
    <row r="24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</row>
    <row r="25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</row>
    <row r="26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</row>
    <row r="27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</row>
    <row r="28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</row>
    <row r="29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</row>
    <row r="30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</row>
    <row r="31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</row>
    <row r="32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</row>
    <row r="33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</row>
    <row r="34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</row>
    <row r="35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</row>
    <row r="36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</row>
    <row r="37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</row>
    <row r="38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</row>
    <row r="39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</row>
    <row r="40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</row>
    <row r="41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</row>
    <row r="42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</row>
    <row r="43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</row>
    <row r="44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</row>
    <row r="4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</row>
    <row r="46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</row>
    <row r="47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</row>
    <row r="48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</row>
    <row r="49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</row>
    <row r="50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</row>
    <row r="51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</row>
    <row r="52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</row>
    <row r="53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</row>
    <row r="54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</row>
    <row r="5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</row>
    <row r="56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</row>
    <row r="57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</row>
    <row r="58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</row>
    <row r="59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</row>
    <row r="60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</row>
    <row r="61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</row>
    <row r="62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</row>
    <row r="63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</row>
    <row r="64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</row>
    <row r="6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</row>
    <row r="66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</row>
    <row r="67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</row>
    <row r="68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</row>
    <row r="69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</row>
    <row r="70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</row>
    <row r="71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</row>
    <row r="72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</row>
    <row r="73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</row>
    <row r="74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</row>
    <row r="7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</row>
    <row r="76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</row>
    <row r="77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</row>
    <row r="78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</row>
    <row r="79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</row>
    <row r="80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</row>
    <row r="81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</row>
    <row r="82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</row>
    <row r="83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</row>
    <row r="84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</row>
    <row r="8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</row>
    <row r="86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</row>
    <row r="87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</row>
    <row r="88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</row>
    <row r="89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</row>
    <row r="90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</row>
    <row r="91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</row>
    <row r="92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</row>
    <row r="93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</row>
    <row r="94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</row>
    <row r="9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</row>
    <row r="96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</row>
    <row r="97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</row>
    <row r="98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</row>
    <row r="99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</row>
    <row r="100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</row>
    <row r="101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</row>
    <row r="102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</row>
    <row r="103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</row>
    <row r="10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</row>
    <row r="10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</row>
    <row r="106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</row>
    <row r="107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</row>
    <row r="108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</row>
    <row r="109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</row>
    <row r="110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</row>
    <row r="111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</row>
    <row r="112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</row>
    <row r="113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</row>
    <row r="1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</row>
    <row r="11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</row>
    <row r="116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</row>
    <row r="117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</row>
    <row r="118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</row>
    <row r="119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</row>
    <row r="120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</row>
    <row r="121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</row>
    <row r="122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</row>
    <row r="123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</row>
    <row r="124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</row>
    <row r="12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</row>
    <row r="126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</row>
    <row r="127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</row>
    <row r="128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</row>
    <row r="129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</row>
    <row r="130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</row>
    <row r="131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</row>
    <row r="132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</row>
    <row r="133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</row>
    <row r="134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</row>
    <row r="13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</row>
    <row r="136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</row>
    <row r="137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</row>
    <row r="138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</row>
    <row r="139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</row>
    <row r="140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</row>
    <row r="141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</row>
    <row r="142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</row>
    <row r="143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</row>
    <row r="144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</row>
    <row r="14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</row>
    <row r="146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</row>
    <row r="147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</row>
    <row r="148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</row>
    <row r="149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</row>
    <row r="150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</row>
    <row r="151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</row>
    <row r="152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</row>
    <row r="153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</row>
    <row r="154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</row>
    <row r="15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</row>
    <row r="156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</row>
    <row r="157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</row>
    <row r="158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</row>
    <row r="159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</row>
    <row r="160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</row>
    <row r="161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</row>
    <row r="162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</row>
    <row r="163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</row>
    <row r="164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</row>
    <row r="16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</row>
    <row r="166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</row>
    <row r="167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</row>
    <row r="168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</row>
    <row r="169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</row>
    <row r="170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</row>
    <row r="171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</row>
    <row r="172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</row>
    <row r="173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</row>
    <row r="174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</row>
    <row r="17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</row>
    <row r="176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</row>
    <row r="177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</row>
    <row r="178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</row>
    <row r="179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</row>
    <row r="180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</row>
    <row r="181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</row>
    <row r="182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</row>
    <row r="183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</row>
    <row r="184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</row>
    <row r="18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</row>
    <row r="186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</row>
    <row r="187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</row>
    <row r="188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</row>
    <row r="189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</row>
    <row r="190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</row>
    <row r="191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</row>
    <row r="192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</row>
    <row r="193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</row>
    <row r="194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</row>
    <row r="19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</row>
    <row r="196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</row>
    <row r="197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</row>
    <row r="198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</row>
    <row r="199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</row>
    <row r="200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</row>
    <row r="201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</row>
    <row r="202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</row>
    <row r="203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</row>
    <row r="204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</row>
    <row r="205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</row>
    <row r="206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</row>
    <row r="207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</row>
    <row r="208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</row>
    <row r="209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</row>
    <row r="210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</row>
    <row r="211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  <c r="AA211" s="57"/>
    </row>
    <row r="212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  <c r="AA212" s="57"/>
    </row>
    <row r="213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  <c r="AA213" s="57"/>
    </row>
    <row r="214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  <c r="AA214" s="57"/>
    </row>
    <row r="215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  <c r="AA215" s="57"/>
    </row>
    <row r="216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  <c r="AA216" s="57"/>
    </row>
    <row r="217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  <c r="AA217" s="57"/>
    </row>
    <row r="218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  <c r="AA218" s="57"/>
    </row>
    <row r="219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  <c r="AA219" s="57"/>
    </row>
    <row r="220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  <c r="AA220" s="57"/>
    </row>
    <row r="221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  <c r="AA221" s="57"/>
    </row>
    <row r="222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  <c r="AA222" s="57"/>
    </row>
    <row r="223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  <c r="AA223" s="57"/>
    </row>
    <row r="224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  <c r="AA224" s="57"/>
    </row>
    <row r="225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  <c r="AA225" s="57"/>
    </row>
    <row r="226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  <c r="AA226" s="57"/>
    </row>
    <row r="227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  <c r="AA227" s="57"/>
    </row>
    <row r="228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  <c r="AA228" s="57"/>
    </row>
    <row r="229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  <c r="AA229" s="57"/>
    </row>
    <row r="230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  <c r="AA230" s="57"/>
    </row>
    <row r="231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  <c r="AA231" s="57"/>
    </row>
    <row r="232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  <c r="AA232" s="57"/>
    </row>
    <row r="233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  <c r="AA233" s="57"/>
    </row>
    <row r="234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  <c r="AA234" s="57"/>
    </row>
    <row r="235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  <c r="AA235" s="57"/>
    </row>
    <row r="236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  <c r="AA236" s="57"/>
    </row>
    <row r="237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  <c r="AA237" s="57"/>
    </row>
    <row r="238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  <c r="AA238" s="57"/>
    </row>
    <row r="239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  <c r="AA239" s="57"/>
    </row>
    <row r="240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  <c r="AA240" s="57"/>
    </row>
    <row r="241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  <c r="AA241" s="57"/>
    </row>
    <row r="242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  <c r="AA242" s="57"/>
    </row>
    <row r="243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  <c r="AA243" s="57"/>
    </row>
    <row r="244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  <c r="AA244" s="57"/>
    </row>
    <row r="245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  <c r="AA245" s="57"/>
    </row>
    <row r="246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  <c r="AA246" s="57"/>
    </row>
    <row r="247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  <c r="AA247" s="57"/>
    </row>
    <row r="248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  <c r="AA248" s="57"/>
    </row>
    <row r="249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  <c r="AA249" s="57"/>
    </row>
    <row r="250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  <c r="AA250" s="57"/>
    </row>
    <row r="251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  <c r="AA251" s="57"/>
    </row>
    <row r="252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  <c r="AA252" s="57"/>
    </row>
    <row r="253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  <c r="AA253" s="57"/>
    </row>
    <row r="254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  <c r="AA254" s="57"/>
    </row>
    <row r="255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  <c r="AA255" s="57"/>
    </row>
    <row r="256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  <c r="AA256" s="57"/>
    </row>
    <row r="257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  <c r="AA257" s="57"/>
    </row>
    <row r="258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  <c r="AA258" s="57"/>
    </row>
    <row r="259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  <c r="AA259" s="57"/>
    </row>
    <row r="260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  <c r="AA260" s="57"/>
    </row>
    <row r="261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  <c r="AA261" s="57"/>
    </row>
    <row r="262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  <c r="AA262" s="57"/>
    </row>
    <row r="263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  <c r="AA263" s="57"/>
    </row>
    <row r="264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  <c r="AA264" s="57"/>
    </row>
    <row r="265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  <c r="AA265" s="57"/>
    </row>
    <row r="266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  <c r="AA266" s="57"/>
    </row>
    <row r="267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  <c r="AA267" s="57"/>
    </row>
    <row r="268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  <c r="AA268" s="57"/>
    </row>
    <row r="269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  <c r="AA269" s="57"/>
    </row>
    <row r="270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  <c r="AA270" s="57"/>
    </row>
    <row r="271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  <c r="AA271" s="57"/>
    </row>
    <row r="272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  <c r="AA272" s="57"/>
    </row>
    <row r="273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  <c r="AA273" s="57"/>
    </row>
    <row r="274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  <c r="AA274" s="57"/>
    </row>
    <row r="275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  <c r="AA275" s="57"/>
    </row>
    <row r="276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  <c r="AA276" s="57"/>
    </row>
    <row r="277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  <c r="AA277" s="57"/>
    </row>
    <row r="278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  <c r="AA278" s="57"/>
    </row>
    <row r="279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  <c r="AA279" s="57"/>
    </row>
    <row r="280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  <c r="AA280" s="57"/>
    </row>
    <row r="281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  <c r="AA281" s="57"/>
    </row>
    <row r="282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  <c r="AA282" s="57"/>
    </row>
    <row r="283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  <c r="AA283" s="57"/>
    </row>
    <row r="284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  <c r="AA284" s="57"/>
    </row>
    <row r="285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  <c r="AA285" s="57"/>
    </row>
    <row r="286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  <c r="AA286" s="57"/>
    </row>
    <row r="287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  <c r="AA287" s="57"/>
    </row>
    <row r="288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  <c r="AA288" s="57"/>
    </row>
    <row r="289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  <c r="AA289" s="57"/>
    </row>
    <row r="290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  <c r="AA290" s="57"/>
    </row>
    <row r="291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  <c r="AA291" s="57"/>
    </row>
    <row r="292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  <c r="AA292" s="57"/>
    </row>
    <row r="293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  <c r="AA293" s="57"/>
    </row>
    <row r="294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  <c r="AA294" s="57"/>
    </row>
    <row r="295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  <c r="AA295" s="57"/>
    </row>
    <row r="296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  <c r="AA296" s="57"/>
    </row>
    <row r="297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  <c r="AA297" s="57"/>
    </row>
    <row r="298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  <c r="AA298" s="57"/>
    </row>
    <row r="299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  <c r="AA299" s="57"/>
    </row>
    <row r="300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  <c r="AA300" s="57"/>
    </row>
    <row r="301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  <c r="AA301" s="57"/>
    </row>
    <row r="302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  <c r="AA302" s="57"/>
    </row>
    <row r="303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  <c r="AA303" s="57"/>
    </row>
    <row r="304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  <c r="AA304" s="57"/>
    </row>
    <row r="305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  <c r="AA305" s="57"/>
    </row>
    <row r="306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  <c r="AA306" s="57"/>
    </row>
    <row r="307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  <c r="AA307" s="57"/>
    </row>
    <row r="308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  <c r="AA308" s="57"/>
    </row>
    <row r="309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  <c r="AA309" s="57"/>
    </row>
    <row r="310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  <c r="AA310" s="57"/>
    </row>
    <row r="311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  <c r="AA311" s="57"/>
    </row>
    <row r="312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  <c r="AA312" s="57"/>
    </row>
    <row r="313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  <c r="AA313" s="57"/>
    </row>
    <row r="314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  <c r="AA314" s="57"/>
    </row>
    <row r="315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  <c r="AA315" s="57"/>
    </row>
    <row r="316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  <c r="AA316" s="57"/>
    </row>
    <row r="317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  <c r="AA317" s="57"/>
    </row>
    <row r="318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  <c r="AA318" s="57"/>
    </row>
    <row r="319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  <c r="AA319" s="57"/>
    </row>
    <row r="320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  <c r="AA320" s="57"/>
    </row>
    <row r="321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  <c r="AA321" s="57"/>
    </row>
    <row r="322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  <c r="AA322" s="57"/>
    </row>
    <row r="323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  <c r="AA323" s="57"/>
    </row>
    <row r="324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  <c r="AA324" s="57"/>
    </row>
    <row r="325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  <c r="AA325" s="57"/>
    </row>
    <row r="326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  <c r="AA326" s="57"/>
    </row>
    <row r="327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  <c r="AA327" s="57"/>
    </row>
    <row r="328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  <c r="AA328" s="57"/>
    </row>
    <row r="329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  <c r="AA329" s="57"/>
    </row>
    <row r="330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  <c r="AA330" s="57"/>
    </row>
    <row r="331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  <c r="AA331" s="57"/>
    </row>
    <row r="332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  <c r="AA332" s="57"/>
    </row>
    <row r="333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  <c r="AA333" s="57"/>
    </row>
    <row r="334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  <c r="AA334" s="57"/>
    </row>
    <row r="335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  <c r="AA335" s="57"/>
    </row>
    <row r="336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  <c r="AA336" s="57"/>
    </row>
    <row r="337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  <c r="AA337" s="57"/>
    </row>
    <row r="338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  <c r="AA338" s="57"/>
    </row>
    <row r="339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  <c r="AA339" s="57"/>
    </row>
    <row r="340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  <c r="AA340" s="57"/>
    </row>
    <row r="341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  <c r="AA341" s="57"/>
    </row>
    <row r="342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  <c r="AA342" s="57"/>
    </row>
    <row r="343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  <c r="AA343" s="57"/>
    </row>
    <row r="344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  <c r="AA344" s="57"/>
    </row>
    <row r="345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  <c r="AA345" s="57"/>
    </row>
    <row r="346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  <c r="AA346" s="57"/>
    </row>
    <row r="347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  <c r="AA347" s="57"/>
    </row>
    <row r="348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  <c r="AA348" s="57"/>
    </row>
    <row r="349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  <c r="AA349" s="57"/>
    </row>
    <row r="350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  <c r="AA350" s="57"/>
    </row>
    <row r="351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  <c r="AA351" s="57"/>
    </row>
    <row r="352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  <c r="AA352" s="57"/>
    </row>
    <row r="353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  <c r="AA353" s="57"/>
    </row>
    <row r="354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  <c r="AA354" s="57"/>
    </row>
    <row r="355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  <c r="AA355" s="57"/>
    </row>
    <row r="356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  <c r="AA356" s="57"/>
    </row>
    <row r="357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  <c r="AA357" s="57"/>
    </row>
    <row r="358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  <c r="AA358" s="57"/>
    </row>
    <row r="359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  <c r="AA359" s="57"/>
    </row>
    <row r="360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  <c r="AA360" s="57"/>
    </row>
    <row r="361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  <c r="AA361" s="57"/>
    </row>
    <row r="362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  <c r="AA362" s="57"/>
    </row>
    <row r="363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  <c r="AA363" s="57"/>
    </row>
    <row r="364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  <c r="AA364" s="57"/>
    </row>
    <row r="365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  <c r="AA365" s="57"/>
    </row>
    <row r="366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  <c r="AA366" s="57"/>
    </row>
    <row r="367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  <c r="AA367" s="57"/>
    </row>
    <row r="368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  <c r="AA368" s="57"/>
    </row>
    <row r="369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  <c r="AA369" s="57"/>
    </row>
    <row r="370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  <c r="AA370" s="57"/>
    </row>
    <row r="371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  <c r="AA371" s="57"/>
    </row>
    <row r="372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  <c r="AA372" s="57"/>
    </row>
    <row r="373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  <c r="AA373" s="57"/>
    </row>
    <row r="374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  <c r="AA374" s="57"/>
    </row>
    <row r="375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  <c r="AA375" s="57"/>
    </row>
    <row r="376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  <c r="AA376" s="57"/>
    </row>
    <row r="377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  <c r="AA377" s="57"/>
    </row>
    <row r="378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  <c r="AA378" s="57"/>
    </row>
    <row r="379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  <c r="AA379" s="57"/>
    </row>
    <row r="380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  <c r="AA380" s="57"/>
    </row>
    <row r="381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  <c r="AA381" s="57"/>
    </row>
    <row r="382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  <c r="AA382" s="57"/>
    </row>
    <row r="383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  <c r="AA383" s="57"/>
    </row>
    <row r="384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  <c r="AA384" s="57"/>
    </row>
    <row r="385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  <c r="AA385" s="57"/>
    </row>
    <row r="386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  <c r="AA386" s="57"/>
    </row>
    <row r="387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  <c r="AA387" s="57"/>
    </row>
    <row r="388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  <c r="AA388" s="57"/>
    </row>
    <row r="389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  <c r="AA389" s="57"/>
    </row>
    <row r="390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  <c r="AA390" s="57"/>
    </row>
    <row r="391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  <c r="AA391" s="57"/>
    </row>
    <row r="392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  <c r="AA392" s="57"/>
    </row>
    <row r="393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  <c r="AA393" s="57"/>
    </row>
    <row r="394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  <c r="AA394" s="57"/>
    </row>
    <row r="395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  <c r="AA395" s="57"/>
    </row>
    <row r="396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  <c r="AA396" s="57"/>
    </row>
    <row r="397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  <c r="AA397" s="57"/>
    </row>
    <row r="398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  <c r="AA398" s="57"/>
    </row>
    <row r="399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  <c r="AA399" s="57"/>
    </row>
    <row r="400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  <c r="AA400" s="57"/>
    </row>
    <row r="401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  <c r="AA401" s="57"/>
    </row>
    <row r="402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  <c r="AA402" s="57"/>
    </row>
    <row r="403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  <c r="AA403" s="57"/>
    </row>
    <row r="404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  <c r="AA404" s="57"/>
    </row>
    <row r="405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  <c r="AA405" s="57"/>
    </row>
    <row r="406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  <c r="AA406" s="57"/>
    </row>
    <row r="407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  <c r="AA407" s="57"/>
    </row>
    <row r="408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  <c r="AA408" s="57"/>
    </row>
    <row r="409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  <c r="AA409" s="57"/>
    </row>
    <row r="410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  <c r="AA410" s="57"/>
    </row>
    <row r="411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  <c r="AA411" s="57"/>
    </row>
    <row r="412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  <c r="AA412" s="57"/>
    </row>
    <row r="413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  <c r="AA413" s="57"/>
    </row>
    <row r="414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  <c r="AA414" s="57"/>
    </row>
    <row r="415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  <c r="AA415" s="57"/>
    </row>
    <row r="416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  <c r="AA416" s="57"/>
    </row>
    <row r="417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  <c r="AA417" s="57"/>
    </row>
    <row r="418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  <c r="AA418" s="57"/>
    </row>
    <row r="419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  <c r="AA419" s="57"/>
    </row>
    <row r="420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  <c r="AA420" s="57"/>
    </row>
    <row r="421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  <c r="AA421" s="57"/>
    </row>
    <row r="422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  <c r="AA422" s="57"/>
    </row>
    <row r="423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  <c r="AA423" s="57"/>
    </row>
    <row r="424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  <c r="AA424" s="57"/>
    </row>
    <row r="425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  <c r="AA425" s="57"/>
    </row>
    <row r="426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  <c r="AA426" s="57"/>
    </row>
    <row r="427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  <c r="AA427" s="57"/>
    </row>
    <row r="428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  <c r="AA428" s="57"/>
    </row>
    <row r="429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  <c r="AA429" s="57"/>
    </row>
    <row r="430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  <c r="AA430" s="57"/>
    </row>
    <row r="431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  <c r="AA431" s="57"/>
    </row>
    <row r="432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  <c r="AA432" s="57"/>
    </row>
    <row r="433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  <c r="AA433" s="57"/>
    </row>
    <row r="434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  <c r="AA434" s="57"/>
    </row>
    <row r="435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  <c r="AA435" s="57"/>
    </row>
    <row r="436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  <c r="AA436" s="57"/>
    </row>
    <row r="437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  <c r="AA437" s="57"/>
    </row>
    <row r="438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  <c r="AA438" s="57"/>
    </row>
    <row r="439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  <c r="AA439" s="57"/>
    </row>
    <row r="440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  <c r="AA440" s="57"/>
    </row>
    <row r="441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  <c r="AA441" s="57"/>
    </row>
    <row r="442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  <c r="AA442" s="57"/>
    </row>
    <row r="443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  <c r="AA443" s="57"/>
    </row>
    <row r="444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  <c r="AA444" s="57"/>
    </row>
    <row r="445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  <c r="AA445" s="57"/>
    </row>
    <row r="446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  <c r="AA446" s="57"/>
    </row>
    <row r="447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  <c r="AA447" s="57"/>
    </row>
    <row r="448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  <c r="AA448" s="57"/>
    </row>
    <row r="449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  <c r="AA449" s="57"/>
    </row>
    <row r="450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  <c r="AA450" s="57"/>
    </row>
    <row r="451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  <c r="AA451" s="57"/>
    </row>
    <row r="452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  <c r="AA452" s="57"/>
    </row>
    <row r="453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  <c r="AA453" s="57"/>
    </row>
    <row r="454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  <c r="AA454" s="57"/>
    </row>
    <row r="455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  <c r="AA455" s="57"/>
    </row>
    <row r="456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  <c r="AA456" s="57"/>
    </row>
    <row r="457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  <c r="AA457" s="57"/>
    </row>
    <row r="458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  <c r="AA458" s="57"/>
    </row>
    <row r="459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  <c r="AA459" s="57"/>
    </row>
    <row r="460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  <c r="AA460" s="57"/>
    </row>
    <row r="461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  <c r="AA461" s="57"/>
    </row>
    <row r="462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  <c r="AA462" s="57"/>
    </row>
    <row r="463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  <c r="AA463" s="57"/>
    </row>
    <row r="464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  <c r="AA464" s="57"/>
    </row>
    <row r="465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  <c r="AA465" s="57"/>
    </row>
    <row r="466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  <c r="AA466" s="57"/>
    </row>
    <row r="467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  <c r="AA467" s="57"/>
    </row>
    <row r="468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  <c r="AA468" s="57"/>
    </row>
    <row r="469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  <c r="AA469" s="57"/>
    </row>
    <row r="470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  <c r="AA470" s="57"/>
    </row>
    <row r="471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  <c r="AA471" s="57"/>
    </row>
    <row r="472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  <c r="AA472" s="57"/>
    </row>
    <row r="473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  <c r="AA473" s="57"/>
    </row>
    <row r="474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  <c r="AA474" s="57"/>
    </row>
    <row r="475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  <c r="AA475" s="57"/>
    </row>
    <row r="476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  <c r="AA476" s="57"/>
    </row>
    <row r="477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  <c r="AA477" s="57"/>
    </row>
    <row r="478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  <c r="AA478" s="57"/>
    </row>
    <row r="479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  <c r="AA479" s="57"/>
    </row>
    <row r="480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  <c r="AA480" s="57"/>
    </row>
    <row r="481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  <c r="AA481" s="57"/>
    </row>
    <row r="482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  <c r="AA482" s="57"/>
    </row>
    <row r="483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  <c r="AA483" s="57"/>
    </row>
    <row r="484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  <c r="AA484" s="57"/>
    </row>
    <row r="485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  <c r="AA485" s="57"/>
    </row>
    <row r="486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  <c r="AA486" s="57"/>
    </row>
    <row r="487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  <c r="AA487" s="57"/>
    </row>
    <row r="488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  <c r="AA488" s="57"/>
    </row>
    <row r="489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  <c r="AA489" s="57"/>
    </row>
    <row r="490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  <c r="AA490" s="57"/>
    </row>
    <row r="491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  <c r="AA491" s="57"/>
    </row>
    <row r="492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  <c r="AA492" s="57"/>
    </row>
    <row r="493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  <c r="AA493" s="57"/>
    </row>
    <row r="494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  <c r="AA494" s="57"/>
    </row>
    <row r="495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  <c r="AA495" s="57"/>
    </row>
    <row r="496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  <c r="AA496" s="57"/>
    </row>
    <row r="497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  <c r="AA497" s="57"/>
    </row>
    <row r="498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  <c r="AA498" s="57"/>
    </row>
    <row r="499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  <c r="AA499" s="57"/>
    </row>
    <row r="500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  <c r="AA500" s="57"/>
    </row>
    <row r="501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  <c r="AA501" s="57"/>
    </row>
    <row r="502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  <c r="AA502" s="57"/>
    </row>
    <row r="503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  <c r="AA503" s="57"/>
    </row>
    <row r="504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  <c r="AA504" s="57"/>
    </row>
    <row r="505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  <c r="AA505" s="57"/>
    </row>
    <row r="506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  <c r="AA506" s="57"/>
    </row>
    <row r="507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  <c r="AA507" s="57"/>
    </row>
    <row r="508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  <c r="AA508" s="57"/>
    </row>
    <row r="509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  <c r="AA509" s="57"/>
    </row>
    <row r="510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  <c r="AA510" s="57"/>
    </row>
    <row r="511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  <c r="AA511" s="57"/>
    </row>
    <row r="512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  <c r="AA512" s="57"/>
    </row>
    <row r="513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  <c r="AA513" s="57"/>
    </row>
    <row r="514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  <c r="AA514" s="57"/>
    </row>
    <row r="515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  <c r="AA515" s="57"/>
    </row>
    <row r="516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  <c r="AA516" s="57"/>
    </row>
    <row r="517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  <c r="AA517" s="57"/>
    </row>
    <row r="518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  <c r="AA518" s="57"/>
    </row>
    <row r="519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  <c r="AA519" s="57"/>
    </row>
    <row r="520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  <c r="AA520" s="57"/>
    </row>
    <row r="521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  <c r="AA521" s="57"/>
    </row>
    <row r="522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  <c r="AA522" s="57"/>
    </row>
    <row r="523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  <c r="AA523" s="57"/>
    </row>
    <row r="524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  <c r="AA524" s="57"/>
    </row>
    <row r="525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  <c r="AA525" s="57"/>
    </row>
    <row r="526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  <c r="AA526" s="57"/>
    </row>
    <row r="527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  <c r="AA527" s="57"/>
    </row>
    <row r="528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  <c r="AA528" s="57"/>
    </row>
    <row r="529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  <c r="AA529" s="57"/>
    </row>
    <row r="530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  <c r="AA530" s="57"/>
    </row>
    <row r="531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  <c r="AA531" s="57"/>
    </row>
    <row r="532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  <c r="AA532" s="57"/>
    </row>
    <row r="533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  <c r="AA533" s="57"/>
    </row>
    <row r="534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  <c r="AA534" s="57"/>
    </row>
    <row r="535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  <c r="AA535" s="57"/>
    </row>
    <row r="536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  <c r="AA536" s="57"/>
    </row>
    <row r="537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  <c r="AA537" s="57"/>
    </row>
    <row r="538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  <c r="AA538" s="57"/>
    </row>
    <row r="539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  <c r="AA539" s="57"/>
    </row>
    <row r="540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  <c r="AA540" s="57"/>
    </row>
    <row r="541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  <c r="AA541" s="57"/>
    </row>
    <row r="542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  <c r="AA542" s="57"/>
    </row>
    <row r="543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  <c r="AA543" s="57"/>
    </row>
    <row r="544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  <c r="AA544" s="57"/>
    </row>
    <row r="545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  <c r="AA545" s="57"/>
    </row>
    <row r="546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  <c r="AA546" s="57"/>
    </row>
    <row r="547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  <c r="AA547" s="57"/>
    </row>
    <row r="548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  <c r="AA548" s="57"/>
    </row>
    <row r="549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  <c r="AA549" s="57"/>
    </row>
    <row r="550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  <c r="AA550" s="57"/>
    </row>
    <row r="551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  <c r="AA551" s="57"/>
    </row>
    <row r="552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  <c r="AA552" s="57"/>
    </row>
    <row r="553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  <c r="AA553" s="57"/>
    </row>
    <row r="554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  <c r="AA554" s="57"/>
    </row>
    <row r="555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  <c r="AA555" s="57"/>
    </row>
    <row r="556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  <c r="AA556" s="57"/>
    </row>
    <row r="557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  <c r="AA557" s="57"/>
    </row>
    <row r="558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  <c r="AA558" s="57"/>
    </row>
    <row r="559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  <c r="AA559" s="57"/>
    </row>
    <row r="560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  <c r="AA560" s="57"/>
    </row>
    <row r="561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  <c r="AA561" s="57"/>
    </row>
    <row r="562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  <c r="AA562" s="57"/>
    </row>
    <row r="563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  <c r="AA563" s="57"/>
    </row>
    <row r="564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  <c r="AA564" s="57"/>
    </row>
    <row r="565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  <c r="AA565" s="57"/>
    </row>
    <row r="566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  <c r="AA566" s="57"/>
    </row>
    <row r="567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  <c r="AA567" s="57"/>
    </row>
    <row r="568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  <c r="AA568" s="57"/>
    </row>
    <row r="569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  <c r="AA569" s="57"/>
    </row>
    <row r="570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  <c r="AA570" s="57"/>
    </row>
    <row r="571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  <c r="AA571" s="57"/>
    </row>
    <row r="572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  <c r="AA572" s="57"/>
    </row>
    <row r="573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  <c r="AA573" s="57"/>
    </row>
    <row r="574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  <c r="AA574" s="57"/>
    </row>
    <row r="575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  <c r="AA575" s="57"/>
    </row>
    <row r="576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  <c r="AA576" s="57"/>
    </row>
    <row r="577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  <c r="AA577" s="57"/>
    </row>
    <row r="578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  <c r="AA578" s="57"/>
    </row>
    <row r="579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  <c r="AA579" s="57"/>
    </row>
    <row r="580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  <c r="AA580" s="57"/>
    </row>
    <row r="581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  <c r="AA581" s="57"/>
    </row>
    <row r="582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  <c r="AA582" s="57"/>
    </row>
    <row r="583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  <c r="AA583" s="57"/>
    </row>
    <row r="584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  <c r="AA584" s="57"/>
    </row>
    <row r="585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  <c r="AA585" s="57"/>
    </row>
    <row r="586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  <c r="AA586" s="57"/>
    </row>
    <row r="587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  <c r="AA587" s="57"/>
    </row>
    <row r="588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  <c r="AA588" s="57"/>
    </row>
    <row r="589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  <c r="AA589" s="57"/>
    </row>
    <row r="590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  <c r="AA590" s="57"/>
    </row>
    <row r="591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  <c r="AA591" s="57"/>
    </row>
    <row r="592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  <c r="AA592" s="57"/>
    </row>
    <row r="593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  <c r="AA593" s="57"/>
    </row>
    <row r="594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  <c r="AA594" s="57"/>
    </row>
    <row r="595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  <c r="AA595" s="57"/>
    </row>
    <row r="596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  <c r="AA596" s="57"/>
    </row>
    <row r="597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  <c r="AA597" s="57"/>
    </row>
    <row r="598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  <c r="AA598" s="57"/>
    </row>
    <row r="599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  <c r="AA599" s="57"/>
    </row>
    <row r="600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  <c r="AA600" s="57"/>
    </row>
    <row r="601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  <c r="AA601" s="57"/>
    </row>
    <row r="602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  <c r="AA602" s="57"/>
    </row>
    <row r="603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  <c r="AA603" s="57"/>
    </row>
    <row r="604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  <c r="AA604" s="57"/>
    </row>
    <row r="605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  <c r="AA605" s="57"/>
    </row>
    <row r="606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  <c r="AA606" s="57"/>
    </row>
    <row r="607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  <c r="AA607" s="57"/>
    </row>
    <row r="608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  <c r="AA608" s="57"/>
    </row>
    <row r="609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  <c r="AA609" s="57"/>
    </row>
    <row r="610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  <c r="AA610" s="57"/>
    </row>
    <row r="611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  <c r="AA611" s="57"/>
    </row>
    <row r="612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  <c r="AA612" s="57"/>
    </row>
    <row r="613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  <c r="AA613" s="57"/>
    </row>
    <row r="614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  <c r="AA614" s="57"/>
    </row>
    <row r="615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  <c r="AA615" s="57"/>
    </row>
    <row r="616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  <c r="AA616" s="57"/>
    </row>
    <row r="617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  <c r="AA617" s="57"/>
    </row>
    <row r="618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  <c r="AA618" s="57"/>
    </row>
    <row r="619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  <c r="AA619" s="57"/>
    </row>
    <row r="620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  <c r="AA620" s="57"/>
    </row>
    <row r="621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  <c r="AA621" s="57"/>
    </row>
    <row r="622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  <c r="AA622" s="57"/>
    </row>
    <row r="623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  <c r="AA623" s="57"/>
    </row>
    <row r="624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  <c r="AA624" s="57"/>
    </row>
    <row r="625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  <c r="AA625" s="57"/>
    </row>
    <row r="626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  <c r="AA626" s="57"/>
    </row>
    <row r="627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  <c r="AA627" s="57"/>
    </row>
    <row r="628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  <c r="AA628" s="57"/>
    </row>
    <row r="629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  <c r="AA629" s="57"/>
    </row>
    <row r="630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  <c r="AA630" s="57"/>
    </row>
    <row r="631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  <c r="AA631" s="57"/>
    </row>
    <row r="632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  <c r="AA632" s="57"/>
    </row>
    <row r="633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  <c r="AA633" s="57"/>
    </row>
    <row r="634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  <c r="AA634" s="57"/>
    </row>
    <row r="635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  <c r="AA635" s="57"/>
    </row>
    <row r="636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  <c r="AA636" s="57"/>
    </row>
    <row r="637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  <c r="AA637" s="57"/>
    </row>
    <row r="638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  <c r="AA638" s="57"/>
    </row>
    <row r="639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  <c r="AA639" s="57"/>
    </row>
    <row r="640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  <c r="AA640" s="57"/>
    </row>
    <row r="641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  <c r="AA641" s="57"/>
    </row>
    <row r="642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  <c r="AA642" s="57"/>
    </row>
    <row r="643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  <c r="AA643" s="57"/>
    </row>
    <row r="644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  <c r="AA644" s="57"/>
    </row>
    <row r="645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  <c r="AA645" s="57"/>
    </row>
    <row r="646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  <c r="AA646" s="57"/>
    </row>
    <row r="647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  <c r="AA647" s="57"/>
    </row>
    <row r="648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  <c r="AA648" s="57"/>
    </row>
    <row r="649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  <c r="AA649" s="57"/>
    </row>
    <row r="650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  <c r="AA650" s="57"/>
    </row>
    <row r="651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  <c r="AA651" s="57"/>
    </row>
    <row r="652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  <c r="AA652" s="57"/>
    </row>
    <row r="653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  <c r="AA653" s="57"/>
    </row>
    <row r="654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  <c r="AA654" s="57"/>
    </row>
    <row r="655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  <c r="AA655" s="57"/>
    </row>
    <row r="656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  <c r="AA656" s="57"/>
    </row>
    <row r="657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  <c r="AA657" s="57"/>
    </row>
    <row r="658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  <c r="AA658" s="57"/>
    </row>
    <row r="659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  <c r="AA659" s="57"/>
    </row>
    <row r="660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  <c r="AA660" s="57"/>
    </row>
    <row r="661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  <c r="AA661" s="57"/>
    </row>
    <row r="662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  <c r="AA662" s="57"/>
    </row>
    <row r="663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  <c r="AA663" s="57"/>
    </row>
    <row r="664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  <c r="AA664" s="57"/>
    </row>
    <row r="665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  <c r="AA665" s="57"/>
    </row>
    <row r="666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  <c r="AA666" s="57"/>
    </row>
    <row r="667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  <c r="AA667" s="57"/>
    </row>
    <row r="668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  <c r="AA668" s="57"/>
    </row>
    <row r="669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  <c r="AA669" s="57"/>
    </row>
    <row r="670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  <c r="AA670" s="57"/>
    </row>
    <row r="671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  <c r="AA671" s="57"/>
    </row>
    <row r="672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  <c r="AA672" s="57"/>
    </row>
    <row r="673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  <c r="AA673" s="57"/>
    </row>
    <row r="674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  <c r="AA674" s="57"/>
    </row>
    <row r="675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  <c r="AA675" s="57"/>
    </row>
    <row r="676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  <c r="AA676" s="57"/>
    </row>
    <row r="677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  <c r="AA677" s="57"/>
    </row>
    <row r="678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  <c r="AA678" s="57"/>
    </row>
    <row r="679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  <c r="AA679" s="57"/>
    </row>
    <row r="680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  <c r="AA680" s="57"/>
    </row>
    <row r="681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  <c r="AA681" s="57"/>
    </row>
    <row r="682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  <c r="AA682" s="57"/>
    </row>
    <row r="683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  <c r="AA683" s="57"/>
    </row>
    <row r="684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  <c r="AA684" s="57"/>
    </row>
    <row r="685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  <c r="AA685" s="57"/>
    </row>
    <row r="686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  <c r="AA686" s="57"/>
    </row>
    <row r="687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  <c r="AA687" s="57"/>
    </row>
    <row r="688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  <c r="AA688" s="57"/>
    </row>
    <row r="689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  <c r="AA689" s="57"/>
    </row>
    <row r="690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  <c r="AA690" s="57"/>
    </row>
    <row r="691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  <c r="AA691" s="57"/>
    </row>
    <row r="692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  <c r="AA692" s="57"/>
    </row>
    <row r="693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  <c r="AA693" s="57"/>
    </row>
    <row r="694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  <c r="AA694" s="57"/>
    </row>
    <row r="695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  <c r="AA695" s="57"/>
    </row>
    <row r="696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  <c r="AA696" s="57"/>
    </row>
    <row r="697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  <c r="AA697" s="57"/>
    </row>
    <row r="698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  <c r="AA698" s="57"/>
    </row>
    <row r="699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  <c r="AA699" s="57"/>
    </row>
    <row r="700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  <c r="AA700" s="57"/>
    </row>
    <row r="701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  <c r="AA701" s="57"/>
    </row>
    <row r="702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  <c r="AA702" s="57"/>
    </row>
    <row r="703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  <c r="AA703" s="57"/>
    </row>
    <row r="704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  <c r="AA704" s="57"/>
    </row>
    <row r="705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  <c r="AA705" s="57"/>
    </row>
    <row r="706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  <c r="AA706" s="57"/>
    </row>
    <row r="707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  <c r="AA707" s="57"/>
    </row>
    <row r="708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  <c r="AA708" s="57"/>
    </row>
    <row r="709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  <c r="AA709" s="57"/>
    </row>
    <row r="710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  <c r="AA710" s="57"/>
    </row>
    <row r="711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  <c r="AA711" s="57"/>
    </row>
    <row r="712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  <c r="AA712" s="57"/>
    </row>
    <row r="713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  <c r="AA713" s="57"/>
    </row>
    <row r="714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  <c r="AA714" s="57"/>
    </row>
    <row r="715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  <c r="AA715" s="57"/>
    </row>
    <row r="716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  <c r="AA716" s="57"/>
    </row>
    <row r="717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  <c r="AA717" s="57"/>
    </row>
    <row r="718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  <c r="AA718" s="57"/>
    </row>
    <row r="719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  <c r="AA719" s="57"/>
    </row>
    <row r="720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  <c r="AA720" s="57"/>
    </row>
    <row r="721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  <c r="AA721" s="57"/>
    </row>
    <row r="722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  <c r="AA722" s="57"/>
    </row>
    <row r="723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  <c r="AA723" s="57"/>
    </row>
    <row r="724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  <c r="AA724" s="57"/>
    </row>
    <row r="725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  <c r="AA725" s="57"/>
    </row>
    <row r="726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  <c r="AA726" s="57"/>
    </row>
    <row r="727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  <c r="AA727" s="57"/>
    </row>
    <row r="728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  <c r="AA728" s="57"/>
    </row>
    <row r="729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  <c r="AA729" s="57"/>
    </row>
    <row r="730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  <c r="AA730" s="57"/>
    </row>
    <row r="731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  <c r="AA731" s="57"/>
    </row>
    <row r="732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  <c r="AA732" s="57"/>
    </row>
    <row r="733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  <c r="AA733" s="57"/>
    </row>
    <row r="734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  <c r="AA734" s="57"/>
    </row>
    <row r="735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  <c r="AA735" s="57"/>
    </row>
    <row r="736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  <c r="AA736" s="57"/>
    </row>
    <row r="737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  <c r="AA737" s="57"/>
    </row>
    <row r="738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  <c r="AA738" s="57"/>
    </row>
    <row r="739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  <c r="AA739" s="57"/>
    </row>
    <row r="740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  <c r="AA740" s="57"/>
    </row>
    <row r="741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  <c r="AA741" s="57"/>
    </row>
    <row r="742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  <c r="AA742" s="57"/>
    </row>
    <row r="743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  <c r="AA743" s="57"/>
    </row>
    <row r="744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  <c r="AA744" s="57"/>
    </row>
    <row r="745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  <c r="AA745" s="57"/>
    </row>
    <row r="746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  <c r="AA746" s="57"/>
    </row>
    <row r="747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  <c r="AA747" s="57"/>
    </row>
    <row r="748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  <c r="AA748" s="57"/>
    </row>
    <row r="749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  <c r="AA749" s="57"/>
    </row>
    <row r="750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  <c r="AA750" s="57"/>
    </row>
    <row r="751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  <c r="AA751" s="57"/>
    </row>
    <row r="752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  <c r="AA752" s="57"/>
    </row>
    <row r="753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  <c r="AA753" s="57"/>
    </row>
    <row r="754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  <c r="AA754" s="57"/>
    </row>
    <row r="755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  <c r="AA755" s="57"/>
    </row>
    <row r="756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  <c r="AA756" s="57"/>
    </row>
    <row r="757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  <c r="AA757" s="57"/>
    </row>
    <row r="758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  <c r="AA758" s="57"/>
    </row>
    <row r="759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  <c r="AA759" s="57"/>
    </row>
    <row r="760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  <c r="AA760" s="57"/>
    </row>
    <row r="761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  <c r="AA761" s="57"/>
    </row>
    <row r="762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  <c r="AA762" s="57"/>
    </row>
    <row r="763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  <c r="AA763" s="57"/>
    </row>
    <row r="764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  <c r="AA764" s="57"/>
    </row>
    <row r="765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  <c r="AA765" s="57"/>
    </row>
    <row r="766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  <c r="AA766" s="57"/>
    </row>
    <row r="767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  <c r="AA767" s="57"/>
    </row>
    <row r="768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  <c r="AA768" s="57"/>
    </row>
    <row r="769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  <c r="AA769" s="57"/>
    </row>
    <row r="770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  <c r="AA770" s="57"/>
    </row>
    <row r="771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  <c r="AA771" s="57"/>
    </row>
    <row r="772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  <c r="AA772" s="57"/>
    </row>
    <row r="773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  <c r="AA773" s="57"/>
    </row>
    <row r="774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  <c r="AA774" s="57"/>
    </row>
    <row r="775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  <c r="AA775" s="57"/>
    </row>
    <row r="776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  <c r="AA776" s="57"/>
    </row>
    <row r="777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  <c r="AA777" s="57"/>
    </row>
    <row r="778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  <c r="AA778" s="57"/>
    </row>
    <row r="779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  <c r="AA779" s="57"/>
    </row>
    <row r="780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  <c r="AA780" s="57"/>
    </row>
    <row r="781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  <c r="AA781" s="57"/>
    </row>
    <row r="782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  <c r="AA782" s="57"/>
    </row>
    <row r="783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  <c r="AA783" s="57"/>
    </row>
    <row r="784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  <c r="AA784" s="57"/>
    </row>
    <row r="785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  <c r="AA785" s="57"/>
    </row>
    <row r="786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  <c r="AA786" s="57"/>
    </row>
    <row r="787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  <c r="AA787" s="57"/>
    </row>
    <row r="788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  <c r="AA788" s="57"/>
    </row>
    <row r="789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  <c r="AA789" s="57"/>
    </row>
    <row r="790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  <c r="AA790" s="57"/>
    </row>
    <row r="791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  <c r="AA791" s="57"/>
    </row>
    <row r="792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  <c r="AA792" s="57"/>
    </row>
    <row r="793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  <c r="AA793" s="57"/>
    </row>
    <row r="794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  <c r="AA794" s="57"/>
    </row>
    <row r="795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  <c r="AA795" s="57"/>
    </row>
    <row r="796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  <c r="AA796" s="57"/>
    </row>
    <row r="797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  <c r="AA797" s="57"/>
    </row>
    <row r="798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  <c r="AA798" s="57"/>
    </row>
    <row r="799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  <c r="AA799" s="57"/>
    </row>
    <row r="800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  <c r="AA800" s="57"/>
    </row>
    <row r="801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  <c r="AA801" s="57"/>
    </row>
    <row r="802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  <c r="AA802" s="57"/>
    </row>
    <row r="803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  <c r="AA803" s="57"/>
    </row>
    <row r="804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  <c r="AA804" s="57"/>
    </row>
    <row r="805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  <c r="AA805" s="57"/>
    </row>
    <row r="806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  <c r="AA806" s="57"/>
    </row>
    <row r="807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  <c r="AA807" s="57"/>
    </row>
    <row r="808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  <c r="AA808" s="57"/>
    </row>
    <row r="809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  <c r="AA809" s="57"/>
    </row>
    <row r="810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  <c r="AA810" s="57"/>
    </row>
    <row r="811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  <c r="AA811" s="57"/>
    </row>
    <row r="812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  <c r="AA812" s="57"/>
    </row>
    <row r="813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  <c r="AA813" s="57"/>
    </row>
    <row r="814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  <c r="AA814" s="57"/>
    </row>
    <row r="815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  <c r="AA815" s="57"/>
    </row>
    <row r="816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  <c r="AA816" s="57"/>
    </row>
    <row r="817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  <c r="AA817" s="57"/>
    </row>
    <row r="818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  <c r="AA818" s="57"/>
    </row>
    <row r="819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  <c r="AA819" s="57"/>
    </row>
    <row r="820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  <c r="AA820" s="57"/>
    </row>
    <row r="821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  <c r="AA821" s="57"/>
    </row>
    <row r="822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  <c r="AA822" s="57"/>
    </row>
    <row r="823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  <c r="AA823" s="57"/>
    </row>
    <row r="824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  <c r="AA824" s="57"/>
    </row>
    <row r="825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  <c r="AA825" s="57"/>
    </row>
    <row r="826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  <c r="AA826" s="57"/>
    </row>
    <row r="827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  <c r="AA827" s="57"/>
    </row>
    <row r="828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  <c r="AA828" s="57"/>
    </row>
    <row r="829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  <c r="AA829" s="57"/>
    </row>
    <row r="830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  <c r="AA830" s="57"/>
    </row>
    <row r="831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  <c r="AA831" s="57"/>
    </row>
    <row r="832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  <c r="AA832" s="57"/>
    </row>
    <row r="833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  <c r="AA833" s="57"/>
    </row>
    <row r="834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  <c r="AA834" s="57"/>
    </row>
    <row r="835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  <c r="AA835" s="57"/>
    </row>
    <row r="836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  <c r="AA836" s="57"/>
    </row>
    <row r="837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  <c r="AA837" s="57"/>
    </row>
    <row r="838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  <c r="AA838" s="57"/>
    </row>
    <row r="839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  <c r="AA839" s="57"/>
    </row>
    <row r="840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  <c r="AA840" s="57"/>
    </row>
    <row r="841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  <c r="AA841" s="57"/>
    </row>
    <row r="842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  <c r="AA842" s="57"/>
    </row>
    <row r="843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  <c r="AA843" s="57"/>
    </row>
    <row r="844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  <c r="AA844" s="57"/>
    </row>
    <row r="845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  <c r="AA845" s="57"/>
    </row>
    <row r="846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  <c r="AA846" s="57"/>
    </row>
    <row r="847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  <c r="AA847" s="57"/>
    </row>
    <row r="848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  <c r="AA848" s="57"/>
    </row>
    <row r="849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  <c r="AA849" s="57"/>
    </row>
    <row r="850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  <c r="AA850" s="57"/>
    </row>
    <row r="851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  <c r="AA851" s="57"/>
    </row>
    <row r="852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  <c r="AA852" s="57"/>
    </row>
    <row r="853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  <c r="AA853" s="57"/>
    </row>
    <row r="854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  <c r="AA854" s="57"/>
    </row>
    <row r="855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  <c r="AA855" s="57"/>
    </row>
    <row r="856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  <c r="AA856" s="57"/>
    </row>
    <row r="857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  <c r="AA857" s="57"/>
    </row>
    <row r="858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  <c r="AA858" s="57"/>
    </row>
    <row r="859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  <c r="AA859" s="57"/>
    </row>
    <row r="860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  <c r="AA860" s="57"/>
    </row>
    <row r="861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  <c r="AA861" s="57"/>
    </row>
    <row r="862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  <c r="AA862" s="57"/>
    </row>
    <row r="863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  <c r="AA863" s="57"/>
    </row>
    <row r="864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  <c r="AA864" s="57"/>
    </row>
    <row r="865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  <c r="AA865" s="57"/>
    </row>
    <row r="866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  <c r="AA866" s="57"/>
    </row>
    <row r="867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  <c r="AA867" s="57"/>
    </row>
    <row r="868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  <c r="AA868" s="57"/>
    </row>
    <row r="869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  <c r="AA869" s="57"/>
    </row>
    <row r="870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  <c r="AA870" s="57"/>
    </row>
    <row r="871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  <c r="AA871" s="57"/>
    </row>
    <row r="872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  <c r="AA872" s="57"/>
    </row>
    <row r="873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  <c r="AA873" s="57"/>
    </row>
    <row r="874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  <c r="AA874" s="57"/>
    </row>
    <row r="875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  <c r="AA875" s="57"/>
    </row>
    <row r="876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  <c r="AA876" s="57"/>
    </row>
    <row r="877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  <c r="AA877" s="57"/>
    </row>
    <row r="878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  <c r="AA878" s="57"/>
    </row>
    <row r="879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  <c r="AA879" s="57"/>
    </row>
    <row r="880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  <c r="AA880" s="57"/>
    </row>
    <row r="881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  <c r="AA881" s="57"/>
    </row>
    <row r="882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  <c r="AA882" s="57"/>
    </row>
    <row r="883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  <c r="AA883" s="57"/>
    </row>
    <row r="884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  <c r="AA884" s="57"/>
    </row>
    <row r="885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  <c r="AA885" s="57"/>
    </row>
    <row r="886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  <c r="AA886" s="57"/>
    </row>
    <row r="887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  <c r="AA887" s="57"/>
    </row>
    <row r="888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  <c r="AA888" s="57"/>
    </row>
    <row r="889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  <c r="AA889" s="57"/>
    </row>
    <row r="890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  <c r="AA890" s="57"/>
    </row>
    <row r="891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  <c r="AA891" s="57"/>
    </row>
    <row r="892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  <c r="AA892" s="57"/>
    </row>
    <row r="893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  <c r="AA893" s="57"/>
    </row>
    <row r="894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  <c r="AA894" s="57"/>
    </row>
    <row r="895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  <c r="AA895" s="57"/>
    </row>
    <row r="896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  <c r="AA896" s="57"/>
    </row>
    <row r="897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  <c r="AA897" s="57"/>
    </row>
    <row r="898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  <c r="AA898" s="57"/>
    </row>
    <row r="899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  <c r="AA899" s="57"/>
    </row>
    <row r="900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  <c r="AA900" s="57"/>
    </row>
    <row r="901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  <c r="AA901" s="57"/>
    </row>
    <row r="902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  <c r="AA902" s="57"/>
    </row>
    <row r="903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  <c r="AA903" s="57"/>
    </row>
    <row r="904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  <c r="AA904" s="57"/>
    </row>
    <row r="905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  <c r="AA905" s="57"/>
    </row>
    <row r="906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  <c r="AA906" s="57"/>
    </row>
    <row r="907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  <c r="AA907" s="57"/>
    </row>
    <row r="908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  <c r="AA908" s="57"/>
    </row>
    <row r="909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  <c r="AA909" s="57"/>
    </row>
    <row r="910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  <c r="AA910" s="57"/>
    </row>
    <row r="911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  <c r="AA911" s="57"/>
    </row>
    <row r="912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  <c r="AA912" s="57"/>
    </row>
    <row r="913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  <c r="AA913" s="57"/>
    </row>
    <row r="914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  <c r="AA914" s="57"/>
    </row>
    <row r="915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  <c r="AA915" s="57"/>
    </row>
    <row r="916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  <c r="AA916" s="57"/>
    </row>
    <row r="917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  <c r="AA917" s="57"/>
    </row>
    <row r="918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  <c r="AA918" s="57"/>
    </row>
    <row r="919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  <c r="AA919" s="57"/>
    </row>
    <row r="920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  <c r="AA920" s="57"/>
    </row>
    <row r="921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  <c r="AA921" s="57"/>
    </row>
    <row r="922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  <c r="AA922" s="57"/>
    </row>
    <row r="923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  <c r="AA923" s="57"/>
    </row>
    <row r="924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  <c r="AA924" s="57"/>
    </row>
    <row r="925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  <c r="AA925" s="57"/>
    </row>
    <row r="926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  <c r="AA926" s="57"/>
    </row>
    <row r="927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  <c r="AA927" s="57"/>
    </row>
    <row r="928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  <c r="AA928" s="57"/>
    </row>
    <row r="929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  <c r="AA929" s="57"/>
    </row>
    <row r="930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  <c r="AA930" s="57"/>
    </row>
    <row r="931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  <c r="AA931" s="57"/>
    </row>
    <row r="932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  <c r="AA932" s="57"/>
    </row>
    <row r="933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  <c r="AA933" s="57"/>
    </row>
    <row r="934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  <c r="AA934" s="57"/>
    </row>
    <row r="935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  <c r="AA935" s="57"/>
    </row>
    <row r="936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  <c r="AA936" s="57"/>
    </row>
    <row r="937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  <c r="AA937" s="57"/>
    </row>
    <row r="938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  <c r="AA938" s="57"/>
    </row>
    <row r="939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  <c r="AA939" s="57"/>
    </row>
    <row r="940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  <c r="AA940" s="57"/>
    </row>
    <row r="941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  <c r="AA941" s="57"/>
    </row>
    <row r="942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  <c r="AA942" s="57"/>
    </row>
    <row r="943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  <c r="AA943" s="57"/>
    </row>
    <row r="944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  <c r="AA944" s="57"/>
    </row>
    <row r="945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  <c r="AA945" s="57"/>
    </row>
    <row r="946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  <c r="AA946" s="57"/>
    </row>
    <row r="947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  <c r="AA947" s="57"/>
    </row>
    <row r="948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  <c r="AA948" s="57"/>
    </row>
    <row r="949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  <c r="AA949" s="57"/>
    </row>
    <row r="950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  <c r="AA950" s="57"/>
    </row>
    <row r="951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  <c r="AA951" s="57"/>
    </row>
    <row r="952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  <c r="AA952" s="57"/>
    </row>
  </sheetData>
  <mergeCells count="1">
    <mergeCell ref="N10:R17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0" summaryRight="0"/>
    <pageSetUpPr autoPageBreaks="1" fitToPage="0"/>
  </sheetPr>
  <sheetViews>
    <sheetView showGridLines="0" workbookViewId="0" zoomScale="100">
      <selection activeCell="A1" activeCellId="0" sqref="A1"/>
    </sheetView>
  </sheetViews>
  <sheetFormatPr customHeight="1" defaultColWidth="12.630000000000001" defaultRowHeight="15.75" outlineLevelCol="1" outlineLevelRow="1"/>
  <cols>
    <col customWidth="1" min="1" max="1" width="2.5"/>
    <col customWidth="1" min="2" max="2" width="37.880000000000003"/>
    <col customWidth="1" min="3" max="3" width="12.5"/>
    <col customWidth="1" min="4" max="4" width="10.25"/>
    <col collapsed="1" customWidth="1" min="5" max="5" width="10.25"/>
    <col customWidth="1" hidden="1" min="6" max="12" outlineLevel="1" width="10.25"/>
    <col collapsed="1" customWidth="1" min="13" max="13" width="10.25"/>
    <col customWidth="1" hidden="1" min="14" max="17" outlineLevel="1" width="10.25"/>
    <col customWidth="1" min="18" max="19" width="10.25"/>
    <col customWidth="1" min="20" max="20" width="2.6299999999999999"/>
  </cols>
  <sheetData>
    <row r="1" ht="5.25" customHeight="1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ht="12" customHeight="1">
      <c r="A2" s="52"/>
      <c r="B2" s="52"/>
      <c r="C2" s="52"/>
      <c r="D2" s="52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</row>
    <row r="3">
      <c r="A3" s="82"/>
      <c r="B3" s="83" t="s">
        <v>59</v>
      </c>
      <c r="C3" s="84"/>
      <c r="D3" s="83">
        <f>whatif!C36</f>
        <v>16</v>
      </c>
      <c r="E3" s="85" t="s">
        <v>60</v>
      </c>
      <c r="G3" s="52" t="s">
        <v>61</v>
      </c>
    </row>
    <row r="4">
      <c r="A4" s="82"/>
      <c r="B4" s="83" t="s">
        <v>62</v>
      </c>
      <c r="C4" s="84"/>
      <c r="D4" s="86">
        <f>whatif!C37</f>
        <v>0.80000000000000004</v>
      </c>
      <c r="E4" s="85" t="s">
        <v>60</v>
      </c>
    </row>
    <row r="5">
      <c r="A5" s="82"/>
      <c r="B5" s="83" t="s">
        <v>63</v>
      </c>
      <c r="C5" s="84"/>
      <c r="D5" s="86">
        <f>whatif!C38</f>
        <v>0.10000000000000001</v>
      </c>
      <c r="E5" s="85" t="s">
        <v>60</v>
      </c>
      <c r="S5" s="52" t="s">
        <v>64</v>
      </c>
    </row>
    <row r="6" ht="9.75" customHeight="1">
      <c r="A6" s="52"/>
      <c r="B6" s="52"/>
      <c r="C6" s="52"/>
      <c r="D6" s="52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</row>
    <row r="7">
      <c r="A7" s="81"/>
      <c r="B7" s="87" t="s">
        <v>65</v>
      </c>
      <c r="C7" s="87"/>
      <c r="D7" s="87">
        <v>1</v>
      </c>
      <c r="E7" s="87">
        <v>2</v>
      </c>
      <c r="F7" s="87">
        <v>3</v>
      </c>
      <c r="G7" s="87">
        <v>4</v>
      </c>
      <c r="H7" s="87">
        <v>5</v>
      </c>
      <c r="I7" s="87">
        <v>6</v>
      </c>
      <c r="J7" s="87">
        <v>7</v>
      </c>
      <c r="K7" s="87">
        <v>8</v>
      </c>
      <c r="L7" s="87">
        <v>9</v>
      </c>
      <c r="M7" s="87">
        <v>10</v>
      </c>
      <c r="N7" s="87">
        <v>11</v>
      </c>
      <c r="O7" s="87">
        <v>12</v>
      </c>
      <c r="P7" s="87">
        <v>13</v>
      </c>
      <c r="Q7" s="87">
        <v>14</v>
      </c>
      <c r="R7" s="87">
        <v>15</v>
      </c>
      <c r="S7" s="87">
        <v>16</v>
      </c>
      <c r="T7" s="81"/>
    </row>
    <row r="8" ht="12.75" customHeight="1">
      <c r="A8" s="52"/>
      <c r="B8" s="52"/>
      <c r="C8" s="52"/>
      <c r="D8" s="88"/>
      <c r="E8" s="89"/>
      <c r="F8" s="89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</row>
    <row r="9">
      <c r="A9" s="52"/>
      <c r="B9" s="52" t="s">
        <v>66</v>
      </c>
      <c r="C9" s="52"/>
      <c r="D9" s="90">
        <v>0.20000000000000001</v>
      </c>
      <c r="E9" s="90">
        <v>0.29999999999999999</v>
      </c>
      <c r="F9" s="90">
        <v>1</v>
      </c>
      <c r="G9" s="91">
        <f t="shared" ref="G9:R9" si="4">($S9-$F9)/13+F9</f>
        <v>2.1538461538461537</v>
      </c>
      <c r="H9" s="91">
        <f t="shared" si="4"/>
        <v>3.3076923076923075</v>
      </c>
      <c r="I9" s="91">
        <f t="shared" si="4"/>
        <v>4.4615384615384617</v>
      </c>
      <c r="J9" s="91">
        <f t="shared" si="4"/>
        <v>5.615384615384615</v>
      </c>
      <c r="K9" s="91">
        <f t="shared" si="4"/>
        <v>6.7692307692307683</v>
      </c>
      <c r="L9" s="91">
        <f t="shared" si="4"/>
        <v>7.9230769230769216</v>
      </c>
      <c r="M9" s="91">
        <f t="shared" si="4"/>
        <v>9.0769230769230749</v>
      </c>
      <c r="N9" s="91">
        <f t="shared" si="4"/>
        <v>10.230769230769228</v>
      </c>
      <c r="O9" s="91">
        <f t="shared" si="4"/>
        <v>11.384615384615381</v>
      </c>
      <c r="P9" s="91">
        <f t="shared" si="4"/>
        <v>12.538461538461535</v>
      </c>
      <c r="Q9" s="91">
        <f t="shared" si="4"/>
        <v>13.692307692307688</v>
      </c>
      <c r="R9" s="91">
        <f t="shared" si="4"/>
        <v>14.846153846153841</v>
      </c>
      <c r="S9" s="91">
        <f>tftend</f>
        <v>16</v>
      </c>
    </row>
    <row r="10" ht="6.75" customHeight="1">
      <c r="A10" s="52"/>
      <c r="B10" s="52"/>
      <c r="C10" s="52"/>
      <c r="D10" s="52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U10" s="27" t="s">
        <v>16</v>
      </c>
      <c r="V10" s="27"/>
      <c r="W10" s="27"/>
      <c r="X10" s="27"/>
      <c r="Y10" s="27"/>
    </row>
    <row r="11">
      <c r="A11" s="52"/>
      <c r="B11" s="34" t="s">
        <v>67</v>
      </c>
      <c r="C11" s="52"/>
      <c r="D11" s="52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U11" s="92"/>
      <c r="V11" s="92"/>
      <c r="W11" s="92"/>
      <c r="X11" s="92"/>
      <c r="Y11" s="92"/>
    </row>
    <row r="12" ht="3" customHeight="1">
      <c r="A12" s="52"/>
      <c r="B12" s="52"/>
      <c r="C12" s="52"/>
      <c r="D12" s="52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U12" s="92"/>
      <c r="V12" s="92"/>
      <c r="W12" s="92"/>
      <c r="X12" s="92"/>
      <c r="Y12" s="92"/>
    </row>
    <row r="13">
      <c r="A13" s="52"/>
      <c r="B13" s="52" t="s">
        <v>68</v>
      </c>
      <c r="C13" s="52"/>
      <c r="D13" s="93">
        <f>ngrowth1</f>
        <v>0.80000000000000004</v>
      </c>
      <c r="E13" s="18">
        <f>($S13-$D13)/14+D13</f>
        <v>0.75</v>
      </c>
      <c r="F13" s="18">
        <f t="shared" ref="F13:R13" si="5">($S13-$D13)/15+E13</f>
        <v>0.70333333333333337</v>
      </c>
      <c r="G13" s="18">
        <f t="shared" si="5"/>
        <v>0.65666666666666673</v>
      </c>
      <c r="H13" s="18">
        <f t="shared" si="5"/>
        <v>0.6100000000000001</v>
      </c>
      <c r="I13" s="18">
        <f t="shared" si="5"/>
        <v>0.56333333333333346</v>
      </c>
      <c r="J13" s="18">
        <f t="shared" si="5"/>
        <v>0.51666666666666683</v>
      </c>
      <c r="K13" s="18">
        <f t="shared" si="5"/>
        <v>0.47000000000000014</v>
      </c>
      <c r="L13" s="18">
        <f t="shared" si="5"/>
        <v>0.42333333333333345</v>
      </c>
      <c r="M13" s="18">
        <f t="shared" si="5"/>
        <v>0.37666666666666676</v>
      </c>
      <c r="N13" s="18">
        <f t="shared" si="5"/>
        <v>0.33000000000000007</v>
      </c>
      <c r="O13" s="18">
        <f t="shared" si="5"/>
        <v>0.28333333333333338</v>
      </c>
      <c r="P13" s="18">
        <f t="shared" si="5"/>
        <v>0.23666666666666672</v>
      </c>
      <c r="Q13" s="18">
        <f t="shared" si="5"/>
        <v>0.19000000000000006</v>
      </c>
      <c r="R13" s="18">
        <f t="shared" si="5"/>
        <v>0.1433333333333334</v>
      </c>
      <c r="S13" s="18">
        <f>ngrowt2</f>
        <v>0.10000000000000001</v>
      </c>
      <c r="U13" s="92"/>
      <c r="V13" s="92"/>
      <c r="W13" s="92"/>
      <c r="X13" s="92"/>
      <c r="Y13" s="92"/>
    </row>
    <row r="14" ht="6.75" customHeight="1">
      <c r="U14" s="92"/>
      <c r="V14" s="92"/>
      <c r="W14" s="92"/>
      <c r="X14" s="92"/>
      <c r="Y14" s="92"/>
    </row>
    <row r="15">
      <c r="A15" s="52"/>
      <c r="B15" s="52" t="s">
        <v>69</v>
      </c>
      <c r="C15" s="94">
        <v>1800</v>
      </c>
      <c r="D15" s="95">
        <v>2500</v>
      </c>
      <c r="E15" s="95">
        <v>10000</v>
      </c>
      <c r="F15" s="6">
        <f t="shared" ref="F15:S15" si="6">E15*(1+F13)</f>
        <v>17033.333333333332</v>
      </c>
      <c r="G15" s="6">
        <f t="shared" si="6"/>
        <v>28218.555555555555</v>
      </c>
      <c r="H15" s="6">
        <f t="shared" si="6"/>
        <v>45431.874444444446</v>
      </c>
      <c r="I15" s="6">
        <f t="shared" si="6"/>
        <v>71025.163714814829</v>
      </c>
      <c r="J15" s="6">
        <f t="shared" si="6"/>
        <v>107721.4983008025</v>
      </c>
      <c r="K15" s="6">
        <f t="shared" si="6"/>
        <v>158350.60250217971</v>
      </c>
      <c r="L15" s="6">
        <f t="shared" si="6"/>
        <v>225385.69089476913</v>
      </c>
      <c r="M15" s="6">
        <f t="shared" si="6"/>
        <v>310280.96779846551</v>
      </c>
      <c r="N15" s="6">
        <f t="shared" si="6"/>
        <v>412673.68717195914</v>
      </c>
      <c r="O15" s="6">
        <f t="shared" si="6"/>
        <v>529597.89853734756</v>
      </c>
      <c r="P15" s="6">
        <f t="shared" si="6"/>
        <v>654936.06785785325</v>
      </c>
      <c r="Q15" s="6">
        <f t="shared" si="6"/>
        <v>779373.92075084534</v>
      </c>
      <c r="R15" s="6">
        <f t="shared" si="6"/>
        <v>891084.18272513314</v>
      </c>
      <c r="S15" s="6">
        <f t="shared" si="6"/>
        <v>980192.60099764657</v>
      </c>
      <c r="T15" s="6"/>
      <c r="U15" s="92"/>
      <c r="V15" s="92"/>
      <c r="W15" s="92"/>
      <c r="X15" s="92"/>
      <c r="Y15" s="92"/>
    </row>
    <row r="16">
      <c r="A16" s="52"/>
      <c r="B16" s="52" t="s">
        <v>70</v>
      </c>
      <c r="D16" s="6">
        <f t="shared" ref="D16:S16" si="7">D15-C15</f>
        <v>700</v>
      </c>
      <c r="E16" s="6">
        <f t="shared" si="7"/>
        <v>7500</v>
      </c>
      <c r="F16" s="6">
        <f t="shared" si="7"/>
        <v>7033.3333333333321</v>
      </c>
      <c r="G16" s="6">
        <f t="shared" si="7"/>
        <v>11185.222222222223</v>
      </c>
      <c r="H16" s="6">
        <f t="shared" si="7"/>
        <v>17213.318888888891</v>
      </c>
      <c r="I16" s="6">
        <f t="shared" si="7"/>
        <v>25593.289270370384</v>
      </c>
      <c r="J16" s="6">
        <f t="shared" si="7"/>
        <v>36696.334585987672</v>
      </c>
      <c r="K16" s="6">
        <f t="shared" si="7"/>
        <v>50629.104201377209</v>
      </c>
      <c r="L16" s="6">
        <f t="shared" si="7"/>
        <v>67035.088392589416</v>
      </c>
      <c r="M16" s="6">
        <f t="shared" si="7"/>
        <v>84895.276903696387</v>
      </c>
      <c r="N16" s="6">
        <f t="shared" si="7"/>
        <v>102392.71937349363</v>
      </c>
      <c r="O16" s="6">
        <f t="shared" si="7"/>
        <v>116924.21136538842</v>
      </c>
      <c r="P16" s="6">
        <f t="shared" si="7"/>
        <v>125338.16932050569</v>
      </c>
      <c r="Q16" s="6">
        <f t="shared" si="7"/>
        <v>124437.85289299209</v>
      </c>
      <c r="R16" s="6">
        <f t="shared" si="7"/>
        <v>111710.2619742878</v>
      </c>
      <c r="S16" s="6">
        <f t="shared" si="7"/>
        <v>89108.418272513431</v>
      </c>
      <c r="U16" s="92"/>
      <c r="V16" s="92"/>
      <c r="W16" s="92"/>
      <c r="X16" s="92"/>
      <c r="Y16" s="92"/>
    </row>
    <row r="17" collapsed="1">
      <c r="A17" s="52"/>
      <c r="B17" s="52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92"/>
      <c r="V17" s="92"/>
      <c r="W17" s="92"/>
      <c r="X17" s="92"/>
      <c r="Y17" s="92"/>
    </row>
    <row r="18" hidden="1" outlineLevel="1">
      <c r="A18" s="52"/>
      <c r="B18" s="34" t="s">
        <v>71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hidden="1" outlineLevel="1">
      <c r="A19" s="95"/>
      <c r="B19" s="95" t="s">
        <v>72</v>
      </c>
      <c r="C19" s="96"/>
      <c r="D19" s="6">
        <f>D15*params!$C$7</f>
        <v>80000</v>
      </c>
      <c r="E19" s="6">
        <f>E15*params!$C$7</f>
        <v>320000</v>
      </c>
      <c r="F19" s="6">
        <f>F15*params!$C$7</f>
        <v>545066.66666666663</v>
      </c>
      <c r="G19" s="6">
        <f>G15*params!$C$7</f>
        <v>902993.77777777775</v>
      </c>
      <c r="H19" s="6">
        <f>H15*params!$C$7</f>
        <v>1453819.9822222223</v>
      </c>
      <c r="I19" s="6">
        <f>I15*params!$C$7</f>
        <v>2272805.2388740745</v>
      </c>
      <c r="J19" s="6">
        <f>J15*params!$C$7</f>
        <v>3447087.94562568</v>
      </c>
      <c r="K19" s="6">
        <f>K15*params!$C$7</f>
        <v>5067219.2800697507</v>
      </c>
      <c r="L19" s="6">
        <f>L15*params!$C$7</f>
        <v>7212342.108632612</v>
      </c>
      <c r="M19" s="6">
        <f>M15*params!$C$7</f>
        <v>9928990.9695508964</v>
      </c>
      <c r="N19" s="6">
        <f>N15*params!$C$7</f>
        <v>13205557.989502693</v>
      </c>
      <c r="O19" s="6">
        <f>O15*params!$C$7</f>
        <v>16947132.753195122</v>
      </c>
      <c r="P19" s="6">
        <f>P15*params!$C$7</f>
        <v>20957954.171451304</v>
      </c>
      <c r="Q19" s="6">
        <f>Q15*params!$C$7</f>
        <v>24939965.464027051</v>
      </c>
      <c r="R19" s="6">
        <f>R15*params!$C$7</f>
        <v>28514693.847204261</v>
      </c>
      <c r="S19" s="6">
        <f>S15*params!$C$7</f>
        <v>31366163.23192469</v>
      </c>
      <c r="T19" s="6"/>
    </row>
    <row r="20" hidden="1" outlineLevel="1">
      <c r="A20" s="95"/>
      <c r="B20" s="95" t="s">
        <v>73</v>
      </c>
      <c r="C20" s="96"/>
      <c r="D20" s="6">
        <f>D15*params!$C$8</f>
        <v>42500</v>
      </c>
      <c r="E20" s="6">
        <f>E15*params!$C$8</f>
        <v>170000</v>
      </c>
      <c r="F20" s="6">
        <f>F15*params!$C$8</f>
        <v>289566.66666666663</v>
      </c>
      <c r="G20" s="6">
        <f>G15*params!$C$8</f>
        <v>479715.44444444444</v>
      </c>
      <c r="H20" s="6">
        <f>H15*params!$C$8</f>
        <v>772341.86555555556</v>
      </c>
      <c r="I20" s="6">
        <f>I15*params!$C$8</f>
        <v>1207427.7831518522</v>
      </c>
      <c r="J20" s="6">
        <f>J15*params!$C$8</f>
        <v>1831265.4711136424</v>
      </c>
      <c r="K20" s="6">
        <f>K15*params!$C$8</f>
        <v>2691960.2425370552</v>
      </c>
      <c r="L20" s="6">
        <f>L15*params!$C$8</f>
        <v>3831556.7452110751</v>
      </c>
      <c r="M20" s="6">
        <f>M15*params!$C$8</f>
        <v>5274776.4525739141</v>
      </c>
      <c r="N20" s="6">
        <f>N15*params!$C$8</f>
        <v>7015452.6819233056</v>
      </c>
      <c r="O20" s="6">
        <f>O15*params!$C$8</f>
        <v>9003164.275134908</v>
      </c>
      <c r="P20" s="6">
        <f>P15*params!$C$8</f>
        <v>11133913.153583506</v>
      </c>
      <c r="Q20" s="6">
        <f>Q15*params!$C$8</f>
        <v>13249356.652764371</v>
      </c>
      <c r="R20" s="6">
        <f>R15*params!$C$8</f>
        <v>15148431.106327264</v>
      </c>
      <c r="S20" s="6">
        <f>S15*params!$C$8</f>
        <v>16663274.216959992</v>
      </c>
      <c r="T20" s="6"/>
    </row>
    <row r="21" hidden="1" outlineLevel="1">
      <c r="A21" s="95"/>
      <c r="B21" s="95" t="s">
        <v>74</v>
      </c>
      <c r="C21" s="96"/>
      <c r="D21" s="6">
        <f>D15*params!$C$9</f>
        <v>2400000</v>
      </c>
      <c r="E21" s="6">
        <f>E15*params!$C$9</f>
        <v>9600000</v>
      </c>
      <c r="F21" s="6">
        <f>F15*params!$C$9</f>
        <v>16351999.999999998</v>
      </c>
      <c r="G21" s="6">
        <f>G15*params!$C$9</f>
        <v>27089813.333333332</v>
      </c>
      <c r="H21" s="6">
        <f>H15*params!$C$9</f>
        <v>43614599.466666669</v>
      </c>
      <c r="I21" s="6">
        <f>I15*params!$C$9</f>
        <v>68184157.16622223</v>
      </c>
      <c r="J21" s="6">
        <f>J15*params!$C$9</f>
        <v>103412638.36877041</v>
      </c>
      <c r="K21" s="6">
        <f>K15*params!$C$9</f>
        <v>152016578.40209252</v>
      </c>
      <c r="L21" s="6">
        <f>L15*params!$C$9</f>
        <v>216370263.25897837</v>
      </c>
      <c r="M21" s="6">
        <f>M15*params!$C$9</f>
        <v>297869729.08652687</v>
      </c>
      <c r="N21" s="6">
        <f>N15*params!$C$9</f>
        <v>396166739.68508077</v>
      </c>
      <c r="O21" s="6">
        <f>O15*params!$C$9</f>
        <v>508413982.59585369</v>
      </c>
      <c r="P21" s="6">
        <f>P15*params!$C$9</f>
        <v>628738625.14353907</v>
      </c>
      <c r="Q21" s="6">
        <f>Q15*params!$C$9</f>
        <v>748198963.92081153</v>
      </c>
      <c r="R21" s="6">
        <f>R15*params!$C$9</f>
        <v>855440815.4161278</v>
      </c>
      <c r="S21" s="6">
        <f>S15*params!$C$9</f>
        <v>940984896.95774066</v>
      </c>
      <c r="T21" s="6"/>
    </row>
    <row r="22" hidden="1" outlineLevel="1">
      <c r="A22" s="52"/>
      <c r="B22" s="52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hidden="1" outlineLevel="1">
      <c r="A23" s="52"/>
      <c r="B23" s="34" t="s">
        <v>75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hidden="1" outlineLevel="1">
      <c r="A24" s="52"/>
      <c r="B24" s="95" t="s">
        <v>72</v>
      </c>
      <c r="C24" s="97"/>
      <c r="D24" s="6">
        <f>D19*params!$C$22*6</f>
        <v>4800000</v>
      </c>
      <c r="E24" s="6">
        <f>E19*params!$C$22*6</f>
        <v>19200000</v>
      </c>
      <c r="F24" s="6">
        <f>F19*params!$C$22*6</f>
        <v>32703999.999999996</v>
      </c>
      <c r="G24" s="6">
        <f>G19*params!$C$22*6</f>
        <v>54179626.666666672</v>
      </c>
      <c r="H24" s="6">
        <f>H19*params!$C$22*6</f>
        <v>87229198.933333337</v>
      </c>
      <c r="I24" s="6">
        <f>I19*params!$C$22*6</f>
        <v>136368314.33244446</v>
      </c>
      <c r="J24" s="6">
        <f>J19*params!$C$22*6</f>
        <v>206825276.73754078</v>
      </c>
      <c r="K24" s="6">
        <f>K19*params!$C$22*6</f>
        <v>304033156.80418503</v>
      </c>
      <c r="L24" s="6">
        <f>L19*params!$C$22*6</f>
        <v>432740526.51795673</v>
      </c>
      <c r="M24" s="6">
        <f>M19*params!$C$22*6</f>
        <v>595739458.17305374</v>
      </c>
      <c r="N24" s="6">
        <f>N19*params!$C$22*6</f>
        <v>792333479.37016153</v>
      </c>
      <c r="O24" s="6">
        <f>O19*params!$C$22*6</f>
        <v>1016827965.1917074</v>
      </c>
      <c r="P24" s="6">
        <f>P19*params!$C$22*6</f>
        <v>1257477250.2870781</v>
      </c>
      <c r="Q24" s="6">
        <f>Q19*params!$C$22*6</f>
        <v>1496397927.8416231</v>
      </c>
      <c r="R24" s="6">
        <f>R19*params!$C$22*6</f>
        <v>1710881630.8322558</v>
      </c>
      <c r="S24" s="6">
        <f>S19*params!$C$22*6</f>
        <v>1881969793.9154813</v>
      </c>
      <c r="T24" s="6"/>
    </row>
    <row r="25" hidden="1" outlineLevel="1">
      <c r="A25" s="52"/>
      <c r="B25" s="95" t="s">
        <v>73</v>
      </c>
      <c r="C25" s="97"/>
      <c r="D25" s="6">
        <f>D20*params!$C$23*6</f>
        <v>1785000</v>
      </c>
      <c r="E25" s="6">
        <f>E20*params!$C$23*6</f>
        <v>7140000</v>
      </c>
      <c r="F25" s="6">
        <f>F20*params!$C$23*6</f>
        <v>12161800</v>
      </c>
      <c r="G25" s="6">
        <f>G20*params!$C$23*6</f>
        <v>20148048.666666664</v>
      </c>
      <c r="H25" s="6">
        <f>H20*params!$C$23*6</f>
        <v>32438358.353333332</v>
      </c>
      <c r="I25" s="6">
        <f>I20*params!$C$23*6</f>
        <v>50711966.892377794</v>
      </c>
      <c r="J25" s="6">
        <f>J20*params!$C$23*6</f>
        <v>76913149.786772981</v>
      </c>
      <c r="K25" s="6">
        <f>K20*params!$C$23*6</f>
        <v>113062330.18655631</v>
      </c>
      <c r="L25" s="6">
        <f>L20*params!$C$23*6</f>
        <v>160925383.29886514</v>
      </c>
      <c r="M25" s="6">
        <f>M20*params!$C$23*6</f>
        <v>221540611.00810441</v>
      </c>
      <c r="N25" s="6">
        <f>N20*params!$C$23*6</f>
        <v>294649012.64077884</v>
      </c>
      <c r="O25" s="6">
        <f>O20*params!$C$23*6</f>
        <v>378132899.55566615</v>
      </c>
      <c r="P25" s="6">
        <f>P20*params!$C$23*6</f>
        <v>467624352.45050722</v>
      </c>
      <c r="Q25" s="6">
        <f>Q20*params!$C$23*6</f>
        <v>556472979.4161036</v>
      </c>
      <c r="R25" s="6">
        <f>R20*params!$C$23*6</f>
        <v>636234106.46574509</v>
      </c>
      <c r="S25" s="6">
        <f>S20*params!$C$23*6</f>
        <v>699857517.11231971</v>
      </c>
      <c r="T25" s="6"/>
    </row>
    <row r="26" hidden="1" outlineLevel="1">
      <c r="A26" s="52"/>
      <c r="B26" s="95" t="s">
        <v>74</v>
      </c>
      <c r="C26" s="97"/>
      <c r="D26" s="6">
        <f>D21*params!$C$24*6</f>
        <v>4320000</v>
      </c>
      <c r="E26" s="6">
        <f>E21*params!$C$24*6</f>
        <v>17280000</v>
      </c>
      <c r="F26" s="6">
        <f>F21*params!$C$24*6</f>
        <v>29433599.999999993</v>
      </c>
      <c r="G26" s="6">
        <f>G21*params!$C$24*6</f>
        <v>48761663.999999993</v>
      </c>
      <c r="H26" s="6">
        <f>H21*params!$C$24*6</f>
        <v>78506279.039999992</v>
      </c>
      <c r="I26" s="6">
        <f>I21*params!$C$24*6</f>
        <v>122731482.89919999</v>
      </c>
      <c r="J26" s="6">
        <f>J21*params!$C$24*6</f>
        <v>186142749.06378675</v>
      </c>
      <c r="K26" s="6">
        <f>K21*params!$C$24*6</f>
        <v>273629841.12376654</v>
      </c>
      <c r="L26" s="6">
        <f>L21*params!$C$24*6</f>
        <v>389466473.86616105</v>
      </c>
      <c r="M26" s="6">
        <f>M21*params!$C$24*6</f>
        <v>536165512.35574841</v>
      </c>
      <c r="N26" s="6">
        <f>N21*params!$C$24*6</f>
        <v>713100131.43314528</v>
      </c>
      <c r="O26" s="6">
        <f>O21*params!$C$24*6</f>
        <v>915145168.67253661</v>
      </c>
      <c r="P26" s="6">
        <f>P21*params!$C$24*6</f>
        <v>1131729525.2583702</v>
      </c>
      <c r="Q26" s="6">
        <f>Q21*params!$C$24*6</f>
        <v>1346758135.0574608</v>
      </c>
      <c r="R26" s="6">
        <f>R21*params!$C$24*6</f>
        <v>1539793467.7490299</v>
      </c>
      <c r="S26" s="6">
        <f>S21*params!$C$24*6</f>
        <v>1693772814.5239329</v>
      </c>
      <c r="T26" s="6"/>
    </row>
    <row r="27" hidden="1" outlineLevel="1">
      <c r="A27" s="52"/>
      <c r="B27" s="52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>
      <c r="A28" s="52"/>
      <c r="B28" s="52" t="s">
        <v>76</v>
      </c>
      <c r="D28" s="6">
        <f>D15*offsetusd/2/D9</f>
        <v>1182600</v>
      </c>
      <c r="E28" s="6">
        <f>E15*offsetusd/2/E9</f>
        <v>3153600</v>
      </c>
      <c r="F28" s="6">
        <f>F15*offsetusd/2/F9</f>
        <v>1611489.5999999999</v>
      </c>
      <c r="G28" s="6">
        <f>G15*offsetusd/2/G9</f>
        <v>1239504.084</v>
      </c>
      <c r="H28" s="6">
        <f>H15*offsetusd/2/H9</f>
        <v>1299461.4908539536</v>
      </c>
      <c r="I28" s="6">
        <f>I15*offsetusd/2/I9</f>
        <v>1506105.7405776831</v>
      </c>
      <c r="J28" s="6">
        <f>J15*offsetusd/2/J9</f>
        <v>1814891.8033719207</v>
      </c>
      <c r="K28" s="6">
        <f>K15*offsetusd/2/K9</f>
        <v>2213136.8115891009</v>
      </c>
      <c r="L28" s="6">
        <f>L15*offsetusd/2/L9</f>
        <v>2691288.9589732056</v>
      </c>
      <c r="M28" s="6">
        <f>M15*offsetusd/2/M9</f>
        <v>3234032.2323661358</v>
      </c>
      <c r="N28" s="6">
        <f>N15*offsetusd/2/N9</f>
        <v>3816158.0341920401</v>
      </c>
      <c r="O28" s="6">
        <f>O15*offsetusd/2/O9</f>
        <v>4401044.4175856626</v>
      </c>
      <c r="P28" s="6">
        <f>P15*offsetusd/2/P9</f>
        <v>4941769.8748628553</v>
      </c>
      <c r="Q28" s="6">
        <f>Q15*offsetusd/2/Q9</f>
        <v>5385141.0259952135</v>
      </c>
      <c r="R28" s="6">
        <f>R15*offsetusd/2/R9</f>
        <v>5678487.0501055568</v>
      </c>
      <c r="S28" s="6">
        <f>S15*offsetusd/2/S9</f>
        <v>5795878.8496990846</v>
      </c>
      <c r="T28" s="6"/>
    </row>
    <row r="29" ht="10.5" customHeight="1" collapsed="1"/>
    <row r="30" hidden="1" outlineLevel="1">
      <c r="A30" s="52"/>
      <c r="B30" s="52" t="s">
        <v>77</v>
      </c>
      <c r="C30" s="52">
        <v>0</v>
      </c>
      <c r="D30" s="6">
        <f>reward/D$9*C15*6</f>
        <v>7079400</v>
      </c>
      <c r="E30" s="6">
        <f t="shared" ref="E30:S30" si="8">D30</f>
        <v>7079400</v>
      </c>
      <c r="F30" s="6">
        <f t="shared" si="8"/>
        <v>7079400</v>
      </c>
      <c r="G30" s="6">
        <f t="shared" si="8"/>
        <v>7079400</v>
      </c>
      <c r="H30" s="6">
        <f t="shared" si="8"/>
        <v>7079400</v>
      </c>
      <c r="I30" s="6">
        <f t="shared" si="8"/>
        <v>7079400</v>
      </c>
      <c r="J30" s="6">
        <f t="shared" si="8"/>
        <v>7079400</v>
      </c>
      <c r="K30" s="6">
        <f t="shared" si="8"/>
        <v>7079400</v>
      </c>
      <c r="L30" s="6">
        <f t="shared" si="8"/>
        <v>7079400</v>
      </c>
      <c r="M30" s="6">
        <f t="shared" si="8"/>
        <v>7079400</v>
      </c>
      <c r="N30" s="6">
        <f t="shared" si="8"/>
        <v>7079400</v>
      </c>
      <c r="O30" s="6">
        <f t="shared" si="8"/>
        <v>7079400</v>
      </c>
      <c r="P30" s="6">
        <f t="shared" si="8"/>
        <v>7079400</v>
      </c>
      <c r="Q30" s="6">
        <f t="shared" si="8"/>
        <v>7079400</v>
      </c>
      <c r="R30" s="6">
        <f t="shared" si="8"/>
        <v>7079400</v>
      </c>
      <c r="S30" s="6">
        <f t="shared" si="8"/>
        <v>7079400</v>
      </c>
      <c r="T30" s="6"/>
    </row>
    <row r="31" hidden="1" outlineLevel="1">
      <c r="C31" s="52">
        <v>1</v>
      </c>
      <c r="D31" s="6">
        <f t="shared" ref="D31:D46" si="9">if($C31=D$7,1,0)*reward/D$9*D$16*6+if(C31&gt;20,C31,0)</f>
        <v>2753099.9999999995</v>
      </c>
      <c r="E31" s="6">
        <f t="shared" ref="E31:E46" si="10">if($C31=E$7,1,0)*reward/E$9*E$16*6+if(D31&gt;20,D31,0)</f>
        <v>2753099.9999999995</v>
      </c>
      <c r="F31" s="6">
        <f t="shared" ref="F31:F46" si="11">if($C31=F$7,1,0)*reward/F$9*F$16*6+if(E31&gt;20,E31,0)</f>
        <v>2753099.9999999995</v>
      </c>
      <c r="G31" s="6">
        <f t="shared" ref="G31:G46" si="12">if($C31=G$7,1,0)*reward/G$9*G$16*6+if(F31&gt;20,F31,0)</f>
        <v>2753099.9999999995</v>
      </c>
      <c r="H31" s="6">
        <f t="shared" ref="H31:H46" si="13">if($C31=H$7,1,0)*reward/H$9*H$16*6+if(G31&gt;20,G31,0)</f>
        <v>2753099.9999999995</v>
      </c>
      <c r="I31" s="6">
        <f t="shared" ref="I31:I46" si="14">if($C31=I$7,1,0)*reward/I$9*I$16*6+if(H31&gt;20,H31,0)</f>
        <v>2753099.9999999995</v>
      </c>
      <c r="J31" s="6">
        <f t="shared" ref="J31:J46" si="15">if($C31=J$7,1,0)*reward/J$9*J$16*6+if(I31&gt;20,I31,0)</f>
        <v>2753099.9999999995</v>
      </c>
      <c r="K31" s="6">
        <f t="shared" ref="K31:K46" si="16">if($C31=K$7,1,0)*reward/K$9*K$16*6+if(J31&gt;20,J31,0)</f>
        <v>2753099.9999999995</v>
      </c>
      <c r="L31" s="6">
        <f t="shared" ref="L31:L46" si="17">if($C31=L$7,1,0)*reward/L$9*L$16*6+if(K31&gt;20,K31,0)</f>
        <v>2753099.9999999995</v>
      </c>
      <c r="M31" s="6">
        <f t="shared" ref="M31:M46" si="18">if($C31=M$7,1,0)*reward/M$9*M$16*6+if(L31&gt;20,L31,0)</f>
        <v>2753099.9999999995</v>
      </c>
      <c r="N31" s="6">
        <f t="shared" ref="N31:N46" si="19">if($C31=N$7,1,0)*reward/N$9*N$16*6+if(M31&gt;20,M31,0)</f>
        <v>2753099.9999999995</v>
      </c>
      <c r="O31" s="6">
        <f t="shared" ref="O31:O46" si="20">if($C31=O$7,1,0)*reward/O$9*O$16*6+if(N31&gt;20,N31,0)</f>
        <v>2753099.9999999995</v>
      </c>
      <c r="P31" s="6">
        <f t="shared" ref="P31:P46" si="21">if($C31=P$7,1,0)*reward/P$9*P$16*6+if(O31&gt;20,O31,0)</f>
        <v>2753099.9999999995</v>
      </c>
      <c r="Q31" s="6">
        <f t="shared" ref="Q31:Q46" si="22">if($C31=Q$7,1,0)*reward/Q$9*Q$16*6+if(P31&gt;20,P31,0)</f>
        <v>2753099.9999999995</v>
      </c>
      <c r="R31" s="6">
        <f t="shared" ref="R31:R46" si="23">if($C31=R$7,1,0)*reward/R$9*R$16*6+if(Q31&gt;20,Q31,0)</f>
        <v>2753099.9999999995</v>
      </c>
      <c r="S31" s="6">
        <f t="shared" ref="S31:S46" si="24">if($C31=S$7,1,0)*reward/S$9*S$16*6+if(R31&gt;20,R31,0)</f>
        <v>2753099.9999999995</v>
      </c>
      <c r="T31" s="6"/>
    </row>
    <row r="32" hidden="1" outlineLevel="1">
      <c r="C32" s="52">
        <v>2</v>
      </c>
      <c r="D32" s="6">
        <f t="shared" si="9"/>
        <v>0</v>
      </c>
      <c r="E32" s="6">
        <f t="shared" si="10"/>
        <v>19665000</v>
      </c>
      <c r="F32" s="6">
        <f t="shared" si="11"/>
        <v>19665000</v>
      </c>
      <c r="G32" s="6">
        <f t="shared" si="12"/>
        <v>19665000</v>
      </c>
      <c r="H32" s="6">
        <f t="shared" si="13"/>
        <v>19665000</v>
      </c>
      <c r="I32" s="6">
        <f t="shared" si="14"/>
        <v>19665000</v>
      </c>
      <c r="J32" s="6">
        <f t="shared" si="15"/>
        <v>19665000</v>
      </c>
      <c r="K32" s="6">
        <f t="shared" si="16"/>
        <v>19665000</v>
      </c>
      <c r="L32" s="6">
        <f t="shared" si="17"/>
        <v>19665000</v>
      </c>
      <c r="M32" s="6">
        <f t="shared" si="18"/>
        <v>19665000</v>
      </c>
      <c r="N32" s="6">
        <f t="shared" si="19"/>
        <v>19665000</v>
      </c>
      <c r="O32" s="6">
        <f t="shared" si="20"/>
        <v>19665000</v>
      </c>
      <c r="P32" s="6">
        <f t="shared" si="21"/>
        <v>19665000</v>
      </c>
      <c r="Q32" s="6">
        <f t="shared" si="22"/>
        <v>19665000</v>
      </c>
      <c r="R32" s="6">
        <f t="shared" si="23"/>
        <v>19665000</v>
      </c>
      <c r="S32" s="6">
        <f t="shared" si="24"/>
        <v>19665000</v>
      </c>
      <c r="T32" s="6"/>
    </row>
    <row r="33" hidden="1" outlineLevel="1">
      <c r="C33" s="52">
        <v>3</v>
      </c>
      <c r="D33" s="6">
        <f t="shared" si="9"/>
        <v>0</v>
      </c>
      <c r="E33" s="6">
        <f t="shared" si="10"/>
        <v>0</v>
      </c>
      <c r="F33" s="6">
        <f t="shared" si="11"/>
        <v>5532419.9999999981</v>
      </c>
      <c r="G33" s="6">
        <f t="shared" si="12"/>
        <v>5532419.9999999981</v>
      </c>
      <c r="H33" s="6">
        <f t="shared" si="13"/>
        <v>5532419.9999999981</v>
      </c>
      <c r="I33" s="6">
        <f t="shared" si="14"/>
        <v>5532419.9999999981</v>
      </c>
      <c r="J33" s="6">
        <f t="shared" si="15"/>
        <v>5532419.9999999981</v>
      </c>
      <c r="K33" s="6">
        <f t="shared" si="16"/>
        <v>5532419.9999999981</v>
      </c>
      <c r="L33" s="6">
        <f t="shared" si="17"/>
        <v>5532419.9999999981</v>
      </c>
      <c r="M33" s="6">
        <f t="shared" si="18"/>
        <v>5532419.9999999981</v>
      </c>
      <c r="N33" s="6">
        <f t="shared" si="19"/>
        <v>5532419.9999999981</v>
      </c>
      <c r="O33" s="6">
        <f t="shared" si="20"/>
        <v>5532419.9999999981</v>
      </c>
      <c r="P33" s="6">
        <f t="shared" si="21"/>
        <v>5532419.9999999981</v>
      </c>
      <c r="Q33" s="6">
        <f t="shared" si="22"/>
        <v>5532419.9999999981</v>
      </c>
      <c r="R33" s="6">
        <f t="shared" si="23"/>
        <v>5532419.9999999981</v>
      </c>
      <c r="S33" s="6">
        <f t="shared" si="24"/>
        <v>5532419.9999999981</v>
      </c>
      <c r="T33" s="6"/>
    </row>
    <row r="34" hidden="1" outlineLevel="1">
      <c r="C34" s="52">
        <v>4</v>
      </c>
      <c r="D34" s="6">
        <f t="shared" si="9"/>
        <v>0</v>
      </c>
      <c r="E34" s="6">
        <f t="shared" si="10"/>
        <v>0</v>
      </c>
      <c r="F34" s="6">
        <f t="shared" si="11"/>
        <v>0</v>
      </c>
      <c r="G34" s="6">
        <f t="shared" si="12"/>
        <v>4084923.0499999998</v>
      </c>
      <c r="H34" s="6">
        <f t="shared" si="13"/>
        <v>4084923.0499999998</v>
      </c>
      <c r="I34" s="6">
        <f t="shared" si="14"/>
        <v>4084923.0499999998</v>
      </c>
      <c r="J34" s="6">
        <f t="shared" si="15"/>
        <v>4084923.0499999998</v>
      </c>
      <c r="K34" s="6">
        <f t="shared" si="16"/>
        <v>4084923.0499999998</v>
      </c>
      <c r="L34" s="6">
        <f t="shared" si="17"/>
        <v>4084923.0499999998</v>
      </c>
      <c r="M34" s="6">
        <f t="shared" si="18"/>
        <v>4084923.0499999998</v>
      </c>
      <c r="N34" s="6">
        <f t="shared" si="19"/>
        <v>4084923.0499999998</v>
      </c>
      <c r="O34" s="6">
        <f t="shared" si="20"/>
        <v>4084923.0499999998</v>
      </c>
      <c r="P34" s="6">
        <f t="shared" si="21"/>
        <v>4084923.0499999998</v>
      </c>
      <c r="Q34" s="6">
        <f t="shared" si="22"/>
        <v>4084923.0499999998</v>
      </c>
      <c r="R34" s="6">
        <f t="shared" si="23"/>
        <v>4084923.0499999998</v>
      </c>
      <c r="S34" s="6">
        <f t="shared" si="24"/>
        <v>4084923.0499999998</v>
      </c>
      <c r="T34" s="6"/>
    </row>
    <row r="35" hidden="1" outlineLevel="1">
      <c r="C35" s="52">
        <v>5</v>
      </c>
      <c r="D35" s="6">
        <f t="shared" si="9"/>
        <v>0</v>
      </c>
      <c r="E35" s="6">
        <f t="shared" si="10"/>
        <v>0</v>
      </c>
      <c r="F35" s="6">
        <f t="shared" si="11"/>
        <v>0</v>
      </c>
      <c r="G35" s="6">
        <f t="shared" si="12"/>
        <v>0</v>
      </c>
      <c r="H35" s="6">
        <f t="shared" si="13"/>
        <v>4093487.3556744186</v>
      </c>
      <c r="I35" s="6">
        <f t="shared" si="14"/>
        <v>4093487.3556744186</v>
      </c>
      <c r="J35" s="6">
        <f t="shared" si="15"/>
        <v>4093487.3556744186</v>
      </c>
      <c r="K35" s="6">
        <f t="shared" si="16"/>
        <v>4093487.3556744186</v>
      </c>
      <c r="L35" s="6">
        <f t="shared" si="17"/>
        <v>4093487.3556744186</v>
      </c>
      <c r="M35" s="6">
        <f t="shared" si="18"/>
        <v>4093487.3556744186</v>
      </c>
      <c r="N35" s="6">
        <f t="shared" si="19"/>
        <v>4093487.3556744186</v>
      </c>
      <c r="O35" s="6">
        <f t="shared" si="20"/>
        <v>4093487.3556744186</v>
      </c>
      <c r="P35" s="6">
        <f t="shared" si="21"/>
        <v>4093487.3556744186</v>
      </c>
      <c r="Q35" s="6">
        <f t="shared" si="22"/>
        <v>4093487.3556744186</v>
      </c>
      <c r="R35" s="6">
        <f t="shared" si="23"/>
        <v>4093487.3556744186</v>
      </c>
      <c r="S35" s="6">
        <f t="shared" si="24"/>
        <v>4093487.3556744186</v>
      </c>
      <c r="T35" s="6"/>
    </row>
    <row r="36" hidden="1" outlineLevel="1">
      <c r="C36" s="52">
        <v>6</v>
      </c>
      <c r="D36" s="6">
        <f t="shared" si="9"/>
        <v>0</v>
      </c>
      <c r="E36" s="6">
        <f t="shared" si="10"/>
        <v>0</v>
      </c>
      <c r="F36" s="6">
        <f t="shared" si="11"/>
        <v>0</v>
      </c>
      <c r="G36" s="6">
        <f t="shared" si="12"/>
        <v>0</v>
      </c>
      <c r="H36" s="6">
        <f t="shared" si="13"/>
        <v>0</v>
      </c>
      <c r="I36" s="6">
        <f t="shared" si="14"/>
        <v>4512273.4038095418</v>
      </c>
      <c r="J36" s="6">
        <f t="shared" si="15"/>
        <v>4512273.4038095418</v>
      </c>
      <c r="K36" s="6">
        <f t="shared" si="16"/>
        <v>4512273.4038095418</v>
      </c>
      <c r="L36" s="6">
        <f t="shared" si="17"/>
        <v>4512273.4038095418</v>
      </c>
      <c r="M36" s="6">
        <f t="shared" si="18"/>
        <v>4512273.4038095418</v>
      </c>
      <c r="N36" s="6">
        <f t="shared" si="19"/>
        <v>4512273.4038095418</v>
      </c>
      <c r="O36" s="6">
        <f t="shared" si="20"/>
        <v>4512273.4038095418</v>
      </c>
      <c r="P36" s="6">
        <f t="shared" si="21"/>
        <v>4512273.4038095418</v>
      </c>
      <c r="Q36" s="6">
        <f t="shared" si="22"/>
        <v>4512273.4038095418</v>
      </c>
      <c r="R36" s="6">
        <f t="shared" si="23"/>
        <v>4512273.4038095418</v>
      </c>
      <c r="S36" s="6">
        <f t="shared" si="24"/>
        <v>4512273.4038095418</v>
      </c>
      <c r="T36" s="6"/>
    </row>
    <row r="37" hidden="1" outlineLevel="1">
      <c r="C37" s="52">
        <v>7</v>
      </c>
      <c r="D37" s="6">
        <f t="shared" si="9"/>
        <v>0</v>
      </c>
      <c r="E37" s="6">
        <f t="shared" si="10"/>
        <v>0</v>
      </c>
      <c r="F37" s="6">
        <f t="shared" si="11"/>
        <v>0</v>
      </c>
      <c r="G37" s="6">
        <f t="shared" si="12"/>
        <v>0</v>
      </c>
      <c r="H37" s="6">
        <f t="shared" si="13"/>
        <v>0</v>
      </c>
      <c r="I37" s="6">
        <f t="shared" si="14"/>
        <v>0</v>
      </c>
      <c r="J37" s="6">
        <f t="shared" si="15"/>
        <v>5140402.4412245583</v>
      </c>
      <c r="K37" s="6">
        <f t="shared" si="16"/>
        <v>5140402.4412245583</v>
      </c>
      <c r="L37" s="6">
        <f t="shared" si="17"/>
        <v>5140402.4412245583</v>
      </c>
      <c r="M37" s="6">
        <f t="shared" si="18"/>
        <v>5140402.4412245583</v>
      </c>
      <c r="N37" s="6">
        <f t="shared" si="19"/>
        <v>5140402.4412245583</v>
      </c>
      <c r="O37" s="6">
        <f t="shared" si="20"/>
        <v>5140402.4412245583</v>
      </c>
      <c r="P37" s="6">
        <f t="shared" si="21"/>
        <v>5140402.4412245583</v>
      </c>
      <c r="Q37" s="6">
        <f t="shared" si="22"/>
        <v>5140402.4412245583</v>
      </c>
      <c r="R37" s="6">
        <f t="shared" si="23"/>
        <v>5140402.4412245583</v>
      </c>
      <c r="S37" s="6">
        <f t="shared" si="24"/>
        <v>5140402.4412245583</v>
      </c>
      <c r="T37" s="6"/>
    </row>
    <row r="38" hidden="1" outlineLevel="1">
      <c r="C38" s="52">
        <v>8</v>
      </c>
      <c r="D38" s="6">
        <f t="shared" si="9"/>
        <v>0</v>
      </c>
      <c r="E38" s="6">
        <f t="shared" si="10"/>
        <v>0</v>
      </c>
      <c r="F38" s="6">
        <f t="shared" si="11"/>
        <v>0</v>
      </c>
      <c r="G38" s="6">
        <f t="shared" si="12"/>
        <v>0</v>
      </c>
      <c r="H38" s="6">
        <f t="shared" si="13"/>
        <v>0</v>
      </c>
      <c r="I38" s="6">
        <f t="shared" si="14"/>
        <v>0</v>
      </c>
      <c r="J38" s="6">
        <f t="shared" si="15"/>
        <v>0</v>
      </c>
      <c r="K38" s="6">
        <f t="shared" si="16"/>
        <v>5883216.9743459439</v>
      </c>
      <c r="L38" s="6">
        <f t="shared" si="17"/>
        <v>5883216.9743459439</v>
      </c>
      <c r="M38" s="6">
        <f t="shared" si="18"/>
        <v>5883216.9743459439</v>
      </c>
      <c r="N38" s="6">
        <f t="shared" si="19"/>
        <v>5883216.9743459439</v>
      </c>
      <c r="O38" s="6">
        <f t="shared" si="20"/>
        <v>5883216.9743459439</v>
      </c>
      <c r="P38" s="6">
        <f t="shared" si="21"/>
        <v>5883216.9743459439</v>
      </c>
      <c r="Q38" s="6">
        <f t="shared" si="22"/>
        <v>5883216.9743459439</v>
      </c>
      <c r="R38" s="6">
        <f t="shared" si="23"/>
        <v>5883216.9743459439</v>
      </c>
      <c r="S38" s="6">
        <f t="shared" si="24"/>
        <v>5883216.9743459439</v>
      </c>
      <c r="T38" s="6"/>
    </row>
    <row r="39" hidden="1" outlineLevel="1">
      <c r="C39" s="52">
        <v>9</v>
      </c>
      <c r="D39" s="6">
        <f t="shared" si="9"/>
        <v>0</v>
      </c>
      <c r="E39" s="6">
        <f t="shared" si="10"/>
        <v>0</v>
      </c>
      <c r="F39" s="6">
        <f t="shared" si="11"/>
        <v>0</v>
      </c>
      <c r="G39" s="6">
        <f t="shared" si="12"/>
        <v>0</v>
      </c>
      <c r="H39" s="6">
        <f t="shared" si="13"/>
        <v>0</v>
      </c>
      <c r="I39" s="6">
        <f t="shared" si="14"/>
        <v>0</v>
      </c>
      <c r="J39" s="6">
        <f t="shared" si="15"/>
        <v>0</v>
      </c>
      <c r="K39" s="6">
        <f t="shared" si="16"/>
        <v>0</v>
      </c>
      <c r="L39" s="6">
        <f t="shared" si="17"/>
        <v>6655217.5425722431</v>
      </c>
      <c r="M39" s="6">
        <f t="shared" si="18"/>
        <v>6655217.5425722431</v>
      </c>
      <c r="N39" s="6">
        <f t="shared" si="19"/>
        <v>6655217.5425722431</v>
      </c>
      <c r="O39" s="6">
        <f t="shared" si="20"/>
        <v>6655217.5425722431</v>
      </c>
      <c r="P39" s="6">
        <f t="shared" si="21"/>
        <v>6655217.5425722431</v>
      </c>
      <c r="Q39" s="6">
        <f t="shared" si="22"/>
        <v>6655217.5425722431</v>
      </c>
      <c r="R39" s="6">
        <f t="shared" si="23"/>
        <v>6655217.5425722431</v>
      </c>
      <c r="S39" s="6">
        <f t="shared" si="24"/>
        <v>6655217.5425722431</v>
      </c>
      <c r="T39" s="6"/>
    </row>
    <row r="40" hidden="1" outlineLevel="1">
      <c r="C40" s="52">
        <v>10</v>
      </c>
      <c r="D40" s="6">
        <f t="shared" si="9"/>
        <v>0</v>
      </c>
      <c r="E40" s="6">
        <f t="shared" si="10"/>
        <v>0</v>
      </c>
      <c r="F40" s="6">
        <f t="shared" si="11"/>
        <v>0</v>
      </c>
      <c r="G40" s="6">
        <f t="shared" si="12"/>
        <v>0</v>
      </c>
      <c r="H40" s="6">
        <f t="shared" si="13"/>
        <v>0</v>
      </c>
      <c r="I40" s="6">
        <f t="shared" si="14"/>
        <v>0</v>
      </c>
      <c r="J40" s="6">
        <f t="shared" si="15"/>
        <v>0</v>
      </c>
      <c r="K40" s="6">
        <f t="shared" si="16"/>
        <v>0</v>
      </c>
      <c r="L40" s="6">
        <f t="shared" si="17"/>
        <v>0</v>
      </c>
      <c r="M40" s="6">
        <f t="shared" si="18"/>
        <v>7356967.1403543949</v>
      </c>
      <c r="N40" s="6">
        <f t="shared" si="19"/>
        <v>7356967.1403543949</v>
      </c>
      <c r="O40" s="6">
        <f t="shared" si="20"/>
        <v>7356967.1403543949</v>
      </c>
      <c r="P40" s="6">
        <f t="shared" si="21"/>
        <v>7356967.1403543949</v>
      </c>
      <c r="Q40" s="6">
        <f t="shared" si="22"/>
        <v>7356967.1403543949</v>
      </c>
      <c r="R40" s="6">
        <f t="shared" si="23"/>
        <v>7356967.1403543949</v>
      </c>
      <c r="S40" s="6">
        <f t="shared" si="24"/>
        <v>7356967.1403543949</v>
      </c>
      <c r="T40" s="6"/>
    </row>
    <row r="41" hidden="1" outlineLevel="1">
      <c r="C41" s="52">
        <v>11</v>
      </c>
      <c r="D41" s="6">
        <f t="shared" si="9"/>
        <v>0</v>
      </c>
      <c r="E41" s="6">
        <f t="shared" si="10"/>
        <v>0</v>
      </c>
      <c r="F41" s="6">
        <f t="shared" si="11"/>
        <v>0</v>
      </c>
      <c r="G41" s="6">
        <f t="shared" si="12"/>
        <v>0</v>
      </c>
      <c r="H41" s="6">
        <f t="shared" si="13"/>
        <v>0</v>
      </c>
      <c r="I41" s="6">
        <f t="shared" si="14"/>
        <v>0</v>
      </c>
      <c r="J41" s="6">
        <f t="shared" si="15"/>
        <v>0</v>
      </c>
      <c r="K41" s="6">
        <f t="shared" si="16"/>
        <v>0</v>
      </c>
      <c r="L41" s="6">
        <f t="shared" si="17"/>
        <v>0</v>
      </c>
      <c r="M41" s="6">
        <f t="shared" si="18"/>
        <v>0</v>
      </c>
      <c r="N41" s="6">
        <f t="shared" si="19"/>
        <v>7872537.3666877542</v>
      </c>
      <c r="O41" s="6">
        <f t="shared" si="20"/>
        <v>7872537.3666877542</v>
      </c>
      <c r="P41" s="6">
        <f t="shared" si="21"/>
        <v>7872537.3666877542</v>
      </c>
      <c r="Q41" s="6">
        <f t="shared" si="22"/>
        <v>7872537.3666877542</v>
      </c>
      <c r="R41" s="6">
        <f t="shared" si="23"/>
        <v>7872537.3666877542</v>
      </c>
      <c r="S41" s="6">
        <f t="shared" si="24"/>
        <v>7872537.3666877542</v>
      </c>
      <c r="T41" s="6"/>
    </row>
    <row r="42" hidden="1" outlineLevel="1">
      <c r="C42" s="52">
        <v>12</v>
      </c>
      <c r="D42" s="6">
        <f t="shared" si="9"/>
        <v>0</v>
      </c>
      <c r="E42" s="6">
        <f t="shared" si="10"/>
        <v>0</v>
      </c>
      <c r="F42" s="6">
        <f t="shared" si="11"/>
        <v>0</v>
      </c>
      <c r="G42" s="6">
        <f t="shared" si="12"/>
        <v>0</v>
      </c>
      <c r="H42" s="6">
        <f t="shared" si="13"/>
        <v>0</v>
      </c>
      <c r="I42" s="6">
        <f t="shared" si="14"/>
        <v>0</v>
      </c>
      <c r="J42" s="6">
        <f t="shared" si="15"/>
        <v>0</v>
      </c>
      <c r="K42" s="6">
        <f t="shared" si="16"/>
        <v>0</v>
      </c>
      <c r="L42" s="6">
        <f t="shared" si="17"/>
        <v>0</v>
      </c>
      <c r="M42" s="6">
        <f t="shared" si="18"/>
        <v>0</v>
      </c>
      <c r="N42" s="6">
        <f t="shared" si="19"/>
        <v>0</v>
      </c>
      <c r="O42" s="6">
        <f t="shared" si="20"/>
        <v>8078672.9768931698</v>
      </c>
      <c r="P42" s="6">
        <f t="shared" si="21"/>
        <v>8078672.9768931698</v>
      </c>
      <c r="Q42" s="6">
        <f t="shared" si="22"/>
        <v>8078672.9768931698</v>
      </c>
      <c r="R42" s="6">
        <f t="shared" si="23"/>
        <v>8078672.9768931698</v>
      </c>
      <c r="S42" s="6">
        <f t="shared" si="24"/>
        <v>8078672.9768931698</v>
      </c>
      <c r="T42" s="6"/>
    </row>
    <row r="43" hidden="1" outlineLevel="1">
      <c r="C43" s="52">
        <v>13</v>
      </c>
      <c r="D43" s="6">
        <f t="shared" si="9"/>
        <v>0</v>
      </c>
      <c r="E43" s="6">
        <f t="shared" si="10"/>
        <v>0</v>
      </c>
      <c r="F43" s="6">
        <f t="shared" si="11"/>
        <v>0</v>
      </c>
      <c r="G43" s="6">
        <f t="shared" si="12"/>
        <v>0</v>
      </c>
      <c r="H43" s="6">
        <f t="shared" si="13"/>
        <v>0</v>
      </c>
      <c r="I43" s="6">
        <f t="shared" si="14"/>
        <v>0</v>
      </c>
      <c r="J43" s="6">
        <f t="shared" si="15"/>
        <v>0</v>
      </c>
      <c r="K43" s="6">
        <f t="shared" si="16"/>
        <v>0</v>
      </c>
      <c r="L43" s="6">
        <f t="shared" si="17"/>
        <v>0</v>
      </c>
      <c r="M43" s="6">
        <f t="shared" si="18"/>
        <v>0</v>
      </c>
      <c r="N43" s="6">
        <f t="shared" si="19"/>
        <v>0</v>
      </c>
      <c r="O43" s="6">
        <f t="shared" si="20"/>
        <v>0</v>
      </c>
      <c r="P43" s="6">
        <f t="shared" si="21"/>
        <v>7863086.2075928058</v>
      </c>
      <c r="Q43" s="6">
        <f t="shared" si="22"/>
        <v>7863086.2075928058</v>
      </c>
      <c r="R43" s="6">
        <f t="shared" si="23"/>
        <v>7863086.2075928058</v>
      </c>
      <c r="S43" s="6">
        <f t="shared" si="24"/>
        <v>7863086.2075928058</v>
      </c>
      <c r="T43" s="6"/>
    </row>
    <row r="44" hidden="1" outlineLevel="1">
      <c r="C44" s="52">
        <v>14</v>
      </c>
      <c r="D44" s="6">
        <f t="shared" si="9"/>
        <v>0</v>
      </c>
      <c r="E44" s="6">
        <f t="shared" si="10"/>
        <v>0</v>
      </c>
      <c r="F44" s="6">
        <f t="shared" si="11"/>
        <v>0</v>
      </c>
      <c r="G44" s="6">
        <f t="shared" si="12"/>
        <v>0</v>
      </c>
      <c r="H44" s="6">
        <f t="shared" si="13"/>
        <v>0</v>
      </c>
      <c r="I44" s="6">
        <f t="shared" si="14"/>
        <v>0</v>
      </c>
      <c r="J44" s="6">
        <f t="shared" si="15"/>
        <v>0</v>
      </c>
      <c r="K44" s="6">
        <f t="shared" si="16"/>
        <v>0</v>
      </c>
      <c r="L44" s="6">
        <f t="shared" si="17"/>
        <v>0</v>
      </c>
      <c r="M44" s="6">
        <f t="shared" si="18"/>
        <v>0</v>
      </c>
      <c r="N44" s="6">
        <f t="shared" si="19"/>
        <v>0</v>
      </c>
      <c r="O44" s="6">
        <f t="shared" si="20"/>
        <v>0</v>
      </c>
      <c r="P44" s="6">
        <f t="shared" si="21"/>
        <v>0</v>
      </c>
      <c r="Q44" s="6">
        <f t="shared" si="22"/>
        <v>7148744.9219840374</v>
      </c>
      <c r="R44" s="6">
        <f t="shared" si="23"/>
        <v>7148744.9219840374</v>
      </c>
      <c r="S44" s="6">
        <f t="shared" si="24"/>
        <v>7148744.9219840374</v>
      </c>
      <c r="T44" s="6"/>
    </row>
    <row r="45" hidden="1" outlineLevel="1">
      <c r="C45" s="52">
        <v>15</v>
      </c>
      <c r="D45" s="6">
        <f t="shared" si="9"/>
        <v>0</v>
      </c>
      <c r="E45" s="6">
        <f t="shared" si="10"/>
        <v>0</v>
      </c>
      <c r="F45" s="6">
        <f t="shared" si="11"/>
        <v>0</v>
      </c>
      <c r="G45" s="6">
        <f t="shared" si="12"/>
        <v>0</v>
      </c>
      <c r="H45" s="6">
        <f t="shared" si="13"/>
        <v>0</v>
      </c>
      <c r="I45" s="6">
        <f t="shared" si="14"/>
        <v>0</v>
      </c>
      <c r="J45" s="6">
        <f t="shared" si="15"/>
        <v>0</v>
      </c>
      <c r="K45" s="6">
        <f t="shared" si="16"/>
        <v>0</v>
      </c>
      <c r="L45" s="6">
        <f t="shared" si="17"/>
        <v>0</v>
      </c>
      <c r="M45" s="6">
        <f t="shared" si="18"/>
        <v>0</v>
      </c>
      <c r="N45" s="6">
        <f t="shared" si="19"/>
        <v>0</v>
      </c>
      <c r="O45" s="6">
        <f t="shared" si="20"/>
        <v>0</v>
      </c>
      <c r="P45" s="6">
        <f t="shared" si="21"/>
        <v>0</v>
      </c>
      <c r="Q45" s="6">
        <f t="shared" si="22"/>
        <v>0</v>
      </c>
      <c r="R45" s="6">
        <f t="shared" si="23"/>
        <v>5918791.693765142</v>
      </c>
      <c r="S45" s="6">
        <f t="shared" si="24"/>
        <v>5918791.693765142</v>
      </c>
      <c r="T45" s="6"/>
    </row>
    <row r="46" hidden="1" outlineLevel="1">
      <c r="C46" s="52">
        <v>16</v>
      </c>
      <c r="D46" s="6">
        <f t="shared" si="9"/>
        <v>0</v>
      </c>
      <c r="E46" s="6">
        <f t="shared" si="10"/>
        <v>0</v>
      </c>
      <c r="F46" s="6">
        <f t="shared" si="11"/>
        <v>0</v>
      </c>
      <c r="G46" s="6">
        <f t="shared" si="12"/>
        <v>0</v>
      </c>
      <c r="H46" s="6">
        <f t="shared" si="13"/>
        <v>0</v>
      </c>
      <c r="I46" s="6">
        <f t="shared" si="14"/>
        <v>0</v>
      </c>
      <c r="J46" s="6">
        <f t="shared" si="15"/>
        <v>0</v>
      </c>
      <c r="K46" s="6">
        <f t="shared" si="16"/>
        <v>0</v>
      </c>
      <c r="L46" s="6">
        <f t="shared" si="17"/>
        <v>0</v>
      </c>
      <c r="M46" s="6">
        <f t="shared" si="18"/>
        <v>0</v>
      </c>
      <c r="N46" s="6">
        <f t="shared" si="19"/>
        <v>0</v>
      </c>
      <c r="O46" s="6">
        <f t="shared" si="20"/>
        <v>0</v>
      </c>
      <c r="P46" s="6">
        <f t="shared" si="21"/>
        <v>0</v>
      </c>
      <c r="Q46" s="6">
        <f t="shared" si="22"/>
        <v>0</v>
      </c>
      <c r="R46" s="6">
        <f t="shared" si="23"/>
        <v>0</v>
      </c>
      <c r="S46" s="6">
        <f t="shared" si="24"/>
        <v>4380792.6133224415</v>
      </c>
      <c r="T46" s="6"/>
    </row>
    <row r="47" ht="9" hidden="1" customHeight="1" outlineLevel="1"/>
    <row r="48">
      <c r="A48" s="52"/>
      <c r="B48" s="52" t="s">
        <v>78</v>
      </c>
      <c r="D48" s="6">
        <f t="shared" ref="D48:S48" si="25">sum(D30:D46)+D28</f>
        <v>11015100</v>
      </c>
      <c r="E48" s="6">
        <f t="shared" si="25"/>
        <v>32651100</v>
      </c>
      <c r="F48" s="6">
        <f t="shared" si="25"/>
        <v>36641409.600000001</v>
      </c>
      <c r="G48" s="6">
        <f t="shared" si="25"/>
        <v>40354347.133999996</v>
      </c>
      <c r="H48" s="6">
        <f t="shared" si="25"/>
        <v>44507791.896528363</v>
      </c>
      <c r="I48" s="6">
        <f t="shared" si="25"/>
        <v>49226709.550061636</v>
      </c>
      <c r="J48" s="6">
        <f t="shared" si="25"/>
        <v>54675898.054080434</v>
      </c>
      <c r="K48" s="6">
        <f t="shared" si="25"/>
        <v>60957360.036643557</v>
      </c>
      <c r="L48" s="6">
        <f t="shared" si="25"/>
        <v>68090729.726599902</v>
      </c>
      <c r="M48" s="6">
        <f t="shared" si="25"/>
        <v>75990440.140347227</v>
      </c>
      <c r="N48" s="6">
        <f t="shared" si="25"/>
        <v>84445103.308860898</v>
      </c>
      <c r="O48" s="6">
        <f t="shared" si="25"/>
        <v>93108662.669147685</v>
      </c>
      <c r="P48" s="6">
        <f t="shared" si="25"/>
        <v>101512474.33401768</v>
      </c>
      <c r="Q48" s="6">
        <f t="shared" si="25"/>
        <v>109104590.40713407</v>
      </c>
      <c r="R48" s="6">
        <f t="shared" si="25"/>
        <v>115316728.12500957</v>
      </c>
      <c r="S48" s="6">
        <f t="shared" si="25"/>
        <v>119814912.53792553</v>
      </c>
    </row>
    <row r="49">
      <c r="A49" s="52"/>
      <c r="B49" s="52"/>
    </row>
    <row r="50">
      <c r="A50" s="52"/>
      <c r="B50" s="52" t="s">
        <v>79</v>
      </c>
      <c r="D50" s="98">
        <v>0.20000000000000001</v>
      </c>
      <c r="E50" s="98">
        <v>0.5</v>
      </c>
      <c r="F50" s="18">
        <f t="shared" ref="F50:L50" si="26">($M50-$E50)/8+E50</f>
        <v>0.53749999999999998</v>
      </c>
      <c r="G50" s="18">
        <f t="shared" si="26"/>
        <v>0.57499999999999996</v>
      </c>
      <c r="H50" s="18">
        <f t="shared" si="26"/>
        <v>0.61250000000000004</v>
      </c>
      <c r="I50" s="18">
        <f t="shared" si="26"/>
        <v>0.65000000000000002</v>
      </c>
      <c r="J50" s="18">
        <f t="shared" si="26"/>
        <v>0.6875</v>
      </c>
      <c r="K50" s="18">
        <f t="shared" si="26"/>
        <v>0.72499999999999998</v>
      </c>
      <c r="L50" s="18">
        <f t="shared" si="26"/>
        <v>0.76249999999999996</v>
      </c>
      <c r="M50" s="98">
        <v>0.80000000000000004</v>
      </c>
      <c r="N50" s="18">
        <f t="shared" ref="N50:S50" si="27">M50</f>
        <v>0.80000000000000004</v>
      </c>
      <c r="O50" s="18">
        <f t="shared" si="27"/>
        <v>0.80000000000000004</v>
      </c>
      <c r="P50" s="18">
        <f t="shared" si="27"/>
        <v>0.80000000000000004</v>
      </c>
      <c r="Q50" s="18">
        <f t="shared" si="27"/>
        <v>0.80000000000000004</v>
      </c>
      <c r="R50" s="18">
        <f t="shared" si="27"/>
        <v>0.80000000000000004</v>
      </c>
      <c r="S50" s="18">
        <f t="shared" si="27"/>
        <v>0.80000000000000004</v>
      </c>
      <c r="T50" s="99"/>
    </row>
    <row r="51">
      <c r="A51" s="52"/>
      <c r="B51" s="52" t="s">
        <v>80</v>
      </c>
      <c r="D51" s="6">
        <f>LOOKUP(D64,params!$D$39:$E$44,params!$F$39:$F$44)*D50*D15/D9*6</f>
        <v>10905000</v>
      </c>
      <c r="E51" s="6">
        <f>LOOKUP(E64,params!$D$39:$E$44,params!$F$39:$F$44)*E50*E15/E9*6</f>
        <v>58160000</v>
      </c>
      <c r="F51" s="6">
        <f>LOOKUP(F64,params!$D$39:$E$44,params!$F$39:$F$44)*F50*F15/F9*6</f>
        <v>31948742</v>
      </c>
      <c r="G51" s="6">
        <f>LOOKUP(G64,params!$D$39:$E$44,params!$F$39:$F$44)*G50*G15/G9*6</f>
        <v>26288366.043333329</v>
      </c>
      <c r="H51" s="6">
        <f>LOOKUP(H64,params!$D$39:$E$44,params!$F$39:$F$44)*H50*H15/H9*6</f>
        <v>29357379.939555041</v>
      </c>
      <c r="I51" s="6">
        <f>LOOKUP(I64,params!$D$39:$E$44,params!$F$39:$F$44)*I50*I15/I9*6</f>
        <v>36109095.2668688</v>
      </c>
      <c r="J51" s="6">
        <f>LOOKUP(J64,params!$D$39:$E$44,params!$F$39:$F$44)*J50*J15/J9*6</f>
        <v>46022608.293903008</v>
      </c>
      <c r="K51" s="6">
        <f>LOOKUP(K64,params!$D$39:$E$44,params!$F$39:$F$44)*K50*K15/K9*6</f>
        <v>59182601.977083988</v>
      </c>
      <c r="L51" s="6">
        <f>LOOKUP(L64,params!$D$39:$E$44,params!$F$39:$F$44)*L50*L15/L9*6</f>
        <v>75691648.568990827</v>
      </c>
      <c r="M51" s="6">
        <f>LOOKUP(M64,params!$D$39:$E$44,params!$F$39:$F$44)*M50*M15/M9*6</f>
        <v>95429383.376161575</v>
      </c>
      <c r="N51" s="6">
        <f>LOOKUP(N64,params!$D$39:$E$44,params!$F$39:$F$44)*N50*N15/N9*6</f>
        <v>98530838.335886836</v>
      </c>
      <c r="O51" s="6">
        <f>LOOKUP(O64,params!$D$39:$E$44,params!$F$39:$F$44)*O50*O15/O9*6</f>
        <v>113632242.7249794</v>
      </c>
      <c r="P51" s="6">
        <f>LOOKUP(P64,params!$D$39:$E$44,params!$F$39:$F$44)*P50*P15/P9*6</f>
        <v>127593439.33626112</v>
      </c>
      <c r="Q51" s="6">
        <f>LOOKUP(Q64,params!$D$39:$E$44,params!$F$39:$F$44)*Q50*Q15/Q9*6</f>
        <v>139041008.02277851</v>
      </c>
      <c r="R51" s="6">
        <f>LOOKUP(R64,params!$D$39:$E$44,params!$F$39:$F$44)*R50*R15/R9*6</f>
        <v>146615020.79141137</v>
      </c>
      <c r="S51" s="6">
        <f>LOOKUP(S64,params!$D$39:$E$44,params!$F$39:$F$44)*S50*S15/S9*6</f>
        <v>149646004.39431071</v>
      </c>
      <c r="T51" s="6"/>
    </row>
    <row r="52">
      <c r="A52" s="52"/>
      <c r="B52" s="52" t="s">
        <v>81</v>
      </c>
      <c r="D52" s="98">
        <v>0</v>
      </c>
      <c r="E52" s="18">
        <f t="shared" ref="E52:R52" si="28">($S52-$D52)/15+D52</f>
        <v>2.6666666669999999e-02</v>
      </c>
      <c r="F52" s="18">
        <f t="shared" si="28"/>
        <v>5.3333333330000003e-02</v>
      </c>
      <c r="G52" s="18">
        <f t="shared" si="28"/>
        <v>8.0000000000000002e-02</v>
      </c>
      <c r="H52" s="18">
        <f t="shared" si="28"/>
        <v>0.1066666667</v>
      </c>
      <c r="I52" s="18">
        <f t="shared" si="28"/>
        <v>0.1333333333</v>
      </c>
      <c r="J52" s="18">
        <f t="shared" si="28"/>
        <v>0.16</v>
      </c>
      <c r="K52" s="18">
        <f t="shared" si="28"/>
        <v>0.18666666670000001</v>
      </c>
      <c r="L52" s="18">
        <f t="shared" si="28"/>
        <v>0.21333333330000001</v>
      </c>
      <c r="M52" s="18">
        <f t="shared" si="28"/>
        <v>0.23999999999999999</v>
      </c>
      <c r="N52" s="18">
        <f t="shared" si="28"/>
        <v>0.2666666667</v>
      </c>
      <c r="O52" s="18">
        <f t="shared" si="28"/>
        <v>0.2933333333</v>
      </c>
      <c r="P52" s="18">
        <f t="shared" si="28"/>
        <v>0.32000000000000001</v>
      </c>
      <c r="Q52" s="18">
        <f t="shared" si="28"/>
        <v>0.34666666670000001</v>
      </c>
      <c r="R52" s="18">
        <f t="shared" si="28"/>
        <v>0.37333333330000001</v>
      </c>
      <c r="S52" s="98">
        <v>0.40000000000000002</v>
      </c>
      <c r="T52" s="6"/>
    </row>
    <row r="53">
      <c r="A53" s="52"/>
      <c r="B53" s="52" t="s">
        <v>82</v>
      </c>
      <c r="D53" s="6">
        <f t="shared" ref="D53:S53" si="29">D51*(1+D52)</f>
        <v>10905000</v>
      </c>
      <c r="E53" s="6">
        <f t="shared" si="29"/>
        <v>59710933.329999998</v>
      </c>
      <c r="F53" s="6">
        <f t="shared" si="29"/>
        <v>33652674.906560168</v>
      </c>
      <c r="G53" s="6">
        <f t="shared" si="29"/>
        <v>28391435.326799996</v>
      </c>
      <c r="H53" s="6">
        <f t="shared" si="29"/>
        <v>32488833.800752826</v>
      </c>
      <c r="I53" s="6">
        <f t="shared" si="29"/>
        <v>40923641.301247671</v>
      </c>
      <c r="J53" s="6">
        <f t="shared" si="29"/>
        <v>53386225.620927483</v>
      </c>
      <c r="K53" s="6">
        <f t="shared" si="29"/>
        <v>70230021.014779091</v>
      </c>
      <c r="L53" s="6">
        <f t="shared" si="29"/>
        <v>91839200.261185825</v>
      </c>
      <c r="M53" s="6">
        <f t="shared" si="29"/>
        <v>118332435.38644035</v>
      </c>
      <c r="N53" s="6">
        <f t="shared" si="29"/>
        <v>124805728.56207435</v>
      </c>
      <c r="O53" s="6">
        <f t="shared" si="29"/>
        <v>146964367.25385231</v>
      </c>
      <c r="P53" s="6">
        <f t="shared" si="29"/>
        <v>168423339.92386469</v>
      </c>
      <c r="Q53" s="6">
        <f t="shared" si="29"/>
        <v>187241890.8086431</v>
      </c>
      <c r="R53" s="6">
        <f t="shared" si="29"/>
        <v>201351295.21531779</v>
      </c>
      <c r="S53" s="6">
        <f t="shared" si="29"/>
        <v>209504406.152035</v>
      </c>
      <c r="T53" s="6"/>
    </row>
    <row r="54" ht="10.5" customHeight="1">
      <c r="A54" s="52"/>
      <c r="B54" s="52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</row>
    <row r="55">
      <c r="A55" s="52"/>
      <c r="B55" s="52" t="s">
        <v>83</v>
      </c>
      <c r="D55" s="6">
        <f t="shared" ref="D55:S55" si="30">D53*35%</f>
        <v>3816749.9999999995</v>
      </c>
      <c r="E55" s="6">
        <f t="shared" si="30"/>
        <v>20898826.665499996</v>
      </c>
      <c r="F55" s="6">
        <f t="shared" si="30"/>
        <v>11778436.217296058</v>
      </c>
      <c r="G55" s="6">
        <f t="shared" si="30"/>
        <v>9937002.3643799983</v>
      </c>
      <c r="H55" s="6">
        <f t="shared" si="30"/>
        <v>11371091.830263488</v>
      </c>
      <c r="I55" s="6">
        <f t="shared" si="30"/>
        <v>14323274.455436684</v>
      </c>
      <c r="J55" s="6">
        <f t="shared" si="30"/>
        <v>18685178.967324618</v>
      </c>
      <c r="K55" s="6">
        <f t="shared" si="30"/>
        <v>24580507.355172679</v>
      </c>
      <c r="L55" s="6">
        <f t="shared" si="30"/>
        <v>32143720.091415036</v>
      </c>
      <c r="M55" s="6">
        <f t="shared" si="30"/>
        <v>41416352.385254122</v>
      </c>
      <c r="N55" s="6">
        <f t="shared" si="30"/>
        <v>43682004.996726021</v>
      </c>
      <c r="O55" s="6">
        <f t="shared" si="30"/>
        <v>51437528.538848303</v>
      </c>
      <c r="P55" s="6">
        <f t="shared" si="30"/>
        <v>58948168.973352641</v>
      </c>
      <c r="Q55" s="6">
        <f t="shared" si="30"/>
        <v>65534661.783025078</v>
      </c>
      <c r="R55" s="6">
        <f t="shared" si="30"/>
        <v>70472953.325361222</v>
      </c>
      <c r="S55" s="6">
        <f t="shared" si="30"/>
        <v>73326542.153212249</v>
      </c>
      <c r="T55" s="6"/>
    </row>
    <row r="56" ht="8.25" customHeight="1"/>
    <row r="57">
      <c r="A57" s="52"/>
      <c r="B57" s="52" t="s">
        <v>84</v>
      </c>
      <c r="C57" s="100">
        <v>800</v>
      </c>
      <c r="D57" s="101">
        <f t="shared" ref="D57:S57" si="31">C57+(D48-D55)/1000000</f>
        <v>807.19835</v>
      </c>
      <c r="E57" s="101">
        <f t="shared" si="31"/>
        <v>818.95062333450005</v>
      </c>
      <c r="F57" s="101">
        <f t="shared" si="31"/>
        <v>843.81359671720395</v>
      </c>
      <c r="G57" s="101">
        <f t="shared" si="31"/>
        <v>874.23094148682389</v>
      </c>
      <c r="H57" s="101">
        <f t="shared" si="31"/>
        <v>907.36764155308879</v>
      </c>
      <c r="I57" s="101">
        <f t="shared" si="31"/>
        <v>942.2710766477137</v>
      </c>
      <c r="J57" s="101">
        <f t="shared" si="31"/>
        <v>978.2617957344695</v>
      </c>
      <c r="K57" s="101">
        <f t="shared" si="31"/>
        <v>1014.6386484159403</v>
      </c>
      <c r="L57" s="101">
        <f t="shared" si="31"/>
        <v>1050.5856580511252</v>
      </c>
      <c r="M57" s="101">
        <f t="shared" si="31"/>
        <v>1085.1597458062183</v>
      </c>
      <c r="N57" s="101">
        <f t="shared" si="31"/>
        <v>1125.9228441183532</v>
      </c>
      <c r="O57" s="101">
        <f t="shared" si="31"/>
        <v>1167.5939782486525</v>
      </c>
      <c r="P57" s="101">
        <f t="shared" si="31"/>
        <v>1210.1582836093176</v>
      </c>
      <c r="Q57" s="101">
        <f t="shared" si="31"/>
        <v>1253.7282122334266</v>
      </c>
      <c r="R57" s="101">
        <f t="shared" si="31"/>
        <v>1298.5719870330749</v>
      </c>
      <c r="S57" s="101">
        <f t="shared" si="31"/>
        <v>1345.0603574177883</v>
      </c>
      <c r="T57" s="101"/>
    </row>
    <row r="58" ht="11.25" customHeight="1"/>
    <row r="59">
      <c r="A59" s="52"/>
      <c r="B59" s="34"/>
      <c r="D59" s="88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88"/>
      <c r="T59" s="88"/>
    </row>
    <row r="60">
      <c r="A60" s="52"/>
      <c r="B60" s="34" t="s">
        <v>85</v>
      </c>
      <c r="D60" s="88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88"/>
      <c r="T60" s="88"/>
    </row>
    <row r="61" ht="8.25" customHeight="1">
      <c r="A61" s="81"/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81"/>
    </row>
    <row r="62">
      <c r="A62" s="81"/>
      <c r="B62" s="103" t="s">
        <v>86</v>
      </c>
      <c r="C62" s="87"/>
      <c r="D62" s="87">
        <v>1</v>
      </c>
      <c r="E62" s="87">
        <v>2</v>
      </c>
      <c r="F62" s="87">
        <v>3</v>
      </c>
      <c r="G62" s="87">
        <v>4</v>
      </c>
      <c r="H62" s="87">
        <v>5</v>
      </c>
      <c r="I62" s="87">
        <v>6</v>
      </c>
      <c r="J62" s="87">
        <v>7</v>
      </c>
      <c r="K62" s="87">
        <v>8</v>
      </c>
      <c r="L62" s="87">
        <v>9</v>
      </c>
      <c r="M62" s="87">
        <v>10</v>
      </c>
      <c r="N62" s="87">
        <v>11</v>
      </c>
      <c r="O62" s="87">
        <v>12</v>
      </c>
      <c r="P62" s="87">
        <v>13</v>
      </c>
      <c r="Q62" s="87">
        <v>14</v>
      </c>
      <c r="R62" s="87">
        <v>15</v>
      </c>
      <c r="S62" s="87">
        <v>16</v>
      </c>
      <c r="T62" s="81"/>
    </row>
    <row r="63" ht="9" customHeight="1">
      <c r="A63" s="52"/>
      <c r="B63" s="52"/>
      <c r="D63" s="88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88"/>
      <c r="T63" s="88"/>
    </row>
    <row r="64">
      <c r="A64" s="52"/>
      <c r="B64" s="52" t="s">
        <v>87</v>
      </c>
      <c r="D64" s="88">
        <v>3</v>
      </c>
      <c r="E64" s="54">
        <f t="shared" ref="E64:R64" si="32">($S64-$D64)/15+D64</f>
        <v>3.3333333330000001</v>
      </c>
      <c r="F64" s="54">
        <f t="shared" si="32"/>
        <v>3.6666666669999999</v>
      </c>
      <c r="G64" s="54">
        <f t="shared" si="32"/>
        <v>4</v>
      </c>
      <c r="H64" s="54">
        <f t="shared" si="32"/>
        <v>4.3333333329999997</v>
      </c>
      <c r="I64" s="54">
        <f t="shared" si="32"/>
        <v>4.6666666670000003</v>
      </c>
      <c r="J64" s="54">
        <f t="shared" si="32"/>
        <v>5</v>
      </c>
      <c r="K64" s="54">
        <f t="shared" si="32"/>
        <v>5.3333333329999997</v>
      </c>
      <c r="L64" s="54">
        <f t="shared" si="32"/>
        <v>5.6666666670000003</v>
      </c>
      <c r="M64" s="54">
        <f t="shared" si="32"/>
        <v>6</v>
      </c>
      <c r="N64" s="54">
        <f t="shared" si="32"/>
        <v>6.3333333329999997</v>
      </c>
      <c r="O64" s="54">
        <f t="shared" si="32"/>
        <v>6.6666666670000003</v>
      </c>
      <c r="P64" s="54">
        <f t="shared" si="32"/>
        <v>7</v>
      </c>
      <c r="Q64" s="54">
        <f t="shared" si="32"/>
        <v>7.3333333329999997</v>
      </c>
      <c r="R64" s="54">
        <f t="shared" si="32"/>
        <v>7.6666666670000003</v>
      </c>
      <c r="S64" s="88">
        <v>8</v>
      </c>
      <c r="T64" s="88"/>
    </row>
    <row r="65">
      <c r="A65" s="52"/>
      <c r="B65" s="52" t="s">
        <v>88</v>
      </c>
      <c r="D65" s="95">
        <f t="shared" ref="D65:S65" si="33">D64*D53/6/1000000</f>
        <v>5.4524999999999997</v>
      </c>
      <c r="E65" s="95">
        <f t="shared" si="33"/>
        <v>33.172740735571608</v>
      </c>
      <c r="F65" s="95">
        <f t="shared" si="33"/>
        <v>20.565523555878585</v>
      </c>
      <c r="G65" s="95">
        <f t="shared" si="33"/>
        <v>18.9276235512</v>
      </c>
      <c r="H65" s="95">
        <f t="shared" si="33"/>
        <v>23.464157743183215</v>
      </c>
      <c r="I65" s="95">
        <f t="shared" si="33"/>
        <v>31.829498792132839</v>
      </c>
      <c r="J65" s="95">
        <f t="shared" si="33"/>
        <v>44.488521350772899</v>
      </c>
      <c r="K65" s="95">
        <f t="shared" si="33"/>
        <v>62.426685342568639</v>
      </c>
      <c r="L65" s="95">
        <f t="shared" si="33"/>
        <v>86.7370224739999</v>
      </c>
      <c r="M65" s="95">
        <f t="shared" si="33"/>
        <v>118.33243538644035</v>
      </c>
      <c r="N65" s="95">
        <f t="shared" si="33"/>
        <v>131.7393801419226</v>
      </c>
      <c r="O65" s="95">
        <f t="shared" si="33"/>
        <v>163.29374140133393</v>
      </c>
      <c r="P65" s="95">
        <f t="shared" si="33"/>
        <v>196.49389657784215</v>
      </c>
      <c r="Q65" s="95">
        <f t="shared" si="33"/>
        <v>228.85119986682813</v>
      </c>
      <c r="R65" s="95">
        <f t="shared" si="33"/>
        <v>257.28221056409222</v>
      </c>
      <c r="S65" s="95">
        <f t="shared" si="33"/>
        <v>279.33920820271334</v>
      </c>
      <c r="T65" s="95"/>
    </row>
    <row r="66" ht="7.5" customHeight="1">
      <c r="A66" s="52"/>
      <c r="B66" s="52"/>
      <c r="D66" s="104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04"/>
      <c r="T66" s="104"/>
    </row>
    <row r="67">
      <c r="A67" s="52"/>
      <c r="B67" s="52" t="s">
        <v>89</v>
      </c>
      <c r="D67" s="104">
        <v>0.5</v>
      </c>
      <c r="E67" s="18">
        <f t="shared" ref="E67:R67" si="34">($S67-$D67)/15+D67</f>
        <v>0.52000000000000002</v>
      </c>
      <c r="F67" s="18">
        <f t="shared" si="34"/>
        <v>0.54000000000000004</v>
      </c>
      <c r="G67" s="18">
        <f t="shared" si="34"/>
        <v>0.56000000000000005</v>
      </c>
      <c r="H67" s="18">
        <f t="shared" si="34"/>
        <v>0.57999999999999996</v>
      </c>
      <c r="I67" s="18">
        <f t="shared" si="34"/>
        <v>0.59999999999999998</v>
      </c>
      <c r="J67" s="18">
        <f t="shared" si="34"/>
        <v>0.62</v>
      </c>
      <c r="K67" s="18">
        <f t="shared" si="34"/>
        <v>0.64000000000000001</v>
      </c>
      <c r="L67" s="18">
        <f t="shared" si="34"/>
        <v>0.66000000000000003</v>
      </c>
      <c r="M67" s="18">
        <f t="shared" si="34"/>
        <v>0.68000000000000005</v>
      </c>
      <c r="N67" s="18">
        <f t="shared" si="34"/>
        <v>0.69999999999999996</v>
      </c>
      <c r="O67" s="18">
        <f t="shared" si="34"/>
        <v>0.71999999999999997</v>
      </c>
      <c r="P67" s="18">
        <f t="shared" si="34"/>
        <v>0.73999999999999999</v>
      </c>
      <c r="Q67" s="18">
        <f t="shared" si="34"/>
        <v>0.76000000000000001</v>
      </c>
      <c r="R67" s="18">
        <f t="shared" si="34"/>
        <v>0.78000000000000003</v>
      </c>
      <c r="S67" s="104">
        <v>0.80000000000000004</v>
      </c>
      <c r="T67" s="104"/>
    </row>
    <row r="68">
      <c r="A68" s="52"/>
      <c r="B68" s="52" t="s">
        <v>90</v>
      </c>
      <c r="D68" s="95">
        <f t="shared" ref="D68:S68" si="35">D67*D92/1000000*100</f>
        <v>125</v>
      </c>
      <c r="E68" s="95">
        <f t="shared" si="35"/>
        <v>130</v>
      </c>
      <c r="F68" s="95">
        <f t="shared" si="35"/>
        <v>135</v>
      </c>
      <c r="G68" s="95">
        <f t="shared" si="35"/>
        <v>140</v>
      </c>
      <c r="H68" s="95">
        <f t="shared" si="35"/>
        <v>145</v>
      </c>
      <c r="I68" s="95">
        <f t="shared" si="35"/>
        <v>150</v>
      </c>
      <c r="J68" s="95">
        <f t="shared" si="35"/>
        <v>155</v>
      </c>
      <c r="K68" s="95">
        <f t="shared" si="35"/>
        <v>160</v>
      </c>
      <c r="L68" s="95">
        <f t="shared" si="35"/>
        <v>165</v>
      </c>
      <c r="M68" s="95">
        <f t="shared" si="35"/>
        <v>170</v>
      </c>
      <c r="N68" s="95">
        <f t="shared" si="35"/>
        <v>175</v>
      </c>
      <c r="O68" s="95">
        <f t="shared" si="35"/>
        <v>180</v>
      </c>
      <c r="P68" s="95">
        <f t="shared" si="35"/>
        <v>185</v>
      </c>
      <c r="Q68" s="95">
        <f t="shared" si="35"/>
        <v>190</v>
      </c>
      <c r="R68" s="95">
        <f t="shared" si="35"/>
        <v>195</v>
      </c>
      <c r="S68" s="95">
        <f t="shared" si="35"/>
        <v>200</v>
      </c>
      <c r="T68" s="95"/>
    </row>
    <row r="69" ht="7.5" customHeight="1">
      <c r="A69" s="52"/>
      <c r="B69" s="52"/>
      <c r="D69" s="104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04"/>
      <c r="T69" s="104"/>
    </row>
    <row r="70">
      <c r="A70" s="52"/>
      <c r="B70" s="52" t="s">
        <v>91</v>
      </c>
      <c r="D70" s="104">
        <v>0.5</v>
      </c>
      <c r="E70" s="18">
        <f t="shared" ref="E70:R70" si="36">($S70-$D70)/15+D70</f>
        <v>0.49333333330000001</v>
      </c>
      <c r="F70" s="18">
        <f t="shared" si="36"/>
        <v>0.48666666669999997</v>
      </c>
      <c r="G70" s="18">
        <f t="shared" si="36"/>
        <v>0.47999999999999998</v>
      </c>
      <c r="H70" s="18">
        <f t="shared" si="36"/>
        <v>0.47333333329999999</v>
      </c>
      <c r="I70" s="18">
        <f t="shared" si="36"/>
        <v>0.46666666670000001</v>
      </c>
      <c r="J70" s="18">
        <f t="shared" si="36"/>
        <v>0.46000000000000002</v>
      </c>
      <c r="K70" s="18">
        <f t="shared" si="36"/>
        <v>0.45333333329999997</v>
      </c>
      <c r="L70" s="18">
        <f t="shared" si="36"/>
        <v>0.44666666669999999</v>
      </c>
      <c r="M70" s="18">
        <f t="shared" si="36"/>
        <v>0.44</v>
      </c>
      <c r="N70" s="18">
        <f t="shared" si="36"/>
        <v>0.43333333330000001</v>
      </c>
      <c r="O70" s="18">
        <f t="shared" si="36"/>
        <v>0.42666666669999997</v>
      </c>
      <c r="P70" s="18">
        <f t="shared" si="36"/>
        <v>0.41999999999999998</v>
      </c>
      <c r="Q70" s="18">
        <f t="shared" si="36"/>
        <v>0.41333333329999999</v>
      </c>
      <c r="R70" s="18">
        <f t="shared" si="36"/>
        <v>0.40666666670000001</v>
      </c>
      <c r="S70" s="104">
        <v>0.40000000000000002</v>
      </c>
      <c r="T70" s="104"/>
    </row>
    <row r="71">
      <c r="A71" s="52"/>
      <c r="B71" s="52" t="s">
        <v>92</v>
      </c>
      <c r="D71" s="95">
        <f t="shared" ref="D71:S71" si="37">D70*D103*D104/1000000</f>
        <v>100</v>
      </c>
      <c r="E71" s="95">
        <f t="shared" si="37"/>
        <v>197.33333329999999</v>
      </c>
      <c r="F71" s="95">
        <f t="shared" si="37"/>
        <v>194.66666670000001</v>
      </c>
      <c r="G71" s="95">
        <f t="shared" si="37"/>
        <v>315.32307689999999</v>
      </c>
      <c r="H71" s="95">
        <f t="shared" si="37"/>
        <v>332.06153849999998</v>
      </c>
      <c r="I71" s="95">
        <f t="shared" si="37"/>
        <v>380.51282049999998</v>
      </c>
      <c r="J71" s="95">
        <f t="shared" si="37"/>
        <v>346.7692308</v>
      </c>
      <c r="K71" s="95">
        <f t="shared" si="37"/>
        <v>313.84615380000002</v>
      </c>
      <c r="L71" s="95">
        <f t="shared" si="37"/>
        <v>281.74358969999997</v>
      </c>
      <c r="M71" s="95">
        <f t="shared" si="37"/>
        <v>250.46153849999999</v>
      </c>
      <c r="N71" s="95">
        <f t="shared" si="37"/>
        <v>220</v>
      </c>
      <c r="O71" s="95">
        <f t="shared" si="37"/>
        <v>190.35897439999999</v>
      </c>
      <c r="P71" s="95">
        <f t="shared" si="37"/>
        <v>161.53846150000001</v>
      </c>
      <c r="Q71" s="95">
        <f t="shared" si="37"/>
        <v>133.53846150000001</v>
      </c>
      <c r="R71" s="95">
        <f t="shared" si="37"/>
        <v>106.35897439999999</v>
      </c>
      <c r="S71" s="95">
        <f t="shared" si="37"/>
        <v>80</v>
      </c>
      <c r="T71" s="104"/>
    </row>
    <row r="72" ht="6" customHeight="1">
      <c r="A72" s="52"/>
      <c r="B72" s="52"/>
      <c r="D72" s="104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04"/>
      <c r="T72" s="104"/>
    </row>
    <row r="73">
      <c r="A73" s="52"/>
      <c r="B73" s="52" t="s">
        <v>93</v>
      </c>
      <c r="D73" s="104">
        <v>0.5</v>
      </c>
      <c r="E73" s="18">
        <f t="shared" ref="E73:R73" si="38">($S73-$D73)/15+D73</f>
        <v>0.49333333330000001</v>
      </c>
      <c r="F73" s="18">
        <f t="shared" si="38"/>
        <v>0.48666666669999997</v>
      </c>
      <c r="G73" s="18">
        <f t="shared" si="38"/>
        <v>0.47999999999999998</v>
      </c>
      <c r="H73" s="18">
        <f t="shared" si="38"/>
        <v>0.47333333329999999</v>
      </c>
      <c r="I73" s="18">
        <f t="shared" si="38"/>
        <v>0.46666666670000001</v>
      </c>
      <c r="J73" s="18">
        <f t="shared" si="38"/>
        <v>0.46000000000000002</v>
      </c>
      <c r="K73" s="18">
        <f t="shared" si="38"/>
        <v>0.45333333329999997</v>
      </c>
      <c r="L73" s="18">
        <f t="shared" si="38"/>
        <v>0.44666666669999999</v>
      </c>
      <c r="M73" s="18">
        <f t="shared" si="38"/>
        <v>0.44</v>
      </c>
      <c r="N73" s="18">
        <f t="shared" si="38"/>
        <v>0.43333333330000001</v>
      </c>
      <c r="O73" s="18">
        <f t="shared" si="38"/>
        <v>0.42666666669999997</v>
      </c>
      <c r="P73" s="18">
        <f t="shared" si="38"/>
        <v>0.41999999999999998</v>
      </c>
      <c r="Q73" s="18">
        <f t="shared" si="38"/>
        <v>0.41333333329999999</v>
      </c>
      <c r="R73" s="18">
        <f t="shared" si="38"/>
        <v>0.40666666670000001</v>
      </c>
      <c r="S73" s="104">
        <v>0.40000000000000002</v>
      </c>
      <c r="T73" s="104"/>
    </row>
    <row r="74">
      <c r="A74" s="52"/>
      <c r="B74" s="52" t="s">
        <v>94</v>
      </c>
      <c r="D74" s="95">
        <f t="shared" ref="D74:S74" si="39">D73*D57</f>
        <v>403.599175</v>
      </c>
      <c r="E74" s="95">
        <f t="shared" si="39"/>
        <v>404.0156408177217</v>
      </c>
      <c r="F74" s="95">
        <f t="shared" si="39"/>
        <v>410.65595043049967</v>
      </c>
      <c r="G74" s="95">
        <f t="shared" si="39"/>
        <v>419.63085191367543</v>
      </c>
      <c r="H74" s="95">
        <f t="shared" si="39"/>
        <v>429.48735030488308</v>
      </c>
      <c r="I74" s="95">
        <f t="shared" si="39"/>
        <v>439.7265024670088</v>
      </c>
      <c r="J74" s="95">
        <f t="shared" si="39"/>
        <v>450.00042603785602</v>
      </c>
      <c r="K74" s="95">
        <f t="shared" si="39"/>
        <v>459.96952058140499</v>
      </c>
      <c r="L74" s="95">
        <f t="shared" si="39"/>
        <v>469.26159396452209</v>
      </c>
      <c r="M74" s="95">
        <f t="shared" si="39"/>
        <v>477.47028815473607</v>
      </c>
      <c r="N74" s="95">
        <f t="shared" si="39"/>
        <v>487.8998990804223</v>
      </c>
      <c r="O74" s="95">
        <f t="shared" si="39"/>
        <v>498.17343075834486</v>
      </c>
      <c r="P74" s="95">
        <f t="shared" si="39"/>
        <v>508.26647911591334</v>
      </c>
      <c r="Q74" s="95">
        <f t="shared" si="39"/>
        <v>518.20766101469201</v>
      </c>
      <c r="R74" s="95">
        <f t="shared" si="39"/>
        <v>528.08594143673622</v>
      </c>
      <c r="S74" s="95">
        <f t="shared" si="39"/>
        <v>538.02414296711538</v>
      </c>
      <c r="T74" s="95"/>
    </row>
    <row r="75" ht="8.25" customHeight="1">
      <c r="A75" s="52"/>
      <c r="B75" s="52"/>
      <c r="D75" s="52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52"/>
      <c r="T75" s="52"/>
    </row>
    <row r="76">
      <c r="A76" s="52"/>
      <c r="B76" s="52"/>
      <c r="D76" s="52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52"/>
      <c r="T76" s="52"/>
    </row>
    <row r="77">
      <c r="A77" s="52"/>
      <c r="B77" s="52" t="s">
        <v>95</v>
      </c>
      <c r="D77" s="6">
        <f t="shared" ref="D77:S77" si="40">D53/1000000</f>
        <v>10.904999999999999</v>
      </c>
      <c r="E77" s="6">
        <f t="shared" si="40"/>
        <v>59.710933329999996</v>
      </c>
      <c r="F77" s="6">
        <f t="shared" si="40"/>
        <v>33.652674906560165</v>
      </c>
      <c r="G77" s="6">
        <f t="shared" si="40"/>
        <v>28.391435326799996</v>
      </c>
      <c r="H77" s="6">
        <f t="shared" si="40"/>
        <v>32.488833800752829</v>
      </c>
      <c r="I77" s="6">
        <f t="shared" si="40"/>
        <v>40.92364130124767</v>
      </c>
      <c r="J77" s="6">
        <f t="shared" si="40"/>
        <v>53.386225620927483</v>
      </c>
      <c r="K77" s="6">
        <f t="shared" si="40"/>
        <v>70.230021014779098</v>
      </c>
      <c r="L77" s="6">
        <f t="shared" si="40"/>
        <v>91.839200261185823</v>
      </c>
      <c r="M77" s="6">
        <f t="shared" si="40"/>
        <v>118.33243538644035</v>
      </c>
      <c r="N77" s="6">
        <f t="shared" si="40"/>
        <v>124.80572856207435</v>
      </c>
      <c r="O77" s="6">
        <f t="shared" si="40"/>
        <v>146.96436725385232</v>
      </c>
      <c r="P77" s="6">
        <f t="shared" si="40"/>
        <v>168.42333992386469</v>
      </c>
      <c r="Q77" s="6">
        <f t="shared" si="40"/>
        <v>187.24189080864309</v>
      </c>
      <c r="R77" s="6">
        <f t="shared" si="40"/>
        <v>201.35129521531778</v>
      </c>
      <c r="S77" s="6">
        <f t="shared" si="40"/>
        <v>209.50440615203499</v>
      </c>
      <c r="T77" s="6"/>
    </row>
    <row r="78">
      <c r="A78" s="52"/>
      <c r="B78" s="52" t="s">
        <v>96</v>
      </c>
      <c r="D78" s="6">
        <f t="shared" ref="D78:S78" si="41">D57-D65-D68-D74-D71</f>
        <v>173.14667500000002</v>
      </c>
      <c r="E78" s="6">
        <f t="shared" si="41"/>
        <v>54.428908481206804</v>
      </c>
      <c r="F78" s="6">
        <f t="shared" si="41"/>
        <v>82.925456030825671</v>
      </c>
      <c r="G78" s="6">
        <f t="shared" si="41"/>
        <v>-19.650610878051509</v>
      </c>
      <c r="H78" s="6">
        <f t="shared" si="41"/>
        <v>-22.645404994977525</v>
      </c>
      <c r="I78" s="6">
        <f t="shared" si="41"/>
        <v>-59.797745111427957</v>
      </c>
      <c r="J78" s="6">
        <f t="shared" si="41"/>
        <v>-17.996382454159402</v>
      </c>
      <c r="K78" s="6">
        <f t="shared" si="41"/>
        <v>18.396288691966731</v>
      </c>
      <c r="L78" s="6">
        <f t="shared" si="41"/>
        <v>47.8434519126032</v>
      </c>
      <c r="M78" s="6">
        <f t="shared" si="41"/>
        <v>68.895483765041917</v>
      </c>
      <c r="N78" s="6">
        <f t="shared" si="41"/>
        <v>111.28356489600833</v>
      </c>
      <c r="O78" s="6">
        <f t="shared" si="41"/>
        <v>135.76783168897376</v>
      </c>
      <c r="P78" s="6">
        <f t="shared" si="41"/>
        <v>158.85944641556202</v>
      </c>
      <c r="Q78" s="6">
        <f t="shared" si="41"/>
        <v>183.13088985190635</v>
      </c>
      <c r="R78" s="6">
        <f t="shared" si="41"/>
        <v>211.84486063224662</v>
      </c>
      <c r="S78" s="6">
        <f t="shared" si="41"/>
        <v>247.69700624795962</v>
      </c>
      <c r="T78" s="6"/>
    </row>
    <row r="79">
      <c r="A79" s="105"/>
      <c r="B79" s="105" t="s">
        <v>97</v>
      </c>
      <c r="C79" s="106"/>
      <c r="D79" s="107">
        <f t="shared" ref="D79:S79" si="42">D78-D77</f>
        <v>162.24167500000001</v>
      </c>
      <c r="E79" s="107">
        <f t="shared" si="42"/>
        <v>-5.282024848793192</v>
      </c>
      <c r="F79" s="107">
        <f t="shared" si="42"/>
        <v>49.272781124265506</v>
      </c>
      <c r="G79" s="107">
        <f t="shared" si="42"/>
        <v>-48.042046204851502</v>
      </c>
      <c r="H79" s="107">
        <f t="shared" si="42"/>
        <v>-55.134238795730354</v>
      </c>
      <c r="I79" s="107">
        <f t="shared" si="42"/>
        <v>-100.72138641267563</v>
      </c>
      <c r="J79" s="107">
        <f t="shared" si="42"/>
        <v>-71.382608075086893</v>
      </c>
      <c r="K79" s="107">
        <f t="shared" si="42"/>
        <v>-51.833732322812367</v>
      </c>
      <c r="L79" s="107">
        <f t="shared" si="42"/>
        <v>-43.995748348582623</v>
      </c>
      <c r="M79" s="107">
        <f t="shared" si="42"/>
        <v>-49.436951621398435</v>
      </c>
      <c r="N79" s="107">
        <f t="shared" si="42"/>
        <v>-13.522163666066021</v>
      </c>
      <c r="O79" s="107">
        <f t="shared" si="42"/>
        <v>-11.196535564878559</v>
      </c>
      <c r="P79" s="107">
        <f t="shared" si="42"/>
        <v>-9.5638935083026695</v>
      </c>
      <c r="Q79" s="107">
        <f t="shared" si="42"/>
        <v>-4.1110009567367456</v>
      </c>
      <c r="R79" s="107">
        <f t="shared" si="42"/>
        <v>10.493565416928845</v>
      </c>
      <c r="S79" s="107">
        <f t="shared" si="42"/>
        <v>38.192600095924632</v>
      </c>
      <c r="T79" s="106"/>
    </row>
    <row r="80">
      <c r="A80" s="108"/>
    </row>
    <row r="81">
      <c r="A81" s="52"/>
      <c r="B81" s="52" t="s">
        <v>98</v>
      </c>
      <c r="D81" s="6">
        <f t="shared" ref="D81:S81" si="43">D53*D9/1000000</f>
        <v>2.181</v>
      </c>
      <c r="E81" s="6">
        <f t="shared" si="43"/>
        <v>17.913279998999997</v>
      </c>
      <c r="F81" s="6">
        <f t="shared" si="43"/>
        <v>33.652674906560165</v>
      </c>
      <c r="G81" s="6">
        <f t="shared" si="43"/>
        <v>61.150783780799991</v>
      </c>
      <c r="H81" s="6">
        <f t="shared" si="43"/>
        <v>107.46306564864396</v>
      </c>
      <c r="I81" s="6">
        <f t="shared" si="43"/>
        <v>182.58239965172038</v>
      </c>
      <c r="J81" s="6">
        <f t="shared" si="43"/>
        <v>299.78419002520815</v>
      </c>
      <c r="K81" s="6">
        <f t="shared" si="43"/>
        <v>475.40321917696605</v>
      </c>
      <c r="L81" s="6">
        <f t="shared" si="43"/>
        <v>727.64904822324149</v>
      </c>
      <c r="M81" s="6">
        <f t="shared" si="43"/>
        <v>1074.0944135076891</v>
      </c>
      <c r="N81" s="6">
        <f t="shared" si="43"/>
        <v>1276.8586075966066</v>
      </c>
      <c r="O81" s="6">
        <f t="shared" si="43"/>
        <v>1673.1327964284721</v>
      </c>
      <c r="P81" s="6">
        <f t="shared" si="43"/>
        <v>2111.7695698146103</v>
      </c>
      <c r="Q81" s="6">
        <f t="shared" si="43"/>
        <v>2563.7735818414203</v>
      </c>
      <c r="R81" s="6">
        <f t="shared" si="43"/>
        <v>2989.2923058889473</v>
      </c>
      <c r="S81" s="109">
        <f t="shared" si="43"/>
        <v>3352.0704984325598</v>
      </c>
      <c r="T81" s="109"/>
    </row>
    <row r="82">
      <c r="A82" s="52"/>
      <c r="B82" s="52" t="s">
        <v>99</v>
      </c>
      <c r="D82" s="6">
        <f t="shared" ref="D82:S82" si="44">D81*2</f>
        <v>4.3620000000000001</v>
      </c>
      <c r="E82" s="6">
        <f t="shared" si="44"/>
        <v>35.826559997999993</v>
      </c>
      <c r="F82" s="6">
        <f t="shared" si="44"/>
        <v>67.30534981312033</v>
      </c>
      <c r="G82" s="6">
        <f t="shared" si="44"/>
        <v>122.30156756159998</v>
      </c>
      <c r="H82" s="6">
        <f t="shared" si="44"/>
        <v>214.92613129728792</v>
      </c>
      <c r="I82" s="6">
        <f t="shared" si="44"/>
        <v>365.16479930344076</v>
      </c>
      <c r="J82" s="6">
        <f t="shared" si="44"/>
        <v>599.56838005041629</v>
      </c>
      <c r="K82" s="6">
        <f t="shared" si="44"/>
        <v>950.80643835393209</v>
      </c>
      <c r="L82" s="6">
        <f t="shared" si="44"/>
        <v>1455.298096446483</v>
      </c>
      <c r="M82" s="6">
        <f t="shared" si="44"/>
        <v>2148.1888270153781</v>
      </c>
      <c r="N82" s="6">
        <f t="shared" si="44"/>
        <v>2553.7172151932132</v>
      </c>
      <c r="O82" s="6">
        <f t="shared" si="44"/>
        <v>3346.2655928569443</v>
      </c>
      <c r="P82" s="6">
        <f t="shared" si="44"/>
        <v>4223.5391396292207</v>
      </c>
      <c r="Q82" s="6">
        <f t="shared" si="44"/>
        <v>5127.5471636828406</v>
      </c>
      <c r="R82" s="6">
        <f t="shared" si="44"/>
        <v>5978.5846117778947</v>
      </c>
      <c r="S82" s="109">
        <f t="shared" si="44"/>
        <v>6704.1409968651196</v>
      </c>
      <c r="T82" s="109"/>
    </row>
    <row r="83">
      <c r="A83" s="110"/>
      <c r="B83" s="111"/>
      <c r="C83" s="111"/>
      <c r="D83" s="111"/>
      <c r="E83" s="111"/>
      <c r="F83" s="111"/>
      <c r="G83" s="111"/>
      <c r="H83" s="111"/>
      <c r="I83" s="111"/>
      <c r="J83" s="111"/>
      <c r="K83" s="111"/>
      <c r="L83" s="111"/>
      <c r="M83" s="111"/>
      <c r="N83" s="111"/>
      <c r="O83" s="111"/>
      <c r="P83" s="111"/>
      <c r="Q83" s="111"/>
      <c r="R83" s="111"/>
      <c r="S83" s="111"/>
      <c r="T83" s="111"/>
    </row>
    <row r="84">
      <c r="A84" s="108"/>
    </row>
    <row r="85">
      <c r="B85" s="34" t="s">
        <v>100</v>
      </c>
      <c r="D85" s="2"/>
      <c r="E85" s="2"/>
      <c r="G85" s="112" t="s">
        <v>101</v>
      </c>
      <c r="J85" s="112" t="s">
        <v>102</v>
      </c>
    </row>
    <row r="86" ht="6" customHeight="1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</row>
    <row r="87">
      <c r="B87" s="103" t="s">
        <v>86</v>
      </c>
      <c r="C87" s="87"/>
      <c r="D87" s="87">
        <v>1</v>
      </c>
      <c r="E87" s="87">
        <v>2</v>
      </c>
      <c r="F87" s="87">
        <v>3</v>
      </c>
      <c r="G87" s="87">
        <v>4</v>
      </c>
      <c r="H87" s="87">
        <v>5</v>
      </c>
      <c r="I87" s="87">
        <v>6</v>
      </c>
      <c r="J87" s="87">
        <v>7</v>
      </c>
      <c r="K87" s="87">
        <v>8</v>
      </c>
      <c r="L87" s="87">
        <v>9</v>
      </c>
      <c r="M87" s="87">
        <v>10</v>
      </c>
      <c r="N87" s="87">
        <v>11</v>
      </c>
      <c r="O87" s="87">
        <v>12</v>
      </c>
      <c r="P87" s="87">
        <v>13</v>
      </c>
      <c r="Q87" s="87">
        <v>14</v>
      </c>
      <c r="R87" s="87">
        <v>15</v>
      </c>
      <c r="S87" s="87">
        <v>16</v>
      </c>
    </row>
    <row r="88" ht="9" customHeight="1">
      <c r="B88" s="34"/>
      <c r="C88" s="113"/>
      <c r="D88" s="109"/>
      <c r="E88" s="109"/>
      <c r="F88" s="112"/>
    </row>
    <row r="89">
      <c r="B89" s="34" t="s">
        <v>103</v>
      </c>
      <c r="C89" s="113"/>
      <c r="D89" s="53">
        <f>D90*0.1</f>
        <v>100000</v>
      </c>
      <c r="E89" s="53">
        <v>300000</v>
      </c>
      <c r="F89" s="112" t="s">
        <v>104</v>
      </c>
      <c r="M89" s="109">
        <f>M90*M9</f>
        <v>4538461.5384615371</v>
      </c>
      <c r="R89" s="109">
        <f t="shared" ref="R89:S89" si="45">R90*R9</f>
        <v>2969230.7692307681</v>
      </c>
      <c r="S89" s="109">
        <f t="shared" si="45"/>
        <v>3200000</v>
      </c>
    </row>
    <row r="90">
      <c r="B90" s="52" t="s">
        <v>105</v>
      </c>
      <c r="D90" s="95">
        <v>1000000</v>
      </c>
      <c r="E90" s="6">
        <f t="shared" ref="E90:S92" si="46">D90</f>
        <v>1000000</v>
      </c>
      <c r="F90" s="6">
        <f t="shared" si="46"/>
        <v>1000000</v>
      </c>
      <c r="G90" s="6">
        <f t="shared" si="46"/>
        <v>1000000</v>
      </c>
      <c r="H90" s="6">
        <f t="shared" si="46"/>
        <v>1000000</v>
      </c>
      <c r="I90" s="6">
        <f t="shared" si="46"/>
        <v>1000000</v>
      </c>
      <c r="J90" s="6">
        <f t="shared" si="46"/>
        <v>1000000</v>
      </c>
      <c r="K90" s="6">
        <f t="shared" si="46"/>
        <v>1000000</v>
      </c>
      <c r="L90" s="6">
        <f>K90/2</f>
        <v>500000</v>
      </c>
      <c r="M90" s="6">
        <f t="shared" ref="M90:O90" si="47">L90</f>
        <v>500000</v>
      </c>
      <c r="N90" s="6">
        <f t="shared" si="47"/>
        <v>500000</v>
      </c>
      <c r="O90" s="6">
        <f t="shared" si="47"/>
        <v>500000</v>
      </c>
      <c r="P90" s="6">
        <v>200000</v>
      </c>
      <c r="Q90" s="6">
        <v>200000</v>
      </c>
      <c r="R90" s="6">
        <v>200000</v>
      </c>
      <c r="S90" s="6">
        <v>200000</v>
      </c>
      <c r="T90" s="95"/>
    </row>
    <row r="91">
      <c r="B91" s="52" t="s">
        <v>106</v>
      </c>
      <c r="D91" s="95">
        <v>2000000</v>
      </c>
      <c r="E91" s="6">
        <f t="shared" si="46"/>
        <v>2000000</v>
      </c>
      <c r="F91" s="6">
        <f t="shared" si="46"/>
        <v>2000000</v>
      </c>
      <c r="G91" s="6">
        <f t="shared" si="46"/>
        <v>2000000</v>
      </c>
      <c r="H91" s="6">
        <f t="shared" si="46"/>
        <v>2000000</v>
      </c>
      <c r="I91" s="6">
        <f t="shared" si="46"/>
        <v>2000000</v>
      </c>
      <c r="J91" s="6">
        <f t="shared" si="46"/>
        <v>2000000</v>
      </c>
      <c r="K91" s="6">
        <f t="shared" si="46"/>
        <v>2000000</v>
      </c>
      <c r="L91" s="6">
        <f t="shared" si="46"/>
        <v>2000000</v>
      </c>
      <c r="M91" s="6">
        <f t="shared" si="46"/>
        <v>2000000</v>
      </c>
      <c r="N91" s="6">
        <f t="shared" si="46"/>
        <v>2000000</v>
      </c>
      <c r="O91" s="6">
        <f t="shared" si="46"/>
        <v>2000000</v>
      </c>
      <c r="P91" s="6">
        <f t="shared" si="46"/>
        <v>2000000</v>
      </c>
      <c r="Q91" s="6">
        <f t="shared" si="46"/>
        <v>2000000</v>
      </c>
      <c r="R91" s="6">
        <f t="shared" si="46"/>
        <v>2000000</v>
      </c>
      <c r="S91" s="6">
        <f t="shared" si="46"/>
        <v>2000000</v>
      </c>
      <c r="T91" s="6"/>
    </row>
    <row r="92">
      <c r="B92" s="52" t="s">
        <v>107</v>
      </c>
      <c r="D92" s="95">
        <v>2500000</v>
      </c>
      <c r="E92" s="6">
        <f t="shared" si="46"/>
        <v>2500000</v>
      </c>
      <c r="F92" s="6">
        <f t="shared" si="46"/>
        <v>2500000</v>
      </c>
      <c r="G92" s="6">
        <f t="shared" si="46"/>
        <v>2500000</v>
      </c>
      <c r="H92" s="6">
        <f t="shared" si="46"/>
        <v>2500000</v>
      </c>
      <c r="I92" s="6">
        <f t="shared" si="46"/>
        <v>2500000</v>
      </c>
      <c r="J92" s="6">
        <f t="shared" si="46"/>
        <v>2500000</v>
      </c>
      <c r="K92" s="6">
        <f t="shared" si="46"/>
        <v>2500000</v>
      </c>
      <c r="L92" s="6">
        <f t="shared" si="46"/>
        <v>2500000</v>
      </c>
      <c r="M92" s="6">
        <f t="shared" si="46"/>
        <v>2500000</v>
      </c>
      <c r="N92" s="6">
        <f t="shared" si="46"/>
        <v>2500000</v>
      </c>
      <c r="O92" s="6">
        <f t="shared" si="46"/>
        <v>2500000</v>
      </c>
      <c r="P92" s="6">
        <f t="shared" si="46"/>
        <v>2500000</v>
      </c>
      <c r="Q92" s="6">
        <f t="shared" si="46"/>
        <v>2500000</v>
      </c>
      <c r="R92" s="6">
        <f t="shared" si="46"/>
        <v>2500000</v>
      </c>
      <c r="S92" s="6">
        <f t="shared" si="46"/>
        <v>2500000</v>
      </c>
      <c r="T92" s="6"/>
    </row>
    <row r="93">
      <c r="B93" s="52" t="s">
        <v>108</v>
      </c>
      <c r="D93" s="109">
        <f t="shared" ref="D93:S93" si="48">(D82/100)*1000000*5%</f>
        <v>2181</v>
      </c>
      <c r="E93" s="109">
        <f t="shared" si="48"/>
        <v>17913.279998999998</v>
      </c>
      <c r="F93" s="109">
        <f t="shared" si="48"/>
        <v>33652.674906560169</v>
      </c>
      <c r="G93" s="109">
        <f t="shared" si="48"/>
        <v>61150.783780799997</v>
      </c>
      <c r="H93" s="109">
        <f t="shared" si="48"/>
        <v>107463.06564864395</v>
      </c>
      <c r="I93" s="109">
        <f t="shared" si="48"/>
        <v>182582.39965172039</v>
      </c>
      <c r="J93" s="109">
        <f t="shared" si="48"/>
        <v>299784.19002520817</v>
      </c>
      <c r="K93" s="109">
        <f t="shared" si="48"/>
        <v>475403.21917696606</v>
      </c>
      <c r="L93" s="109">
        <f t="shared" si="48"/>
        <v>727649.04822324158</v>
      </c>
      <c r="M93" s="109">
        <f t="shared" si="48"/>
        <v>1074094.4135076893</v>
      </c>
      <c r="N93" s="109">
        <f t="shared" si="48"/>
        <v>1276858.6075966067</v>
      </c>
      <c r="O93" s="109">
        <f t="shared" si="48"/>
        <v>1673132.796428472</v>
      </c>
      <c r="P93" s="109">
        <f t="shared" si="48"/>
        <v>2111769.5698146108</v>
      </c>
      <c r="Q93" s="109">
        <f t="shared" si="48"/>
        <v>2563773.5818414204</v>
      </c>
      <c r="R93" s="109">
        <f t="shared" si="48"/>
        <v>2989292.3058889471</v>
      </c>
      <c r="S93" s="109">
        <f t="shared" si="48"/>
        <v>3352070.4984325599</v>
      </c>
      <c r="T93" s="109"/>
    </row>
    <row r="94" ht="8.25" customHeight="1">
      <c r="B94" s="52"/>
      <c r="D94" s="6"/>
      <c r="E94" s="6"/>
      <c r="F94" s="6"/>
      <c r="G94" s="6"/>
      <c r="H94" s="109"/>
      <c r="I94" s="109"/>
      <c r="J94" s="109"/>
      <c r="K94" s="109"/>
      <c r="L94" s="109"/>
      <c r="M94" s="109"/>
      <c r="N94" s="109"/>
      <c r="O94" s="109"/>
      <c r="P94" s="109"/>
      <c r="Q94" s="109"/>
      <c r="R94" s="109"/>
      <c r="S94" s="109"/>
      <c r="T94" s="109"/>
    </row>
    <row r="95">
      <c r="B95" s="34" t="s">
        <v>109</v>
      </c>
      <c r="D95" s="2"/>
      <c r="E95" s="2"/>
      <c r="G95" s="112"/>
      <c r="J95" s="112"/>
    </row>
    <row r="96" ht="6" customHeight="1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</row>
    <row r="97">
      <c r="B97" s="103" t="s">
        <v>86</v>
      </c>
      <c r="C97" s="87"/>
      <c r="D97" s="87">
        <v>1</v>
      </c>
      <c r="E97" s="87">
        <v>2</v>
      </c>
      <c r="F97" s="87">
        <v>3</v>
      </c>
      <c r="G97" s="87">
        <v>4</v>
      </c>
      <c r="H97" s="87">
        <v>5</v>
      </c>
      <c r="I97" s="87">
        <v>6</v>
      </c>
      <c r="J97" s="87">
        <v>7</v>
      </c>
      <c r="K97" s="87">
        <v>8</v>
      </c>
      <c r="L97" s="87">
        <v>9</v>
      </c>
      <c r="M97" s="87">
        <v>10</v>
      </c>
      <c r="N97" s="87">
        <v>11</v>
      </c>
      <c r="O97" s="87">
        <v>12</v>
      </c>
      <c r="P97" s="87">
        <v>13</v>
      </c>
      <c r="Q97" s="87">
        <v>14</v>
      </c>
      <c r="R97" s="87">
        <v>15</v>
      </c>
      <c r="S97" s="87">
        <v>16</v>
      </c>
    </row>
    <row r="98" ht="9" customHeight="1">
      <c r="B98" s="34"/>
      <c r="C98" s="113"/>
      <c r="D98" s="109"/>
      <c r="E98" s="109"/>
      <c r="F98" s="112"/>
    </row>
    <row r="99">
      <c r="B99" s="34" t="s">
        <v>110</v>
      </c>
      <c r="C99" s="113"/>
      <c r="D99" s="109">
        <f>D103*0.1</f>
        <v>20000</v>
      </c>
      <c r="E99" s="109">
        <f>D99*3</f>
        <v>60000</v>
      </c>
      <c r="F99" s="112" t="s">
        <v>104</v>
      </c>
      <c r="M99" s="109">
        <f>M101*M9</f>
        <v>258343.19525230763</v>
      </c>
      <c r="R99" s="109">
        <f t="shared" ref="R99:S99" si="49">R100*R19</f>
        <v>13379971.727426162</v>
      </c>
      <c r="S99" s="109">
        <f t="shared" si="49"/>
        <v>15683081.615962345</v>
      </c>
    </row>
    <row r="100">
      <c r="B100" s="52" t="s">
        <v>111</v>
      </c>
      <c r="D100" s="88"/>
      <c r="E100" s="88"/>
      <c r="F100" s="114">
        <v>0.10000000000000001</v>
      </c>
      <c r="G100" s="18">
        <f t="shared" ref="G100:R103" si="50">($S100-$F100)/13+F100</f>
        <v>0.1307692308</v>
      </c>
      <c r="H100" s="18">
        <f t="shared" si="50"/>
        <v>0.16153846150000001</v>
      </c>
      <c r="I100" s="18">
        <f t="shared" si="50"/>
        <v>0.1923076923</v>
      </c>
      <c r="J100" s="18">
        <f t="shared" si="50"/>
        <v>0.22307692309999999</v>
      </c>
      <c r="K100" s="18">
        <f t="shared" si="50"/>
        <v>0.25384615379999997</v>
      </c>
      <c r="L100" s="18">
        <f t="shared" si="50"/>
        <v>0.28461538460000002</v>
      </c>
      <c r="M100" s="18">
        <f t="shared" si="50"/>
        <v>0.31538461540000001</v>
      </c>
      <c r="N100" s="18">
        <f t="shared" si="50"/>
        <v>0.3461538462</v>
      </c>
      <c r="O100" s="18">
        <f t="shared" si="50"/>
        <v>0.37692307689999999</v>
      </c>
      <c r="P100" s="18">
        <f t="shared" si="50"/>
        <v>0.40769230769999998</v>
      </c>
      <c r="Q100" s="18">
        <f t="shared" si="50"/>
        <v>0.43846153850000003</v>
      </c>
      <c r="R100" s="18">
        <f t="shared" si="50"/>
        <v>0.46923076920000001</v>
      </c>
      <c r="S100" s="114">
        <v>0.5</v>
      </c>
      <c r="T100" s="95"/>
    </row>
    <row r="101">
      <c r="B101" s="52" t="s">
        <v>112</v>
      </c>
      <c r="D101" s="95">
        <f t="shared" ref="D101:E103" si="51">E101</f>
        <v>50000</v>
      </c>
      <c r="E101" s="95">
        <f t="shared" si="51"/>
        <v>50000</v>
      </c>
      <c r="F101" s="115">
        <v>50000</v>
      </c>
      <c r="G101" s="6">
        <f t="shared" si="50"/>
        <v>46923.07692</v>
      </c>
      <c r="H101" s="6">
        <f t="shared" si="50"/>
        <v>43846.153850000002</v>
      </c>
      <c r="I101" s="6">
        <f t="shared" si="50"/>
        <v>40769.230770000002</v>
      </c>
      <c r="J101" s="6">
        <f t="shared" si="50"/>
        <v>37692.307690000001</v>
      </c>
      <c r="K101" s="6">
        <f t="shared" si="50"/>
        <v>34615.384619999997</v>
      </c>
      <c r="L101" s="6">
        <f t="shared" si="50"/>
        <v>31538.46154</v>
      </c>
      <c r="M101" s="6">
        <f t="shared" si="50"/>
        <v>28461.53846</v>
      </c>
      <c r="N101" s="6">
        <f t="shared" si="50"/>
        <v>25384.615379999999</v>
      </c>
      <c r="O101" s="6">
        <f t="shared" si="50"/>
        <v>22307.692309999999</v>
      </c>
      <c r="P101" s="6">
        <f t="shared" si="50"/>
        <v>19230.769230000002</v>
      </c>
      <c r="Q101" s="6">
        <f t="shared" si="50"/>
        <v>16153.846149999999</v>
      </c>
      <c r="R101" s="6">
        <f t="shared" si="50"/>
        <v>13076.92308</v>
      </c>
      <c r="S101" s="115">
        <v>10000</v>
      </c>
      <c r="T101" s="95"/>
    </row>
    <row r="102">
      <c r="B102" s="52" t="s">
        <v>106</v>
      </c>
      <c r="D102" s="95">
        <f t="shared" si="51"/>
        <v>100000</v>
      </c>
      <c r="E102" s="95">
        <f t="shared" si="51"/>
        <v>100000</v>
      </c>
      <c r="F102" s="115">
        <v>100000</v>
      </c>
      <c r="G102" s="6">
        <f t="shared" si="50"/>
        <v>93846.153850000002</v>
      </c>
      <c r="H102" s="6">
        <f t="shared" si="50"/>
        <v>87692.307690000001</v>
      </c>
      <c r="I102" s="6">
        <f t="shared" si="50"/>
        <v>81538.461540000004</v>
      </c>
      <c r="J102" s="6">
        <f t="shared" si="50"/>
        <v>75384.615380000003</v>
      </c>
      <c r="K102" s="6">
        <f t="shared" si="50"/>
        <v>69230.769230000005</v>
      </c>
      <c r="L102" s="6">
        <f t="shared" si="50"/>
        <v>63076.92308</v>
      </c>
      <c r="M102" s="6">
        <f t="shared" si="50"/>
        <v>56923.07692</v>
      </c>
      <c r="N102" s="6">
        <f t="shared" si="50"/>
        <v>50769.230770000002</v>
      </c>
      <c r="O102" s="6">
        <f t="shared" si="50"/>
        <v>44615.384619999997</v>
      </c>
      <c r="P102" s="6">
        <f t="shared" si="50"/>
        <v>38461.538460000003</v>
      </c>
      <c r="Q102" s="6">
        <f t="shared" si="50"/>
        <v>32307.692309999999</v>
      </c>
      <c r="R102" s="6">
        <f t="shared" si="50"/>
        <v>26153.846150000001</v>
      </c>
      <c r="S102" s="6">
        <f t="shared" ref="S102:S103" si="52">S101*2</f>
        <v>20000</v>
      </c>
      <c r="T102" s="6"/>
    </row>
    <row r="103">
      <c r="B103" s="52" t="s">
        <v>107</v>
      </c>
      <c r="D103" s="95">
        <f t="shared" si="51"/>
        <v>200000</v>
      </c>
      <c r="E103" s="95">
        <f t="shared" si="51"/>
        <v>200000</v>
      </c>
      <c r="F103" s="115">
        <v>200000</v>
      </c>
      <c r="G103" s="6">
        <f t="shared" si="50"/>
        <v>187692.3077</v>
      </c>
      <c r="H103" s="6">
        <f t="shared" si="50"/>
        <v>175384.61540000001</v>
      </c>
      <c r="I103" s="6">
        <f t="shared" si="50"/>
        <v>163076.92310000001</v>
      </c>
      <c r="J103" s="6">
        <f t="shared" si="50"/>
        <v>150769.23079999999</v>
      </c>
      <c r="K103" s="6">
        <f t="shared" si="50"/>
        <v>138461.5385</v>
      </c>
      <c r="L103" s="6">
        <f t="shared" si="50"/>
        <v>126153.8462</v>
      </c>
      <c r="M103" s="6">
        <f t="shared" si="50"/>
        <v>113846.1538</v>
      </c>
      <c r="N103" s="6">
        <f t="shared" si="50"/>
        <v>101538.4615</v>
      </c>
      <c r="O103" s="6">
        <f t="shared" si="50"/>
        <v>89230.769230000005</v>
      </c>
      <c r="P103" s="6">
        <f t="shared" si="50"/>
        <v>76923.076920000007</v>
      </c>
      <c r="Q103" s="6">
        <f t="shared" si="50"/>
        <v>64615.384619999997</v>
      </c>
      <c r="R103" s="6">
        <f t="shared" si="50"/>
        <v>52307.692309999999</v>
      </c>
      <c r="S103" s="6">
        <f t="shared" si="52"/>
        <v>40000</v>
      </c>
      <c r="T103" s="6"/>
    </row>
    <row r="104">
      <c r="B104" s="52" t="s">
        <v>113</v>
      </c>
      <c r="D104" s="116">
        <f>max(1000,D15/50)</f>
        <v>1000</v>
      </c>
      <c r="E104" s="94">
        <v>2000</v>
      </c>
      <c r="F104" s="94">
        <v>2000</v>
      </c>
      <c r="G104" s="94">
        <v>3500</v>
      </c>
      <c r="H104" s="94">
        <v>4000</v>
      </c>
      <c r="I104" s="94">
        <v>5000</v>
      </c>
      <c r="J104" s="6">
        <f t="shared" ref="J104:S104" si="53">I104</f>
        <v>5000</v>
      </c>
      <c r="K104" s="6">
        <f t="shared" si="53"/>
        <v>5000</v>
      </c>
      <c r="L104" s="6">
        <f t="shared" si="53"/>
        <v>5000</v>
      </c>
      <c r="M104" s="6">
        <f t="shared" si="53"/>
        <v>5000</v>
      </c>
      <c r="N104" s="6">
        <f t="shared" si="53"/>
        <v>5000</v>
      </c>
      <c r="O104" s="6">
        <f t="shared" si="53"/>
        <v>5000</v>
      </c>
      <c r="P104" s="6">
        <f t="shared" si="53"/>
        <v>5000</v>
      </c>
      <c r="Q104" s="6">
        <f t="shared" si="53"/>
        <v>5000</v>
      </c>
      <c r="R104" s="6">
        <f t="shared" si="53"/>
        <v>5000</v>
      </c>
      <c r="S104" s="6">
        <f t="shared" si="53"/>
        <v>5000</v>
      </c>
      <c r="T104" s="109"/>
    </row>
    <row r="105">
      <c r="B105" s="52" t="s">
        <v>114</v>
      </c>
      <c r="D105" s="109">
        <f t="shared" ref="D105:S105" si="54">D100*D82*1000000/D104*10%</f>
        <v>0</v>
      </c>
      <c r="E105" s="109">
        <f t="shared" si="54"/>
        <v>0</v>
      </c>
      <c r="F105" s="109">
        <f t="shared" si="54"/>
        <v>336.52674906560168</v>
      </c>
      <c r="G105" s="109">
        <f t="shared" si="54"/>
        <v>456.9509118761332</v>
      </c>
      <c r="H105" s="109">
        <f t="shared" si="54"/>
        <v>867.97091464777247</v>
      </c>
      <c r="I105" s="109">
        <f t="shared" si="54"/>
        <v>1404.4799972647468</v>
      </c>
      <c r="J105" s="109">
        <f t="shared" si="54"/>
        <v>2674.9973881939659</v>
      </c>
      <c r="K105" s="109">
        <f t="shared" si="54"/>
        <v>4827.1711476884493</v>
      </c>
      <c r="L105" s="109">
        <f t="shared" si="54"/>
        <v>8284.0045485552746</v>
      </c>
      <c r="M105" s="109">
        <f t="shared" si="54"/>
        <v>13550.114140296442</v>
      </c>
      <c r="N105" s="109">
        <f t="shared" si="54"/>
        <v>17679.580722925679</v>
      </c>
      <c r="O105" s="109">
        <f t="shared" si="54"/>
        <v>25225.694467684843</v>
      </c>
      <c r="P105" s="109">
        <f t="shared" si="54"/>
        <v>34438.088369934194</v>
      </c>
      <c r="Q105" s="109">
        <f t="shared" si="54"/>
        <v>44964.644362393796</v>
      </c>
      <c r="R105" s="109">
        <f t="shared" si="54"/>
        <v>56106.7171222365</v>
      </c>
      <c r="S105" s="109">
        <f t="shared" si="54"/>
        <v>67041.409968651205</v>
      </c>
      <c r="T105" s="109"/>
    </row>
    <row r="106">
      <c r="B106" s="52"/>
      <c r="D106" s="6"/>
      <c r="E106" s="6"/>
      <c r="F106" s="6"/>
      <c r="G106" s="6"/>
      <c r="H106" s="109"/>
      <c r="I106" s="109"/>
      <c r="J106" s="109"/>
      <c r="K106" s="109"/>
      <c r="L106" s="109"/>
      <c r="M106" s="109"/>
      <c r="N106" s="109"/>
      <c r="O106" s="109"/>
      <c r="P106" s="109"/>
      <c r="Q106" s="109"/>
      <c r="R106" s="109"/>
      <c r="S106" s="117"/>
      <c r="T106" s="109"/>
    </row>
    <row r="109">
      <c r="B109" s="34" t="s">
        <v>115</v>
      </c>
      <c r="Q109" s="118"/>
    </row>
    <row r="110">
      <c r="B110" s="119" t="s">
        <v>116</v>
      </c>
    </row>
    <row r="113">
      <c r="B113" s="120" t="s">
        <v>117</v>
      </c>
    </row>
    <row r="115">
      <c r="B115" s="52" t="s">
        <v>118</v>
      </c>
    </row>
    <row r="116">
      <c r="B116" s="119" t="s">
        <v>119</v>
      </c>
    </row>
    <row r="123">
      <c r="B123" s="27" t="s">
        <v>16</v>
      </c>
    </row>
  </sheetData>
  <mergeCells count="2">
    <mergeCell ref="U10:Y17"/>
    <mergeCell ref="B123:F130"/>
  </mergeCells>
  <hyperlinks>
    <hyperlink r:id="rId1" ref="B110"/>
    <hyperlink r:id="rId2" ref="B116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  <legacy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00EE001F-0006-4BB2-BBF0-005F0005000A}">
            <xm:f>0</xm:f>
            <x14:dxf>
              <font/>
              <fill>
                <patternFill patternType="solid">
                  <fgColor rgb="FFF4C7C3"/>
                  <bgColor rgb="FFF4C7C3"/>
                </patternFill>
              </fill>
              <border>
                <left style="none"/>
                <right style="none"/>
                <top style="none"/>
                <bottom style="none"/>
                <diagonal style="none"/>
                <vertical style="none"/>
                <horizontal style="none"/>
              </border>
            </x14:dxf>
          </x14:cfRule>
          <xm:sqref>D79:T79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0" summaryRight="0"/>
    <pageSetUpPr autoPageBreaks="1" fitToPage="0"/>
  </sheetPr>
  <sheetViews>
    <sheetView showGridLines="0" topLeftCell="A13" workbookViewId="0" zoomScale="100">
      <selection activeCell="A1" activeCellId="0" sqref="A1"/>
    </sheetView>
  </sheetViews>
  <sheetFormatPr customHeight="1" defaultColWidth="12.630000000000001" defaultRowHeight="15.75"/>
  <cols>
    <col customWidth="1" min="1" max="1" width="3.5"/>
    <col customWidth="1" min="2" max="2" width="34.75"/>
    <col customWidth="1" min="3" max="6" width="12.25"/>
    <col customWidth="1" min="7" max="7" width="9"/>
    <col customWidth="1" min="8" max="8" width="11.75"/>
    <col customWidth="1" min="9" max="9" width="15.75"/>
    <col customWidth="1" min="10" max="10" width="16.629999999999999"/>
    <col customWidth="1" min="11" max="11" width="17.129999999999999"/>
  </cols>
  <sheetData>
    <row r="2">
      <c r="B2" s="34" t="s">
        <v>120</v>
      </c>
    </row>
    <row r="4">
      <c r="A4" s="52"/>
      <c r="B4" s="52" t="s">
        <v>121</v>
      </c>
      <c r="C4" s="52">
        <v>0.14999999999999999</v>
      </c>
    </row>
    <row r="6">
      <c r="A6" s="34"/>
      <c r="B6" s="34" t="s">
        <v>122</v>
      </c>
    </row>
    <row r="7">
      <c r="A7" s="52"/>
      <c r="B7" s="52" t="s">
        <v>123</v>
      </c>
      <c r="C7" s="52">
        <v>32</v>
      </c>
    </row>
    <row r="8">
      <c r="A8" s="52"/>
      <c r="B8" s="52" t="s">
        <v>124</v>
      </c>
      <c r="C8" s="52">
        <v>17</v>
      </c>
      <c r="E8" s="52"/>
      <c r="F8" s="121"/>
    </row>
    <row r="9">
      <c r="A9" s="52"/>
      <c r="B9" s="52" t="s">
        <v>125</v>
      </c>
      <c r="C9" s="52">
        <f>C7*30</f>
        <v>960</v>
      </c>
    </row>
    <row r="10" ht="9" customHeight="1">
      <c r="A10" s="52"/>
      <c r="B10" s="52"/>
    </row>
    <row r="12">
      <c r="A12" s="122"/>
      <c r="B12" s="122" t="s">
        <v>126</v>
      </c>
    </row>
    <row r="13">
      <c r="A13" s="123"/>
      <c r="B13" s="123" t="s">
        <v>127</v>
      </c>
      <c r="C13" s="124">
        <f>16*0.15</f>
        <v>2.3999999999999999</v>
      </c>
      <c r="D13" s="52" t="s">
        <v>60</v>
      </c>
    </row>
    <row r="14">
      <c r="A14" s="123"/>
      <c r="B14" s="123" t="s">
        <v>128</v>
      </c>
      <c r="C14" s="124">
        <f>10*0.15</f>
        <v>1.5</v>
      </c>
      <c r="D14" s="52" t="s">
        <v>60</v>
      </c>
    </row>
    <row r="15">
      <c r="A15" s="123"/>
      <c r="B15" s="123" t="s">
        <v>129</v>
      </c>
      <c r="C15" s="124">
        <f>0.2*0.15</f>
        <v>2.9999999999999999e-02</v>
      </c>
      <c r="D15" s="52" t="s">
        <v>60</v>
      </c>
    </row>
    <row r="17" hidden="1">
      <c r="A17" s="52"/>
      <c r="B17" s="52" t="s">
        <v>130</v>
      </c>
      <c r="C17" s="93">
        <v>1</v>
      </c>
      <c r="E17" s="52" t="s">
        <v>131</v>
      </c>
    </row>
    <row r="18" hidden="1">
      <c r="A18" s="52"/>
      <c r="B18" s="52" t="s">
        <v>132</v>
      </c>
      <c r="C18" s="93">
        <v>1</v>
      </c>
      <c r="E18" s="52" t="s">
        <v>133</v>
      </c>
    </row>
    <row r="19" hidden="1"/>
    <row r="20">
      <c r="A20" s="52"/>
      <c r="B20" s="52" t="s">
        <v>134</v>
      </c>
      <c r="C20" s="10">
        <f>C7*C13+C8*C14+C9*C15</f>
        <v>131.09999999999999</v>
      </c>
      <c r="D20" s="52" t="s">
        <v>60</v>
      </c>
    </row>
    <row r="22">
      <c r="A22" s="52"/>
      <c r="B22" s="52" t="s">
        <v>135</v>
      </c>
      <c r="C22" s="125">
        <v>10</v>
      </c>
      <c r="D22" s="52" t="s">
        <v>60</v>
      </c>
      <c r="E22" s="52" t="s">
        <v>136</v>
      </c>
    </row>
    <row r="23">
      <c r="A23" s="52"/>
      <c r="B23" s="52" t="s">
        <v>137</v>
      </c>
      <c r="C23" s="125">
        <v>7</v>
      </c>
      <c r="D23" s="52" t="s">
        <v>60</v>
      </c>
    </row>
    <row r="24">
      <c r="A24" s="52"/>
      <c r="B24" s="52" t="s">
        <v>138</v>
      </c>
      <c r="C24" s="125">
        <v>0.29999999999999999</v>
      </c>
      <c r="D24" s="52" t="s">
        <v>60</v>
      </c>
    </row>
    <row r="26">
      <c r="A26" s="52"/>
      <c r="B26" s="52" t="s">
        <v>139</v>
      </c>
      <c r="C26" s="10">
        <f>C7*C22+C8*C23+C9*C24</f>
        <v>727</v>
      </c>
      <c r="D26" s="52" t="s">
        <v>60</v>
      </c>
    </row>
    <row r="28">
      <c r="A28" s="34"/>
      <c r="B28" s="34" t="s">
        <v>140</v>
      </c>
    </row>
    <row r="29">
      <c r="A29" s="52"/>
      <c r="B29" s="52" t="s">
        <v>141</v>
      </c>
      <c r="C29" s="52">
        <v>160</v>
      </c>
      <c r="D29" s="52" t="s">
        <v>142</v>
      </c>
    </row>
    <row r="30">
      <c r="A30" s="52"/>
      <c r="B30" s="52" t="s">
        <v>143</v>
      </c>
      <c r="C30" s="10">
        <f>2*0.45</f>
        <v>0.90000000000000002</v>
      </c>
      <c r="D30" s="52" t="s">
        <v>144</v>
      </c>
      <c r="E30" s="126" t="s">
        <v>145</v>
      </c>
    </row>
    <row r="31">
      <c r="A31" s="52"/>
      <c r="B31" s="52" t="s">
        <v>146</v>
      </c>
      <c r="C31" s="91">
        <f>C29*24*365/1000*C30/1000</f>
        <v>1.2614399999999999</v>
      </c>
      <c r="D31" s="52" t="s">
        <v>147</v>
      </c>
    </row>
    <row r="32">
      <c r="A32" s="52"/>
      <c r="B32" s="52" t="s">
        <v>148</v>
      </c>
      <c r="C32" s="52">
        <v>50</v>
      </c>
      <c r="D32" s="52" t="s">
        <v>60</v>
      </c>
    </row>
    <row r="33">
      <c r="A33" s="52"/>
      <c r="B33" s="52" t="s">
        <v>149</v>
      </c>
      <c r="C33" s="101">
        <f>C31*C32*3</f>
        <v>189.21600000000001</v>
      </c>
      <c r="D33" s="52" t="s">
        <v>60</v>
      </c>
      <c r="E33" s="52"/>
    </row>
    <row r="35">
      <c r="A35" s="52"/>
      <c r="B35" s="52" t="s">
        <v>150</v>
      </c>
    </row>
    <row r="36">
      <c r="B36" s="52" t="s">
        <v>151</v>
      </c>
      <c r="C36" s="52">
        <v>5</v>
      </c>
      <c r="D36" s="52" t="s">
        <v>152</v>
      </c>
    </row>
    <row r="38">
      <c r="A38" s="52"/>
      <c r="B38" s="119" t="s">
        <v>153</v>
      </c>
    </row>
    <row r="39">
      <c r="A39" s="127"/>
      <c r="B39" s="128" t="s">
        <v>154</v>
      </c>
      <c r="C39" s="128" t="s">
        <v>155</v>
      </c>
      <c r="D39" s="128" t="s">
        <v>156</v>
      </c>
      <c r="E39" s="128" t="s">
        <v>157</v>
      </c>
      <c r="F39" s="128" t="s">
        <v>139</v>
      </c>
    </row>
    <row r="40">
      <c r="A40" s="129"/>
      <c r="B40" s="130" t="s">
        <v>158</v>
      </c>
      <c r="C40" s="131">
        <v>0</v>
      </c>
      <c r="D40" s="132">
        <v>0</v>
      </c>
      <c r="E40" s="133">
        <v>3</v>
      </c>
      <c r="F40" s="134">
        <f t="shared" ref="F40:F44" si="55">$C$26*(1+C40)</f>
        <v>727</v>
      </c>
    </row>
    <row r="41">
      <c r="A41" s="129"/>
      <c r="B41" s="130" t="s">
        <v>159</v>
      </c>
      <c r="C41" s="131">
        <v>-0.20000000000000001</v>
      </c>
      <c r="D41" s="132">
        <v>3.0099999999999998</v>
      </c>
      <c r="E41" s="133">
        <v>6</v>
      </c>
      <c r="F41" s="134">
        <f t="shared" si="55"/>
        <v>581.60000000000002</v>
      </c>
    </row>
    <row r="42">
      <c r="A42" s="129"/>
      <c r="B42" s="130" t="s">
        <v>160</v>
      </c>
      <c r="C42" s="131">
        <v>-0.29999999999999999</v>
      </c>
      <c r="D42" s="132">
        <v>6.0099999999999998</v>
      </c>
      <c r="E42" s="133">
        <v>12</v>
      </c>
      <c r="F42" s="134">
        <f t="shared" si="55"/>
        <v>508.89999999999998</v>
      </c>
    </row>
    <row r="43">
      <c r="A43" s="129"/>
      <c r="B43" s="130" t="s">
        <v>161</v>
      </c>
      <c r="C43" s="131">
        <v>-0.40000000000000002</v>
      </c>
      <c r="D43" s="132">
        <v>12.01</v>
      </c>
      <c r="E43" s="133">
        <v>36</v>
      </c>
      <c r="F43" s="134">
        <f t="shared" si="55"/>
        <v>436.19999999999999</v>
      </c>
    </row>
    <row r="44">
      <c r="A44" s="129"/>
      <c r="B44" s="130" t="s">
        <v>162</v>
      </c>
      <c r="C44" s="131">
        <v>-0.59999999999999998</v>
      </c>
      <c r="D44" s="132">
        <v>36.009999999999998</v>
      </c>
      <c r="E44" s="133">
        <v>100</v>
      </c>
      <c r="F44" s="134">
        <f t="shared" si="55"/>
        <v>290.80000000000001</v>
      </c>
    </row>
  </sheetData>
  <mergeCells count="1">
    <mergeCell ref="B38:G38"/>
  </mergeCells>
  <hyperlinks>
    <hyperlink r:id="rId1" ref="E30"/>
    <hyperlink r:id="rId2" ref="B38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ONLYOFFICE/7.0.1.48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</cp:coreProperties>
</file>